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omments1.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Rob\Regulatory\KY 2020 Base Case\Discovery\Staff Set 3\"/>
    </mc:Choice>
  </mc:AlternateContent>
  <bookViews>
    <workbookView xWindow="120" yWindow="228" windowWidth="18120" windowHeight="10128" tabRatio="774" firstSheet="1" activeTab="2"/>
  </bookViews>
  <sheets>
    <sheet name="2020 Wind Incremenntal" sheetId="13" state="hidden" r:id="rId1"/>
    <sheet name="Summary" sheetId="21" r:id="rId2"/>
    <sheet name="2020 Wind Storm #1" sheetId="12" r:id="rId3"/>
    <sheet name="2019 Wind Storm #1" sheetId="11" r:id="rId4"/>
    <sheet name="2019 Wind Storm #1 (2)" sheetId="14" state="hidden" r:id="rId5"/>
    <sheet name="2018 Wind Storm #5" sheetId="10" r:id="rId6"/>
    <sheet name="2018 Wind Storm #5 (2)" sheetId="15" state="hidden" r:id="rId7"/>
    <sheet name="2018 Wind Storm #3" sheetId="9" r:id="rId8"/>
    <sheet name="2018 Wind Storm #3 (2)" sheetId="16" state="hidden" r:id="rId9"/>
    <sheet name="2018 Wind Storm #3 (3)" sheetId="20" state="hidden" r:id="rId10"/>
    <sheet name="2018 Snow Storm #1" sheetId="8" r:id="rId11"/>
    <sheet name="2018 Snow Storm #1 (2)" sheetId="17" state="hidden" r:id="rId12"/>
    <sheet name="2017 Thunderstorm #3" sheetId="6" r:id="rId13"/>
    <sheet name="2017 Thunderstorm #3 (2)" sheetId="18" state="hidden" r:id="rId14"/>
    <sheet name="2017 Wind Storm #2" sheetId="5" r:id="rId15"/>
    <sheet name="2017 Wind Storm #2 (2)" sheetId="19" state="hidden" r:id="rId16"/>
    <sheet name="Storm Template" sheetId="4" state="hidden" r:id="rId17"/>
  </sheets>
  <definedNames>
    <definedName name="_xlnm.Print_Area" localSheetId="12">'2017 Thunderstorm #3'!$B$2:$Q$126</definedName>
    <definedName name="_xlnm.Print_Area" localSheetId="13">'2017 Thunderstorm #3 (2)'!$A$1:$J$94</definedName>
    <definedName name="_xlnm.Print_Area" localSheetId="14">'2017 Wind Storm #2'!$B$2:$Q$126</definedName>
    <definedName name="_xlnm.Print_Area" localSheetId="15">'2017 Wind Storm #2 (2)'!$A$1:$J$94</definedName>
    <definedName name="_xlnm.Print_Area" localSheetId="10">'2018 Snow Storm #1'!$B$2:$Q$126</definedName>
    <definedName name="_xlnm.Print_Area" localSheetId="11">'2018 Snow Storm #1 (2)'!$A$1:$J$94</definedName>
    <definedName name="_xlnm.Print_Area" localSheetId="7">'2018 Wind Storm #3'!$B$2:$Q$126</definedName>
    <definedName name="_xlnm.Print_Area" localSheetId="8">'2018 Wind Storm #3 (2)'!$A$1:$J$94</definedName>
    <definedName name="_xlnm.Print_Area" localSheetId="9">'2018 Wind Storm #3 (3)'!$A$1:$I$94</definedName>
    <definedName name="_xlnm.Print_Area" localSheetId="5">'2018 Wind Storm #5'!$B$2:$Q$126</definedName>
    <definedName name="_xlnm.Print_Area" localSheetId="6">'2018 Wind Storm #5 (2)'!$A$1:$J$94</definedName>
    <definedName name="_xlnm.Print_Area" localSheetId="3">'2019 Wind Storm #1'!$B$2:$Q$126</definedName>
    <definedName name="_xlnm.Print_Area" localSheetId="4">'2019 Wind Storm #1 (2)'!$A$1:$J$94</definedName>
    <definedName name="_xlnm.Print_Area" localSheetId="0">'2020 Wind Incremenntal'!$A$1:$J$94</definedName>
    <definedName name="_xlnm.Print_Area" localSheetId="2">'2020 Wind Storm #1'!$B$2:$Q$126</definedName>
    <definedName name="_xlnm.Print_Area" localSheetId="16">'Storm Template'!$A$1:$R$131</definedName>
    <definedName name="_xlnm.Print_Area" localSheetId="1">Summary!$A$1:$I$49</definedName>
    <definedName name="_xlnm.Print_Titles" localSheetId="12">'2017 Thunderstorm #3'!$2:$8</definedName>
    <definedName name="_xlnm.Print_Titles" localSheetId="13">'2017 Thunderstorm #3 (2)'!$2:$8</definedName>
    <definedName name="_xlnm.Print_Titles" localSheetId="14">'2017 Wind Storm #2'!$2:$8</definedName>
    <definedName name="_xlnm.Print_Titles" localSheetId="15">'2017 Wind Storm #2 (2)'!$2:$8</definedName>
    <definedName name="_xlnm.Print_Titles" localSheetId="10">'2018 Snow Storm #1'!$2:$8</definedName>
    <definedName name="_xlnm.Print_Titles" localSheetId="11">'2018 Snow Storm #1 (2)'!$2:$8</definedName>
    <definedName name="_xlnm.Print_Titles" localSheetId="7">'2018 Wind Storm #3'!$2:$8</definedName>
    <definedName name="_xlnm.Print_Titles" localSheetId="8">'2018 Wind Storm #3 (2)'!$2:$8</definedName>
    <definedName name="_xlnm.Print_Titles" localSheetId="9">'2018 Wind Storm #3 (3)'!$2:$8</definedName>
    <definedName name="_xlnm.Print_Titles" localSheetId="5">'2018 Wind Storm #5'!$2:$8</definedName>
    <definedName name="_xlnm.Print_Titles" localSheetId="6">'2018 Wind Storm #5 (2)'!$2:$8</definedName>
    <definedName name="_xlnm.Print_Titles" localSheetId="3">'2019 Wind Storm #1'!$2:$8</definedName>
    <definedName name="_xlnm.Print_Titles" localSheetId="4">'2019 Wind Storm #1 (2)'!$2:$8</definedName>
    <definedName name="_xlnm.Print_Titles" localSheetId="0">'2020 Wind Incremenntal'!$2:$8</definedName>
    <definedName name="_xlnm.Print_Titles" localSheetId="2">'2020 Wind Storm #1'!$2:$8</definedName>
    <definedName name="_xlnm.Print_Titles" localSheetId="16">'Storm Template'!$2:$9</definedName>
    <definedName name="TotalOTHours" localSheetId="12">'2017 Thunderstorm #3'!$Q$13</definedName>
    <definedName name="TotalOTHours" localSheetId="13">'2017 Thunderstorm #3 (2)'!$I$13</definedName>
    <definedName name="TotalOTHours" localSheetId="14">'2017 Wind Storm #2'!$Q$13</definedName>
    <definedName name="TotalOTHours" localSheetId="15">'2017 Wind Storm #2 (2)'!$I$13</definedName>
    <definedName name="TotalOTHours" localSheetId="10">'2018 Snow Storm #1'!$Q$13</definedName>
    <definedName name="TotalOTHours" localSheetId="11">'2018 Snow Storm #1 (2)'!$I$13</definedName>
    <definedName name="TotalOTHours" localSheetId="7">'2018 Wind Storm #3'!$Q$13</definedName>
    <definedName name="TotalOTHours" localSheetId="8">'2018 Wind Storm #3 (2)'!$I$13</definedName>
    <definedName name="TotalOTHours" localSheetId="9">'2018 Wind Storm #3 (3)'!$I$13</definedName>
    <definedName name="TotalOTHours" localSheetId="5">'2018 Wind Storm #5'!$Q$13</definedName>
    <definedName name="TotalOTHours" localSheetId="6">'2018 Wind Storm #5 (2)'!$I$13</definedName>
    <definedName name="TotalOTHours" localSheetId="3">'2019 Wind Storm #1'!$Q$13</definedName>
    <definedName name="TotalOTHours" localSheetId="4">'2019 Wind Storm #1 (2)'!$I$13</definedName>
    <definedName name="TotalOTHours" localSheetId="0">'2020 Wind Incremenntal'!$I$13</definedName>
    <definedName name="TotalOTHours" localSheetId="2">'2020 Wind Storm #1'!$Q$13</definedName>
    <definedName name="TotalOTHours" localSheetId="16">'Storm Template'!$Q$14</definedName>
    <definedName name="TotalOTHours" localSheetId="1">#REF!</definedName>
    <definedName name="TotalOTHours">#REF!</definedName>
  </definedNames>
  <calcPr calcId="162913"/>
</workbook>
</file>

<file path=xl/calcChain.xml><?xml version="1.0" encoding="utf-8"?>
<calcChain xmlns="http://schemas.openxmlformats.org/spreadsheetml/2006/main">
  <c r="I21" i="12" l="1"/>
  <c r="H21" i="5" l="1"/>
  <c r="I21" i="5"/>
  <c r="J21" i="5"/>
  <c r="K21" i="5"/>
  <c r="H21" i="6"/>
  <c r="I21" i="6"/>
  <c r="J21" i="6"/>
  <c r="K21" i="6"/>
  <c r="K23" i="8"/>
  <c r="H21" i="8"/>
  <c r="I21" i="8"/>
  <c r="J21" i="8"/>
  <c r="K21" i="8"/>
  <c r="H21" i="9"/>
  <c r="I21" i="9"/>
  <c r="J21" i="9"/>
  <c r="K21" i="9"/>
  <c r="H21" i="10"/>
  <c r="I21" i="10"/>
  <c r="J21" i="10"/>
  <c r="K21" i="10"/>
  <c r="H21" i="11"/>
  <c r="I21" i="11"/>
  <c r="G21" i="11"/>
  <c r="H21" i="12"/>
  <c r="K20" i="11"/>
  <c r="K19" i="11"/>
  <c r="K18" i="11"/>
  <c r="K17" i="11"/>
  <c r="I17" i="11"/>
  <c r="H17" i="11"/>
  <c r="G17" i="11"/>
  <c r="K16" i="11"/>
  <c r="I16" i="11"/>
  <c r="H16" i="11"/>
  <c r="G16" i="11"/>
  <c r="I15" i="11"/>
  <c r="H15" i="11"/>
  <c r="G15" i="11"/>
  <c r="K15" i="11" s="1"/>
  <c r="K21" i="11" s="1"/>
  <c r="J21" i="11"/>
  <c r="G21" i="12"/>
  <c r="K23" i="5"/>
  <c r="K20" i="5"/>
  <c r="K19" i="5"/>
  <c r="K18" i="5"/>
  <c r="H17" i="5"/>
  <c r="K13" i="5"/>
  <c r="I16" i="5" s="1"/>
  <c r="K12" i="5"/>
  <c r="K10" i="5"/>
  <c r="I15" i="5" s="1"/>
  <c r="K9" i="5"/>
  <c r="K20" i="8"/>
  <c r="K19" i="8"/>
  <c r="K18" i="8"/>
  <c r="I16" i="8"/>
  <c r="H16" i="8"/>
  <c r="G16" i="8"/>
  <c r="K16" i="8" s="1"/>
  <c r="I15" i="8"/>
  <c r="H15" i="8"/>
  <c r="K13" i="8"/>
  <c r="K12" i="8"/>
  <c r="K10" i="8"/>
  <c r="G15" i="8" s="1"/>
  <c r="K15" i="8" s="1"/>
  <c r="K9" i="8"/>
  <c r="K47" i="11"/>
  <c r="K45" i="11"/>
  <c r="K43" i="11"/>
  <c r="K41" i="11"/>
  <c r="G39" i="11"/>
  <c r="K39" i="11" s="1"/>
  <c r="K38" i="11"/>
  <c r="K37" i="11"/>
  <c r="K36" i="11"/>
  <c r="K34" i="11"/>
  <c r="K33" i="11"/>
  <c r="H31" i="11"/>
  <c r="I81" i="10"/>
  <c r="H81" i="10"/>
  <c r="G81" i="10"/>
  <c r="K21" i="12" l="1"/>
  <c r="G16" i="5"/>
  <c r="H16" i="5"/>
  <c r="G17" i="5"/>
  <c r="I17" i="5"/>
  <c r="G15" i="5"/>
  <c r="H15" i="5"/>
  <c r="G17" i="8"/>
  <c r="K17" i="8" s="1"/>
  <c r="I17" i="8"/>
  <c r="H17" i="8"/>
  <c r="K15" i="5" l="1"/>
  <c r="K17" i="5"/>
  <c r="K16" i="5"/>
  <c r="G89" i="5" l="1"/>
  <c r="G89" i="6"/>
  <c r="G89" i="8"/>
  <c r="I10" i="20"/>
  <c r="I12" i="20"/>
  <c r="I13" i="20"/>
  <c r="I15" i="20"/>
  <c r="I16" i="20"/>
  <c r="I17" i="20"/>
  <c r="I18" i="20"/>
  <c r="I19" i="20"/>
  <c r="I20" i="20"/>
  <c r="I21" i="20"/>
  <c r="I22" i="20"/>
  <c r="I23" i="20"/>
  <c r="I24" i="20"/>
  <c r="I26" i="20"/>
  <c r="I27" i="20"/>
  <c r="I28" i="20"/>
  <c r="I29" i="20"/>
  <c r="I30" i="20"/>
  <c r="I31" i="20"/>
  <c r="I33" i="20"/>
  <c r="I34" i="20"/>
  <c r="I36" i="20"/>
  <c r="I37" i="20"/>
  <c r="I38" i="20"/>
  <c r="I39" i="20"/>
  <c r="I41" i="20"/>
  <c r="I43" i="20"/>
  <c r="I45" i="20"/>
  <c r="I47" i="20"/>
  <c r="I50" i="20"/>
  <c r="I51" i="20"/>
  <c r="I53" i="20"/>
  <c r="I56" i="20"/>
  <c r="I60" i="20"/>
  <c r="I61" i="20"/>
  <c r="I63" i="20"/>
  <c r="I64" i="20"/>
  <c r="I66" i="20"/>
  <c r="I67" i="20"/>
  <c r="I68" i="20"/>
  <c r="I69" i="20"/>
  <c r="I70" i="20"/>
  <c r="I71" i="20"/>
  <c r="I72" i="20"/>
  <c r="I73" i="20"/>
  <c r="I75" i="20"/>
  <c r="I76" i="20"/>
  <c r="I78" i="20"/>
  <c r="I79" i="20"/>
  <c r="I81" i="20"/>
  <c r="I82" i="20"/>
  <c r="I84" i="20"/>
  <c r="I87" i="20"/>
  <c r="I88" i="20"/>
  <c r="I89" i="20"/>
  <c r="I90" i="20"/>
  <c r="I93" i="20"/>
  <c r="I9" i="20"/>
  <c r="G113" i="20"/>
  <c r="G114" i="20" s="1"/>
  <c r="J90" i="9"/>
  <c r="K89" i="9"/>
  <c r="J89" i="9"/>
  <c r="I61" i="9"/>
  <c r="I60" i="9"/>
  <c r="K53" i="9"/>
  <c r="J51" i="9"/>
  <c r="I51" i="9"/>
  <c r="G51" i="9"/>
  <c r="K50" i="9"/>
  <c r="K47" i="9"/>
  <c r="G39" i="9"/>
  <c r="K39" i="9" s="1"/>
  <c r="K38" i="9"/>
  <c r="G37" i="9"/>
  <c r="K37" i="9" s="1"/>
  <c r="K36" i="9"/>
  <c r="K34" i="9"/>
  <c r="K33" i="9"/>
  <c r="J31" i="9"/>
  <c r="I31" i="9"/>
  <c r="G31" i="9"/>
  <c r="K30" i="9"/>
  <c r="K29" i="9"/>
  <c r="K28" i="9"/>
  <c r="K27" i="9"/>
  <c r="K26" i="9"/>
  <c r="J24" i="9"/>
  <c r="I24" i="9"/>
  <c r="G24" i="9"/>
  <c r="H89" i="12"/>
  <c r="I89" i="12"/>
  <c r="J89" i="12"/>
  <c r="K89" i="12"/>
  <c r="G89" i="12"/>
  <c r="G89" i="10"/>
  <c r="J90" i="10"/>
  <c r="K90" i="10"/>
  <c r="G90" i="10"/>
  <c r="I10" i="19"/>
  <c r="I12" i="19"/>
  <c r="I13" i="19"/>
  <c r="I15" i="19"/>
  <c r="I16" i="19"/>
  <c r="I17" i="19"/>
  <c r="I18" i="19"/>
  <c r="I19" i="19"/>
  <c r="I20" i="19"/>
  <c r="I21" i="19"/>
  <c r="I22" i="19"/>
  <c r="I23" i="19"/>
  <c r="I24" i="19"/>
  <c r="I26" i="19"/>
  <c r="I27" i="19"/>
  <c r="I28" i="19"/>
  <c r="I29" i="19"/>
  <c r="I30" i="19"/>
  <c r="I31" i="19"/>
  <c r="I33" i="19"/>
  <c r="I34" i="19"/>
  <c r="I36" i="19"/>
  <c r="I37" i="19"/>
  <c r="I38" i="19"/>
  <c r="I39" i="19"/>
  <c r="I41" i="19"/>
  <c r="I43" i="19"/>
  <c r="I45" i="19"/>
  <c r="I47" i="19"/>
  <c r="I50" i="19"/>
  <c r="I51" i="19"/>
  <c r="I53" i="19"/>
  <c r="I56" i="19"/>
  <c r="I60" i="19"/>
  <c r="I61" i="19"/>
  <c r="I63" i="19"/>
  <c r="I64" i="19"/>
  <c r="I66" i="19"/>
  <c r="I67" i="19"/>
  <c r="I68" i="19"/>
  <c r="I69" i="19"/>
  <c r="I70" i="19"/>
  <c r="I71" i="19"/>
  <c r="I72" i="19"/>
  <c r="I73" i="19"/>
  <c r="I75" i="19"/>
  <c r="I76" i="19"/>
  <c r="I78" i="19"/>
  <c r="I79" i="19"/>
  <c r="I81" i="19"/>
  <c r="I82" i="19"/>
  <c r="I84" i="19"/>
  <c r="I85" i="19"/>
  <c r="I86" i="19"/>
  <c r="I87" i="19"/>
  <c r="I89" i="19"/>
  <c r="I90" i="19"/>
  <c r="I93" i="19"/>
  <c r="I9" i="19"/>
  <c r="G113" i="19"/>
  <c r="G114" i="19" s="1"/>
  <c r="G50" i="5"/>
  <c r="I50" i="5"/>
  <c r="I10" i="18"/>
  <c r="I12" i="18"/>
  <c r="I13" i="18"/>
  <c r="I15" i="18"/>
  <c r="I16" i="18"/>
  <c r="I17" i="18"/>
  <c r="I18" i="18"/>
  <c r="I19" i="18"/>
  <c r="I20" i="18"/>
  <c r="I21" i="18"/>
  <c r="I22" i="18"/>
  <c r="I23" i="18"/>
  <c r="I24" i="18"/>
  <c r="I26" i="18"/>
  <c r="I27" i="18"/>
  <c r="I28" i="18"/>
  <c r="I29" i="18"/>
  <c r="I30" i="18"/>
  <c r="I31" i="18"/>
  <c r="I33" i="18"/>
  <c r="I34" i="18"/>
  <c r="I36" i="18"/>
  <c r="I37" i="18"/>
  <c r="I38" i="18"/>
  <c r="I39" i="18"/>
  <c r="I41" i="18"/>
  <c r="I43" i="18"/>
  <c r="I45" i="18"/>
  <c r="I47" i="18"/>
  <c r="I50" i="18"/>
  <c r="I51" i="18"/>
  <c r="I53" i="18"/>
  <c r="I56" i="18"/>
  <c r="I60" i="18"/>
  <c r="I61" i="18"/>
  <c r="I63" i="18"/>
  <c r="I64" i="18"/>
  <c r="I66" i="18"/>
  <c r="I67" i="18"/>
  <c r="I68" i="18"/>
  <c r="I69" i="18"/>
  <c r="I70" i="18"/>
  <c r="I71" i="18"/>
  <c r="I72" i="18"/>
  <c r="I73" i="18"/>
  <c r="I75" i="18"/>
  <c r="I76" i="18"/>
  <c r="I78" i="18"/>
  <c r="I79" i="18"/>
  <c r="I81" i="18"/>
  <c r="I82" i="18"/>
  <c r="I84" i="18"/>
  <c r="I85" i="18"/>
  <c r="I86" i="18"/>
  <c r="I87" i="18"/>
  <c r="I89" i="18"/>
  <c r="I90" i="18"/>
  <c r="I93" i="18"/>
  <c r="I9" i="18"/>
  <c r="G113" i="18"/>
  <c r="G114" i="18" s="1"/>
  <c r="P61" i="18"/>
  <c r="P20" i="18"/>
  <c r="P23" i="18" s="1"/>
  <c r="P17" i="18"/>
  <c r="I10" i="17"/>
  <c r="I12" i="17"/>
  <c r="I13" i="17"/>
  <c r="I15" i="17"/>
  <c r="I16" i="17"/>
  <c r="I17" i="17"/>
  <c r="I18" i="17"/>
  <c r="I19" i="17"/>
  <c r="I20" i="17"/>
  <c r="I21" i="17"/>
  <c r="I22" i="17"/>
  <c r="I23" i="17"/>
  <c r="I24" i="17"/>
  <c r="I26" i="17"/>
  <c r="I27" i="17"/>
  <c r="I28" i="17"/>
  <c r="I29" i="17"/>
  <c r="I30" i="17"/>
  <c r="I31" i="17"/>
  <c r="I33" i="17"/>
  <c r="I34" i="17"/>
  <c r="I36" i="17"/>
  <c r="I37" i="17"/>
  <c r="I38" i="17"/>
  <c r="I39" i="17"/>
  <c r="I41" i="17"/>
  <c r="I43" i="17"/>
  <c r="I45" i="17"/>
  <c r="I47" i="17"/>
  <c r="I50" i="17"/>
  <c r="I51" i="17"/>
  <c r="I53" i="17"/>
  <c r="I56" i="17"/>
  <c r="I60" i="17"/>
  <c r="I61" i="17"/>
  <c r="I63" i="17"/>
  <c r="I64" i="17"/>
  <c r="I66" i="17"/>
  <c r="I67" i="17"/>
  <c r="I68" i="17"/>
  <c r="I69" i="17"/>
  <c r="I70" i="17"/>
  <c r="I71" i="17"/>
  <c r="I72" i="17"/>
  <c r="I73" i="17"/>
  <c r="I75" i="17"/>
  <c r="I76" i="17"/>
  <c r="I78" i="17"/>
  <c r="I79" i="17"/>
  <c r="I81" i="17"/>
  <c r="I82" i="17"/>
  <c r="I84" i="17"/>
  <c r="I85" i="17"/>
  <c r="I86" i="17"/>
  <c r="I87" i="17"/>
  <c r="I89" i="17"/>
  <c r="I90" i="17"/>
  <c r="I93" i="17"/>
  <c r="I9" i="17"/>
  <c r="G113" i="17"/>
  <c r="G114" i="17" s="1"/>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 i="16"/>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 i="15"/>
  <c r="I10" i="14"/>
  <c r="I12" i="14"/>
  <c r="I13" i="14"/>
  <c r="I15" i="14"/>
  <c r="I16" i="14"/>
  <c r="I17" i="14"/>
  <c r="I18" i="14"/>
  <c r="I19" i="14"/>
  <c r="I20" i="14"/>
  <c r="I21" i="14"/>
  <c r="I22" i="14"/>
  <c r="I23" i="14"/>
  <c r="I24" i="14"/>
  <c r="I26" i="14"/>
  <c r="I27" i="14"/>
  <c r="I28" i="14"/>
  <c r="I29" i="14"/>
  <c r="I30" i="14"/>
  <c r="I31" i="14"/>
  <c r="I33" i="14"/>
  <c r="I34" i="14"/>
  <c r="I36" i="14"/>
  <c r="I37" i="14"/>
  <c r="I38" i="14"/>
  <c r="I39" i="14"/>
  <c r="I41" i="14"/>
  <c r="I43" i="14"/>
  <c r="I45" i="14"/>
  <c r="I47" i="14"/>
  <c r="I50" i="14"/>
  <c r="I51" i="14"/>
  <c r="I53" i="14"/>
  <c r="I56" i="14"/>
  <c r="I60" i="14"/>
  <c r="I61" i="14"/>
  <c r="I63" i="14"/>
  <c r="I64" i="14"/>
  <c r="I66" i="14"/>
  <c r="I67" i="14"/>
  <c r="I68" i="14"/>
  <c r="I69" i="14"/>
  <c r="I70" i="14"/>
  <c r="I71" i="14"/>
  <c r="I72" i="14"/>
  <c r="I73" i="14"/>
  <c r="I75" i="14"/>
  <c r="I76" i="14"/>
  <c r="I78" i="14"/>
  <c r="I79" i="14"/>
  <c r="I81" i="14"/>
  <c r="I82" i="14"/>
  <c r="I84" i="14"/>
  <c r="I85" i="14"/>
  <c r="I86" i="14"/>
  <c r="I87" i="14"/>
  <c r="I89" i="14"/>
  <c r="I90" i="14"/>
  <c r="I93" i="14"/>
  <c r="I9" i="14"/>
  <c r="I10" i="13"/>
  <c r="I12" i="13"/>
  <c r="I13" i="13"/>
  <c r="I15" i="13"/>
  <c r="I16" i="13"/>
  <c r="I17" i="13"/>
  <c r="I18" i="13"/>
  <c r="I19" i="13"/>
  <c r="I20" i="13"/>
  <c r="I21" i="13"/>
  <c r="I22" i="13"/>
  <c r="I23" i="13"/>
  <c r="I24" i="13"/>
  <c r="I26" i="13"/>
  <c r="I27" i="13"/>
  <c r="I28" i="13"/>
  <c r="I29" i="13"/>
  <c r="I30" i="13"/>
  <c r="I31" i="13"/>
  <c r="I33" i="13"/>
  <c r="I34" i="13"/>
  <c r="I36" i="13"/>
  <c r="I37" i="13"/>
  <c r="I38" i="13"/>
  <c r="I39" i="13"/>
  <c r="I41" i="13"/>
  <c r="I43" i="13"/>
  <c r="I45" i="13"/>
  <c r="I47" i="13"/>
  <c r="I50" i="13"/>
  <c r="I51" i="13"/>
  <c r="I53" i="13"/>
  <c r="I56" i="13"/>
  <c r="I60" i="13"/>
  <c r="I61" i="13"/>
  <c r="I63" i="13"/>
  <c r="I64" i="13"/>
  <c r="I66" i="13"/>
  <c r="I67" i="13"/>
  <c r="I69" i="13"/>
  <c r="I70" i="13"/>
  <c r="I72" i="13"/>
  <c r="I73" i="13"/>
  <c r="I75" i="13"/>
  <c r="I76" i="13"/>
  <c r="I78" i="13"/>
  <c r="I79" i="13"/>
  <c r="I81" i="13"/>
  <c r="I82" i="13"/>
  <c r="I84" i="13"/>
  <c r="I85" i="13"/>
  <c r="I87" i="13"/>
  <c r="I88" i="13"/>
  <c r="I89" i="13"/>
  <c r="I90" i="13"/>
  <c r="I91" i="13"/>
  <c r="I92" i="13"/>
  <c r="I93" i="13"/>
  <c r="I9" i="13"/>
  <c r="J56" i="9" l="1"/>
  <c r="J93" i="9" s="1"/>
  <c r="G115" i="20"/>
  <c r="G103" i="20" s="1"/>
  <c r="G115" i="19"/>
  <c r="G103" i="19" s="1"/>
  <c r="G115" i="18"/>
  <c r="G103" i="18" s="1"/>
  <c r="G115" i="17"/>
  <c r="G103" i="17" s="1"/>
  <c r="G114" i="12" l="1"/>
  <c r="H114" i="11" l="1"/>
  <c r="I113" i="11"/>
  <c r="I114" i="11" s="1"/>
  <c r="K109" i="11"/>
  <c r="K108" i="11"/>
  <c r="O12" i="5"/>
  <c r="K110" i="11" l="1"/>
  <c r="H115" i="11" s="1"/>
  <c r="G39" i="12"/>
  <c r="G39" i="10"/>
  <c r="H103" i="11" l="1"/>
  <c r="I115" i="11"/>
  <c r="I103" i="11" s="1"/>
  <c r="K87" i="11"/>
  <c r="I75" i="11"/>
  <c r="I60" i="11"/>
  <c r="G115" i="11" l="1"/>
  <c r="G103" i="11" s="1"/>
  <c r="I113" i="8"/>
  <c r="I114" i="8" s="1"/>
  <c r="H114" i="12"/>
  <c r="I113" i="12"/>
  <c r="I114" i="12" s="1"/>
  <c r="K109" i="12"/>
  <c r="K108" i="12"/>
  <c r="L93" i="12"/>
  <c r="J90" i="12"/>
  <c r="Q87" i="12"/>
  <c r="P87" i="12"/>
  <c r="Q85" i="12"/>
  <c r="P85" i="12"/>
  <c r="Q84" i="12"/>
  <c r="P84" i="12"/>
  <c r="Q82" i="12"/>
  <c r="P82" i="12"/>
  <c r="Q81" i="12"/>
  <c r="P81" i="12"/>
  <c r="Q79" i="12"/>
  <c r="P79" i="12"/>
  <c r="Q78" i="12"/>
  <c r="P78" i="12"/>
  <c r="Q76" i="12"/>
  <c r="P76" i="12"/>
  <c r="Q75" i="12"/>
  <c r="P75" i="12"/>
  <c r="Q73" i="12"/>
  <c r="P73" i="12"/>
  <c r="Q72" i="12"/>
  <c r="P72" i="12"/>
  <c r="Q70" i="12"/>
  <c r="P70" i="12"/>
  <c r="Q69" i="12"/>
  <c r="P69" i="12"/>
  <c r="Q67" i="12"/>
  <c r="P67" i="12"/>
  <c r="Q66" i="12"/>
  <c r="P66" i="12"/>
  <c r="Q64" i="12"/>
  <c r="P64" i="12"/>
  <c r="Q63" i="12"/>
  <c r="P63" i="12"/>
  <c r="X61" i="12"/>
  <c r="Q61" i="12"/>
  <c r="P61" i="12"/>
  <c r="N61" i="12"/>
  <c r="M61" i="12"/>
  <c r="I61" i="12"/>
  <c r="O61" i="12" s="1"/>
  <c r="Q60" i="12"/>
  <c r="O60" i="12" s="1"/>
  <c r="P60" i="12"/>
  <c r="P89" i="12" s="1"/>
  <c r="N60" i="12"/>
  <c r="M60" i="12"/>
  <c r="I60" i="12"/>
  <c r="Q53" i="12"/>
  <c r="K53" i="12"/>
  <c r="J51" i="12"/>
  <c r="I51" i="12"/>
  <c r="P50" i="12"/>
  <c r="O50" i="12"/>
  <c r="N50" i="12"/>
  <c r="K50" i="12"/>
  <c r="M50" i="12"/>
  <c r="P47" i="12"/>
  <c r="O47" i="12"/>
  <c r="N47" i="12"/>
  <c r="M47" i="12"/>
  <c r="K47" i="12"/>
  <c r="P45" i="12"/>
  <c r="O45" i="12"/>
  <c r="M45" i="12"/>
  <c r="P43" i="12"/>
  <c r="O43" i="12"/>
  <c r="M43" i="12"/>
  <c r="P41" i="12"/>
  <c r="O41" i="12"/>
  <c r="M41" i="12"/>
  <c r="P39" i="12"/>
  <c r="O39" i="12"/>
  <c r="N39" i="12"/>
  <c r="M39" i="12"/>
  <c r="K39" i="12"/>
  <c r="P38" i="12"/>
  <c r="O38" i="12"/>
  <c r="N38" i="12"/>
  <c r="M38" i="12"/>
  <c r="Q38" i="12" s="1"/>
  <c r="K38" i="12"/>
  <c r="P37" i="12"/>
  <c r="O37" i="12"/>
  <c r="N37" i="12"/>
  <c r="M37" i="12"/>
  <c r="Q37" i="12" s="1"/>
  <c r="K37" i="12"/>
  <c r="P36" i="12"/>
  <c r="O36" i="12"/>
  <c r="N36" i="12"/>
  <c r="M36" i="12"/>
  <c r="Q36" i="12" s="1"/>
  <c r="K36" i="12"/>
  <c r="P34" i="12"/>
  <c r="O34" i="12"/>
  <c r="N34" i="12"/>
  <c r="M34" i="12"/>
  <c r="K34" i="12"/>
  <c r="P33" i="12"/>
  <c r="O33" i="12"/>
  <c r="O51" i="12" s="1"/>
  <c r="N33" i="12"/>
  <c r="M33" i="12"/>
  <c r="K33" i="12"/>
  <c r="J31" i="12"/>
  <c r="I31" i="12"/>
  <c r="G31" i="12"/>
  <c r="P30" i="12"/>
  <c r="O30" i="12"/>
  <c r="N30" i="12"/>
  <c r="M30" i="12"/>
  <c r="K30" i="12"/>
  <c r="P29" i="12"/>
  <c r="O29" i="12"/>
  <c r="N29" i="12"/>
  <c r="M29" i="12"/>
  <c r="K29" i="12"/>
  <c r="Q28" i="12"/>
  <c r="K28" i="12"/>
  <c r="P27" i="12"/>
  <c r="O27" i="12"/>
  <c r="N27" i="12"/>
  <c r="N31" i="12" s="1"/>
  <c r="M27" i="12"/>
  <c r="Q27" i="12" s="1"/>
  <c r="K27" i="12"/>
  <c r="Q26" i="12"/>
  <c r="K26" i="12"/>
  <c r="P24" i="12"/>
  <c r="J24" i="12"/>
  <c r="I24" i="12"/>
  <c r="G24" i="12"/>
  <c r="J21" i="12"/>
  <c r="X20" i="12"/>
  <c r="Q20" i="12"/>
  <c r="P19" i="12"/>
  <c r="O19" i="12"/>
  <c r="M19" i="12"/>
  <c r="Q18" i="12"/>
  <c r="X17" i="12"/>
  <c r="Q17" i="12"/>
  <c r="P16" i="12"/>
  <c r="Q15" i="12"/>
  <c r="O13" i="12"/>
  <c r="M13" i="12"/>
  <c r="P12" i="12"/>
  <c r="O12" i="12"/>
  <c r="N12" i="12"/>
  <c r="M12" i="12"/>
  <c r="O10" i="12"/>
  <c r="N10" i="12"/>
  <c r="M10" i="12"/>
  <c r="Q9" i="12"/>
  <c r="L93" i="11"/>
  <c r="J90" i="11"/>
  <c r="J89" i="11"/>
  <c r="Q87" i="11"/>
  <c r="P87" i="11"/>
  <c r="Q85" i="11"/>
  <c r="P85" i="11"/>
  <c r="Q84" i="11"/>
  <c r="P84" i="11"/>
  <c r="Q82" i="11"/>
  <c r="P82" i="11"/>
  <c r="Q81" i="11"/>
  <c r="P81" i="11"/>
  <c r="Q79" i="11"/>
  <c r="P79" i="11"/>
  <c r="Q78" i="11"/>
  <c r="P78" i="11"/>
  <c r="Q76" i="11"/>
  <c r="P76" i="11"/>
  <c r="Q75" i="11"/>
  <c r="P75" i="11"/>
  <c r="Q73" i="11"/>
  <c r="P73" i="11"/>
  <c r="Q72" i="11"/>
  <c r="P72" i="11"/>
  <c r="Q70" i="11"/>
  <c r="P70" i="11"/>
  <c r="Q69" i="11"/>
  <c r="P69" i="11"/>
  <c r="Q67" i="11"/>
  <c r="P67" i="11"/>
  <c r="Q66" i="11"/>
  <c r="P66" i="11"/>
  <c r="Q64" i="11"/>
  <c r="P64" i="11"/>
  <c r="Q63" i="11"/>
  <c r="P63" i="11"/>
  <c r="X61" i="11"/>
  <c r="Q61" i="11"/>
  <c r="P61" i="11"/>
  <c r="N61" i="11"/>
  <c r="M61" i="11"/>
  <c r="I61" i="11"/>
  <c r="O61" i="11" s="1"/>
  <c r="Q60" i="11"/>
  <c r="O60" i="11" s="1"/>
  <c r="P60" i="11"/>
  <c r="N60" i="11"/>
  <c r="M60" i="11"/>
  <c r="Q53" i="11"/>
  <c r="K53" i="11"/>
  <c r="J51" i="11"/>
  <c r="I51" i="11"/>
  <c r="P50" i="11"/>
  <c r="O50" i="11"/>
  <c r="N50" i="11"/>
  <c r="M50" i="11"/>
  <c r="P47" i="11"/>
  <c r="O47" i="11"/>
  <c r="N47" i="11"/>
  <c r="M47" i="11"/>
  <c r="P45" i="11"/>
  <c r="O45" i="11"/>
  <c r="M45" i="11"/>
  <c r="P43" i="11"/>
  <c r="O43" i="11"/>
  <c r="M43" i="11"/>
  <c r="P41" i="11"/>
  <c r="O41" i="11"/>
  <c r="M41" i="11"/>
  <c r="P39" i="11"/>
  <c r="O39" i="11"/>
  <c r="N39" i="11"/>
  <c r="M39" i="11"/>
  <c r="P38" i="11"/>
  <c r="O38" i="11"/>
  <c r="N38" i="11"/>
  <c r="M38" i="11"/>
  <c r="P37" i="11"/>
  <c r="O37" i="11"/>
  <c r="N37" i="11"/>
  <c r="M37" i="11"/>
  <c r="Q37" i="11" s="1"/>
  <c r="P36" i="11"/>
  <c r="O36" i="11"/>
  <c r="N36" i="11"/>
  <c r="M36" i="11"/>
  <c r="P34" i="11"/>
  <c r="O34" i="11"/>
  <c r="N34" i="11"/>
  <c r="M34" i="11"/>
  <c r="P33" i="11"/>
  <c r="O33" i="11"/>
  <c r="N33" i="11"/>
  <c r="M33" i="11"/>
  <c r="J31" i="11"/>
  <c r="I31" i="11"/>
  <c r="G31" i="11"/>
  <c r="P30" i="11"/>
  <c r="O30" i="11"/>
  <c r="N30" i="11"/>
  <c r="M30" i="11"/>
  <c r="Q30" i="11" s="1"/>
  <c r="K30" i="11"/>
  <c r="P29" i="11"/>
  <c r="O29" i="11"/>
  <c r="N29" i="11"/>
  <c r="M29" i="11"/>
  <c r="K29" i="11"/>
  <c r="Q28" i="11"/>
  <c r="K28" i="11"/>
  <c r="P27" i="11"/>
  <c r="O27" i="11"/>
  <c r="N27" i="11"/>
  <c r="M27" i="11"/>
  <c r="K27" i="11"/>
  <c r="Q26" i="11"/>
  <c r="K26" i="11"/>
  <c r="P24" i="11"/>
  <c r="J56" i="11"/>
  <c r="X20" i="11"/>
  <c r="Q20" i="11"/>
  <c r="P19" i="11"/>
  <c r="O19" i="11"/>
  <c r="M19" i="11"/>
  <c r="Q18" i="11"/>
  <c r="X17" i="11"/>
  <c r="Q17" i="11"/>
  <c r="P16" i="11"/>
  <c r="Q15" i="11"/>
  <c r="O13" i="11"/>
  <c r="M13" i="11"/>
  <c r="P12" i="11"/>
  <c r="O12" i="11"/>
  <c r="N12" i="11"/>
  <c r="M12" i="11"/>
  <c r="Q12" i="11" s="1"/>
  <c r="O10" i="11"/>
  <c r="N10" i="11"/>
  <c r="M10" i="11"/>
  <c r="Q9" i="11"/>
  <c r="H114" i="10"/>
  <c r="I113" i="10"/>
  <c r="I114" i="10" s="1"/>
  <c r="K109" i="10"/>
  <c r="K108" i="10"/>
  <c r="K110" i="10" s="1"/>
  <c r="L93" i="10"/>
  <c r="J89" i="10"/>
  <c r="Q87" i="10"/>
  <c r="P87" i="10"/>
  <c r="Q85" i="10"/>
  <c r="P85" i="10"/>
  <c r="Q84" i="10"/>
  <c r="P84" i="10"/>
  <c r="Q82" i="10"/>
  <c r="P82" i="10"/>
  <c r="Q81" i="10"/>
  <c r="P81" i="10"/>
  <c r="Q79" i="10"/>
  <c r="P79" i="10"/>
  <c r="Q78" i="10"/>
  <c r="P78" i="10"/>
  <c r="Q76" i="10"/>
  <c r="P76" i="10"/>
  <c r="Q75" i="10"/>
  <c r="P75" i="10"/>
  <c r="Q73" i="10"/>
  <c r="P73" i="10"/>
  <c r="Q72" i="10"/>
  <c r="P72" i="10"/>
  <c r="Q70" i="10"/>
  <c r="P70" i="10"/>
  <c r="Q69" i="10"/>
  <c r="P69" i="10"/>
  <c r="Q67" i="10"/>
  <c r="P67" i="10"/>
  <c r="Q66" i="10"/>
  <c r="P66" i="10"/>
  <c r="Q64" i="10"/>
  <c r="P64" i="10"/>
  <c r="Q63" i="10"/>
  <c r="P63" i="10"/>
  <c r="X61" i="10"/>
  <c r="Q61" i="10"/>
  <c r="P61" i="10"/>
  <c r="N61" i="10"/>
  <c r="M61" i="10"/>
  <c r="I61" i="10"/>
  <c r="O61" i="10" s="1"/>
  <c r="Q60" i="10"/>
  <c r="O60" i="10" s="1"/>
  <c r="P60" i="10"/>
  <c r="N60" i="10"/>
  <c r="M60" i="10"/>
  <c r="I60" i="10"/>
  <c r="Q53" i="10"/>
  <c r="K53" i="10"/>
  <c r="J51" i="10"/>
  <c r="I51" i="10"/>
  <c r="P50" i="10"/>
  <c r="O50" i="10"/>
  <c r="N50" i="10"/>
  <c r="K50" i="10"/>
  <c r="M50" i="10"/>
  <c r="P47" i="10"/>
  <c r="O47" i="10"/>
  <c r="N47" i="10"/>
  <c r="M47" i="10"/>
  <c r="Q47" i="10" s="1"/>
  <c r="K47" i="10"/>
  <c r="P45" i="10"/>
  <c r="O45" i="10"/>
  <c r="M45" i="10"/>
  <c r="P43" i="10"/>
  <c r="O43" i="10"/>
  <c r="M43" i="10"/>
  <c r="P41" i="10"/>
  <c r="O41" i="10"/>
  <c r="M41" i="10"/>
  <c r="P39" i="10"/>
  <c r="O39" i="10"/>
  <c r="N39" i="10"/>
  <c r="M39" i="10"/>
  <c r="Q39" i="10" s="1"/>
  <c r="K39" i="10"/>
  <c r="P38" i="10"/>
  <c r="O38" i="10"/>
  <c r="N38" i="10"/>
  <c r="Q38" i="10" s="1"/>
  <c r="M38" i="10"/>
  <c r="K38" i="10"/>
  <c r="P37" i="10"/>
  <c r="O37" i="10"/>
  <c r="N37" i="10"/>
  <c r="M37" i="10"/>
  <c r="Q37" i="10" s="1"/>
  <c r="K37" i="10"/>
  <c r="P36" i="10"/>
  <c r="O36" i="10"/>
  <c r="N36" i="10"/>
  <c r="Q36" i="10" s="1"/>
  <c r="M36" i="10"/>
  <c r="K36" i="10"/>
  <c r="P34" i="10"/>
  <c r="O34" i="10"/>
  <c r="N34" i="10"/>
  <c r="M34" i="10"/>
  <c r="Q34" i="10" s="1"/>
  <c r="K34" i="10"/>
  <c r="P33" i="10"/>
  <c r="O33" i="10"/>
  <c r="N33" i="10"/>
  <c r="M33" i="10"/>
  <c r="K33" i="10"/>
  <c r="J31" i="10"/>
  <c r="I31" i="10"/>
  <c r="G31" i="10"/>
  <c r="P30" i="10"/>
  <c r="O30" i="10"/>
  <c r="N30" i="10"/>
  <c r="M30" i="10"/>
  <c r="Q30" i="10" s="1"/>
  <c r="K30" i="10"/>
  <c r="P29" i="10"/>
  <c r="O29" i="10"/>
  <c r="N29" i="10"/>
  <c r="M29" i="10"/>
  <c r="K29" i="10"/>
  <c r="Q28" i="10"/>
  <c r="K28" i="10"/>
  <c r="P27" i="10"/>
  <c r="P31" i="10" s="1"/>
  <c r="O27" i="10"/>
  <c r="N27" i="10"/>
  <c r="N31" i="10" s="1"/>
  <c r="M27" i="10"/>
  <c r="K27" i="10"/>
  <c r="Q26" i="10"/>
  <c r="K26" i="10"/>
  <c r="P24" i="10"/>
  <c r="J24" i="10"/>
  <c r="I24" i="10"/>
  <c r="G24" i="10"/>
  <c r="J56" i="10"/>
  <c r="X20" i="10"/>
  <c r="Q20" i="10"/>
  <c r="P19" i="10"/>
  <c r="O19" i="10"/>
  <c r="M19" i="10"/>
  <c r="Q18" i="10"/>
  <c r="X17" i="10"/>
  <c r="X23" i="10" s="1"/>
  <c r="Q17" i="10"/>
  <c r="P16" i="10"/>
  <c r="Q15" i="10"/>
  <c r="O13" i="10"/>
  <c r="M13" i="10"/>
  <c r="P12" i="10"/>
  <c r="O12" i="10"/>
  <c r="N12" i="10"/>
  <c r="M12" i="10"/>
  <c r="O10" i="10"/>
  <c r="N10" i="10"/>
  <c r="M10" i="10"/>
  <c r="Q9" i="10"/>
  <c r="J93" i="10" l="1"/>
  <c r="J56" i="12"/>
  <c r="J93" i="12" s="1"/>
  <c r="Q47" i="11"/>
  <c r="Q34" i="11"/>
  <c r="O51" i="11"/>
  <c r="P31" i="11"/>
  <c r="P21" i="11"/>
  <c r="P56" i="11" s="1"/>
  <c r="P93" i="11" s="1"/>
  <c r="X23" i="11"/>
  <c r="P89" i="10"/>
  <c r="Q33" i="10"/>
  <c r="Q50" i="10"/>
  <c r="P51" i="10"/>
  <c r="P90" i="10"/>
  <c r="O51" i="10"/>
  <c r="J93" i="11"/>
  <c r="P51" i="11"/>
  <c r="P90" i="11"/>
  <c r="P89" i="11"/>
  <c r="Q39" i="11"/>
  <c r="P51" i="12"/>
  <c r="Q34" i="12"/>
  <c r="P31" i="12"/>
  <c r="Q47" i="12"/>
  <c r="P90" i="12"/>
  <c r="X23" i="12"/>
  <c r="Q39" i="12"/>
  <c r="Q50" i="12"/>
  <c r="K110" i="12"/>
  <c r="H115" i="12" s="1"/>
  <c r="O31" i="12"/>
  <c r="Q30" i="12"/>
  <c r="Q29" i="12"/>
  <c r="P21" i="12"/>
  <c r="P56" i="12" s="1"/>
  <c r="P93" i="12" s="1"/>
  <c r="Q10" i="12"/>
  <c r="M51" i="12"/>
  <c r="Q38" i="11"/>
  <c r="Q36" i="11"/>
  <c r="M51" i="11"/>
  <c r="M51" i="10"/>
  <c r="I66" i="11"/>
  <c r="O31" i="11"/>
  <c r="Q29" i="11"/>
  <c r="N31" i="11"/>
  <c r="Q27" i="11"/>
  <c r="Q10" i="11"/>
  <c r="H115" i="10"/>
  <c r="H103" i="10" s="1"/>
  <c r="I115" i="10"/>
  <c r="I103" i="10" s="1"/>
  <c r="I78" i="10" s="1"/>
  <c r="O78" i="10" s="1"/>
  <c r="O31" i="10"/>
  <c r="Q29" i="10"/>
  <c r="M31" i="10"/>
  <c r="Q27" i="10"/>
  <c r="P21" i="10"/>
  <c r="P56" i="10" s="1"/>
  <c r="Q10" i="10"/>
  <c r="Q12" i="10"/>
  <c r="Q33" i="12"/>
  <c r="M31" i="12"/>
  <c r="G51" i="12"/>
  <c r="Q12" i="12"/>
  <c r="Q50" i="11"/>
  <c r="Q33" i="11"/>
  <c r="M31" i="11"/>
  <c r="G51" i="11"/>
  <c r="G51" i="10"/>
  <c r="P93" i="10" l="1"/>
  <c r="H103" i="12"/>
  <c r="H79" i="12" s="1"/>
  <c r="N79" i="12" s="1"/>
  <c r="I115" i="12"/>
  <c r="G115" i="12" s="1"/>
  <c r="G103" i="12" s="1"/>
  <c r="Q31" i="12"/>
  <c r="I70" i="11"/>
  <c r="O70" i="11" s="1"/>
  <c r="O75" i="11"/>
  <c r="M66" i="11"/>
  <c r="I79" i="11"/>
  <c r="O79" i="11" s="1"/>
  <c r="O66" i="11"/>
  <c r="H79" i="11"/>
  <c r="N79" i="11" s="1"/>
  <c r="I67" i="11"/>
  <c r="O67" i="11" s="1"/>
  <c r="I76" i="11"/>
  <c r="O76" i="11" s="1"/>
  <c r="I73" i="11"/>
  <c r="O73" i="11" s="1"/>
  <c r="I78" i="11"/>
  <c r="O78" i="11" s="1"/>
  <c r="I72" i="11"/>
  <c r="O72" i="11" s="1"/>
  <c r="O63" i="11"/>
  <c r="I87" i="11"/>
  <c r="O87" i="11" s="1"/>
  <c r="I84" i="11"/>
  <c r="O84" i="11" s="1"/>
  <c r="I63" i="11"/>
  <c r="I64" i="11"/>
  <c r="O64" i="11" s="1"/>
  <c r="I69" i="11"/>
  <c r="O69" i="11" s="1"/>
  <c r="I81" i="11"/>
  <c r="O81" i="11" s="1"/>
  <c r="I85" i="11"/>
  <c r="O85" i="11" s="1"/>
  <c r="I82" i="11"/>
  <c r="O82" i="11" s="1"/>
  <c r="Q31" i="11"/>
  <c r="O63" i="10"/>
  <c r="I66" i="10"/>
  <c r="I89" i="10" s="1"/>
  <c r="I70" i="10"/>
  <c r="O70" i="10" s="1"/>
  <c r="I84" i="10"/>
  <c r="O84" i="10" s="1"/>
  <c r="O66" i="10"/>
  <c r="I64" i="10"/>
  <c r="O64" i="10" s="1"/>
  <c r="I72" i="10"/>
  <c r="O72" i="10" s="1"/>
  <c r="I69" i="10"/>
  <c r="O69" i="10" s="1"/>
  <c r="I85" i="10"/>
  <c r="O85" i="10" s="1"/>
  <c r="G115" i="10"/>
  <c r="G103" i="10" s="1"/>
  <c r="G69" i="10" s="1"/>
  <c r="M69" i="10" s="1"/>
  <c r="I67" i="10"/>
  <c r="O67" i="10" s="1"/>
  <c r="I76" i="10"/>
  <c r="O76" i="10" s="1"/>
  <c r="I73" i="10"/>
  <c r="O73" i="10" s="1"/>
  <c r="I82" i="10"/>
  <c r="I87" i="10"/>
  <c r="O87" i="10" s="1"/>
  <c r="I75" i="10"/>
  <c r="O75" i="10" s="1"/>
  <c r="I79" i="10"/>
  <c r="O79" i="10" s="1"/>
  <c r="I63" i="10"/>
  <c r="O81" i="10"/>
  <c r="Q31" i="10"/>
  <c r="H87" i="12"/>
  <c r="N87" i="12" s="1"/>
  <c r="N82" i="12"/>
  <c r="H64" i="12"/>
  <c r="N66" i="12"/>
  <c r="H84" i="12"/>
  <c r="N84" i="12" s="1"/>
  <c r="H75" i="12"/>
  <c r="N75" i="12" s="1"/>
  <c r="H70" i="12"/>
  <c r="N70" i="12" s="1"/>
  <c r="H66" i="12"/>
  <c r="N63" i="12"/>
  <c r="H85" i="12"/>
  <c r="N85" i="12" s="1"/>
  <c r="H63" i="12"/>
  <c r="H84" i="11"/>
  <c r="N84" i="11" s="1"/>
  <c r="O89" i="10"/>
  <c r="G78" i="10"/>
  <c r="M78" i="10" s="1"/>
  <c r="G76" i="10"/>
  <c r="M76" i="10" s="1"/>
  <c r="H87" i="10"/>
  <c r="N87" i="10" s="1"/>
  <c r="H82" i="10"/>
  <c r="H78" i="10"/>
  <c r="N78" i="10" s="1"/>
  <c r="H73" i="10"/>
  <c r="N73" i="10" s="1"/>
  <c r="H69" i="10"/>
  <c r="N69" i="10" s="1"/>
  <c r="H64" i="10"/>
  <c r="N66" i="10"/>
  <c r="H84" i="10"/>
  <c r="N84" i="10" s="1"/>
  <c r="H79" i="10"/>
  <c r="N79" i="10" s="1"/>
  <c r="H75" i="10"/>
  <c r="N75" i="10" s="1"/>
  <c r="H70" i="10"/>
  <c r="N70" i="10" s="1"/>
  <c r="H66" i="10"/>
  <c r="N63" i="10"/>
  <c r="H85" i="10"/>
  <c r="N85" i="10" s="1"/>
  <c r="N81" i="10"/>
  <c r="H76" i="10"/>
  <c r="N76" i="10" s="1"/>
  <c r="H72" i="10"/>
  <c r="N72" i="10" s="1"/>
  <c r="H67" i="10"/>
  <c r="N67" i="10" s="1"/>
  <c r="H63" i="10"/>
  <c r="N82" i="10" l="1"/>
  <c r="H90" i="10"/>
  <c r="O82" i="10"/>
  <c r="I90" i="10"/>
  <c r="O90" i="10"/>
  <c r="H69" i="12"/>
  <c r="N69" i="12" s="1"/>
  <c r="H67" i="12"/>
  <c r="N67" i="12" s="1"/>
  <c r="H72" i="12"/>
  <c r="N72" i="12" s="1"/>
  <c r="H73" i="12"/>
  <c r="N73" i="12" s="1"/>
  <c r="H76" i="12"/>
  <c r="N76" i="12" s="1"/>
  <c r="H78" i="12"/>
  <c r="N78" i="12" s="1"/>
  <c r="H81" i="12"/>
  <c r="N81" i="12"/>
  <c r="N89" i="12" s="1"/>
  <c r="I103" i="12"/>
  <c r="G64" i="11"/>
  <c r="M64" i="11" s="1"/>
  <c r="G73" i="11"/>
  <c r="M73" i="11" s="1"/>
  <c r="G84" i="11"/>
  <c r="M84" i="11" s="1"/>
  <c r="G63" i="11"/>
  <c r="G66" i="11"/>
  <c r="G78" i="11"/>
  <c r="M78" i="11" s="1"/>
  <c r="G76" i="11"/>
  <c r="M76" i="11" s="1"/>
  <c r="M63" i="11"/>
  <c r="G81" i="11"/>
  <c r="M81" i="11" s="1"/>
  <c r="G85" i="11"/>
  <c r="M85" i="11" s="1"/>
  <c r="G69" i="11"/>
  <c r="M69" i="11" s="1"/>
  <c r="G70" i="11"/>
  <c r="M70" i="11" s="1"/>
  <c r="M75" i="11"/>
  <c r="O89" i="11"/>
  <c r="O90" i="11"/>
  <c r="I89" i="11"/>
  <c r="G87" i="11"/>
  <c r="M87" i="11" s="1"/>
  <c r="G79" i="11"/>
  <c r="M79" i="11" s="1"/>
  <c r="G67" i="11"/>
  <c r="M67" i="11" s="1"/>
  <c r="G82" i="11"/>
  <c r="M82" i="11" s="1"/>
  <c r="G72" i="11"/>
  <c r="M72" i="11" s="1"/>
  <c r="N66" i="11"/>
  <c r="H64" i="11"/>
  <c r="H76" i="11"/>
  <c r="N76" i="11" s="1"/>
  <c r="H78" i="11"/>
  <c r="N78" i="11" s="1"/>
  <c r="H63" i="11"/>
  <c r="H69" i="11"/>
  <c r="N69" i="11" s="1"/>
  <c r="H73" i="11"/>
  <c r="N73" i="11" s="1"/>
  <c r="H85" i="11"/>
  <c r="N85" i="11" s="1"/>
  <c r="I90" i="11"/>
  <c r="H82" i="11"/>
  <c r="N82" i="11" s="1"/>
  <c r="N63" i="11"/>
  <c r="H66" i="11"/>
  <c r="N75" i="11"/>
  <c r="H67" i="11"/>
  <c r="N67" i="11" s="1"/>
  <c r="H72" i="11"/>
  <c r="N72" i="11" s="1"/>
  <c r="H81" i="11"/>
  <c r="N81" i="11" s="1"/>
  <c r="H87" i="11"/>
  <c r="N87" i="11" s="1"/>
  <c r="H70" i="11"/>
  <c r="N70" i="11" s="1"/>
  <c r="M81" i="10"/>
  <c r="G87" i="10"/>
  <c r="M87" i="10" s="1"/>
  <c r="G70" i="10"/>
  <c r="M70" i="10" s="1"/>
  <c r="G66" i="10"/>
  <c r="M63" i="10"/>
  <c r="G75" i="10"/>
  <c r="M75" i="10" s="1"/>
  <c r="G79" i="10"/>
  <c r="M79" i="10" s="1"/>
  <c r="G73" i="10"/>
  <c r="M73" i="10" s="1"/>
  <c r="G84" i="10"/>
  <c r="M84" i="10" s="1"/>
  <c r="M82" i="10"/>
  <c r="G85" i="10"/>
  <c r="M85" i="10" s="1"/>
  <c r="M66" i="10"/>
  <c r="G63" i="10"/>
  <c r="G67" i="10"/>
  <c r="M67" i="10" s="1"/>
  <c r="G64" i="10"/>
  <c r="M64" i="10" s="1"/>
  <c r="M90" i="10" s="1"/>
  <c r="G72" i="10"/>
  <c r="M72" i="10" s="1"/>
  <c r="H89" i="10"/>
  <c r="H90" i="12"/>
  <c r="N64" i="12"/>
  <c r="N89" i="10"/>
  <c r="N64" i="10"/>
  <c r="N90" i="10" s="1"/>
  <c r="G89" i="11" l="1"/>
  <c r="M89" i="10"/>
  <c r="Q89" i="10" s="1"/>
  <c r="N90" i="12"/>
  <c r="I79" i="12"/>
  <c r="O79" i="12" s="1"/>
  <c r="I70" i="12"/>
  <c r="O70" i="12" s="1"/>
  <c r="O63" i="12"/>
  <c r="I82" i="12"/>
  <c r="O82" i="12" s="1"/>
  <c r="I78" i="12"/>
  <c r="O78" i="12" s="1"/>
  <c r="I76" i="12"/>
  <c r="O76" i="12" s="1"/>
  <c r="I72" i="12"/>
  <c r="O72" i="12" s="1"/>
  <c r="I64" i="12"/>
  <c r="I84" i="12"/>
  <c r="O84" i="12" s="1"/>
  <c r="I75" i="12"/>
  <c r="O75" i="12" s="1"/>
  <c r="I66" i="12"/>
  <c r="I85" i="12"/>
  <c r="O85" i="12" s="1"/>
  <c r="O66" i="12"/>
  <c r="I81" i="12"/>
  <c r="I63" i="12"/>
  <c r="I87" i="12"/>
  <c r="O87" i="12" s="1"/>
  <c r="I73" i="12"/>
  <c r="O73" i="12" s="1"/>
  <c r="I67" i="12"/>
  <c r="O67" i="12" s="1"/>
  <c r="I69" i="12"/>
  <c r="O69" i="12" s="1"/>
  <c r="G90" i="11"/>
  <c r="M89" i="11"/>
  <c r="H89" i="11"/>
  <c r="N89" i="11"/>
  <c r="M90" i="11"/>
  <c r="H90" i="11"/>
  <c r="N64" i="11"/>
  <c r="N90" i="11" s="1"/>
  <c r="Q90" i="11" s="1"/>
  <c r="Q90" i="10"/>
  <c r="K89" i="10"/>
  <c r="O81" i="12" l="1"/>
  <c r="O89" i="12" s="1"/>
  <c r="O64" i="12"/>
  <c r="O90" i="12" s="1"/>
  <c r="I90" i="12"/>
  <c r="M82" i="12"/>
  <c r="G85" i="12"/>
  <c r="M85" i="12" s="1"/>
  <c r="G78" i="12"/>
  <c r="M78" i="12" s="1"/>
  <c r="G81" i="12"/>
  <c r="G73" i="12"/>
  <c r="M73" i="12" s="1"/>
  <c r="G69" i="12"/>
  <c r="M69" i="12" s="1"/>
  <c r="G63" i="12"/>
  <c r="G75" i="12"/>
  <c r="M75" i="12" s="1"/>
  <c r="G70" i="12"/>
  <c r="M70" i="12" s="1"/>
  <c r="G76" i="12"/>
  <c r="M76" i="12" s="1"/>
  <c r="G72" i="12"/>
  <c r="M72" i="12" s="1"/>
  <c r="M63" i="12"/>
  <c r="M66" i="12"/>
  <c r="G84" i="12"/>
  <c r="M84" i="12" s="1"/>
  <c r="G66" i="12"/>
  <c r="G64" i="12"/>
  <c r="G67" i="12"/>
  <c r="M67" i="12" s="1"/>
  <c r="G79" i="12"/>
  <c r="M79" i="12" s="1"/>
  <c r="G87" i="12"/>
  <c r="M87" i="12" s="1"/>
  <c r="K90" i="11"/>
  <c r="Q89" i="11"/>
  <c r="K89" i="11"/>
  <c r="M81" i="12" l="1"/>
  <c r="M89" i="12" s="1"/>
  <c r="Q89" i="12" s="1"/>
  <c r="M64" i="12"/>
  <c r="M90" i="12" s="1"/>
  <c r="Q90" i="12" s="1"/>
  <c r="G90" i="12"/>
  <c r="K90" i="12" s="1"/>
  <c r="H114" i="9"/>
  <c r="I113" i="9"/>
  <c r="I114" i="9" s="1"/>
  <c r="K109" i="9"/>
  <c r="K108" i="9"/>
  <c r="L93" i="9"/>
  <c r="Q87" i="9"/>
  <c r="P87" i="9"/>
  <c r="Q85" i="9"/>
  <c r="P85" i="9"/>
  <c r="Q84" i="9"/>
  <c r="P84" i="9"/>
  <c r="Q82" i="9"/>
  <c r="P82" i="9"/>
  <c r="Q81" i="9"/>
  <c r="P81" i="9"/>
  <c r="Q79" i="9"/>
  <c r="P79" i="9"/>
  <c r="Q78" i="9"/>
  <c r="P78" i="9"/>
  <c r="Q76" i="9"/>
  <c r="P76" i="9"/>
  <c r="Q75" i="9"/>
  <c r="P75" i="9"/>
  <c r="Q73" i="9"/>
  <c r="P73" i="9"/>
  <c r="Q72" i="9"/>
  <c r="P72" i="9"/>
  <c r="Q70" i="9"/>
  <c r="P70" i="9"/>
  <c r="Q69" i="9"/>
  <c r="P69" i="9"/>
  <c r="Q67" i="9"/>
  <c r="P67" i="9"/>
  <c r="Q66" i="9"/>
  <c r="P66" i="9"/>
  <c r="Q64" i="9"/>
  <c r="P64" i="9"/>
  <c r="Q63" i="9"/>
  <c r="P63" i="9"/>
  <c r="X61" i="9"/>
  <c r="Q61" i="9"/>
  <c r="P61" i="9"/>
  <c r="N61" i="9"/>
  <c r="M61" i="9"/>
  <c r="O61" i="9"/>
  <c r="Q60" i="9"/>
  <c r="O60" i="9" s="1"/>
  <c r="P60" i="9"/>
  <c r="N60" i="9"/>
  <c r="M60" i="9"/>
  <c r="Q53" i="9"/>
  <c r="P50" i="9"/>
  <c r="O50" i="9"/>
  <c r="N50" i="9"/>
  <c r="M50" i="9"/>
  <c r="Q50" i="9" s="1"/>
  <c r="P47" i="9"/>
  <c r="O47" i="9"/>
  <c r="N47" i="9"/>
  <c r="M47" i="9"/>
  <c r="P45" i="9"/>
  <c r="O45" i="9"/>
  <c r="M45" i="9"/>
  <c r="P43" i="9"/>
  <c r="O43" i="9"/>
  <c r="M43" i="9"/>
  <c r="P41" i="9"/>
  <c r="O41" i="9"/>
  <c r="M41" i="9"/>
  <c r="P39" i="9"/>
  <c r="O39" i="9"/>
  <c r="N39" i="9"/>
  <c r="M39" i="9"/>
  <c r="P38" i="9"/>
  <c r="O38" i="9"/>
  <c r="N38" i="9"/>
  <c r="M38" i="9"/>
  <c r="Q38" i="9" s="1"/>
  <c r="P37" i="9"/>
  <c r="O37" i="9"/>
  <c r="N37" i="9"/>
  <c r="M37" i="9"/>
  <c r="P36" i="9"/>
  <c r="O36" i="9"/>
  <c r="N36" i="9"/>
  <c r="M36" i="9"/>
  <c r="P34" i="9"/>
  <c r="O34" i="9"/>
  <c r="N34" i="9"/>
  <c r="M34" i="9"/>
  <c r="Q34" i="9" s="1"/>
  <c r="P33" i="9"/>
  <c r="P51" i="9" s="1"/>
  <c r="O33" i="9"/>
  <c r="N33" i="9"/>
  <c r="M33" i="9"/>
  <c r="P30" i="9"/>
  <c r="O30" i="9"/>
  <c r="N30" i="9"/>
  <c r="M30" i="9"/>
  <c r="P29" i="9"/>
  <c r="O29" i="9"/>
  <c r="N29" i="9"/>
  <c r="M29" i="9"/>
  <c r="Q29" i="9" s="1"/>
  <c r="Q28" i="9"/>
  <c r="P27" i="9"/>
  <c r="O27" i="9"/>
  <c r="N27" i="9"/>
  <c r="M27" i="9"/>
  <c r="Q26" i="9"/>
  <c r="P24" i="9"/>
  <c r="X20" i="9"/>
  <c r="Q20" i="9"/>
  <c r="P19" i="9"/>
  <c r="O19" i="9"/>
  <c r="M19" i="9"/>
  <c r="Q18" i="9"/>
  <c r="X17" i="9"/>
  <c r="Q17" i="9"/>
  <c r="P16" i="9"/>
  <c r="Q15" i="9"/>
  <c r="O13" i="9"/>
  <c r="M13" i="9"/>
  <c r="P12" i="9"/>
  <c r="O12" i="9"/>
  <c r="N12" i="9"/>
  <c r="M12" i="9"/>
  <c r="O10" i="9"/>
  <c r="N10" i="9"/>
  <c r="M10" i="9"/>
  <c r="Q9" i="9"/>
  <c r="Q30" i="9" l="1"/>
  <c r="Q36" i="9"/>
  <c r="Q37" i="9"/>
  <c r="O31" i="9"/>
  <c r="Q47" i="9"/>
  <c r="P31" i="9"/>
  <c r="O51" i="9"/>
  <c r="K110" i="9"/>
  <c r="H115" i="9" s="1"/>
  <c r="P89" i="9"/>
  <c r="X23" i="9"/>
  <c r="M31" i="9"/>
  <c r="Q39" i="9"/>
  <c r="N31" i="9"/>
  <c r="P90" i="9"/>
  <c r="M51" i="9"/>
  <c r="Q27" i="9"/>
  <c r="P21" i="9"/>
  <c r="P56" i="9" s="1"/>
  <c r="Q12" i="9"/>
  <c r="Q10" i="9"/>
  <c r="Q33" i="9"/>
  <c r="G50" i="8"/>
  <c r="P93" i="9" l="1"/>
  <c r="I115" i="9"/>
  <c r="I103" i="9" s="1"/>
  <c r="Q31" i="9"/>
  <c r="O63" i="9"/>
  <c r="O66" i="9"/>
  <c r="G115" i="9"/>
  <c r="H103" i="9"/>
  <c r="K87" i="6"/>
  <c r="H82" i="9" l="1"/>
  <c r="H76" i="9"/>
  <c r="H70" i="9"/>
  <c r="N70" i="9" s="1"/>
  <c r="H64" i="9"/>
  <c r="H85" i="9"/>
  <c r="N85" i="9" s="1"/>
  <c r="H73" i="9"/>
  <c r="H79" i="9"/>
  <c r="H87" i="9"/>
  <c r="N87" i="9" s="1"/>
  <c r="H81" i="9"/>
  <c r="H75" i="9"/>
  <c r="N75" i="9" s="1"/>
  <c r="H69" i="9"/>
  <c r="N69" i="9" s="1"/>
  <c r="H63" i="9"/>
  <c r="H89" i="9" s="1"/>
  <c r="H67" i="9"/>
  <c r="H84" i="9"/>
  <c r="H78" i="9"/>
  <c r="H72" i="9"/>
  <c r="H66" i="9"/>
  <c r="I82" i="9"/>
  <c r="I76" i="9"/>
  <c r="O76" i="9" s="1"/>
  <c r="I70" i="9"/>
  <c r="O70" i="9" s="1"/>
  <c r="I64" i="9"/>
  <c r="I78" i="9"/>
  <c r="O78" i="9" s="1"/>
  <c r="I84" i="9"/>
  <c r="O84" i="9" s="1"/>
  <c r="I87" i="9"/>
  <c r="O87" i="9" s="1"/>
  <c r="I81" i="9"/>
  <c r="I75" i="9"/>
  <c r="I69" i="9"/>
  <c r="I63" i="9"/>
  <c r="I66" i="9"/>
  <c r="I72" i="9"/>
  <c r="I85" i="9"/>
  <c r="O85" i="9" s="1"/>
  <c r="I79" i="9"/>
  <c r="O79" i="9" s="1"/>
  <c r="I73" i="9"/>
  <c r="O73" i="9" s="1"/>
  <c r="I67" i="9"/>
  <c r="O67" i="9" s="1"/>
  <c r="N73" i="9"/>
  <c r="N79" i="9"/>
  <c r="O72" i="9"/>
  <c r="O82" i="9"/>
  <c r="O81" i="9"/>
  <c r="N78" i="9"/>
  <c r="O75" i="9"/>
  <c r="O69" i="9"/>
  <c r="N84" i="9"/>
  <c r="N63" i="9"/>
  <c r="N76" i="9"/>
  <c r="N72" i="9"/>
  <c r="N67" i="9"/>
  <c r="N66" i="9"/>
  <c r="N82" i="9"/>
  <c r="G103" i="9"/>
  <c r="H114" i="8"/>
  <c r="K109" i="8"/>
  <c r="K108" i="8"/>
  <c r="L93" i="8"/>
  <c r="J90" i="8"/>
  <c r="J89" i="8"/>
  <c r="Q87" i="8"/>
  <c r="P87" i="8"/>
  <c r="Q85" i="8"/>
  <c r="P85" i="8"/>
  <c r="Q84" i="8"/>
  <c r="P84" i="8"/>
  <c r="Q82" i="8"/>
  <c r="P82" i="8"/>
  <c r="Q81" i="8"/>
  <c r="P81" i="8"/>
  <c r="Q79" i="8"/>
  <c r="P79" i="8"/>
  <c r="Q78" i="8"/>
  <c r="P78" i="8"/>
  <c r="Q76" i="8"/>
  <c r="P76" i="8"/>
  <c r="Q75" i="8"/>
  <c r="P75" i="8"/>
  <c r="Q73" i="8"/>
  <c r="P73" i="8"/>
  <c r="Q72" i="8"/>
  <c r="P72" i="8"/>
  <c r="Q70" i="8"/>
  <c r="P70" i="8"/>
  <c r="Q69" i="8"/>
  <c r="P69" i="8"/>
  <c r="Q67" i="8"/>
  <c r="P67" i="8"/>
  <c r="Q66" i="8"/>
  <c r="P66" i="8"/>
  <c r="Q64" i="8"/>
  <c r="P64" i="8"/>
  <c r="Q63" i="8"/>
  <c r="P63" i="8"/>
  <c r="X61" i="8"/>
  <c r="Q61" i="8"/>
  <c r="P61" i="8"/>
  <c r="N61" i="8"/>
  <c r="M61" i="8"/>
  <c r="I61" i="8"/>
  <c r="O61" i="8" s="1"/>
  <c r="Q60" i="8"/>
  <c r="O60" i="8" s="1"/>
  <c r="P60" i="8"/>
  <c r="P89" i="8" s="1"/>
  <c r="N60" i="8"/>
  <c r="M60" i="8"/>
  <c r="I60" i="8"/>
  <c r="Q53" i="8"/>
  <c r="K53" i="8"/>
  <c r="J51" i="8"/>
  <c r="I51" i="8"/>
  <c r="G51" i="8"/>
  <c r="P50" i="8"/>
  <c r="O50" i="8"/>
  <c r="N50" i="8"/>
  <c r="Q50" i="8" s="1"/>
  <c r="M50" i="8"/>
  <c r="K50" i="8"/>
  <c r="P47" i="8"/>
  <c r="O47" i="8"/>
  <c r="N47" i="8"/>
  <c r="M47" i="8"/>
  <c r="K47" i="8"/>
  <c r="P45" i="8"/>
  <c r="O45" i="8"/>
  <c r="M45" i="8"/>
  <c r="P43" i="8"/>
  <c r="O43" i="8"/>
  <c r="M43" i="8"/>
  <c r="P41" i="8"/>
  <c r="O41" i="8"/>
  <c r="M41" i="8"/>
  <c r="P39" i="8"/>
  <c r="O39" i="8"/>
  <c r="N39" i="8"/>
  <c r="M39" i="8"/>
  <c r="K39" i="8"/>
  <c r="P38" i="8"/>
  <c r="O38" i="8"/>
  <c r="N38" i="8"/>
  <c r="M38" i="8"/>
  <c r="Q38" i="8" s="1"/>
  <c r="K38" i="8"/>
  <c r="P37" i="8"/>
  <c r="O37" i="8"/>
  <c r="N37" i="8"/>
  <c r="M37" i="8"/>
  <c r="K37" i="8"/>
  <c r="P36" i="8"/>
  <c r="O36" i="8"/>
  <c r="N36" i="8"/>
  <c r="M36" i="8"/>
  <c r="K36" i="8"/>
  <c r="P34" i="8"/>
  <c r="O34" i="8"/>
  <c r="N34" i="8"/>
  <c r="M34" i="8"/>
  <c r="K34" i="8"/>
  <c r="P33" i="8"/>
  <c r="O33" i="8"/>
  <c r="N33" i="8"/>
  <c r="M33" i="8"/>
  <c r="K33" i="8"/>
  <c r="J31" i="8"/>
  <c r="I31" i="8"/>
  <c r="G31" i="8"/>
  <c r="P30" i="8"/>
  <c r="O30" i="8"/>
  <c r="N30" i="8"/>
  <c r="M30" i="8"/>
  <c r="K30" i="8"/>
  <c r="P29" i="8"/>
  <c r="O29" i="8"/>
  <c r="N29" i="8"/>
  <c r="M29" i="8"/>
  <c r="K29" i="8"/>
  <c r="Q28" i="8"/>
  <c r="K28" i="8"/>
  <c r="P27" i="8"/>
  <c r="O27" i="8"/>
  <c r="N27" i="8"/>
  <c r="M27" i="8"/>
  <c r="K27" i="8"/>
  <c r="Q26" i="8"/>
  <c r="K26" i="8"/>
  <c r="P24" i="8"/>
  <c r="J24" i="8"/>
  <c r="I24" i="8"/>
  <c r="G24" i="8"/>
  <c r="X23" i="8"/>
  <c r="X20" i="8"/>
  <c r="Q20" i="8"/>
  <c r="P19" i="8"/>
  <c r="O19" i="8"/>
  <c r="M19" i="8"/>
  <c r="Q18" i="8"/>
  <c r="X17" i="8"/>
  <c r="Q17" i="8"/>
  <c r="P16" i="8"/>
  <c r="Q15" i="8"/>
  <c r="O13" i="8"/>
  <c r="M13" i="8"/>
  <c r="P12" i="8"/>
  <c r="O12" i="8"/>
  <c r="N12" i="8"/>
  <c r="M12" i="8"/>
  <c r="Q12" i="8" s="1"/>
  <c r="O10" i="8"/>
  <c r="N10" i="8"/>
  <c r="M10" i="8"/>
  <c r="Q9" i="8"/>
  <c r="I90" i="9" l="1"/>
  <c r="I89" i="9"/>
  <c r="H90" i="9"/>
  <c r="G82" i="9"/>
  <c r="M82" i="9" s="1"/>
  <c r="G76" i="9"/>
  <c r="M76" i="9" s="1"/>
  <c r="G70" i="9"/>
  <c r="M70" i="9" s="1"/>
  <c r="G64" i="9"/>
  <c r="G90" i="9" s="1"/>
  <c r="K90" i="9" s="1"/>
  <c r="G87" i="9"/>
  <c r="M87" i="9" s="1"/>
  <c r="G81" i="9"/>
  <c r="G75" i="9"/>
  <c r="M75" i="9" s="1"/>
  <c r="G69" i="9"/>
  <c r="M69" i="9" s="1"/>
  <c r="G63" i="9"/>
  <c r="G89" i="9" s="1"/>
  <c r="G85" i="9"/>
  <c r="G79" i="9"/>
  <c r="G73" i="9"/>
  <c r="G67" i="9"/>
  <c r="G84" i="9"/>
  <c r="M84" i="9" s="1"/>
  <c r="G78" i="9"/>
  <c r="G72" i="9"/>
  <c r="G66" i="9"/>
  <c r="M72" i="9"/>
  <c r="M78" i="9"/>
  <c r="M67" i="9"/>
  <c r="M73" i="9"/>
  <c r="M85" i="9"/>
  <c r="O89" i="9"/>
  <c r="O64" i="9"/>
  <c r="O90" i="9" s="1"/>
  <c r="N81" i="9"/>
  <c r="N89" i="9" s="1"/>
  <c r="Q36" i="8"/>
  <c r="Q47" i="8"/>
  <c r="P90" i="8"/>
  <c r="Q33" i="8"/>
  <c r="O51" i="8"/>
  <c r="Q39" i="8"/>
  <c r="Q30" i="8"/>
  <c r="P51" i="8"/>
  <c r="Q37" i="8"/>
  <c r="K110" i="8"/>
  <c r="I115" i="8" s="1"/>
  <c r="I103" i="8" s="1"/>
  <c r="I66" i="8" s="1"/>
  <c r="Q27" i="8"/>
  <c r="Q10" i="8"/>
  <c r="M79" i="9"/>
  <c r="M63" i="9"/>
  <c r="M66" i="9"/>
  <c r="N64" i="9"/>
  <c r="N90" i="9" s="1"/>
  <c r="M51" i="8"/>
  <c r="J56" i="8"/>
  <c r="J93" i="8" s="1"/>
  <c r="P31" i="8"/>
  <c r="O31" i="8"/>
  <c r="N31" i="8"/>
  <c r="Q29" i="8"/>
  <c r="P21" i="8"/>
  <c r="M31" i="8"/>
  <c r="Q34" i="8"/>
  <c r="M81" i="9" l="1"/>
  <c r="H115" i="8"/>
  <c r="M64" i="9"/>
  <c r="M90" i="9" s="1"/>
  <c r="Q90" i="9" s="1"/>
  <c r="M89" i="9"/>
  <c r="Q89" i="9" s="1"/>
  <c r="P56" i="8"/>
  <c r="P93" i="8" s="1"/>
  <c r="Q31" i="8"/>
  <c r="I87" i="8"/>
  <c r="O87" i="8" s="1"/>
  <c r="I82" i="8"/>
  <c r="O82" i="8" s="1"/>
  <c r="I78" i="8"/>
  <c r="O78" i="8" s="1"/>
  <c r="I73" i="8"/>
  <c r="O73" i="8" s="1"/>
  <c r="I69" i="8"/>
  <c r="O69" i="8" s="1"/>
  <c r="I64" i="8"/>
  <c r="O66" i="8"/>
  <c r="O63" i="8"/>
  <c r="I84" i="8"/>
  <c r="O84" i="8" s="1"/>
  <c r="I79" i="8"/>
  <c r="O79" i="8" s="1"/>
  <c r="I75" i="8"/>
  <c r="O75" i="8" s="1"/>
  <c r="I70" i="8"/>
  <c r="O70" i="8" s="1"/>
  <c r="I85" i="8"/>
  <c r="O85" i="8" s="1"/>
  <c r="I81" i="8"/>
  <c r="O81" i="8" s="1"/>
  <c r="I76" i="8"/>
  <c r="O76" i="8" s="1"/>
  <c r="I72" i="8"/>
  <c r="O72" i="8" s="1"/>
  <c r="I67" i="8"/>
  <c r="O67" i="8" s="1"/>
  <c r="I63" i="8"/>
  <c r="G103" i="8" l="1"/>
  <c r="G66" i="8" s="1"/>
  <c r="G115" i="8"/>
  <c r="H103" i="8"/>
  <c r="I89" i="8"/>
  <c r="O89" i="8"/>
  <c r="O64" i="8"/>
  <c r="O90" i="8" s="1"/>
  <c r="I90" i="8"/>
  <c r="H66" i="8" l="1"/>
  <c r="H78" i="8"/>
  <c r="N78" i="8" s="1"/>
  <c r="N66" i="8"/>
  <c r="H69" i="8"/>
  <c r="N69" i="8" s="1"/>
  <c r="H72" i="8"/>
  <c r="N72" i="8" s="1"/>
  <c r="N63" i="8"/>
  <c r="H82" i="8"/>
  <c r="N82" i="8" s="1"/>
  <c r="H76" i="8"/>
  <c r="N76" i="8" s="1"/>
  <c r="H79" i="8"/>
  <c r="N79" i="8" s="1"/>
  <c r="H81" i="8"/>
  <c r="N81" i="8" s="1"/>
  <c r="H63" i="8"/>
  <c r="H84" i="8"/>
  <c r="N84" i="8" s="1"/>
  <c r="H75" i="8"/>
  <c r="N75" i="8" s="1"/>
  <c r="H85" i="8"/>
  <c r="N85" i="8" s="1"/>
  <c r="H67" i="8"/>
  <c r="N67" i="8" s="1"/>
  <c r="H73" i="8"/>
  <c r="N73" i="8" s="1"/>
  <c r="H70" i="8"/>
  <c r="N70" i="8" s="1"/>
  <c r="H64" i="8"/>
  <c r="H87" i="8"/>
  <c r="N87" i="8" s="1"/>
  <c r="G85" i="8"/>
  <c r="M85" i="8" s="1"/>
  <c r="G76" i="8"/>
  <c r="M76" i="8" s="1"/>
  <c r="G67" i="8"/>
  <c r="M67" i="8" s="1"/>
  <c r="G87" i="8"/>
  <c r="M87" i="8" s="1"/>
  <c r="G82" i="8"/>
  <c r="M82" i="8" s="1"/>
  <c r="G78" i="8"/>
  <c r="M78" i="8" s="1"/>
  <c r="G73" i="8"/>
  <c r="M73" i="8" s="1"/>
  <c r="G69" i="8"/>
  <c r="M69" i="8" s="1"/>
  <c r="G64" i="8"/>
  <c r="G63" i="8"/>
  <c r="M66" i="8"/>
  <c r="G84" i="8"/>
  <c r="M84" i="8" s="1"/>
  <c r="G79" i="8"/>
  <c r="M79" i="8" s="1"/>
  <c r="G75" i="8"/>
  <c r="M75" i="8" s="1"/>
  <c r="G70" i="8"/>
  <c r="M70" i="8" s="1"/>
  <c r="M63" i="8"/>
  <c r="G81" i="8"/>
  <c r="M81" i="8" s="1"/>
  <c r="G72" i="8"/>
  <c r="M72" i="8" s="1"/>
  <c r="Q60" i="5"/>
  <c r="Q63" i="5"/>
  <c r="H89" i="8" l="1"/>
  <c r="H90" i="8"/>
  <c r="N64" i="8"/>
  <c r="N90" i="8" s="1"/>
  <c r="N89" i="8"/>
  <c r="M89" i="8"/>
  <c r="Q89" i="8" s="1"/>
  <c r="G90" i="8"/>
  <c r="K90" i="8" s="1"/>
  <c r="M64" i="8"/>
  <c r="M90" i="8" s="1"/>
  <c r="Q90" i="8" s="1"/>
  <c r="I51" i="5"/>
  <c r="K89" i="8" l="1"/>
  <c r="Q63" i="6" l="1"/>
  <c r="H114" i="6" l="1"/>
  <c r="I113" i="6"/>
  <c r="I114" i="6" s="1"/>
  <c r="K109" i="6"/>
  <c r="K108" i="6"/>
  <c r="K110" i="6" s="1"/>
  <c r="L93" i="6"/>
  <c r="J90" i="6"/>
  <c r="J89" i="6"/>
  <c r="Q87" i="6"/>
  <c r="P87" i="6"/>
  <c r="Q85" i="6"/>
  <c r="P85" i="6"/>
  <c r="Q84" i="6"/>
  <c r="P84" i="6"/>
  <c r="Q82" i="6"/>
  <c r="P82" i="6"/>
  <c r="Q81" i="6"/>
  <c r="P81" i="6"/>
  <c r="Q79" i="6"/>
  <c r="P79" i="6"/>
  <c r="Q78" i="6"/>
  <c r="P78" i="6"/>
  <c r="Q76" i="6"/>
  <c r="P76" i="6"/>
  <c r="Q75" i="6"/>
  <c r="P75" i="6"/>
  <c r="Q73" i="6"/>
  <c r="P73" i="6"/>
  <c r="Q72" i="6"/>
  <c r="P72" i="6"/>
  <c r="Q70" i="6"/>
  <c r="P70" i="6"/>
  <c r="Q69" i="6"/>
  <c r="P69" i="6"/>
  <c r="Q67" i="6"/>
  <c r="P67" i="6"/>
  <c r="Q66" i="6"/>
  <c r="P66" i="6"/>
  <c r="Q64" i="6"/>
  <c r="P64" i="6"/>
  <c r="P63" i="6"/>
  <c r="X61" i="6"/>
  <c r="Q61" i="6"/>
  <c r="P61" i="6"/>
  <c r="N61" i="6"/>
  <c r="M61" i="6"/>
  <c r="I61" i="6"/>
  <c r="Q60" i="6"/>
  <c r="O60" i="6" s="1"/>
  <c r="P60" i="6"/>
  <c r="P89" i="6" s="1"/>
  <c r="N60" i="6"/>
  <c r="M60" i="6"/>
  <c r="I60" i="6"/>
  <c r="Q53" i="6"/>
  <c r="K53" i="6"/>
  <c r="J51" i="6"/>
  <c r="I51" i="6"/>
  <c r="G51" i="6"/>
  <c r="P50" i="6"/>
  <c r="O50" i="6"/>
  <c r="N50" i="6"/>
  <c r="M50" i="6"/>
  <c r="K50" i="6"/>
  <c r="P47" i="6"/>
  <c r="O47" i="6"/>
  <c r="N47" i="6"/>
  <c r="M47" i="6"/>
  <c r="K47" i="6"/>
  <c r="P45" i="6"/>
  <c r="O45" i="6"/>
  <c r="M45" i="6"/>
  <c r="P43" i="6"/>
  <c r="O43" i="6"/>
  <c r="M43" i="6"/>
  <c r="P41" i="6"/>
  <c r="O41" i="6"/>
  <c r="M41" i="6"/>
  <c r="P39" i="6"/>
  <c r="O39" i="6"/>
  <c r="N39" i="6"/>
  <c r="M39" i="6"/>
  <c r="K39" i="6"/>
  <c r="P38" i="6"/>
  <c r="O38" i="6"/>
  <c r="N38" i="6"/>
  <c r="M38" i="6"/>
  <c r="K38" i="6"/>
  <c r="P37" i="6"/>
  <c r="O37" i="6"/>
  <c r="N37" i="6"/>
  <c r="M37" i="6"/>
  <c r="K37" i="6"/>
  <c r="P36" i="6"/>
  <c r="O36" i="6"/>
  <c r="N36" i="6"/>
  <c r="M36" i="6"/>
  <c r="Q36" i="6" s="1"/>
  <c r="K36" i="6"/>
  <c r="P34" i="6"/>
  <c r="O34" i="6"/>
  <c r="N34" i="6"/>
  <c r="M34" i="6"/>
  <c r="K34" i="6"/>
  <c r="P33" i="6"/>
  <c r="O33" i="6"/>
  <c r="N33" i="6"/>
  <c r="M33" i="6"/>
  <c r="K33" i="6"/>
  <c r="J31" i="6"/>
  <c r="I31" i="6"/>
  <c r="G31" i="6"/>
  <c r="P30" i="6"/>
  <c r="O30" i="6"/>
  <c r="N30" i="6"/>
  <c r="M30" i="6"/>
  <c r="K30" i="6"/>
  <c r="P29" i="6"/>
  <c r="O29" i="6"/>
  <c r="N29" i="6"/>
  <c r="M29" i="6"/>
  <c r="K29" i="6"/>
  <c r="Q28" i="6"/>
  <c r="K28" i="6"/>
  <c r="P27" i="6"/>
  <c r="O27" i="6"/>
  <c r="N27" i="6"/>
  <c r="M27" i="6"/>
  <c r="K27" i="6"/>
  <c r="Q26" i="6"/>
  <c r="K26" i="6"/>
  <c r="P24" i="6"/>
  <c r="J24" i="6"/>
  <c r="I24" i="6"/>
  <c r="G24" i="6"/>
  <c r="X20" i="6"/>
  <c r="Q20" i="6"/>
  <c r="P19" i="6"/>
  <c r="O19" i="6"/>
  <c r="M19" i="6"/>
  <c r="Q18" i="6"/>
  <c r="X17" i="6"/>
  <c r="Q17" i="6"/>
  <c r="P16" i="6"/>
  <c r="Q15" i="6"/>
  <c r="O13" i="6"/>
  <c r="M13" i="6"/>
  <c r="P12" i="6"/>
  <c r="O12" i="6"/>
  <c r="N12" i="6"/>
  <c r="M12" i="6"/>
  <c r="O10" i="6"/>
  <c r="N10" i="6"/>
  <c r="M10" i="6"/>
  <c r="Q9" i="6"/>
  <c r="J56" i="6" l="1"/>
  <c r="J93" i="6" s="1"/>
  <c r="P21" i="6"/>
  <c r="X23" i="6"/>
  <c r="N31" i="6"/>
  <c r="P90" i="6"/>
  <c r="P31" i="6"/>
  <c r="P51" i="6"/>
  <c r="M51" i="6"/>
  <c r="H115" i="6"/>
  <c r="O51" i="6"/>
  <c r="Q50" i="6"/>
  <c r="O31" i="6"/>
  <c r="M31" i="6"/>
  <c r="Q10" i="6"/>
  <c r="Q12" i="6"/>
  <c r="O61" i="6"/>
  <c r="Q29" i="6"/>
  <c r="Q37" i="6"/>
  <c r="Q30" i="6"/>
  <c r="Q33" i="6"/>
  <c r="Q38" i="6"/>
  <c r="I115" i="6"/>
  <c r="I103" i="6" s="1"/>
  <c r="Q39" i="6"/>
  <c r="Q47" i="6"/>
  <c r="Q27" i="6"/>
  <c r="Q34" i="6"/>
  <c r="H114" i="5"/>
  <c r="I113" i="5"/>
  <c r="I114" i="5" s="1"/>
  <c r="K109" i="5"/>
  <c r="K108" i="5"/>
  <c r="L93" i="5"/>
  <c r="J90" i="5"/>
  <c r="J89" i="5"/>
  <c r="Q87" i="5"/>
  <c r="P87" i="5"/>
  <c r="Q85" i="5"/>
  <c r="P85" i="5"/>
  <c r="Q84" i="5"/>
  <c r="P84" i="5"/>
  <c r="Q82" i="5"/>
  <c r="P82" i="5"/>
  <c r="Q81" i="5"/>
  <c r="P81" i="5"/>
  <c r="Q79" i="5"/>
  <c r="P79" i="5"/>
  <c r="Q78" i="5"/>
  <c r="P78" i="5"/>
  <c r="Q76" i="5"/>
  <c r="P76" i="5"/>
  <c r="Q75" i="5"/>
  <c r="P75" i="5"/>
  <c r="Q73" i="5"/>
  <c r="P73" i="5"/>
  <c r="Q72" i="5"/>
  <c r="P72" i="5"/>
  <c r="Q70" i="5"/>
  <c r="P70" i="5"/>
  <c r="Q69" i="5"/>
  <c r="P69" i="5"/>
  <c r="Q67" i="5"/>
  <c r="P67" i="5"/>
  <c r="Q66" i="5"/>
  <c r="P66" i="5"/>
  <c r="Q64" i="5"/>
  <c r="P64" i="5"/>
  <c r="P63" i="5"/>
  <c r="X61" i="5"/>
  <c r="Q61" i="5"/>
  <c r="P61" i="5"/>
  <c r="P90" i="5" s="1"/>
  <c r="N61" i="5"/>
  <c r="M61" i="5"/>
  <c r="I61" i="5"/>
  <c r="O60" i="5"/>
  <c r="P60" i="5"/>
  <c r="N60" i="5"/>
  <c r="M60" i="5"/>
  <c r="I60" i="5"/>
  <c r="Q53" i="5"/>
  <c r="K53" i="5"/>
  <c r="J51" i="5"/>
  <c r="G51" i="5"/>
  <c r="P50" i="5"/>
  <c r="O50" i="5"/>
  <c r="N50" i="5"/>
  <c r="M50" i="5"/>
  <c r="K50" i="5"/>
  <c r="P47" i="5"/>
  <c r="O47" i="5"/>
  <c r="N47" i="5"/>
  <c r="M47" i="5"/>
  <c r="K47" i="5"/>
  <c r="P45" i="5"/>
  <c r="O45" i="5"/>
  <c r="M45" i="5"/>
  <c r="P43" i="5"/>
  <c r="O43" i="5"/>
  <c r="M43" i="5"/>
  <c r="P41" i="5"/>
  <c r="O41" i="5"/>
  <c r="M41" i="5"/>
  <c r="P39" i="5"/>
  <c r="O39" i="5"/>
  <c r="N39" i="5"/>
  <c r="M39" i="5"/>
  <c r="K39" i="5"/>
  <c r="P38" i="5"/>
  <c r="O38" i="5"/>
  <c r="N38" i="5"/>
  <c r="M38" i="5"/>
  <c r="K38" i="5"/>
  <c r="P37" i="5"/>
  <c r="O37" i="5"/>
  <c r="N37" i="5"/>
  <c r="M37" i="5"/>
  <c r="K37" i="5"/>
  <c r="P36" i="5"/>
  <c r="O36" i="5"/>
  <c r="N36" i="5"/>
  <c r="M36" i="5"/>
  <c r="Q36" i="5" s="1"/>
  <c r="K36" i="5"/>
  <c r="P34" i="5"/>
  <c r="O34" i="5"/>
  <c r="N34" i="5"/>
  <c r="M34" i="5"/>
  <c r="K34" i="5"/>
  <c r="P33" i="5"/>
  <c r="O33" i="5"/>
  <c r="N33" i="5"/>
  <c r="M33" i="5"/>
  <c r="K33" i="5"/>
  <c r="J31" i="5"/>
  <c r="I31" i="5"/>
  <c r="G31" i="5"/>
  <c r="P30" i="5"/>
  <c r="O30" i="5"/>
  <c r="N30" i="5"/>
  <c r="M30" i="5"/>
  <c r="K30" i="5"/>
  <c r="P29" i="5"/>
  <c r="O29" i="5"/>
  <c r="N29" i="5"/>
  <c r="M29" i="5"/>
  <c r="K29" i="5"/>
  <c r="Q28" i="5"/>
  <c r="K28" i="5"/>
  <c r="P27" i="5"/>
  <c r="O27" i="5"/>
  <c r="N27" i="5"/>
  <c r="M27" i="5"/>
  <c r="K27" i="5"/>
  <c r="Q26" i="5"/>
  <c r="K26" i="5"/>
  <c r="P24" i="5"/>
  <c r="J24" i="5"/>
  <c r="I24" i="5"/>
  <c r="G24" i="5"/>
  <c r="X20" i="5"/>
  <c r="Q20" i="5"/>
  <c r="P19" i="5"/>
  <c r="O19" i="5"/>
  <c r="M19" i="5"/>
  <c r="Q18" i="5"/>
  <c r="X17" i="5"/>
  <c r="Q17" i="5"/>
  <c r="P16" i="5"/>
  <c r="Q15" i="5"/>
  <c r="O13" i="5"/>
  <c r="M13" i="5"/>
  <c r="P12" i="5"/>
  <c r="N12" i="5"/>
  <c r="M12" i="5"/>
  <c r="O10" i="5"/>
  <c r="N10" i="5"/>
  <c r="M10" i="5"/>
  <c r="Q9" i="5"/>
  <c r="X23" i="5" l="1"/>
  <c r="Q39" i="5"/>
  <c r="O31" i="5"/>
  <c r="Q34" i="5"/>
  <c r="P31" i="5"/>
  <c r="P56" i="6"/>
  <c r="P93" i="6" s="1"/>
  <c r="Q31" i="6"/>
  <c r="Q38" i="5"/>
  <c r="Q47" i="5"/>
  <c r="P89" i="5"/>
  <c r="Q37" i="5"/>
  <c r="Q10" i="5"/>
  <c r="P21" i="5"/>
  <c r="H103" i="6"/>
  <c r="H82" i="6" s="1"/>
  <c r="N82" i="6" s="1"/>
  <c r="J56" i="5"/>
  <c r="J93" i="5" s="1"/>
  <c r="O51" i="5"/>
  <c r="I87" i="6"/>
  <c r="O87" i="6" s="1"/>
  <c r="I85" i="6"/>
  <c r="O85" i="6" s="1"/>
  <c r="I84" i="6"/>
  <c r="O84" i="6" s="1"/>
  <c r="I82" i="6"/>
  <c r="O82" i="6" s="1"/>
  <c r="I81" i="6"/>
  <c r="O81" i="6" s="1"/>
  <c r="I79" i="6"/>
  <c r="O79" i="6" s="1"/>
  <c r="I78" i="6"/>
  <c r="O78" i="6" s="1"/>
  <c r="I76" i="6"/>
  <c r="O76" i="6" s="1"/>
  <c r="I75" i="6"/>
  <c r="O75" i="6" s="1"/>
  <c r="I73" i="6"/>
  <c r="O73" i="6" s="1"/>
  <c r="I72" i="6"/>
  <c r="O72" i="6" s="1"/>
  <c r="I70" i="6"/>
  <c r="O70" i="6" s="1"/>
  <c r="I69" i="6"/>
  <c r="O69" i="6" s="1"/>
  <c r="I67" i="6"/>
  <c r="O67" i="6" s="1"/>
  <c r="I66" i="6"/>
  <c r="I64" i="6"/>
  <c r="I63" i="6"/>
  <c r="O66" i="6"/>
  <c r="O63" i="6"/>
  <c r="G115" i="6"/>
  <c r="K110" i="5"/>
  <c r="H115" i="5" s="1"/>
  <c r="M51" i="5"/>
  <c r="P51" i="5"/>
  <c r="Q50" i="5"/>
  <c r="Q30" i="5"/>
  <c r="Q29" i="5"/>
  <c r="N31" i="5"/>
  <c r="M31" i="5"/>
  <c r="Q12" i="5"/>
  <c r="Q33" i="5"/>
  <c r="O61" i="5"/>
  <c r="Q27" i="5"/>
  <c r="P56" i="5" l="1"/>
  <c r="P93" i="5" s="1"/>
  <c r="I115" i="5"/>
  <c r="I103" i="5" s="1"/>
  <c r="I87" i="5" s="1"/>
  <c r="O87" i="5" s="1"/>
  <c r="H72" i="6"/>
  <c r="N72" i="6" s="1"/>
  <c r="H66" i="6"/>
  <c r="H78" i="6"/>
  <c r="N78" i="6" s="1"/>
  <c r="H63" i="6"/>
  <c r="H84" i="6"/>
  <c r="N84" i="6" s="1"/>
  <c r="I89" i="6"/>
  <c r="H64" i="6"/>
  <c r="H67" i="6"/>
  <c r="N67" i="6" s="1"/>
  <c r="H73" i="6"/>
  <c r="N73" i="6" s="1"/>
  <c r="H79" i="6"/>
  <c r="N79" i="6" s="1"/>
  <c r="H85" i="6"/>
  <c r="N85" i="6" s="1"/>
  <c r="N63" i="6"/>
  <c r="H69" i="6"/>
  <c r="N69" i="6" s="1"/>
  <c r="H75" i="6"/>
  <c r="N75" i="6" s="1"/>
  <c r="H81" i="6"/>
  <c r="N81" i="6" s="1"/>
  <c r="H87" i="6"/>
  <c r="N87" i="6" s="1"/>
  <c r="N66" i="6"/>
  <c r="H70" i="6"/>
  <c r="N70" i="6" s="1"/>
  <c r="H76" i="6"/>
  <c r="N76" i="6" s="1"/>
  <c r="N64" i="6"/>
  <c r="G103" i="6"/>
  <c r="O64" i="6"/>
  <c r="O90" i="6" s="1"/>
  <c r="I90" i="6"/>
  <c r="O89" i="6"/>
  <c r="H103" i="5"/>
  <c r="Q31" i="5"/>
  <c r="I84" i="5" l="1"/>
  <c r="O84" i="5" s="1"/>
  <c r="G115" i="5"/>
  <c r="G103" i="5" s="1"/>
  <c r="G82" i="5" s="1"/>
  <c r="M82" i="5" s="1"/>
  <c r="I75" i="5"/>
  <c r="O75" i="5" s="1"/>
  <c r="I70" i="5"/>
  <c r="O70" i="5" s="1"/>
  <c r="I79" i="5"/>
  <c r="O79" i="5" s="1"/>
  <c r="I76" i="5"/>
  <c r="O76" i="5" s="1"/>
  <c r="I64" i="5"/>
  <c r="O64" i="5" s="1"/>
  <c r="I66" i="5"/>
  <c r="I72" i="5"/>
  <c r="O72" i="5" s="1"/>
  <c r="O63" i="5"/>
  <c r="I69" i="5"/>
  <c r="O69" i="5" s="1"/>
  <c r="I63" i="5"/>
  <c r="I85" i="5"/>
  <c r="O85" i="5" s="1"/>
  <c r="O90" i="5" s="1"/>
  <c r="I73" i="5"/>
  <c r="O73" i="5" s="1"/>
  <c r="I78" i="5"/>
  <c r="O78" i="5" s="1"/>
  <c r="I81" i="5"/>
  <c r="O81" i="5" s="1"/>
  <c r="I82" i="5"/>
  <c r="O82" i="5" s="1"/>
  <c r="I67" i="5"/>
  <c r="O67" i="5" s="1"/>
  <c r="O66" i="5"/>
  <c r="H81" i="5"/>
  <c r="N81" i="5" s="1"/>
  <c r="H63" i="5"/>
  <c r="G72" i="5"/>
  <c r="M72" i="5" s="1"/>
  <c r="H76" i="5"/>
  <c r="N76" i="5" s="1"/>
  <c r="H87" i="5"/>
  <c r="N87" i="5" s="1"/>
  <c r="H90" i="6"/>
  <c r="H89" i="6"/>
  <c r="N89" i="6"/>
  <c r="N90" i="6"/>
  <c r="G78" i="5"/>
  <c r="M78" i="5" s="1"/>
  <c r="M63" i="5"/>
  <c r="G84" i="5"/>
  <c r="M84" i="5" s="1"/>
  <c r="G66" i="5"/>
  <c r="M66" i="5"/>
  <c r="G67" i="5"/>
  <c r="M67" i="5" s="1"/>
  <c r="G73" i="5"/>
  <c r="M73" i="5" s="1"/>
  <c r="G79" i="5"/>
  <c r="M79" i="5" s="1"/>
  <c r="G63" i="5"/>
  <c r="G69" i="5"/>
  <c r="M69" i="5" s="1"/>
  <c r="G75" i="5"/>
  <c r="M75" i="5" s="1"/>
  <c r="G81" i="5"/>
  <c r="M81" i="5" s="1"/>
  <c r="G87" i="5"/>
  <c r="M87" i="5" s="1"/>
  <c r="G64" i="5"/>
  <c r="M64" i="5" s="1"/>
  <c r="G70" i="5"/>
  <c r="M70" i="5" s="1"/>
  <c r="G76" i="5"/>
  <c r="M76" i="5" s="1"/>
  <c r="H64" i="5"/>
  <c r="N64" i="5" s="1"/>
  <c r="H73" i="5"/>
  <c r="N73" i="5" s="1"/>
  <c r="G87" i="6"/>
  <c r="M87" i="6" s="1"/>
  <c r="G85" i="6"/>
  <c r="M85" i="6" s="1"/>
  <c r="G84" i="6"/>
  <c r="M84" i="6" s="1"/>
  <c r="G82" i="6"/>
  <c r="M82" i="6" s="1"/>
  <c r="G81" i="6"/>
  <c r="M81" i="6" s="1"/>
  <c r="G79" i="6"/>
  <c r="M79" i="6" s="1"/>
  <c r="G78" i="6"/>
  <c r="M78" i="6" s="1"/>
  <c r="G76" i="6"/>
  <c r="M76" i="6" s="1"/>
  <c r="G75" i="6"/>
  <c r="M75" i="6" s="1"/>
  <c r="G73" i="6"/>
  <c r="M73" i="6" s="1"/>
  <c r="G72" i="6"/>
  <c r="M72" i="6" s="1"/>
  <c r="G70" i="6"/>
  <c r="M70" i="6" s="1"/>
  <c r="G69" i="6"/>
  <c r="M69" i="6" s="1"/>
  <c r="G67" i="6"/>
  <c r="M67" i="6" s="1"/>
  <c r="G66" i="6"/>
  <c r="G64" i="6"/>
  <c r="G63" i="6"/>
  <c r="M66" i="6"/>
  <c r="M63" i="6"/>
  <c r="H78" i="5"/>
  <c r="N78" i="5" s="1"/>
  <c r="H75" i="5"/>
  <c r="N75" i="5" s="1"/>
  <c r="H82" i="5"/>
  <c r="N82" i="5" s="1"/>
  <c r="N66" i="5"/>
  <c r="H85" i="5"/>
  <c r="N85" i="5" s="1"/>
  <c r="H70" i="5"/>
  <c r="N70" i="5" s="1"/>
  <c r="H84" i="5"/>
  <c r="N84" i="5" s="1"/>
  <c r="H66" i="5"/>
  <c r="H79" i="5"/>
  <c r="N79" i="5" s="1"/>
  <c r="H67" i="5"/>
  <c r="N67" i="5" s="1"/>
  <c r="H72" i="5"/>
  <c r="N72" i="5" s="1"/>
  <c r="N63" i="5"/>
  <c r="H69" i="5"/>
  <c r="N69" i="5" s="1"/>
  <c r="I89" i="5" l="1"/>
  <c r="O89" i="5"/>
  <c r="I90" i="5"/>
  <c r="G85" i="5"/>
  <c r="M85" i="5" s="1"/>
  <c r="K89" i="6"/>
  <c r="M89" i="5"/>
  <c r="M90" i="5"/>
  <c r="G90" i="5"/>
  <c r="G90" i="6"/>
  <c r="K90" i="6" s="1"/>
  <c r="M64" i="6"/>
  <c r="M90" i="6" s="1"/>
  <c r="Q90" i="6" s="1"/>
  <c r="M89" i="6"/>
  <c r="Q89" i="6" s="1"/>
  <c r="N90" i="5"/>
  <c r="N89" i="5"/>
  <c r="H89" i="5"/>
  <c r="H90" i="5"/>
  <c r="Q90" i="5" l="1"/>
  <c r="K90" i="5"/>
  <c r="Q89" i="5"/>
  <c r="K89" i="5"/>
  <c r="I158" i="4"/>
  <c r="G158" i="4"/>
  <c r="J127" i="4" l="1"/>
  <c r="J126" i="4"/>
  <c r="Q113" i="4"/>
  <c r="P113" i="4"/>
  <c r="Q112" i="4"/>
  <c r="P112" i="4"/>
  <c r="Q119" i="4" l="1"/>
  <c r="P119" i="4"/>
  <c r="Q118" i="4"/>
  <c r="P118" i="4"/>
  <c r="K64" i="4"/>
  <c r="Q77" i="4" l="1"/>
  <c r="P77" i="4"/>
  <c r="Q76" i="4"/>
  <c r="P76" i="4"/>
  <c r="Q71" i="4"/>
  <c r="P71" i="4"/>
  <c r="Q70" i="4"/>
  <c r="P70" i="4"/>
  <c r="Q95" i="4" l="1"/>
  <c r="P95" i="4"/>
  <c r="Q94" i="4"/>
  <c r="P94" i="4"/>
  <c r="Q80" i="4" l="1"/>
  <c r="P80" i="4"/>
  <c r="Q79" i="4"/>
  <c r="P79" i="4"/>
  <c r="Q107" i="4" l="1"/>
  <c r="P107" i="4"/>
  <c r="Q106" i="4"/>
  <c r="P106" i="4"/>
  <c r="Q98" i="4"/>
  <c r="P98" i="4"/>
  <c r="Q97" i="4"/>
  <c r="P97" i="4"/>
  <c r="Q92" i="4"/>
  <c r="P92" i="4"/>
  <c r="Q91" i="4"/>
  <c r="P91" i="4"/>
  <c r="Q116" i="4" l="1"/>
  <c r="P116" i="4"/>
  <c r="Q115" i="4"/>
  <c r="P115" i="4"/>
  <c r="Q85" i="4" l="1"/>
  <c r="Q109" i="4"/>
  <c r="Q121" i="4"/>
  <c r="Q124" i="4"/>
  <c r="Q86" i="4"/>
  <c r="P86" i="4"/>
  <c r="P85" i="4"/>
  <c r="Q89" i="4" l="1"/>
  <c r="P89" i="4"/>
  <c r="Q88" i="4"/>
  <c r="P88" i="4"/>
  <c r="Q122" i="4" l="1"/>
  <c r="P122" i="4"/>
  <c r="P121" i="4"/>
  <c r="Q64" i="4" l="1"/>
  <c r="P83" i="4" l="1"/>
  <c r="P82" i="4"/>
  <c r="Q82" i="4"/>
  <c r="Q73" i="4"/>
  <c r="Q83" i="4"/>
  <c r="Q110" i="4" l="1"/>
  <c r="P110" i="4"/>
  <c r="P109" i="4"/>
  <c r="H151" i="4" l="1"/>
  <c r="I150" i="4"/>
  <c r="I151" i="4" s="1"/>
  <c r="K146" i="4"/>
  <c r="K145" i="4"/>
  <c r="L130" i="4"/>
  <c r="P124" i="4"/>
  <c r="Q104" i="4"/>
  <c r="P104" i="4"/>
  <c r="Q103" i="4"/>
  <c r="P103" i="4"/>
  <c r="Q101" i="4"/>
  <c r="P101" i="4"/>
  <c r="Q100" i="4"/>
  <c r="P100" i="4"/>
  <c r="Q74" i="4"/>
  <c r="P74" i="4"/>
  <c r="P73" i="4"/>
  <c r="Q68" i="4"/>
  <c r="P68" i="4"/>
  <c r="Q67" i="4"/>
  <c r="P67" i="4"/>
  <c r="Q65" i="4"/>
  <c r="P65" i="4"/>
  <c r="P64" i="4"/>
  <c r="X62" i="4"/>
  <c r="Q62" i="4"/>
  <c r="P62" i="4"/>
  <c r="N62" i="4"/>
  <c r="M62" i="4"/>
  <c r="I62" i="4"/>
  <c r="Q61" i="4"/>
  <c r="O61" i="4" s="1"/>
  <c r="P61" i="4"/>
  <c r="N61" i="4"/>
  <c r="M61" i="4"/>
  <c r="I61" i="4"/>
  <c r="Q54" i="4"/>
  <c r="K54" i="4"/>
  <c r="J52" i="4"/>
  <c r="I52" i="4"/>
  <c r="H52" i="4"/>
  <c r="G52" i="4"/>
  <c r="P51" i="4"/>
  <c r="O51" i="4"/>
  <c r="N51" i="4"/>
  <c r="M51" i="4"/>
  <c r="K51" i="4"/>
  <c r="P48" i="4"/>
  <c r="O48" i="4"/>
  <c r="N48" i="4"/>
  <c r="M48" i="4"/>
  <c r="K48" i="4"/>
  <c r="P46" i="4"/>
  <c r="O46" i="4"/>
  <c r="N46" i="4"/>
  <c r="M46" i="4"/>
  <c r="K46" i="4"/>
  <c r="P44" i="4"/>
  <c r="O44" i="4"/>
  <c r="N44" i="4"/>
  <c r="M44" i="4"/>
  <c r="K44" i="4"/>
  <c r="P42" i="4"/>
  <c r="O42" i="4"/>
  <c r="N42" i="4"/>
  <c r="M42" i="4"/>
  <c r="K42" i="4"/>
  <c r="P40" i="4"/>
  <c r="O40" i="4"/>
  <c r="N40" i="4"/>
  <c r="M40" i="4"/>
  <c r="K40" i="4"/>
  <c r="P39" i="4"/>
  <c r="O39" i="4"/>
  <c r="N39" i="4"/>
  <c r="M39" i="4"/>
  <c r="K39" i="4"/>
  <c r="P38" i="4"/>
  <c r="O38" i="4"/>
  <c r="N38" i="4"/>
  <c r="M38" i="4"/>
  <c r="K38" i="4"/>
  <c r="P37" i="4"/>
  <c r="O37" i="4"/>
  <c r="N37" i="4"/>
  <c r="M37" i="4"/>
  <c r="K37" i="4"/>
  <c r="P35" i="4"/>
  <c r="O35" i="4"/>
  <c r="N35" i="4"/>
  <c r="M35" i="4"/>
  <c r="K35" i="4"/>
  <c r="P34" i="4"/>
  <c r="O34" i="4"/>
  <c r="N34" i="4"/>
  <c r="M34" i="4"/>
  <c r="K34" i="4"/>
  <c r="J32" i="4"/>
  <c r="I32" i="4"/>
  <c r="H32" i="4"/>
  <c r="G32" i="4"/>
  <c r="P31" i="4"/>
  <c r="O31" i="4"/>
  <c r="N31" i="4"/>
  <c r="M31" i="4"/>
  <c r="K31" i="4"/>
  <c r="P30" i="4"/>
  <c r="O30" i="4"/>
  <c r="N30" i="4"/>
  <c r="M30" i="4"/>
  <c r="K30" i="4"/>
  <c r="Q29" i="4"/>
  <c r="K29" i="4"/>
  <c r="P28" i="4"/>
  <c r="O28" i="4"/>
  <c r="N28" i="4"/>
  <c r="M28" i="4"/>
  <c r="K28" i="4"/>
  <c r="Q27" i="4"/>
  <c r="K27" i="4"/>
  <c r="P25" i="4"/>
  <c r="J25" i="4"/>
  <c r="I25" i="4"/>
  <c r="H25" i="4"/>
  <c r="G25" i="4"/>
  <c r="K24" i="4"/>
  <c r="J22" i="4"/>
  <c r="I22" i="4"/>
  <c r="H22" i="4"/>
  <c r="G22" i="4"/>
  <c r="X21" i="4"/>
  <c r="Q21" i="4"/>
  <c r="K21" i="4"/>
  <c r="P20" i="4"/>
  <c r="O20" i="4"/>
  <c r="N20" i="4"/>
  <c r="M20" i="4"/>
  <c r="K20" i="4"/>
  <c r="Q19" i="4"/>
  <c r="K19" i="4"/>
  <c r="X18" i="4"/>
  <c r="Q18" i="4"/>
  <c r="K18" i="4"/>
  <c r="P17" i="4"/>
  <c r="O17" i="4"/>
  <c r="N17" i="4"/>
  <c r="M17" i="4"/>
  <c r="K17" i="4"/>
  <c r="Q16" i="4"/>
  <c r="K16" i="4"/>
  <c r="O14" i="4"/>
  <c r="N14" i="4"/>
  <c r="M14" i="4"/>
  <c r="K14" i="4"/>
  <c r="P13" i="4"/>
  <c r="O13" i="4"/>
  <c r="N13" i="4"/>
  <c r="M13" i="4"/>
  <c r="K13" i="4"/>
  <c r="O11" i="4"/>
  <c r="N11" i="4"/>
  <c r="M11" i="4"/>
  <c r="K11" i="4"/>
  <c r="Q10" i="4"/>
  <c r="K10" i="4"/>
  <c r="P126" i="4" l="1"/>
  <c r="P127" i="4"/>
  <c r="P22" i="4"/>
  <c r="Q48" i="4"/>
  <c r="H57" i="4"/>
  <c r="Q11" i="4"/>
  <c r="Q42" i="4"/>
  <c r="X24" i="4"/>
  <c r="Q24" i="4" s="1"/>
  <c r="Q20" i="4"/>
  <c r="Q44" i="4"/>
  <c r="O22" i="4"/>
  <c r="Q46" i="4"/>
  <c r="Q37" i="4"/>
  <c r="Q31" i="4"/>
  <c r="O52" i="4"/>
  <c r="Q39" i="4"/>
  <c r="Q35" i="4"/>
  <c r="K147" i="4"/>
  <c r="H152" i="4" s="1"/>
  <c r="P52" i="4"/>
  <c r="Q51" i="4"/>
  <c r="K52" i="4"/>
  <c r="K25" i="4"/>
  <c r="I57" i="4"/>
  <c r="N22" i="4"/>
  <c r="K22" i="4"/>
  <c r="J57" i="4"/>
  <c r="J130" i="4" s="1"/>
  <c r="P32" i="4"/>
  <c r="Q30" i="4"/>
  <c r="K32" i="4"/>
  <c r="O32" i="4"/>
  <c r="N32" i="4"/>
  <c r="M32" i="4"/>
  <c r="M22" i="4"/>
  <c r="Q13" i="4"/>
  <c r="Q17" i="4"/>
  <c r="M52" i="4"/>
  <c r="Q34" i="4"/>
  <c r="Q40" i="4"/>
  <c r="N52" i="4"/>
  <c r="Q38" i="4"/>
  <c r="G57" i="4"/>
  <c r="Q14" i="4"/>
  <c r="O62" i="4"/>
  <c r="Q28" i="4"/>
  <c r="P57" i="4" l="1"/>
  <c r="P130" i="4" s="1"/>
  <c r="N24" i="4"/>
  <c r="N25" i="4" s="1"/>
  <c r="N57" i="4" s="1"/>
  <c r="I152" i="4"/>
  <c r="I140" i="4" s="1"/>
  <c r="Q22" i="4"/>
  <c r="Q32" i="4"/>
  <c r="H140" i="4"/>
  <c r="K57" i="4"/>
  <c r="Q52" i="4"/>
  <c r="I112" i="4" l="1"/>
  <c r="O112" i="4" s="1"/>
  <c r="I113" i="4"/>
  <c r="O113" i="4" s="1"/>
  <c r="H112" i="4"/>
  <c r="N112" i="4" s="1"/>
  <c r="H113" i="4"/>
  <c r="N113" i="4" s="1"/>
  <c r="I118" i="4"/>
  <c r="O118" i="4" s="1"/>
  <c r="I119" i="4"/>
  <c r="O119" i="4" s="1"/>
  <c r="H118" i="4"/>
  <c r="N118" i="4" s="1"/>
  <c r="H119" i="4"/>
  <c r="N119" i="4" s="1"/>
  <c r="I71" i="4"/>
  <c r="O71" i="4" s="1"/>
  <c r="I77" i="4"/>
  <c r="O77" i="4" s="1"/>
  <c r="I70" i="4"/>
  <c r="O70" i="4" s="1"/>
  <c r="I76" i="4"/>
  <c r="O76" i="4" s="1"/>
  <c r="H76" i="4"/>
  <c r="N76" i="4" s="1"/>
  <c r="H71" i="4"/>
  <c r="N71" i="4" s="1"/>
  <c r="H77" i="4"/>
  <c r="N77" i="4" s="1"/>
  <c r="H70" i="4"/>
  <c r="N70" i="4" s="1"/>
  <c r="I95" i="4"/>
  <c r="O95" i="4" s="1"/>
  <c r="I94" i="4"/>
  <c r="O94" i="4" s="1"/>
  <c r="I79" i="4"/>
  <c r="O79" i="4" s="1"/>
  <c r="I80" i="4"/>
  <c r="O80" i="4" s="1"/>
  <c r="H95" i="4"/>
  <c r="N95" i="4" s="1"/>
  <c r="H94" i="4"/>
  <c r="N94" i="4" s="1"/>
  <c r="H80" i="4"/>
  <c r="N80" i="4" s="1"/>
  <c r="H79" i="4"/>
  <c r="N79" i="4" s="1"/>
  <c r="I107" i="4"/>
  <c r="O107" i="4" s="1"/>
  <c r="I106" i="4"/>
  <c r="H106" i="4"/>
  <c r="N106" i="4" s="1"/>
  <c r="H107" i="4"/>
  <c r="N107" i="4" s="1"/>
  <c r="I97" i="4"/>
  <c r="O97" i="4" s="1"/>
  <c r="I98" i="4"/>
  <c r="O98" i="4" s="1"/>
  <c r="I91" i="4"/>
  <c r="O91" i="4" s="1"/>
  <c r="I92" i="4"/>
  <c r="O92" i="4" s="1"/>
  <c r="H92" i="4"/>
  <c r="N92" i="4" s="1"/>
  <c r="H97" i="4"/>
  <c r="N97" i="4" s="1"/>
  <c r="H98" i="4"/>
  <c r="N98" i="4" s="1"/>
  <c r="H91" i="4"/>
  <c r="N91" i="4" s="1"/>
  <c r="H115" i="4"/>
  <c r="N115" i="4" s="1"/>
  <c r="H116" i="4"/>
  <c r="N116" i="4" s="1"/>
  <c r="I115" i="4"/>
  <c r="O115" i="4" s="1"/>
  <c r="I116" i="4"/>
  <c r="O116" i="4" s="1"/>
  <c r="I86" i="4"/>
  <c r="O86" i="4" s="1"/>
  <c r="I85" i="4"/>
  <c r="O85" i="4" s="1"/>
  <c r="H85" i="4"/>
  <c r="N85" i="4" s="1"/>
  <c r="H86" i="4"/>
  <c r="N86" i="4" s="1"/>
  <c r="I89" i="4"/>
  <c r="O89" i="4" s="1"/>
  <c r="I88" i="4"/>
  <c r="O88" i="4" s="1"/>
  <c r="H88" i="4"/>
  <c r="N88" i="4" s="1"/>
  <c r="H89" i="4"/>
  <c r="N89" i="4" s="1"/>
  <c r="I124" i="4"/>
  <c r="I122" i="4"/>
  <c r="O122" i="4" s="1"/>
  <c r="I121" i="4"/>
  <c r="O121" i="4" s="1"/>
  <c r="H121" i="4"/>
  <c r="N121" i="4" s="1"/>
  <c r="H122" i="4"/>
  <c r="N122" i="4" s="1"/>
  <c r="O24" i="4"/>
  <c r="O25" i="4" s="1"/>
  <c r="O57" i="4" s="1"/>
  <c r="H83" i="4"/>
  <c r="N83" i="4" s="1"/>
  <c r="H82" i="4"/>
  <c r="N82" i="4" s="1"/>
  <c r="I104" i="4"/>
  <c r="O104" i="4" s="1"/>
  <c r="I82" i="4"/>
  <c r="O82" i="4" s="1"/>
  <c r="I83" i="4"/>
  <c r="O83" i="4" s="1"/>
  <c r="I64" i="4"/>
  <c r="I101" i="4"/>
  <c r="O101" i="4" s="1"/>
  <c r="I68" i="4"/>
  <c r="O68" i="4" s="1"/>
  <c r="I73" i="4"/>
  <c r="O73" i="4" s="1"/>
  <c r="O64" i="4"/>
  <c r="I74" i="4"/>
  <c r="O74" i="4" s="1"/>
  <c r="I67" i="4"/>
  <c r="I100" i="4"/>
  <c r="O100" i="4" s="1"/>
  <c r="I103" i="4"/>
  <c r="O103" i="4" s="1"/>
  <c r="G152" i="4"/>
  <c r="I65" i="4"/>
  <c r="H110" i="4"/>
  <c r="N110" i="4" s="1"/>
  <c r="H109" i="4"/>
  <c r="N109" i="4" s="1"/>
  <c r="I109" i="4"/>
  <c r="O109" i="4" s="1"/>
  <c r="I110" i="4"/>
  <c r="O110" i="4" s="1"/>
  <c r="H124" i="4"/>
  <c r="H104" i="4"/>
  <c r="N104" i="4" s="1"/>
  <c r="H103" i="4"/>
  <c r="N103" i="4" s="1"/>
  <c r="H101" i="4"/>
  <c r="N101" i="4" s="1"/>
  <c r="H100" i="4"/>
  <c r="N100" i="4" s="1"/>
  <c r="H74" i="4"/>
  <c r="N74" i="4" s="1"/>
  <c r="H73" i="4"/>
  <c r="N73" i="4" s="1"/>
  <c r="H68" i="4"/>
  <c r="N68" i="4" s="1"/>
  <c r="H67" i="4"/>
  <c r="H65" i="4"/>
  <c r="N64" i="4"/>
  <c r="H64" i="4"/>
  <c r="H127" i="4" l="1"/>
  <c r="I127" i="4"/>
  <c r="O124" i="4"/>
  <c r="I126" i="4"/>
  <c r="I130" i="4" s="1"/>
  <c r="N124" i="4"/>
  <c r="H126" i="4"/>
  <c r="H130" i="4" s="1"/>
  <c r="O106" i="4"/>
  <c r="N67" i="4"/>
  <c r="O67" i="4"/>
  <c r="G140" i="4"/>
  <c r="M24" i="4"/>
  <c r="M25" i="4" s="1"/>
  <c r="M57" i="4" s="1"/>
  <c r="Q57" i="4" s="1"/>
  <c r="O65" i="4"/>
  <c r="O127" i="4" s="1"/>
  <c r="N65" i="4"/>
  <c r="N127" i="4" s="1"/>
  <c r="N126" i="4" l="1"/>
  <c r="N130" i="4" s="1"/>
  <c r="G112" i="4"/>
  <c r="M112" i="4" s="1"/>
  <c r="G113" i="4"/>
  <c r="M113" i="4" s="1"/>
  <c r="O126" i="4"/>
  <c r="O130" i="4" s="1"/>
  <c r="G119" i="4"/>
  <c r="M119" i="4" s="1"/>
  <c r="G118" i="4"/>
  <c r="M118" i="4" s="1"/>
  <c r="G77" i="4"/>
  <c r="M77" i="4" s="1"/>
  <c r="G70" i="4"/>
  <c r="M70" i="4" s="1"/>
  <c r="G76" i="4"/>
  <c r="M76" i="4" s="1"/>
  <c r="G71" i="4"/>
  <c r="M71" i="4" s="1"/>
  <c r="G94" i="4"/>
  <c r="M94" i="4" s="1"/>
  <c r="G95" i="4"/>
  <c r="M95" i="4" s="1"/>
  <c r="G80" i="4"/>
  <c r="M80" i="4" s="1"/>
  <c r="G79" i="4"/>
  <c r="M79" i="4" s="1"/>
  <c r="G106" i="4"/>
  <c r="M106" i="4" s="1"/>
  <c r="G107" i="4"/>
  <c r="M107" i="4" s="1"/>
  <c r="G98" i="4"/>
  <c r="M98" i="4" s="1"/>
  <c r="G91" i="4"/>
  <c r="M91" i="4" s="1"/>
  <c r="G92" i="4"/>
  <c r="M92" i="4" s="1"/>
  <c r="G97" i="4"/>
  <c r="M97" i="4" s="1"/>
  <c r="G116" i="4"/>
  <c r="M116" i="4" s="1"/>
  <c r="G115" i="4"/>
  <c r="M115" i="4" s="1"/>
  <c r="G85" i="4"/>
  <c r="M85" i="4" s="1"/>
  <c r="G86" i="4"/>
  <c r="M86" i="4" s="1"/>
  <c r="G88" i="4"/>
  <c r="G89" i="4"/>
  <c r="M89" i="4" s="1"/>
  <c r="G121" i="4"/>
  <c r="M121" i="4" s="1"/>
  <c r="G122" i="4"/>
  <c r="M122" i="4" s="1"/>
  <c r="G65" i="4"/>
  <c r="G64" i="4"/>
  <c r="G82" i="4"/>
  <c r="M82" i="4" s="1"/>
  <c r="G109" i="4"/>
  <c r="M109" i="4" s="1"/>
  <c r="G100" i="4"/>
  <c r="M100" i="4" s="1"/>
  <c r="G68" i="4"/>
  <c r="M68" i="4" s="1"/>
  <c r="G67" i="4"/>
  <c r="G124" i="4"/>
  <c r="G73" i="4"/>
  <c r="M73" i="4" s="1"/>
  <c r="G101" i="4"/>
  <c r="M101" i="4" s="1"/>
  <c r="G74" i="4"/>
  <c r="M74" i="4" s="1"/>
  <c r="G104" i="4"/>
  <c r="M104" i="4" s="1"/>
  <c r="M64" i="4"/>
  <c r="G110" i="4"/>
  <c r="M110" i="4" s="1"/>
  <c r="G103" i="4"/>
  <c r="M103" i="4" s="1"/>
  <c r="G83" i="4"/>
  <c r="M83" i="4" s="1"/>
  <c r="Q25" i="4"/>
  <c r="G127" i="4" l="1"/>
  <c r="K127" i="4" s="1"/>
  <c r="M124" i="4"/>
  <c r="G126" i="4"/>
  <c r="K126" i="4" s="1"/>
  <c r="K130" i="4" s="1"/>
  <c r="M88" i="4"/>
  <c r="M65" i="4"/>
  <c r="M127" i="4" s="1"/>
  <c r="M67" i="4"/>
  <c r="M126" i="4" l="1"/>
  <c r="Q126" i="4" s="1"/>
  <c r="Q130" i="4" s="1"/>
  <c r="Q127" i="4"/>
  <c r="G130" i="4"/>
  <c r="M130" i="4" l="1"/>
  <c r="N16" i="11" l="1"/>
  <c r="N13" i="11"/>
  <c r="Q13" i="11"/>
  <c r="M16" i="11"/>
  <c r="M21" i="11"/>
  <c r="N41" i="11"/>
  <c r="Q41" i="11" s="1"/>
  <c r="O16" i="11"/>
  <c r="O21" i="11" s="1"/>
  <c r="Q16" i="11" l="1"/>
  <c r="G56" i="11"/>
  <c r="I56" i="11"/>
  <c r="I93" i="11" s="1"/>
  <c r="G93" i="11" l="1"/>
  <c r="Q23" i="11"/>
  <c r="M23" i="11" s="1"/>
  <c r="M24" i="11" s="1"/>
  <c r="M56" i="11" l="1"/>
  <c r="N23" i="11"/>
  <c r="N24" i="11" s="1"/>
  <c r="Q24" i="11" s="1"/>
  <c r="O23" i="11"/>
  <c r="O24" i="11" s="1"/>
  <c r="O56" i="11" s="1"/>
  <c r="O93" i="11" s="1"/>
  <c r="H13" i="21" l="1"/>
  <c r="M93" i="11"/>
  <c r="N13" i="8" l="1"/>
  <c r="Q13" i="8" s="1"/>
  <c r="N16" i="8"/>
  <c r="N13" i="12"/>
  <c r="Q13" i="12" s="1"/>
  <c r="N13" i="5"/>
  <c r="Q13" i="5" s="1"/>
  <c r="N16" i="5"/>
  <c r="N16" i="6"/>
  <c r="N13" i="6"/>
  <c r="Q13" i="6" s="1"/>
  <c r="N13" i="9"/>
  <c r="Q13" i="9" s="1"/>
  <c r="N16" i="9"/>
  <c r="N13" i="10"/>
  <c r="Q13" i="10" s="1"/>
  <c r="N16" i="10" l="1"/>
  <c r="N16" i="12"/>
  <c r="M16" i="6" l="1"/>
  <c r="G21" i="6"/>
  <c r="O16" i="5"/>
  <c r="O21" i="5" s="1"/>
  <c r="I56" i="5"/>
  <c r="I93" i="5" s="1"/>
  <c r="G21" i="5"/>
  <c r="M16" i="5"/>
  <c r="I56" i="6"/>
  <c r="I93" i="6" s="1"/>
  <c r="O16" i="6"/>
  <c r="O21" i="6" s="1"/>
  <c r="O16" i="8"/>
  <c r="O21" i="8" s="1"/>
  <c r="I56" i="8"/>
  <c r="I93" i="8" s="1"/>
  <c r="G21" i="9"/>
  <c r="M16" i="9"/>
  <c r="O16" i="12"/>
  <c r="O21" i="12" s="1"/>
  <c r="I56" i="12"/>
  <c r="I93" i="12" s="1"/>
  <c r="G21" i="10"/>
  <c r="M16" i="10"/>
  <c r="I56" i="9"/>
  <c r="I93" i="9" s="1"/>
  <c r="O16" i="9"/>
  <c r="O21" i="9" s="1"/>
  <c r="M16" i="8"/>
  <c r="G21" i="8"/>
  <c r="M16" i="12"/>
  <c r="I56" i="10"/>
  <c r="I93" i="10" s="1"/>
  <c r="O16" i="10"/>
  <c r="O21" i="10" s="1"/>
  <c r="M21" i="5" l="1"/>
  <c r="Q16" i="5"/>
  <c r="G56" i="8"/>
  <c r="M21" i="10"/>
  <c r="Q16" i="10"/>
  <c r="M21" i="8"/>
  <c r="Q16" i="8"/>
  <c r="M21" i="9"/>
  <c r="Q16" i="9"/>
  <c r="G56" i="9"/>
  <c r="M21" i="6"/>
  <c r="Q16" i="6"/>
  <c r="G56" i="10"/>
  <c r="G93" i="10" s="1"/>
  <c r="G56" i="5"/>
  <c r="M21" i="12"/>
  <c r="Q16" i="12"/>
  <c r="G56" i="12"/>
  <c r="G56" i="6"/>
  <c r="G93" i="9" l="1"/>
  <c r="G93" i="12"/>
  <c r="G93" i="5"/>
  <c r="G93" i="6"/>
  <c r="G93" i="8"/>
  <c r="K31" i="11"/>
  <c r="Q43" i="11"/>
  <c r="N45" i="11"/>
  <c r="Q45" i="11"/>
  <c r="K51" i="11"/>
  <c r="H51" i="11"/>
  <c r="N43" i="11"/>
  <c r="N51" i="11"/>
  <c r="Q51" i="11"/>
  <c r="H43" i="12"/>
  <c r="K43" i="12" s="1"/>
  <c r="N43" i="12"/>
  <c r="Q43" i="12"/>
  <c r="K41" i="12"/>
  <c r="N21" i="12"/>
  <c r="H41" i="12"/>
  <c r="N41" i="12" s="1"/>
  <c r="N19" i="12"/>
  <c r="Q19" i="12"/>
  <c r="Q21" i="12"/>
  <c r="Q41" i="12" l="1"/>
  <c r="Q19" i="10"/>
  <c r="Q21" i="10" s="1"/>
  <c r="N19" i="10"/>
  <c r="N21" i="10"/>
  <c r="H41" i="10"/>
  <c r="N41" i="10" s="1"/>
  <c r="H43" i="10"/>
  <c r="N43" i="10" s="1"/>
  <c r="Q43" i="10" s="1"/>
  <c r="Q41" i="10" l="1"/>
  <c r="K43" i="10"/>
  <c r="K41" i="10"/>
  <c r="H43" i="9"/>
  <c r="N43" i="9"/>
  <c r="Q43" i="9" s="1"/>
  <c r="N21" i="9"/>
  <c r="H41" i="9"/>
  <c r="N41" i="9" s="1"/>
  <c r="N19" i="9"/>
  <c r="Q19" i="9" s="1"/>
  <c r="Q21" i="9" s="1"/>
  <c r="Q41" i="9" l="1"/>
  <c r="K43" i="9"/>
  <c r="K41" i="9"/>
  <c r="H41" i="8"/>
  <c r="K41" i="8" s="1"/>
  <c r="H43" i="8"/>
  <c r="K43" i="8"/>
  <c r="N19" i="8"/>
  <c r="N21" i="8" s="1"/>
  <c r="Q19" i="8"/>
  <c r="Q21" i="8"/>
  <c r="N43" i="8" l="1"/>
  <c r="Q43" i="8" s="1"/>
  <c r="N41" i="8"/>
  <c r="Q41" i="8" l="1"/>
  <c r="N41" i="6"/>
  <c r="Q41" i="6" s="1"/>
  <c r="H43" i="6"/>
  <c r="N43" i="6" s="1"/>
  <c r="K43" i="6"/>
  <c r="H41" i="6"/>
  <c r="K41" i="6" s="1"/>
  <c r="N19" i="6"/>
  <c r="Q19" i="6" s="1"/>
  <c r="Q21" i="6" s="1"/>
  <c r="N21" i="6"/>
  <c r="Q43" i="6" l="1"/>
  <c r="N21" i="5"/>
  <c r="H43" i="5"/>
  <c r="N43" i="5" s="1"/>
  <c r="Q43" i="5" s="1"/>
  <c r="N19" i="5"/>
  <c r="Q19" i="5"/>
  <c r="Q21" i="5"/>
  <c r="H41" i="5"/>
  <c r="K41" i="5" s="1"/>
  <c r="K43" i="5" l="1"/>
  <c r="N41" i="5"/>
  <c r="Q41" i="5" l="1"/>
  <c r="H24" i="5"/>
  <c r="K24" i="5"/>
  <c r="N23" i="5"/>
  <c r="N24" i="5" s="1"/>
  <c r="Q23" i="5"/>
  <c r="M23" i="5" s="1"/>
  <c r="M24" i="5" s="1"/>
  <c r="O23" i="5"/>
  <c r="O24" i="5" s="1"/>
  <c r="O56" i="5" s="1"/>
  <c r="O93" i="5" s="1"/>
  <c r="Q24" i="5" l="1"/>
  <c r="M56" i="5"/>
  <c r="H23" i="21"/>
  <c r="Q23" i="12" l="1"/>
  <c r="H24" i="12"/>
  <c r="K24" i="12" s="1"/>
  <c r="H24" i="9"/>
  <c r="K24" i="9" s="1"/>
  <c r="Q23" i="9"/>
  <c r="Q23" i="10"/>
  <c r="H24" i="10"/>
  <c r="K24" i="10" s="1"/>
  <c r="H24" i="8"/>
  <c r="K24" i="8" s="1"/>
  <c r="Q23" i="8"/>
  <c r="Q23" i="6"/>
  <c r="H24" i="6"/>
  <c r="K24" i="6" s="1"/>
  <c r="M93" i="5"/>
  <c r="M23" i="6" l="1"/>
  <c r="M24" i="6" s="1"/>
  <c r="N23" i="6"/>
  <c r="N24" i="6" s="1"/>
  <c r="O23" i="6"/>
  <c r="O24" i="6" s="1"/>
  <c r="O56" i="6" s="1"/>
  <c r="O93" i="6" s="1"/>
  <c r="M23" i="8"/>
  <c r="M24" i="8" s="1"/>
  <c r="N23" i="8"/>
  <c r="N24" i="8" s="1"/>
  <c r="O23" i="8"/>
  <c r="O24" i="8" s="1"/>
  <c r="O56" i="8" s="1"/>
  <c r="O93" i="8" s="1"/>
  <c r="M23" i="10"/>
  <c r="M24" i="10" s="1"/>
  <c r="N23" i="10"/>
  <c r="N24" i="10" s="1"/>
  <c r="O23" i="10"/>
  <c r="O24" i="10" s="1"/>
  <c r="O56" i="10" s="1"/>
  <c r="O93" i="10" s="1"/>
  <c r="O23" i="9"/>
  <c r="O24" i="9" s="1"/>
  <c r="O56" i="9" s="1"/>
  <c r="O93" i="9" s="1"/>
  <c r="N23" i="9"/>
  <c r="N24" i="9" s="1"/>
  <c r="M23" i="9"/>
  <c r="M24" i="9" s="1"/>
  <c r="O23" i="12"/>
  <c r="O24" i="12" s="1"/>
  <c r="O56" i="12" s="1"/>
  <c r="O93" i="12" s="1"/>
  <c r="H11" i="21" s="1"/>
  <c r="N23" i="12"/>
  <c r="N24" i="12" s="1"/>
  <c r="M23" i="12"/>
  <c r="M24" i="12" s="1"/>
  <c r="M56" i="9" l="1"/>
  <c r="Q24" i="9"/>
  <c r="Q24" i="10"/>
  <c r="M56" i="10"/>
  <c r="H21" i="21"/>
  <c r="H15" i="21"/>
  <c r="H17" i="21"/>
  <c r="H19" i="21"/>
  <c r="H45" i="21" s="1"/>
  <c r="M56" i="8"/>
  <c r="Q24" i="8"/>
  <c r="M56" i="12"/>
  <c r="Q24" i="12"/>
  <c r="H41" i="21"/>
  <c r="Q24" i="6"/>
  <c r="M56" i="6"/>
  <c r="H43" i="21" l="1"/>
  <c r="H45" i="8"/>
  <c r="H31" i="8"/>
  <c r="K31" i="8" s="1"/>
  <c r="H31" i="6"/>
  <c r="K31" i="6" s="1"/>
  <c r="H45" i="6"/>
  <c r="H31" i="9"/>
  <c r="K31" i="9" s="1"/>
  <c r="H45" i="9"/>
  <c r="H31" i="21"/>
  <c r="H35" i="21" s="1"/>
  <c r="M93" i="8"/>
  <c r="H31" i="10"/>
  <c r="K31" i="10" s="1"/>
  <c r="H45" i="10"/>
  <c r="M93" i="10"/>
  <c r="N19" i="11"/>
  <c r="M93" i="6"/>
  <c r="H45" i="12"/>
  <c r="H31" i="12"/>
  <c r="K31" i="12" s="1"/>
  <c r="H56" i="11"/>
  <c r="H48" i="21"/>
  <c r="M93" i="12"/>
  <c r="H31" i="5"/>
  <c r="K31" i="5" s="1"/>
  <c r="H45" i="5"/>
  <c r="M93" i="9"/>
  <c r="K45" i="9" l="1"/>
  <c r="H51" i="9"/>
  <c r="K51" i="9" s="1"/>
  <c r="N45" i="9"/>
  <c r="N45" i="6"/>
  <c r="H51" i="6"/>
  <c r="K45" i="6"/>
  <c r="H51" i="10"/>
  <c r="N45" i="10"/>
  <c r="K45" i="10"/>
  <c r="N45" i="5"/>
  <c r="K45" i="5"/>
  <c r="H51" i="5"/>
  <c r="K51" i="5" s="1"/>
  <c r="N21" i="11"/>
  <c r="N56" i="11" s="1"/>
  <c r="Q19" i="11"/>
  <c r="Q21" i="11" s="1"/>
  <c r="K45" i="8"/>
  <c r="N45" i="8"/>
  <c r="H51" i="8"/>
  <c r="K51" i="8" s="1"/>
  <c r="K56" i="11"/>
  <c r="K93" i="11" s="1"/>
  <c r="H93" i="11"/>
  <c r="N45" i="12"/>
  <c r="K45" i="12"/>
  <c r="H51" i="12"/>
  <c r="K51" i="12" s="1"/>
  <c r="H56" i="5" l="1"/>
  <c r="H93" i="5" s="1"/>
  <c r="H56" i="9"/>
  <c r="H56" i="12"/>
  <c r="K56" i="12" s="1"/>
  <c r="K93" i="12" s="1"/>
  <c r="K56" i="9"/>
  <c r="K93" i="9" s="1"/>
  <c r="H93" i="9"/>
  <c r="H56" i="8"/>
  <c r="Q45" i="5"/>
  <c r="N51" i="5"/>
  <c r="K51" i="10"/>
  <c r="K56" i="10" s="1"/>
  <c r="K93" i="10" s="1"/>
  <c r="H56" i="10"/>
  <c r="H93" i="10" s="1"/>
  <c r="K51" i="6"/>
  <c r="H56" i="6"/>
  <c r="N51" i="6"/>
  <c r="Q45" i="6"/>
  <c r="Q45" i="12"/>
  <c r="N51" i="12"/>
  <c r="N51" i="10"/>
  <c r="Q45" i="10"/>
  <c r="Q45" i="8"/>
  <c r="N51" i="8"/>
  <c r="Q45" i="9"/>
  <c r="N51" i="9"/>
  <c r="Q56" i="11"/>
  <c r="Q93" i="11" s="1"/>
  <c r="N93" i="11"/>
  <c r="K56" i="5" l="1"/>
  <c r="K93" i="5" s="1"/>
  <c r="H93" i="12"/>
  <c r="K56" i="6"/>
  <c r="K93" i="6" s="1"/>
  <c r="H93" i="6"/>
  <c r="K56" i="8"/>
  <c r="K93" i="8" s="1"/>
  <c r="H93" i="8"/>
  <c r="Q51" i="9"/>
  <c r="N56" i="9"/>
  <c r="Q51" i="8"/>
  <c r="N56" i="8"/>
  <c r="Q51" i="10"/>
  <c r="N56" i="10"/>
  <c r="Q51" i="6"/>
  <c r="N56" i="6"/>
  <c r="Q51" i="5"/>
  <c r="N56" i="5"/>
  <c r="Q51" i="12"/>
  <c r="N56" i="12"/>
  <c r="N93" i="6" l="1"/>
  <c r="Q56" i="6"/>
  <c r="Q93" i="6" s="1"/>
  <c r="N93" i="12"/>
  <c r="Q56" i="12"/>
  <c r="Q93" i="12" s="1"/>
  <c r="N93" i="10"/>
  <c r="Q56" i="10"/>
  <c r="Q93" i="10" s="1"/>
  <c r="N93" i="8"/>
  <c r="Q56" i="8"/>
  <c r="Q93" i="8" s="1"/>
  <c r="N93" i="9"/>
  <c r="Q56" i="9"/>
  <c r="Q93" i="9" s="1"/>
  <c r="N93" i="5"/>
  <c r="Q56" i="5"/>
  <c r="Q93" i="5" s="1"/>
</calcChain>
</file>

<file path=xl/comments1.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3.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4.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5.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6.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7.xml><?xml version="1.0" encoding="utf-8"?>
<comments xmlns="http://schemas.openxmlformats.org/spreadsheetml/2006/main">
  <authors>
    <author>Lloyd E. Keyser</author>
  </authors>
  <commentList>
    <comment ref="P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P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8.xml><?xml version="1.0" encoding="utf-8"?>
<comments xmlns="http://schemas.openxmlformats.org/spreadsheetml/2006/main">
  <authors>
    <author>Lloyd E. Keyser</author>
  </authors>
  <commentList>
    <comment ref="X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1"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9.xml><?xml version="1.0" encoding="utf-8"?>
<comments xmlns="http://schemas.openxmlformats.org/spreadsheetml/2006/main">
  <authors>
    <author>Lloyd E. Keyser</author>
    <author>American Electric Power®</author>
  </authors>
  <commentList>
    <comment ref="X15"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W61" authorId="1" shapeId="0">
      <text>
        <r>
          <rPr>
            <b/>
            <sz val="8"/>
            <color indexed="81"/>
            <rFont val="Tahoma"/>
            <family val="2"/>
          </rPr>
          <t>American Electric Power®: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 ref="X62" authorId="0" shapeId="0">
      <text>
        <r>
          <rPr>
            <b/>
            <sz val="8"/>
            <color indexed="81"/>
            <rFont val="Tahoma"/>
            <family val="2"/>
          </rPr>
          <t>Lloyd E. Keyser: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List>
</comments>
</file>

<file path=xl/sharedStrings.xml><?xml version="1.0" encoding="utf-8"?>
<sst xmlns="http://schemas.openxmlformats.org/spreadsheetml/2006/main" count="2104" uniqueCount="206">
  <si>
    <t>Kentucky Power</t>
  </si>
  <si>
    <t>Major Event Cost Recap</t>
  </si>
  <si>
    <t>Detailed Restoration Costs</t>
  </si>
  <si>
    <t>In House Costs</t>
  </si>
  <si>
    <t>A</t>
  </si>
  <si>
    <t>B</t>
  </si>
  <si>
    <t>C</t>
  </si>
  <si>
    <t>D</t>
  </si>
  <si>
    <t>A+B+C+D</t>
  </si>
  <si>
    <t>Salary &amp; Wages</t>
  </si>
  <si>
    <t>Capitalized</t>
  </si>
  <si>
    <t>Accumulated</t>
  </si>
  <si>
    <t>Expensed</t>
  </si>
  <si>
    <t>Total Cost</t>
  </si>
  <si>
    <t>Depreciation</t>
  </si>
  <si>
    <t>(Capital)</t>
  </si>
  <si>
    <t>(Removal)</t>
  </si>
  <si>
    <t>(O&amp;M)</t>
  </si>
  <si>
    <t>to Restore</t>
  </si>
  <si>
    <t>Regular Time</t>
  </si>
  <si>
    <t>Dollars</t>
  </si>
  <si>
    <t>Hours</t>
  </si>
  <si>
    <t>Overtime</t>
  </si>
  <si>
    <t>Salary &amp; Wage</t>
  </si>
  <si>
    <t>ST Fringes</t>
  </si>
  <si>
    <t>Overheads</t>
  </si>
  <si>
    <t>OT Fringes</t>
  </si>
  <si>
    <t>Other Labor Fringes</t>
  </si>
  <si>
    <t>Incentives</t>
  </si>
  <si>
    <t>Construction/Retirement</t>
  </si>
  <si>
    <t>All Other Overheads</t>
  </si>
  <si>
    <t>Total Salary &amp; Wages</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</si>
  <si>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</si>
  <si>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</si>
  <si>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</si>
  <si>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</si>
  <si>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</si>
  <si>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</si>
  <si>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</si>
  <si>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</si>
  <si>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</si>
  <si>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</si>
  <si>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</si>
  <si>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</si>
  <si>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</si>
  <si>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</si>
  <si>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</si>
  <si>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</si>
  <si>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</si>
  <si>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</si>
  <si>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</si>
  <si>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</si>
  <si>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</si>
  <si>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</si>
  <si>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</si>
  <si>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</si>
  <si>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</si>
  <si>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</si>
  <si>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</si>
  <si>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</si>
  <si>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</si>
  <si>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</si>
  <si>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</si>
  <si>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</si>
  <si>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Asplundh Tree Expert</t>
  </si>
  <si>
    <t>Area Wide Protective</t>
  </si>
  <si>
    <t>Other Contractor</t>
  </si>
  <si>
    <t>TOTAL OUTSIDE CONTRACTED SERVICES</t>
  </si>
  <si>
    <t>Total Restoration Costs</t>
  </si>
  <si>
    <t>O/S from Bus Obj</t>
  </si>
  <si>
    <t>Total O/S</t>
  </si>
  <si>
    <t>Less: Asplundh (all O&amp;M)</t>
  </si>
  <si>
    <t>Total O/S for Splits</t>
  </si>
  <si>
    <t>O/S from Business Objects</t>
  </si>
  <si>
    <t>Less: Asplundh (All O&amp;M)</t>
  </si>
  <si>
    <t>Total for Splits</t>
  </si>
  <si>
    <t>% Split</t>
  </si>
  <si>
    <t>Capital</t>
  </si>
  <si>
    <t>Removal</t>
  </si>
  <si>
    <t>O&amp;M</t>
  </si>
  <si>
    <t>Ashland</t>
  </si>
  <si>
    <t>Pikeville</t>
  </si>
  <si>
    <t>Hazard</t>
  </si>
  <si>
    <t>Project</t>
  </si>
  <si>
    <t>Work Orders/WR #'s</t>
  </si>
  <si>
    <t>Pike Electric</t>
  </si>
  <si>
    <t>Incremental Fleet Calculation:</t>
  </si>
  <si>
    <t>2009 Storms 8 &amp; 9 - Total Fleet Cost</t>
  </si>
  <si>
    <t>2009 Storms 8 &amp; 9 - Calculated Incremental Fleet Cost</t>
  </si>
  <si>
    <t>Historical % Of Incremental to Total</t>
  </si>
  <si>
    <t>Less: Accrual not yet reversed</t>
  </si>
  <si>
    <t>Original Split</t>
  </si>
  <si>
    <t>see comment R62 for previous calc of Asplundh incremental O&amp;M</t>
  </si>
  <si>
    <t>Unallocated</t>
  </si>
  <si>
    <t>D.H. Elliot</t>
  </si>
  <si>
    <t>Other Bud Cat</t>
  </si>
  <si>
    <t>Thayer Power</t>
  </si>
  <si>
    <t>Davey Resource Group</t>
  </si>
  <si>
    <t>Illuminating Company</t>
  </si>
  <si>
    <t>Thunderstorm:  07/13/2015</t>
  </si>
  <si>
    <t>07/13/15 THUNDERSTORM TOTAL COST</t>
  </si>
  <si>
    <t>07/13/15 THUNDERSTORM INCREMENTAL COST</t>
  </si>
  <si>
    <t>Thunderstorm definition</t>
  </si>
  <si>
    <t>Cap 07% / Rem 01% / O&amp;M 92%</t>
  </si>
  <si>
    <t>DMS15KK07</t>
  </si>
  <si>
    <t>DKY0088666 / 58415988</t>
  </si>
  <si>
    <t>DHE non-incremental</t>
  </si>
  <si>
    <t>to back out</t>
  </si>
  <si>
    <t>Wright Tree Service</t>
  </si>
  <si>
    <t>NG Gilbert</t>
  </si>
  <si>
    <t>JF Electric</t>
  </si>
  <si>
    <t>Sumter Utilities</t>
  </si>
  <si>
    <t>Vaughn Industries</t>
  </si>
  <si>
    <t>William E Groves Construction Inc</t>
  </si>
  <si>
    <t>Quality Lines Inc</t>
  </si>
  <si>
    <t>T&amp;D Solutions LTD</t>
  </si>
  <si>
    <t>Harlan Electric Co</t>
  </si>
  <si>
    <t>New River Electrical Corp</t>
  </si>
  <si>
    <t>PPL Electric Utilities Corp</t>
  </si>
  <si>
    <t>Associated Diversified Services Inc</t>
  </si>
  <si>
    <t>Detroit Edison</t>
  </si>
  <si>
    <t>Utility Lines Construction Services</t>
  </si>
  <si>
    <t>je effect</t>
  </si>
  <si>
    <t>je change</t>
  </si>
  <si>
    <t>Cap 20% / Rem 05% / O&amp;M 75%</t>
  </si>
  <si>
    <t>Wind Storm definition</t>
  </si>
  <si>
    <t>Service Electric Company</t>
  </si>
  <si>
    <t>Roadsafe Traffic Systems Inc</t>
  </si>
  <si>
    <t>Robert Henry</t>
  </si>
  <si>
    <t>Groves Construction</t>
  </si>
  <si>
    <t>Asplundh Construction Corp</t>
  </si>
  <si>
    <t>Wind Storm:  05/01/2017</t>
  </si>
  <si>
    <t>05/01/17 WIND STORM TOTAL COST</t>
  </si>
  <si>
    <t>05/01/17 WIND STORM INCREMENTAL COST</t>
  </si>
  <si>
    <t>DKY0095399 / 65617844</t>
  </si>
  <si>
    <t>DMS17KK02</t>
  </si>
  <si>
    <t>Thunderstorm:  06/23/2017</t>
  </si>
  <si>
    <t>06/23/17 THUNDERSTORM TOTAL COST</t>
  </si>
  <si>
    <t>06/23/17 THUNDERSTORM INCREMENTAL COST</t>
  </si>
  <si>
    <t>DMS17KK03</t>
  </si>
  <si>
    <t>DKY0095992 / 66221306</t>
  </si>
  <si>
    <t>Cap 15% / Rem 02% / O&amp;M 83%</t>
  </si>
  <si>
    <t>Cap 31% / Rem 06% / O&amp;M 63%</t>
  </si>
  <si>
    <t>DTS Excavating</t>
  </si>
  <si>
    <t>Broadway Electric Serv Corp (BESCO)</t>
  </si>
  <si>
    <t>Five Star</t>
  </si>
  <si>
    <t>Cap 10% / Rem 05% / O&amp;M 85%</t>
  </si>
  <si>
    <t>Snow Storm definition</t>
  </si>
  <si>
    <t>DKY0098793 / 69009103/68999390</t>
  </si>
  <si>
    <t>DMS18KK03</t>
  </si>
  <si>
    <t>DKY0095992 / 69237899</t>
  </si>
  <si>
    <t>DMS18KK05</t>
  </si>
  <si>
    <t>DKY0095992 / 70437614</t>
  </si>
  <si>
    <t>DKY0095992 / 72618826</t>
  </si>
  <si>
    <t>DKY0095992 / 75539719</t>
  </si>
  <si>
    <t>Greg Hale</t>
  </si>
  <si>
    <t>Enviro-Pro</t>
  </si>
  <si>
    <t>West Interactive Services Corp</t>
  </si>
  <si>
    <t>DMS18KK01</t>
  </si>
  <si>
    <t>01/11/2020 Wind STORM TOTAL COST</t>
  </si>
  <si>
    <t>01/11/2020 Wind STORM INCREMENTAL COST</t>
  </si>
  <si>
    <t>Wind Storm:  01/11/2020</t>
  </si>
  <si>
    <t>Wind Storm:  02/24/2019</t>
  </si>
  <si>
    <t>02/24/2019 Wind STORM TOTAL COST</t>
  </si>
  <si>
    <t>02/24/2019 Wind STORM INCREMENTAL COST</t>
  </si>
  <si>
    <t>Wind Storm:  07/20/2018</t>
  </si>
  <si>
    <t>07/20/2018 Wind STORM TOTAL COST</t>
  </si>
  <si>
    <t>07/20/2018 Wind STORM INCREMENTAL COST</t>
  </si>
  <si>
    <t>04/04/2018 Wind STORM TOTAL COST</t>
  </si>
  <si>
    <t>04/04/2018 Wind STORM INCREMENTAL COST</t>
  </si>
  <si>
    <t>Wind Storm:  04/04/2018</t>
  </si>
  <si>
    <t>03/12/2018 Snow STORM TOTAL COST</t>
  </si>
  <si>
    <t>03/12/2018 Snow STORM INCREMENTAL COST</t>
  </si>
  <si>
    <t>Snow Storm:  03/12/2018</t>
  </si>
  <si>
    <t>Total</t>
  </si>
  <si>
    <t>Incremental</t>
  </si>
  <si>
    <t>Non-Incremental</t>
  </si>
  <si>
    <t>KENTUCKY POWER COMPANY</t>
  </si>
  <si>
    <t>2017-2020 MAJOR STORMS</t>
  </si>
  <si>
    <t>EXPENSE DEFERRAL REQUEST</t>
  </si>
  <si>
    <t>YTD April 2020</t>
  </si>
  <si>
    <t>Major Storms</t>
  </si>
  <si>
    <t>Storm Dates</t>
  </si>
  <si>
    <t>Source</t>
  </si>
  <si>
    <t>2020 Wind Storm</t>
  </si>
  <si>
    <t>2019 Wind Storm</t>
  </si>
  <si>
    <t>2018 Wind Storm #5</t>
  </si>
  <si>
    <t>2018 Wind Storm #3</t>
  </si>
  <si>
    <t>2018 Snow Storm</t>
  </si>
  <si>
    <t>2017 Thunderstorm</t>
  </si>
  <si>
    <t>2017 Wind Storm 2</t>
  </si>
  <si>
    <t>TOTAL MAJOR STORMS April 2017-March 2020</t>
  </si>
  <si>
    <t>BASE CASE STORM EXPENSE</t>
  </si>
  <si>
    <t>MAJOR STORM DEFERRAL REQUEST</t>
  </si>
  <si>
    <t>Yearly Breakout</t>
  </si>
  <si>
    <t>Incremental O&amp;M</t>
  </si>
  <si>
    <t>April 1 2019- March 31-2020</t>
  </si>
  <si>
    <t>April 1 2018-March 31, 2019</t>
  </si>
  <si>
    <t>April 1, 2017-March 31, 2018</t>
  </si>
  <si>
    <t>Exhibit 1; Page 2 of 8</t>
  </si>
  <si>
    <t>Exhibit 1; Page 3 of 8</t>
  </si>
  <si>
    <t>Exhibit 1; Page 4 of 8</t>
  </si>
  <si>
    <t>Exhibit 1; Page 5 of 8</t>
  </si>
  <si>
    <t>Exhibit 1; Page 6 of 8</t>
  </si>
  <si>
    <t>Exhibit 1; Page 7 of 8</t>
  </si>
  <si>
    <t>Exhibit 1; Page 8 of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</si>
</sst>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164" formatCode="#,##0.0_);[Red]\(#,##0.0\)"/>
    <numFmt numFmtId="165" formatCode="#,##0.0_);\(#,##0.0\)"/>
    <numFmt numFmtId="166" formatCode="0.000%"/>
    <numFmt numFmtId="167" formatCode="0.000000%"/>
    <numFmt numFmtId="168" formatCode="&quot;$&quot;#,##0"/>
    <numFmt numFmtId="169" formatCode="0.00000%"/>
    <numFmt numFmtId="170" formatCode="_(&quot;$&quot;* #,##0_);_(&quot;$&quot;* \(#,##0\);_(&quot;$&quot;* &quot;-&quot;??_);_(@_)"/>
  </numFmts>
  <fonts count="16" x14ac:knownFonts="1">
    <font>
      <sz val="10"/>
      <name val="Tahoma"/>
    </font>
    <font>
      <b/>
      <sz val="16"/>
      <name val="Tahoma"/>
      <family val="2"/>
    </font>
    <font>
      <b/>
      <sz val="10"/>
      <name val="Tahoma"/>
      <family val="2"/>
    </font>
    <font>
      <b/>
      <sz val="12"/>
      <name val="Tahoma"/>
      <family val="2"/>
    </font>
    <font>
      <b/>
      <i/>
      <sz val="8"/>
      <name val="Tahoma"/>
      <family val="2"/>
    </font>
    <font>
      <b/>
      <sz val="11"/>
      <name val="Tahoma"/>
      <family val="2"/>
    </font>
    <font>
      <sz val="10"/>
      <color indexed="8"/>
      <name val="Tahoma"/>
      <family val="2"/>
    </font>
    <font>
      <sz val="10"/>
      <name val="Tahoma"/>
      <family val="2"/>
    </font>
    <font>
      <sz val="8"/>
      <color indexed="81"/>
      <name val="Tahoma"/>
      <family val="2"/>
    </font>
    <font>
      <b/>
      <sz val="8"/>
      <color indexed="81"/>
      <name val="Tahoma"/>
      <family val="2"/>
    </font>
    <font>
      <b/>
      <i/>
      <sz val="10"/>
      <name val="Tahoma"/>
      <family val="2"/>
    </font>
    <font>
      <u/>
      <sz val="8"/>
      <color indexed="81"/>
      <name val="Tahoma"/>
      <family val="2"/>
    </font>
    <font>
      <strike/>
      <sz val="10"/>
      <name val="Tahoma"/>
      <family val="2"/>
    </font>
    <font>
      <i/>
      <sz val="10"/>
      <name val="Tahoma"/>
      <family val="2"/>
    </font>
    <font>
      <i/>
      <sz val="8"/>
      <name val="Tahoma"/>
      <family val="2"/>
    </font>
    <font>
      <u/>
      <sz val="10"/>
      <name val="Tahoma"/>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0.249977111117893"/>
        <bgColor indexed="64"/>
      </patternFill>
    </fill>
  </fills>
  <borders count="32">
    <border>
      <left/>
      <right/>
      <top/>
      <bottom/>
      <diagonal/>
    </border>
    <border>
      <left/>
      <right/>
      <top/>
      <bottom style="medium">
        <color indexed="64"/>
      </bottom>
      <diagonal/>
    </border>
    <border>
      <left/>
      <right/>
      <top style="mediumDashDotDot">
        <color indexed="64"/>
      </top>
      <bottom/>
      <diagonal/>
    </border>
    <border>
      <left style="mediumDashDotDot">
        <color indexed="64"/>
      </left>
      <right style="mediumDashDotDot">
        <color indexed="64"/>
      </right>
      <top style="mediumDashDotDot">
        <color indexed="64"/>
      </top>
      <bottom/>
      <diagonal/>
    </border>
    <border>
      <left style="mediumDashDotDot">
        <color indexed="64"/>
      </left>
      <right style="mediumDashDotDot">
        <color indexed="64"/>
      </right>
      <top/>
      <bottom/>
      <diagonal/>
    </border>
    <border>
      <left/>
      <right/>
      <top/>
      <bottom style="thin">
        <color indexed="64"/>
      </bottom>
      <diagonal/>
    </border>
    <border>
      <left/>
      <right/>
      <top style="thin">
        <color indexed="64"/>
      </top>
      <bottom/>
      <diagonal/>
    </border>
    <border>
      <left style="mediumDashDotDot">
        <color indexed="64"/>
      </left>
      <right style="mediumDashDotDot">
        <color indexed="64"/>
      </right>
      <top/>
      <bottom style="mediumDashDotDot">
        <color indexed="64"/>
      </bottom>
      <diagonal/>
    </border>
    <border>
      <left/>
      <right/>
      <top style="medium">
        <color indexed="64"/>
      </top>
      <bottom/>
      <diagonal/>
    </border>
    <border>
      <left/>
      <right/>
      <top style="medium">
        <color indexed="64"/>
      </top>
      <bottom style="mediumDashDotDot">
        <color indexed="64"/>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s>
  <cellStyleXfs count="3">
    <xf numFmtId="0" fontId="0" fillId="0" borderId="0"/>
    <xf numFmtId="0" fontId="7" fillId="0" borderId="0"/>
    <xf numFmtId="44" fontId="7" fillId="0" borderId="0" applyFont="0" applyFill="0" applyBorder="0" applyAlignment="0" applyProtection="0"/>
  </cellStyleXfs>
  <cellXfs count="140">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Protection="1"/>
    <xf numFmtId="0" fontId="0" fillId="2" borderId="0" xfId="0" applyFill="1" applyProtection="1"/>
    <xf numFmtId="0" fontId="5" fillId="0" borderId="0" xfId="0" applyFont="1" applyProtection="1"/>
    <xf numFmtId="0" fontId="2" fillId="0" borderId="0" xfId="0" applyFont="1" applyAlignment="1" applyProtection="1">
      <alignment horizontal="center"/>
    </xf>
    <xf numFmtId="0" fontId="2" fillId="0" borderId="1" xfId="0" applyFont="1" applyBorder="1" applyAlignment="1" applyProtection="1">
      <alignment horizontal="center"/>
    </xf>
    <xf numFmtId="0" fontId="2" fillId="2" borderId="0" xfId="0" applyFont="1" applyFill="1" applyAlignment="1" applyProtection="1">
      <alignment horizontal="center"/>
    </xf>
    <xf numFmtId="0" fontId="0" fillId="0" borderId="0" xfId="0" applyAlignment="1" applyProtection="1">
      <alignment horizontal="right"/>
    </xf>
    <xf numFmtId="42" fontId="0" fillId="0" borderId="0" xfId="0" applyNumberFormat="1" applyFill="1" applyProtection="1"/>
    <xf numFmtId="42" fontId="0" fillId="0" borderId="0" xfId="0" applyNumberFormat="1" applyProtection="1"/>
    <xf numFmtId="164" fontId="0" fillId="0" borderId="2" xfId="0" applyNumberFormat="1" applyFill="1" applyBorder="1" applyProtection="1"/>
    <xf numFmtId="164" fontId="0" fillId="0" borderId="2" xfId="0" applyNumberFormat="1" applyBorder="1" applyProtection="1"/>
    <xf numFmtId="0" fontId="0" fillId="0" borderId="0" xfId="0" applyFill="1" applyProtection="1"/>
    <xf numFmtId="0" fontId="10" fillId="3" borderId="3" xfId="0" applyFont="1" applyFill="1" applyBorder="1" applyAlignment="1" applyProtection="1">
      <alignment horizontal="center"/>
    </xf>
    <xf numFmtId="0" fontId="0" fillId="0" borderId="4" xfId="0" applyBorder="1" applyProtection="1"/>
    <xf numFmtId="0" fontId="0" fillId="0" borderId="0" xfId="0" applyFill="1" applyAlignment="1" applyProtection="1">
      <alignment horizontal="right"/>
    </xf>
    <xf numFmtId="168" fontId="0" fillId="0" borderId="4" xfId="0" applyNumberFormat="1" applyBorder="1" applyAlignment="1" applyProtection="1">
      <alignment horizontal="center"/>
    </xf>
    <xf numFmtId="42" fontId="6" fillId="0" borderId="0" xfId="0" applyNumberFormat="1" applyFont="1" applyFill="1" applyProtection="1"/>
    <xf numFmtId="42" fontId="0" fillId="0" borderId="5" xfId="0" applyNumberFormat="1" applyFill="1" applyBorder="1" applyProtection="1"/>
    <xf numFmtId="42" fontId="0" fillId="0" borderId="5" xfId="0" applyNumberFormat="1" applyBorder="1" applyProtection="1"/>
    <xf numFmtId="42" fontId="2" fillId="0" borderId="0" xfId="0" applyNumberFormat="1" applyFont="1" applyFill="1" applyProtection="1"/>
    <xf numFmtId="42" fontId="2" fillId="0" borderId="0" xfId="0" applyNumberFormat="1" applyFont="1" applyProtection="1"/>
    <xf numFmtId="42" fontId="2" fillId="0" borderId="6" xfId="0" applyNumberFormat="1" applyFont="1" applyFill="1" applyBorder="1" applyProtection="1"/>
    <xf numFmtId="42" fontId="2" fillId="0" borderId="6" xfId="0" applyNumberFormat="1" applyFont="1" applyBorder="1" applyProtection="1"/>
    <xf numFmtId="0" fontId="0" fillId="0" borderId="0" xfId="0" applyNumberFormat="1" applyFill="1" applyProtection="1"/>
    <xf numFmtId="169" fontId="2" fillId="0" borderId="7" xfId="0" applyNumberFormat="1" applyFont="1" applyBorder="1" applyAlignment="1" applyProtection="1">
      <alignment horizontal="center"/>
    </xf>
    <xf numFmtId="42" fontId="0" fillId="0" borderId="0" xfId="0" applyNumberFormat="1" applyFill="1" applyBorder="1" applyProtection="1"/>
    <xf numFmtId="42" fontId="7" fillId="0" borderId="1" xfId="0" applyNumberFormat="1" applyFont="1" applyBorder="1" applyProtection="1"/>
    <xf numFmtId="42" fontId="2" fillId="0" borderId="8" xfId="0" applyNumberFormat="1" applyFont="1" applyBorder="1" applyProtection="1"/>
    <xf numFmtId="0" fontId="2" fillId="2" borderId="8" xfId="0" applyFont="1" applyFill="1" applyBorder="1" applyProtection="1"/>
    <xf numFmtId="164" fontId="0" fillId="0" borderId="0" xfId="0" applyNumberFormat="1" applyProtection="1"/>
    <xf numFmtId="164" fontId="0" fillId="0" borderId="0" xfId="0" applyNumberFormat="1" applyFill="1" applyProtection="1"/>
    <xf numFmtId="42" fontId="0" fillId="4" borderId="0" xfId="0" applyNumberFormat="1" applyFill="1" applyProtection="1"/>
    <xf numFmtId="37" fontId="0" fillId="0" borderId="0" xfId="0" applyNumberFormat="1" applyProtection="1"/>
    <xf numFmtId="164" fontId="0" fillId="0" borderId="0" xfId="0" applyNumberFormat="1" applyFill="1" applyBorder="1" applyProtection="1"/>
    <xf numFmtId="0" fontId="0" fillId="0" borderId="0" xfId="0" applyBorder="1" applyProtection="1"/>
    <xf numFmtId="42" fontId="2" fillId="0" borderId="9" xfId="0" applyNumberFormat="1" applyFont="1" applyBorder="1" applyProtection="1"/>
    <xf numFmtId="42" fontId="7" fillId="0" borderId="0" xfId="0" applyNumberFormat="1" applyFont="1" applyBorder="1" applyProtection="1"/>
    <xf numFmtId="37" fontId="2" fillId="0" borderId="2" xfId="0" applyNumberFormat="1" applyFont="1" applyBorder="1" applyProtection="1"/>
    <xf numFmtId="165" fontId="2" fillId="0" borderId="0" xfId="0" applyNumberFormat="1" applyFont="1" applyBorder="1" applyProtection="1"/>
    <xf numFmtId="0" fontId="2" fillId="2" borderId="0" xfId="0" applyFont="1" applyFill="1" applyBorder="1" applyProtection="1"/>
    <xf numFmtId="165" fontId="2" fillId="0" borderId="2" xfId="0" applyNumberFormat="1" applyFont="1" applyBorder="1" applyProtection="1"/>
    <xf numFmtId="42" fontId="2" fillId="0" borderId="10" xfId="0" applyNumberFormat="1" applyFont="1" applyBorder="1" applyProtection="1"/>
    <xf numFmtId="42" fontId="2" fillId="2" borderId="10" xfId="0" applyNumberFormat="1" applyFont="1" applyFill="1" applyBorder="1" applyProtection="1"/>
    <xf numFmtId="166" fontId="0" fillId="0" borderId="0" xfId="0" applyNumberFormat="1" applyProtection="1"/>
    <xf numFmtId="0" fontId="0" fillId="0" borderId="0" xfId="0" quotePrefix="1" applyFill="1" applyBorder="1" applyAlignment="1" applyProtection="1">
      <alignment horizontal="center"/>
    </xf>
    <xf numFmtId="38" fontId="0" fillId="0" borderId="0" xfId="0" applyNumberFormat="1" applyFill="1" applyBorder="1" applyProtection="1"/>
    <xf numFmtId="0" fontId="0" fillId="0" borderId="11" xfId="0" applyBorder="1" applyProtection="1"/>
    <xf numFmtId="0" fontId="0" fillId="0" borderId="12" xfId="0" applyBorder="1" applyProtection="1"/>
    <xf numFmtId="167" fontId="0" fillId="0" borderId="12" xfId="0" applyNumberFormat="1" applyBorder="1" applyProtection="1"/>
    <xf numFmtId="0" fontId="0" fillId="0" borderId="13" xfId="0" applyBorder="1" applyProtection="1"/>
    <xf numFmtId="0" fontId="0" fillId="0" borderId="14" xfId="0" applyBorder="1" applyProtection="1"/>
    <xf numFmtId="0" fontId="0" fillId="0" borderId="15" xfId="0" applyBorder="1" applyProtection="1"/>
    <xf numFmtId="38" fontId="0" fillId="0" borderId="15" xfId="0" applyNumberFormat="1" applyBorder="1" applyProtection="1"/>
    <xf numFmtId="0" fontId="0" fillId="5" borderId="14" xfId="0" applyFill="1" applyBorder="1" applyProtection="1"/>
    <xf numFmtId="38" fontId="0" fillId="5" borderId="18" xfId="0" applyNumberFormat="1" applyFill="1" applyBorder="1" applyProtection="1"/>
    <xf numFmtId="38" fontId="0" fillId="5" borderId="0" xfId="0" applyNumberFormat="1" applyFill="1" applyBorder="1" applyProtection="1"/>
    <xf numFmtId="38" fontId="0" fillId="0" borderId="19" xfId="0" applyNumberFormat="1" applyBorder="1" applyProtection="1"/>
    <xf numFmtId="38" fontId="0" fillId="0" borderId="5" xfId="0" applyNumberFormat="1" applyBorder="1" applyProtection="1"/>
    <xf numFmtId="38" fontId="0" fillId="0" borderId="0" xfId="0" applyNumberFormat="1" applyProtection="1"/>
    <xf numFmtId="38" fontId="0" fillId="0" borderId="0" xfId="0" applyNumberFormat="1" applyBorder="1" applyProtection="1"/>
    <xf numFmtId="38" fontId="0" fillId="0" borderId="20" xfId="0" applyNumberFormat="1" applyBorder="1" applyProtection="1"/>
    <xf numFmtId="0" fontId="0" fillId="0" borderId="0" xfId="0" applyFill="1" applyBorder="1" applyAlignment="1" applyProtection="1">
      <alignment horizontal="center"/>
    </xf>
    <xf numFmtId="167" fontId="0" fillId="0" borderId="18" xfId="0" applyNumberFormat="1" applyBorder="1" applyProtection="1"/>
    <xf numFmtId="0" fontId="0" fillId="0" borderId="21" xfId="0" applyBorder="1" applyProtection="1"/>
    <xf numFmtId="0" fontId="0" fillId="0" borderId="22" xfId="0" applyBorder="1" applyProtection="1"/>
    <xf numFmtId="38" fontId="7" fillId="0" borderId="22" xfId="0" applyNumberFormat="1" applyFont="1" applyBorder="1" applyAlignment="1" applyProtection="1">
      <alignment horizontal="center"/>
    </xf>
    <xf numFmtId="38" fontId="0" fillId="0" borderId="23" xfId="0" applyNumberFormat="1" applyBorder="1" applyProtection="1"/>
    <xf numFmtId="0" fontId="0" fillId="0" borderId="0" xfId="0" applyFill="1" applyBorder="1" applyProtection="1"/>
    <xf numFmtId="38" fontId="0" fillId="0" borderId="16" xfId="0" applyNumberFormat="1" applyBorder="1" applyProtection="1"/>
    <xf numFmtId="38" fontId="0" fillId="0" borderId="17" xfId="0" applyNumberFormat="1" applyBorder="1" applyProtection="1"/>
    <xf numFmtId="38" fontId="0" fillId="0" borderId="12" xfId="0" applyNumberFormat="1" applyBorder="1" applyProtection="1"/>
    <xf numFmtId="167" fontId="0" fillId="0" borderId="0" xfId="0" applyNumberFormat="1" applyFill="1" applyBorder="1" applyProtection="1"/>
    <xf numFmtId="38" fontId="7" fillId="0" borderId="0" xfId="0" applyNumberFormat="1" applyFont="1" applyFill="1" applyBorder="1" applyAlignment="1" applyProtection="1">
      <alignment horizontal="center"/>
    </xf>
    <xf numFmtId="168" fontId="0" fillId="0" borderId="0" xfId="0" applyNumberFormat="1" applyFill="1" applyAlignment="1" applyProtection="1">
      <alignment horizontal="right"/>
    </xf>
    <xf numFmtId="14" fontId="0" fillId="0" borderId="0" xfId="0" applyNumberFormat="1" applyFill="1" applyBorder="1" applyProtection="1"/>
    <xf numFmtId="42" fontId="2" fillId="0" borderId="10" xfId="0" applyNumberFormat="1" applyFont="1" applyFill="1" applyBorder="1" applyProtection="1"/>
    <xf numFmtId="0" fontId="10" fillId="0" borderId="0" xfId="0" applyFont="1" applyFill="1" applyProtection="1"/>
    <xf numFmtId="0" fontId="4" fillId="0" borderId="0" xfId="0" applyFont="1" applyFill="1" applyAlignment="1" applyProtection="1">
      <alignment horizontal="right"/>
    </xf>
    <xf numFmtId="42" fontId="0" fillId="0" borderId="0" xfId="0" applyNumberFormat="1" applyBorder="1" applyProtection="1"/>
    <xf numFmtId="0" fontId="2" fillId="0" borderId="0" xfId="0" applyFont="1" applyFill="1" applyBorder="1" applyAlignment="1" applyProtection="1">
      <alignment horizontal="center"/>
    </xf>
    <xf numFmtId="0" fontId="2" fillId="0" borderId="0" xfId="0" applyFont="1" applyBorder="1" applyAlignment="1" applyProtection="1">
      <alignment horizontal="center"/>
    </xf>
    <xf numFmtId="164" fontId="0" fillId="0" borderId="0" xfId="0" applyNumberFormat="1" applyBorder="1" applyProtection="1"/>
    <xf numFmtId="42" fontId="2" fillId="0" borderId="0" xfId="0" applyNumberFormat="1" applyFont="1" applyBorder="1" applyProtection="1"/>
    <xf numFmtId="0" fontId="2" fillId="0" borderId="0" xfId="0" applyFont="1" applyFill="1" applyAlignment="1" applyProtection="1">
      <alignment horizontal="center"/>
    </xf>
    <xf numFmtId="38" fontId="12" fillId="0" borderId="0" xfId="0" applyNumberFormat="1" applyFont="1" applyFill="1" applyBorder="1" applyProtection="1"/>
    <xf numFmtId="0" fontId="12" fillId="0" borderId="0" xfId="0" applyFont="1" applyBorder="1" applyProtection="1"/>
    <xf numFmtId="38" fontId="12" fillId="0" borderId="0" xfId="0" applyNumberFormat="1" applyFont="1" applyBorder="1" applyProtection="1"/>
    <xf numFmtId="0" fontId="7" fillId="0" borderId="0" xfId="0" applyFont="1" applyProtection="1"/>
    <xf numFmtId="0" fontId="13" fillId="0" borderId="0" xfId="0" applyFont="1" applyProtection="1"/>
    <xf numFmtId="0" fontId="7" fillId="0" borderId="0" xfId="0" applyFont="1" applyFill="1" applyProtection="1"/>
    <xf numFmtId="0" fontId="14" fillId="0" borderId="0" xfId="0" applyFont="1" applyBorder="1" applyAlignment="1" applyProtection="1">
      <alignment horizontal="center"/>
    </xf>
    <xf numFmtId="38" fontId="7" fillId="0" borderId="0" xfId="0" applyNumberFormat="1" applyFont="1" applyFill="1" applyBorder="1" applyProtection="1"/>
    <xf numFmtId="0" fontId="7" fillId="0" borderId="0" xfId="0" applyFont="1" applyBorder="1" applyProtection="1"/>
    <xf numFmtId="165" fontId="2" fillId="0" borderId="8" xfId="0" applyNumberFormat="1" applyFont="1" applyBorder="1" applyProtection="1"/>
    <xf numFmtId="0" fontId="0" fillId="6" borderId="0" xfId="0" applyFill="1" applyProtection="1"/>
    <xf numFmtId="0" fontId="7" fillId="6" borderId="0" xfId="0" applyFont="1" applyFill="1" applyProtection="1"/>
    <xf numFmtId="0" fontId="2" fillId="0" borderId="1" xfId="0" applyFont="1" applyFill="1" applyBorder="1" applyAlignment="1" applyProtection="1">
      <alignment horizontal="center"/>
    </xf>
    <xf numFmtId="0" fontId="7" fillId="0" borderId="0" xfId="1"/>
    <xf numFmtId="0" fontId="7" fillId="0" borderId="0" xfId="1" applyAlignment="1">
      <alignment horizontal="center"/>
    </xf>
    <xf numFmtId="0" fontId="15" fillId="0" borderId="0" xfId="1" applyFont="1" applyBorder="1" applyAlignment="1">
      <alignment horizontal="center"/>
    </xf>
    <xf numFmtId="0" fontId="7" fillId="0" borderId="0" xfId="1" applyFont="1"/>
    <xf numFmtId="14" fontId="7" fillId="0" borderId="0" xfId="1" applyNumberFormat="1" applyFont="1"/>
    <xf numFmtId="42" fontId="7" fillId="0" borderId="0" xfId="1" applyNumberFormat="1"/>
    <xf numFmtId="14" fontId="7" fillId="0" borderId="0" xfId="1" applyNumberFormat="1"/>
    <xf numFmtId="3" fontId="7" fillId="0" borderId="0" xfId="1" applyNumberFormat="1"/>
    <xf numFmtId="14" fontId="7" fillId="0" borderId="0" xfId="1" applyNumberFormat="1" applyFont="1" applyAlignment="1">
      <alignment horizontal="right"/>
    </xf>
    <xf numFmtId="42" fontId="7" fillId="0" borderId="0" xfId="1" applyNumberFormat="1" applyBorder="1"/>
    <xf numFmtId="170" fontId="0" fillId="0" borderId="5" xfId="2" applyNumberFormat="1" applyFont="1" applyBorder="1"/>
    <xf numFmtId="42" fontId="7" fillId="0" borderId="18" xfId="1" applyNumberFormat="1" applyBorder="1"/>
    <xf numFmtId="0" fontId="3" fillId="0" borderId="27" xfId="1" applyFont="1" applyBorder="1" applyAlignment="1">
      <alignment horizontal="center"/>
    </xf>
    <xf numFmtId="0" fontId="3" fillId="0" borderId="0" xfId="1" applyFont="1" applyBorder="1" applyAlignment="1">
      <alignment horizontal="center"/>
    </xf>
    <xf numFmtId="0" fontId="3" fillId="0" borderId="28" xfId="1" applyFont="1" applyBorder="1" applyAlignment="1">
      <alignment horizontal="center"/>
    </xf>
    <xf numFmtId="0" fontId="7" fillId="0" borderId="27" xfId="1" applyBorder="1"/>
    <xf numFmtId="0" fontId="7" fillId="0" borderId="0" xfId="1" applyBorder="1"/>
    <xf numFmtId="0" fontId="7" fillId="0" borderId="28" xfId="1" applyFont="1" applyBorder="1"/>
    <xf numFmtId="0" fontId="7" fillId="0" borderId="28" xfId="1" applyBorder="1"/>
    <xf numFmtId="0" fontId="7" fillId="0" borderId="27" xfId="1" applyFont="1" applyBorder="1"/>
    <xf numFmtId="42" fontId="7" fillId="0" borderId="28" xfId="1" applyNumberFormat="1" applyBorder="1"/>
    <xf numFmtId="0" fontId="7" fillId="0" borderId="29" xfId="1" applyBorder="1"/>
    <xf numFmtId="0" fontId="7" fillId="0" borderId="30" xfId="1" applyBorder="1"/>
    <xf numFmtId="42" fontId="7" fillId="0" borderId="31" xfId="1" applyNumberFormat="1" applyBorder="1"/>
    <xf numFmtId="42" fontId="7" fillId="0" borderId="0" xfId="1" applyNumberFormat="1" applyFill="1" applyProtection="1"/>
    <xf numFmtId="42" fontId="7" fillId="0" borderId="0" xfId="1" applyNumberFormat="1" applyProtection="1"/>
    <xf numFmtId="164" fontId="7" fillId="0" borderId="2" xfId="1" applyNumberFormat="1" applyFill="1" applyBorder="1" applyProtection="1"/>
    <xf numFmtId="164" fontId="7" fillId="0" borderId="2" xfId="1" applyNumberFormat="1" applyBorder="1" applyProtection="1"/>
    <xf numFmtId="0" fontId="7" fillId="0" borderId="0" xfId="1" applyFill="1" applyProtection="1"/>
    <xf numFmtId="0" fontId="7" fillId="0" borderId="0" xfId="1" applyProtection="1"/>
    <xf numFmtId="0" fontId="0" fillId="5" borderId="0" xfId="0" applyFill="1" applyBorder="1" applyProtection="1"/>
    <xf numFmtId="42" fontId="7" fillId="0" borderId="5" xfId="1" applyNumberFormat="1" applyFill="1" applyBorder="1" applyProtection="1"/>
    <xf numFmtId="42" fontId="7" fillId="0" borderId="5" xfId="1" applyNumberFormat="1" applyBorder="1" applyProtection="1"/>
    <xf numFmtId="0" fontId="2" fillId="0" borderId="1" xfId="0" applyFont="1" applyFill="1" applyBorder="1" applyAlignment="1" applyProtection="1">
      <alignment horizontal="center"/>
    </xf>
    <xf numFmtId="0" fontId="2" fillId="0" borderId="0" xfId="1" applyFont="1" applyAlignment="1">
      <alignment horizontal="center"/>
    </xf>
    <xf numFmtId="0" fontId="3" fillId="0" borderId="24" xfId="1" applyFont="1" applyBorder="1" applyAlignment="1">
      <alignment horizontal="center"/>
    </xf>
    <xf numFmtId="0" fontId="3" fillId="0" borderId="25" xfId="1" applyFont="1" applyBorder="1" applyAlignment="1">
      <alignment horizontal="center"/>
    </xf>
    <xf numFmtId="0" fontId="3" fillId="0" borderId="26" xfId="1" applyFont="1" applyBorder="1" applyAlignment="1">
      <alignment horizontal="center"/>
    </xf>
    <xf numFmtId="0" fontId="2" fillId="0" borderId="0" xfId="0" applyFont="1" applyAlignment="1" applyProtection="1">
      <alignment horizontal="left" vertical="center"/>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504825</xdr:colOff>
      <xdr:row>9</xdr:row>
      <xdr:rowOff>122398</xdr:rowOff>
    </xdr:from>
    <xdr:ext cx="4438650" cy="2628220"/>
    <xdr:sp macro="" textlink="">
      <xdr:nvSpPr>
        <xdr:cNvPr id="2" name="Rectangle 1"/>
        <xdr:cNvSpPr/>
      </xdr:nvSpPr>
      <xdr:spPr>
        <a:xfrm rot="19270028">
          <a:off x="561975" y="1694023"/>
          <a:ext cx="4438650" cy="2628220"/>
        </a:xfrm>
        <a:prstGeom prst="rect">
          <a:avLst/>
        </a:prstGeom>
        <a:noFill/>
      </xdr:spPr>
      <xdr:txBody>
        <a:bodyPr wrap="squar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DATA NOT FULLY UPDATED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95"/>
  <sheetViews>
    <sheetView zoomScaleNormal="100" workbookViewId="0">
      <selection activeCell="J93" sqref="A9:J93"/>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0" width="2.5546875" style="3" customWidth="1"/>
    <col min="11" max="16384" width="9.109375" style="3"/>
  </cols>
  <sheetData>
    <row r="1" spans="2:10" x14ac:dyDescent="0.25">
      <c r="E1" s="2"/>
      <c r="F1" s="2"/>
    </row>
    <row r="2" spans="2:10" ht="21" thickBot="1" x14ac:dyDescent="0.4">
      <c r="B2" s="1" t="s">
        <v>0</v>
      </c>
      <c r="C2" s="2"/>
      <c r="D2" s="2"/>
      <c r="E2" s="2"/>
      <c r="F2" s="2"/>
      <c r="G2" s="100"/>
      <c r="H2" s="134"/>
      <c r="I2" s="134"/>
      <c r="J2" s="83"/>
    </row>
    <row r="3" spans="2:10" ht="20.399999999999999" x14ac:dyDescent="0.35">
      <c r="B3" s="1" t="s">
        <v>1</v>
      </c>
      <c r="C3" s="2"/>
      <c r="D3" s="2"/>
    </row>
    <row r="4" spans="2:10" x14ac:dyDescent="0.25">
      <c r="B4" s="2" t="s">
        <v>161</v>
      </c>
      <c r="C4" s="2"/>
      <c r="D4" s="2"/>
      <c r="G4" s="7" t="s">
        <v>4</v>
      </c>
      <c r="H4" s="7" t="s">
        <v>5</v>
      </c>
      <c r="I4" s="7" t="s">
        <v>6</v>
      </c>
      <c r="J4" s="7"/>
    </row>
    <row r="5" spans="2:10" ht="15" x14ac:dyDescent="0.25">
      <c r="B5" s="4"/>
      <c r="C5" s="2"/>
      <c r="D5" s="4" t="s">
        <v>2</v>
      </c>
      <c r="G5" s="7" t="s">
        <v>12</v>
      </c>
      <c r="H5" s="7" t="s">
        <v>12</v>
      </c>
      <c r="I5" s="7" t="s">
        <v>13</v>
      </c>
      <c r="J5" s="7"/>
    </row>
    <row r="6" spans="2:10" x14ac:dyDescent="0.25">
      <c r="D6" s="81"/>
      <c r="E6" s="15"/>
      <c r="G6" s="7" t="s">
        <v>174</v>
      </c>
      <c r="H6" s="7" t="s">
        <v>175</v>
      </c>
      <c r="I6" s="7" t="s">
        <v>176</v>
      </c>
      <c r="J6" s="7"/>
    </row>
    <row r="7" spans="2:10" ht="13.8" thickBot="1" x14ac:dyDescent="0.3">
      <c r="B7" s="2"/>
      <c r="E7" s="15"/>
      <c r="G7" s="8" t="s">
        <v>17</v>
      </c>
      <c r="H7" s="8" t="s">
        <v>17</v>
      </c>
      <c r="I7" s="8" t="s">
        <v>17</v>
      </c>
      <c r="J7" s="84"/>
    </row>
    <row r="8" spans="2:10" ht="5.0999999999999996" customHeight="1" x14ac:dyDescent="0.25">
      <c r="B8" s="2"/>
      <c r="E8" s="15"/>
      <c r="G8" s="9"/>
      <c r="H8" s="9"/>
      <c r="I8" s="9"/>
      <c r="J8" s="87"/>
    </row>
    <row r="9" spans="2:10" ht="14.4" thickBot="1" x14ac:dyDescent="0.3">
      <c r="B9" s="6" t="s">
        <v>3</v>
      </c>
      <c r="D9" s="3" t="s">
        <v>19</v>
      </c>
      <c r="E9" s="18" t="s">
        <v>20</v>
      </c>
      <c r="G9" s="11">
        <v>13752</v>
      </c>
      <c r="H9" s="11">
        <v>0</v>
      </c>
      <c r="I9" s="11">
        <f>G9-H9</f>
        <v>13752</v>
      </c>
      <c r="J9" s="12"/>
    </row>
    <row r="10" spans="2:10" x14ac:dyDescent="0.25">
      <c r="B10" s="2" t="s">
        <v>9</v>
      </c>
      <c r="E10" s="18" t="s">
        <v>21</v>
      </c>
      <c r="G10" s="13">
        <v>307.8</v>
      </c>
      <c r="H10" s="13">
        <v>307.8</v>
      </c>
      <c r="I10" s="13">
        <f t="shared" ref="I10:I73" si="0">G10-H10</f>
        <v>0</v>
      </c>
      <c r="J10" s="85"/>
    </row>
    <row r="11" spans="2:10" x14ac:dyDescent="0.25">
      <c r="E11" s="18"/>
      <c r="G11" s="15"/>
      <c r="H11" s="15"/>
      <c r="I11" s="15"/>
    </row>
    <row r="12" spans="2:10" ht="13.8" thickBot="1" x14ac:dyDescent="0.3">
      <c r="D12" s="3" t="s">
        <v>22</v>
      </c>
      <c r="E12" s="18" t="s">
        <v>20</v>
      </c>
      <c r="G12" s="11">
        <v>112923</v>
      </c>
      <c r="H12" s="11">
        <v>112923</v>
      </c>
      <c r="I12" s="11">
        <f t="shared" si="0"/>
        <v>0</v>
      </c>
      <c r="J12" s="12"/>
    </row>
    <row r="13" spans="2:10" x14ac:dyDescent="0.25">
      <c r="E13" s="18" t="s">
        <v>21</v>
      </c>
      <c r="G13" s="13">
        <v>1830.2</v>
      </c>
      <c r="H13" s="13">
        <v>1830.2</v>
      </c>
      <c r="I13" s="13">
        <f t="shared" si="0"/>
        <v>0</v>
      </c>
      <c r="J13" s="85"/>
    </row>
    <row r="14" spans="2:10" x14ac:dyDescent="0.25">
      <c r="E14" s="15"/>
      <c r="G14" s="15"/>
      <c r="H14" s="15"/>
      <c r="I14" s="15"/>
    </row>
    <row r="15" spans="2:10" x14ac:dyDescent="0.25">
      <c r="D15" s="3" t="s">
        <v>23</v>
      </c>
      <c r="E15" s="18" t="s">
        <v>24</v>
      </c>
      <c r="G15" s="11">
        <v>3277.0683585755219</v>
      </c>
      <c r="H15" s="11">
        <v>0</v>
      </c>
      <c r="I15" s="11">
        <f t="shared" si="0"/>
        <v>3277.0683585755219</v>
      </c>
      <c r="J15" s="12"/>
    </row>
    <row r="16" spans="2:10" x14ac:dyDescent="0.25">
      <c r="D16" s="3" t="s">
        <v>25</v>
      </c>
      <c r="E16" s="18" t="s">
        <v>26</v>
      </c>
      <c r="G16" s="11">
        <v>7979.57123193393</v>
      </c>
      <c r="H16" s="11">
        <v>7979.57123193393</v>
      </c>
      <c r="I16" s="11">
        <f t="shared" si="0"/>
        <v>0</v>
      </c>
      <c r="J16" s="12"/>
    </row>
    <row r="17" spans="2:10" x14ac:dyDescent="0.25">
      <c r="E17" s="18" t="s">
        <v>27</v>
      </c>
      <c r="G17" s="11">
        <v>1993.2034383954153</v>
      </c>
      <c r="H17" s="11">
        <v>0</v>
      </c>
      <c r="I17" s="11">
        <f t="shared" si="0"/>
        <v>1993.2034383954153</v>
      </c>
      <c r="J17" s="12"/>
    </row>
    <row r="18" spans="2:10" x14ac:dyDescent="0.25">
      <c r="E18" s="18" t="s">
        <v>28</v>
      </c>
      <c r="G18" s="11">
        <v>29294</v>
      </c>
      <c r="H18" s="11">
        <v>0</v>
      </c>
      <c r="I18" s="11">
        <f t="shared" si="0"/>
        <v>29294</v>
      </c>
      <c r="J18" s="12"/>
    </row>
    <row r="19" spans="2:10" x14ac:dyDescent="0.25">
      <c r="E19" s="18" t="s">
        <v>29</v>
      </c>
      <c r="G19" s="11">
        <v>0</v>
      </c>
      <c r="H19" s="11">
        <v>0</v>
      </c>
      <c r="I19" s="11">
        <f t="shared" si="0"/>
        <v>0</v>
      </c>
      <c r="J19" s="12"/>
    </row>
    <row r="20" spans="2:10" x14ac:dyDescent="0.25">
      <c r="E20" s="18" t="s">
        <v>30</v>
      </c>
      <c r="G20" s="21">
        <v>2622</v>
      </c>
      <c r="H20" s="11">
        <v>0</v>
      </c>
      <c r="I20" s="11">
        <f t="shared" si="0"/>
        <v>2622</v>
      </c>
      <c r="J20" s="12"/>
    </row>
    <row r="21" spans="2:10" x14ac:dyDescent="0.25">
      <c r="D21" s="2" t="s">
        <v>31</v>
      </c>
      <c r="E21" s="18"/>
      <c r="G21" s="23">
        <v>171840.84302890487</v>
      </c>
      <c r="H21" s="25">
        <v>120902.57123193394</v>
      </c>
      <c r="I21" s="25">
        <f t="shared" si="0"/>
        <v>50938.271796970934</v>
      </c>
      <c r="J21" s="86"/>
    </row>
    <row r="22" spans="2:10" x14ac:dyDescent="0.25">
      <c r="E22" s="18"/>
      <c r="G22" s="11"/>
      <c r="H22" s="11"/>
      <c r="I22" s="11">
        <f t="shared" si="0"/>
        <v>0</v>
      </c>
      <c r="J22" s="12"/>
    </row>
    <row r="23" spans="2:10" x14ac:dyDescent="0.25">
      <c r="B23" s="2" t="s">
        <v>32</v>
      </c>
      <c r="E23" s="18" t="s">
        <v>33</v>
      </c>
      <c r="G23" s="21">
        <v>43736</v>
      </c>
      <c r="H23" s="21">
        <v>2779.1618084135353</v>
      </c>
      <c r="I23" s="21">
        <f t="shared" si="0"/>
        <v>40956.838191586467</v>
      </c>
      <c r="J23" s="29"/>
    </row>
    <row r="24" spans="2:10" x14ac:dyDescent="0.25">
      <c r="B24" s="2"/>
      <c r="D24" s="2" t="s">
        <v>34</v>
      </c>
      <c r="E24" s="18"/>
      <c r="G24" s="23">
        <v>43736</v>
      </c>
      <c r="H24" s="23">
        <v>2779.1618084135353</v>
      </c>
      <c r="I24" s="23">
        <f t="shared" si="0"/>
        <v>40956.838191586467</v>
      </c>
      <c r="J24" s="24"/>
    </row>
    <row r="25" spans="2:10" x14ac:dyDescent="0.25">
      <c r="B25" s="2"/>
      <c r="E25" s="15"/>
      <c r="G25" s="15"/>
      <c r="H25" s="15"/>
      <c r="I25" s="15"/>
    </row>
    <row r="26" spans="2:10" x14ac:dyDescent="0.25">
      <c r="B26" s="2" t="s">
        <v>35</v>
      </c>
      <c r="E26" s="18" t="s">
        <v>36</v>
      </c>
      <c r="F26" s="15"/>
      <c r="G26" s="11">
        <v>1484</v>
      </c>
      <c r="H26" s="29">
        <v>0</v>
      </c>
      <c r="I26" s="29">
        <f t="shared" si="0"/>
        <v>1484</v>
      </c>
      <c r="J26" s="12"/>
    </row>
    <row r="27" spans="2:10" x14ac:dyDescent="0.25">
      <c r="B27" s="2"/>
      <c r="E27" s="18" t="s">
        <v>37</v>
      </c>
      <c r="G27" s="11">
        <v>2243</v>
      </c>
      <c r="H27" s="11">
        <v>2243</v>
      </c>
      <c r="I27" s="11">
        <f t="shared" si="0"/>
        <v>0</v>
      </c>
      <c r="J27" s="12"/>
    </row>
    <row r="28" spans="2:10" x14ac:dyDescent="0.25">
      <c r="B28" s="2"/>
      <c r="E28" s="15" t="s">
        <v>38</v>
      </c>
      <c r="G28" s="11">
        <v>0</v>
      </c>
      <c r="H28" s="11">
        <v>0</v>
      </c>
      <c r="I28" s="11">
        <f t="shared" si="0"/>
        <v>0</v>
      </c>
      <c r="J28" s="12"/>
    </row>
    <row r="29" spans="2:10" x14ac:dyDescent="0.25">
      <c r="B29" s="2"/>
      <c r="E29" s="18" t="s">
        <v>39</v>
      </c>
      <c r="G29" s="11">
        <v>1617</v>
      </c>
      <c r="H29" s="11">
        <v>1617</v>
      </c>
      <c r="I29" s="11">
        <f t="shared" si="0"/>
        <v>0</v>
      </c>
      <c r="J29" s="12"/>
    </row>
    <row r="30" spans="2:10" x14ac:dyDescent="0.25">
      <c r="B30" s="2"/>
      <c r="E30" s="10" t="s">
        <v>40</v>
      </c>
      <c r="G30" s="21">
        <v>20</v>
      </c>
      <c r="H30" s="21">
        <v>20</v>
      </c>
      <c r="I30" s="21">
        <f t="shared" si="0"/>
        <v>0</v>
      </c>
      <c r="J30" s="82"/>
    </row>
    <row r="31" spans="2:10" x14ac:dyDescent="0.25">
      <c r="B31" s="2"/>
      <c r="D31" s="2" t="s">
        <v>41</v>
      </c>
      <c r="G31" s="24">
        <v>5364</v>
      </c>
      <c r="H31" s="23">
        <v>3880</v>
      </c>
      <c r="I31" s="23">
        <f t="shared" si="0"/>
        <v>1484</v>
      </c>
      <c r="J31" s="24"/>
    </row>
    <row r="32" spans="2:10" x14ac:dyDescent="0.25">
      <c r="B32" s="2"/>
    </row>
    <row r="33" spans="2:10" x14ac:dyDescent="0.25">
      <c r="B33" s="2" t="s">
        <v>42</v>
      </c>
      <c r="D33" s="2" t="s">
        <v>43</v>
      </c>
      <c r="E33" s="3" t="s">
        <v>44</v>
      </c>
      <c r="G33" s="11">
        <v>0</v>
      </c>
      <c r="H33" s="12">
        <v>0</v>
      </c>
      <c r="I33" s="12">
        <f t="shared" si="0"/>
        <v>0</v>
      </c>
      <c r="J33" s="12"/>
    </row>
    <row r="34" spans="2:10" x14ac:dyDescent="0.25">
      <c r="B34" s="2" t="s">
        <v>45</v>
      </c>
      <c r="D34" s="2" t="s">
        <v>46</v>
      </c>
      <c r="E34" s="3" t="s">
        <v>47</v>
      </c>
      <c r="G34" s="11">
        <v>0</v>
      </c>
      <c r="H34" s="12">
        <v>0</v>
      </c>
      <c r="I34" s="12">
        <f t="shared" si="0"/>
        <v>0</v>
      </c>
      <c r="J34" s="12"/>
    </row>
    <row r="35" spans="2:10" x14ac:dyDescent="0.25">
      <c r="D35" s="2"/>
      <c r="G35" s="15"/>
      <c r="J35" s="12"/>
    </row>
    <row r="36" spans="2:10" x14ac:dyDescent="0.25">
      <c r="D36" s="2" t="s">
        <v>48</v>
      </c>
      <c r="E36" s="3" t="s">
        <v>49</v>
      </c>
      <c r="G36" s="11">
        <v>0</v>
      </c>
      <c r="H36" s="12">
        <v>0</v>
      </c>
      <c r="I36" s="12">
        <f t="shared" si="0"/>
        <v>0</v>
      </c>
      <c r="J36" s="12"/>
    </row>
    <row r="37" spans="2:10" x14ac:dyDescent="0.25">
      <c r="D37" s="2" t="s">
        <v>50</v>
      </c>
      <c r="E37" s="3" t="s">
        <v>51</v>
      </c>
      <c r="G37" s="11">
        <v>0</v>
      </c>
      <c r="H37" s="12">
        <v>0</v>
      </c>
      <c r="I37" s="12">
        <f t="shared" si="0"/>
        <v>0</v>
      </c>
      <c r="J37" s="12"/>
    </row>
    <row r="38" spans="2:10" x14ac:dyDescent="0.25">
      <c r="D38" s="2"/>
      <c r="E38" s="3" t="s">
        <v>52</v>
      </c>
      <c r="G38" s="11">
        <v>0</v>
      </c>
      <c r="H38" s="12">
        <v>0</v>
      </c>
      <c r="I38" s="12">
        <f t="shared" si="0"/>
        <v>0</v>
      </c>
      <c r="J38" s="12"/>
    </row>
    <row r="39" spans="2:10" x14ac:dyDescent="0.25">
      <c r="D39" s="2"/>
      <c r="E39" s="3" t="s">
        <v>53</v>
      </c>
      <c r="G39" s="11"/>
      <c r="H39" s="12">
        <v>0</v>
      </c>
      <c r="I39" s="12">
        <f t="shared" si="0"/>
        <v>0</v>
      </c>
      <c r="J39" s="12"/>
    </row>
    <row r="40" spans="2:10" x14ac:dyDescent="0.25">
      <c r="D40" s="2"/>
      <c r="G40" s="15"/>
      <c r="J40" s="12"/>
    </row>
    <row r="41" spans="2:10" x14ac:dyDescent="0.25">
      <c r="D41" s="2" t="s">
        <v>54</v>
      </c>
      <c r="G41" s="11">
        <v>0</v>
      </c>
      <c r="H41" s="12">
        <v>0</v>
      </c>
      <c r="I41" s="12">
        <f t="shared" si="0"/>
        <v>0</v>
      </c>
      <c r="J41" s="12"/>
    </row>
    <row r="42" spans="2:10" x14ac:dyDescent="0.25">
      <c r="D42" s="2"/>
      <c r="G42" s="15"/>
    </row>
    <row r="43" spans="2:10" x14ac:dyDescent="0.25">
      <c r="D43" s="2" t="s">
        <v>55</v>
      </c>
      <c r="G43" s="11">
        <v>0</v>
      </c>
      <c r="H43" s="12">
        <v>0</v>
      </c>
      <c r="I43" s="12">
        <f t="shared" si="0"/>
        <v>0</v>
      </c>
      <c r="J43" s="12"/>
    </row>
    <row r="44" spans="2:10" x14ac:dyDescent="0.25">
      <c r="D44" s="2"/>
      <c r="G44" s="15"/>
    </row>
    <row r="45" spans="2:10" x14ac:dyDescent="0.25">
      <c r="D45" s="2" t="s">
        <v>56</v>
      </c>
      <c r="G45" s="11">
        <v>0</v>
      </c>
      <c r="H45" s="12">
        <v>0</v>
      </c>
      <c r="I45" s="12">
        <f t="shared" si="0"/>
        <v>0</v>
      </c>
      <c r="J45" s="12"/>
    </row>
    <row r="46" spans="2:10" x14ac:dyDescent="0.25">
      <c r="D46" s="2"/>
      <c r="G46" s="15"/>
    </row>
    <row r="47" spans="2:10" x14ac:dyDescent="0.25">
      <c r="D47" s="2" t="s">
        <v>57</v>
      </c>
      <c r="G47" s="11">
        <v>0</v>
      </c>
      <c r="H47" s="12">
        <v>0</v>
      </c>
      <c r="I47" s="12">
        <f t="shared" si="0"/>
        <v>0</v>
      </c>
      <c r="J47" s="12"/>
    </row>
    <row r="48" spans="2:10" x14ac:dyDescent="0.25">
      <c r="D48" s="2" t="s">
        <v>58</v>
      </c>
      <c r="G48" s="15"/>
    </row>
    <row r="49" spans="2:10" x14ac:dyDescent="0.25">
      <c r="D49" s="2"/>
      <c r="G49" s="15"/>
    </row>
    <row r="50" spans="2:10" x14ac:dyDescent="0.25">
      <c r="B50" s="2"/>
      <c r="D50" s="2" t="s">
        <v>53</v>
      </c>
      <c r="G50" s="21">
        <v>582</v>
      </c>
      <c r="H50" s="22">
        <v>582</v>
      </c>
      <c r="I50" s="22">
        <f t="shared" si="0"/>
        <v>0</v>
      </c>
      <c r="J50" s="82"/>
    </row>
    <row r="51" spans="2:10" x14ac:dyDescent="0.25">
      <c r="D51" s="2" t="s">
        <v>59</v>
      </c>
      <c r="G51" s="24">
        <v>582</v>
      </c>
      <c r="H51" s="24">
        <v>582</v>
      </c>
      <c r="I51" s="24">
        <f t="shared" si="0"/>
        <v>0</v>
      </c>
      <c r="J51" s="24"/>
    </row>
    <row r="52" spans="2:10" x14ac:dyDescent="0.25">
      <c r="B52" s="2"/>
    </row>
    <row r="53" spans="2:10" x14ac:dyDescent="0.25">
      <c r="B53" s="2" t="s">
        <v>60</v>
      </c>
      <c r="G53" s="12">
        <v>0</v>
      </c>
      <c r="H53" s="12">
        <v>0</v>
      </c>
      <c r="I53" s="12">
        <f t="shared" si="0"/>
        <v>0</v>
      </c>
      <c r="J53" s="12"/>
    </row>
    <row r="54" spans="2:10" x14ac:dyDescent="0.25">
      <c r="B54" s="2" t="s">
        <v>61</v>
      </c>
    </row>
    <row r="55" spans="2:10" ht="13.8" thickBot="1" x14ac:dyDescent="0.3">
      <c r="J55" s="40"/>
    </row>
    <row r="56" spans="2:10" x14ac:dyDescent="0.25">
      <c r="B56" s="2" t="s">
        <v>62</v>
      </c>
      <c r="G56" s="31">
        <v>221522.84302890487</v>
      </c>
      <c r="H56" s="31">
        <v>128143.73304034748</v>
      </c>
      <c r="I56" s="31">
        <f t="shared" si="0"/>
        <v>93379.109988557393</v>
      </c>
      <c r="J56" s="86"/>
    </row>
    <row r="59" spans="2:10" ht="13.8" x14ac:dyDescent="0.25">
      <c r="B59" s="6" t="s">
        <v>63</v>
      </c>
    </row>
    <row r="60" spans="2:10" x14ac:dyDescent="0.25">
      <c r="D60" s="15" t="s">
        <v>64</v>
      </c>
      <c r="E60" s="10" t="s">
        <v>20</v>
      </c>
      <c r="G60" s="12">
        <v>171149</v>
      </c>
      <c r="H60" s="12">
        <v>171149</v>
      </c>
      <c r="I60" s="12">
        <f t="shared" si="0"/>
        <v>0</v>
      </c>
      <c r="J60" s="11"/>
    </row>
    <row r="61" spans="2:10" x14ac:dyDescent="0.25">
      <c r="D61" s="15"/>
      <c r="E61" s="10" t="s">
        <v>21</v>
      </c>
      <c r="G61" s="33">
        <v>0</v>
      </c>
      <c r="H61" s="33">
        <v>0</v>
      </c>
      <c r="I61" s="33">
        <f t="shared" si="0"/>
        <v>0</v>
      </c>
      <c r="J61" s="33"/>
    </row>
    <row r="62" spans="2:10" x14ac:dyDescent="0.25">
      <c r="D62" s="15"/>
      <c r="E62" s="10"/>
    </row>
    <row r="63" spans="2:10" x14ac:dyDescent="0.25">
      <c r="D63" s="15" t="s">
        <v>94</v>
      </c>
      <c r="E63" s="10" t="s">
        <v>20</v>
      </c>
      <c r="G63" s="12">
        <v>141112.83663034518</v>
      </c>
      <c r="H63" s="12">
        <v>141112.83663034518</v>
      </c>
      <c r="I63" s="12">
        <f t="shared" si="0"/>
        <v>0</v>
      </c>
      <c r="J63" s="11"/>
    </row>
    <row r="64" spans="2:10" ht="12.75" customHeight="1" x14ac:dyDescent="0.25">
      <c r="D64" s="15"/>
      <c r="E64" s="10" t="s">
        <v>21</v>
      </c>
      <c r="G64" s="36">
        <v>0</v>
      </c>
      <c r="H64" s="33">
        <v>0</v>
      </c>
      <c r="I64" s="33">
        <f t="shared" si="0"/>
        <v>0</v>
      </c>
      <c r="J64" s="33"/>
    </row>
    <row r="65" spans="4:10" ht="12.75" customHeight="1" x14ac:dyDescent="0.25">
      <c r="D65" s="15"/>
      <c r="E65" s="10"/>
    </row>
    <row r="66" spans="4:10" x14ac:dyDescent="0.25">
      <c r="D66" s="15" t="s">
        <v>65</v>
      </c>
      <c r="E66" s="10" t="s">
        <v>20</v>
      </c>
      <c r="G66" s="12">
        <v>2163.6720673351265</v>
      </c>
      <c r="H66" s="12">
        <v>2163.6720673351265</v>
      </c>
      <c r="I66" s="12">
        <f t="shared" si="0"/>
        <v>0</v>
      </c>
      <c r="J66" s="11"/>
    </row>
    <row r="67" spans="4:10" x14ac:dyDescent="0.25">
      <c r="D67" s="15"/>
      <c r="E67" s="10" t="s">
        <v>21</v>
      </c>
      <c r="G67" s="36">
        <v>0</v>
      </c>
      <c r="H67" s="33">
        <v>0</v>
      </c>
      <c r="I67" s="33">
        <f t="shared" si="0"/>
        <v>0</v>
      </c>
      <c r="J67" s="33"/>
    </row>
    <row r="68" spans="4:10" x14ac:dyDescent="0.25">
      <c r="D68" s="15"/>
      <c r="E68" s="10"/>
      <c r="G68" s="33"/>
      <c r="H68" s="33"/>
      <c r="I68" s="33"/>
      <c r="J68" s="34"/>
    </row>
    <row r="69" spans="4:10" x14ac:dyDescent="0.25">
      <c r="D69" s="99" t="s">
        <v>143</v>
      </c>
      <c r="E69" s="10" t="s">
        <v>20</v>
      </c>
      <c r="G69" s="12">
        <v>743.2656947727869</v>
      </c>
      <c r="H69" s="12">
        <v>743.2656947727869</v>
      </c>
      <c r="I69" s="12">
        <f t="shared" si="0"/>
        <v>0</v>
      </c>
      <c r="J69" s="11"/>
    </row>
    <row r="70" spans="4:10" x14ac:dyDescent="0.25">
      <c r="D70" s="15"/>
      <c r="E70" s="10" t="s">
        <v>21</v>
      </c>
      <c r="G70" s="36">
        <v>0</v>
      </c>
      <c r="H70" s="33">
        <v>0</v>
      </c>
      <c r="I70" s="33">
        <f t="shared" si="0"/>
        <v>0</v>
      </c>
      <c r="J70" s="33"/>
    </row>
    <row r="71" spans="4:10" x14ac:dyDescent="0.25">
      <c r="D71" s="15"/>
      <c r="E71" s="10"/>
      <c r="G71" s="36"/>
      <c r="H71" s="33"/>
      <c r="I71" s="33"/>
      <c r="J71" s="33"/>
    </row>
    <row r="72" spans="4:10" x14ac:dyDescent="0.25">
      <c r="D72" s="15" t="s">
        <v>127</v>
      </c>
      <c r="E72" s="10" t="s">
        <v>20</v>
      </c>
      <c r="G72" s="12">
        <v>15813.618402579639</v>
      </c>
      <c r="H72" s="12">
        <v>15813.618402579639</v>
      </c>
      <c r="I72" s="12">
        <f t="shared" si="0"/>
        <v>0</v>
      </c>
      <c r="J72" s="33"/>
    </row>
    <row r="73" spans="4:10" x14ac:dyDescent="0.25">
      <c r="D73" s="15"/>
      <c r="E73" s="10" t="s">
        <v>21</v>
      </c>
      <c r="G73" s="36">
        <v>0</v>
      </c>
      <c r="H73" s="33">
        <v>0</v>
      </c>
      <c r="I73" s="33">
        <f t="shared" si="0"/>
        <v>0</v>
      </c>
      <c r="J73" s="33"/>
    </row>
    <row r="74" spans="4:10" x14ac:dyDescent="0.25">
      <c r="D74" s="15"/>
      <c r="E74" s="10"/>
    </row>
    <row r="75" spans="4:10" x14ac:dyDescent="0.25">
      <c r="D75" s="99" t="s">
        <v>108</v>
      </c>
      <c r="E75" s="10" t="s">
        <v>20</v>
      </c>
      <c r="G75" s="12">
        <v>0</v>
      </c>
      <c r="H75" s="12">
        <v>0</v>
      </c>
      <c r="I75" s="12">
        <f t="shared" ref="I75:I93" si="1">G75-H75</f>
        <v>0</v>
      </c>
    </row>
    <row r="76" spans="4:10" x14ac:dyDescent="0.25">
      <c r="D76" s="15"/>
      <c r="E76" s="10" t="s">
        <v>21</v>
      </c>
      <c r="G76" s="36">
        <v>0</v>
      </c>
      <c r="H76" s="33">
        <v>0</v>
      </c>
      <c r="I76" s="33">
        <f t="shared" si="1"/>
        <v>0</v>
      </c>
    </row>
    <row r="77" spans="4:10" x14ac:dyDescent="0.25">
      <c r="D77" s="15"/>
      <c r="E77" s="10"/>
    </row>
    <row r="78" spans="4:10" x14ac:dyDescent="0.25">
      <c r="D78" s="99" t="s">
        <v>144</v>
      </c>
      <c r="E78" s="10" t="s">
        <v>20</v>
      </c>
      <c r="G78" s="12">
        <v>0</v>
      </c>
      <c r="H78" s="12">
        <v>0</v>
      </c>
      <c r="I78" s="12">
        <f t="shared" si="1"/>
        <v>0</v>
      </c>
    </row>
    <row r="79" spans="4:10" x14ac:dyDescent="0.25">
      <c r="D79" s="15"/>
      <c r="E79" s="10" t="s">
        <v>21</v>
      </c>
      <c r="G79" s="36">
        <v>0</v>
      </c>
      <c r="H79" s="33">
        <v>0</v>
      </c>
      <c r="I79" s="33">
        <f t="shared" si="1"/>
        <v>0</v>
      </c>
    </row>
    <row r="80" spans="4:10" x14ac:dyDescent="0.25">
      <c r="D80" s="15"/>
      <c r="E80" s="10"/>
    </row>
    <row r="81" spans="2:10" x14ac:dyDescent="0.25">
      <c r="D81" s="99" t="s">
        <v>145</v>
      </c>
      <c r="E81" s="10" t="s">
        <v>20</v>
      </c>
      <c r="G81" s="12">
        <v>38771.81422153383</v>
      </c>
      <c r="H81" s="12">
        <v>38771.81422153383</v>
      </c>
      <c r="I81" s="12">
        <f t="shared" si="1"/>
        <v>0</v>
      </c>
    </row>
    <row r="82" spans="2:10" x14ac:dyDescent="0.25">
      <c r="D82" s="15"/>
      <c r="E82" s="10" t="s">
        <v>21</v>
      </c>
      <c r="G82" s="36">
        <v>0</v>
      </c>
      <c r="H82" s="33">
        <v>0</v>
      </c>
      <c r="I82" s="33">
        <f t="shared" si="1"/>
        <v>0</v>
      </c>
    </row>
    <row r="83" spans="2:10" x14ac:dyDescent="0.25">
      <c r="D83" s="15"/>
      <c r="E83" s="10"/>
    </row>
    <row r="84" spans="2:10" x14ac:dyDescent="0.25">
      <c r="D84" s="99" t="s">
        <v>156</v>
      </c>
      <c r="E84" s="10" t="s">
        <v>20</v>
      </c>
      <c r="G84" s="12">
        <v>3932.1318238634817</v>
      </c>
      <c r="H84" s="12">
        <v>3932.1318238634817</v>
      </c>
      <c r="I84" s="12">
        <f t="shared" si="1"/>
        <v>0</v>
      </c>
      <c r="J84" s="12"/>
    </row>
    <row r="85" spans="2:10" x14ac:dyDescent="0.25">
      <c r="E85" s="10" t="s">
        <v>21</v>
      </c>
      <c r="G85" s="36">
        <v>0</v>
      </c>
      <c r="H85" s="33">
        <v>0</v>
      </c>
      <c r="I85" s="33">
        <f t="shared" si="1"/>
        <v>0</v>
      </c>
      <c r="J85" s="33"/>
    </row>
    <row r="86" spans="2:10" x14ac:dyDescent="0.25">
      <c r="E86" s="10"/>
      <c r="G86" s="36"/>
      <c r="H86" s="33"/>
      <c r="I86" s="33"/>
      <c r="J86" s="33"/>
    </row>
    <row r="87" spans="2:10" x14ac:dyDescent="0.25">
      <c r="D87" s="15" t="s">
        <v>66</v>
      </c>
      <c r="E87" s="10" t="s">
        <v>20</v>
      </c>
      <c r="G87" s="12">
        <v>0</v>
      </c>
      <c r="H87" s="12">
        <v>0</v>
      </c>
      <c r="I87" s="12">
        <f t="shared" si="1"/>
        <v>0</v>
      </c>
      <c r="J87" s="12"/>
    </row>
    <row r="88" spans="2:10" ht="13.8" thickBot="1" x14ac:dyDescent="0.3">
      <c r="D88" s="15"/>
      <c r="I88" s="3">
        <f t="shared" si="1"/>
        <v>0</v>
      </c>
    </row>
    <row r="89" spans="2:10" ht="13.8" thickBot="1" x14ac:dyDescent="0.3">
      <c r="B89" s="2" t="s">
        <v>67</v>
      </c>
      <c r="E89" s="10" t="s">
        <v>20</v>
      </c>
      <c r="G89" s="31">
        <v>373686.33884043002</v>
      </c>
      <c r="H89" s="31">
        <v>373686.33884043002</v>
      </c>
      <c r="I89" s="31">
        <f t="shared" si="1"/>
        <v>0</v>
      </c>
      <c r="J89" s="86"/>
    </row>
    <row r="90" spans="2:10" x14ac:dyDescent="0.25">
      <c r="B90" s="2"/>
      <c r="E90" s="10" t="s">
        <v>21</v>
      </c>
      <c r="G90" s="31">
        <v>0</v>
      </c>
      <c r="H90" s="31">
        <v>0</v>
      </c>
      <c r="I90" s="31">
        <f t="shared" si="1"/>
        <v>0</v>
      </c>
      <c r="J90" s="42"/>
    </row>
    <row r="91" spans="2:10" x14ac:dyDescent="0.25">
      <c r="I91" s="3">
        <f t="shared" si="1"/>
        <v>0</v>
      </c>
    </row>
    <row r="92" spans="2:10" ht="13.8" thickBot="1" x14ac:dyDescent="0.3">
      <c r="I92" s="3">
        <f t="shared" si="1"/>
        <v>0</v>
      </c>
    </row>
    <row r="93" spans="2:10" ht="14.4" thickBot="1" x14ac:dyDescent="0.3">
      <c r="B93" s="6" t="s">
        <v>68</v>
      </c>
      <c r="G93" s="45">
        <v>595209.18186933489</v>
      </c>
      <c r="H93" s="79">
        <v>501830.07188077748</v>
      </c>
      <c r="I93" s="79">
        <f t="shared" si="1"/>
        <v>93379.109988557408</v>
      </c>
      <c r="J93" s="86"/>
    </row>
    <row r="94" spans="2:10" ht="13.8" thickTop="1" x14ac:dyDescent="0.25">
      <c r="G94" s="77"/>
      <c r="H94" s="80"/>
    </row>
    <row r="95" spans="2:10" x14ac:dyDescent="0.25">
      <c r="G95" s="77"/>
      <c r="H95" s="80"/>
    </row>
  </sheetData>
  <mergeCells count="1">
    <mergeCell ref="H2:I2"/>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I127"/>
  <sheetViews>
    <sheetView topLeftCell="A69" zoomScaleNormal="100" workbookViewId="0">
      <selection activeCell="I93" sqref="G9:I93"/>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6384" width="9.109375" style="3"/>
  </cols>
  <sheetData>
    <row r="1" spans="2:9" x14ac:dyDescent="0.25">
      <c r="E1" s="2"/>
      <c r="F1" s="2"/>
    </row>
    <row r="2" spans="2:9" ht="21" thickBot="1" x14ac:dyDescent="0.4">
      <c r="B2" s="1" t="s">
        <v>0</v>
      </c>
      <c r="C2" s="2"/>
      <c r="D2" s="2"/>
      <c r="E2" s="2"/>
      <c r="F2" s="2"/>
      <c r="G2" s="100"/>
      <c r="H2" s="134"/>
      <c r="I2" s="134"/>
    </row>
    <row r="3" spans="2:9" ht="20.399999999999999" x14ac:dyDescent="0.35">
      <c r="B3" s="1" t="s">
        <v>1</v>
      </c>
      <c r="C3" s="2"/>
      <c r="D3" s="2"/>
    </row>
    <row r="4" spans="2:9" x14ac:dyDescent="0.25">
      <c r="B4" s="2" t="s">
        <v>170</v>
      </c>
      <c r="C4" s="2"/>
      <c r="D4" s="2"/>
      <c r="G4" s="7" t="s">
        <v>6</v>
      </c>
      <c r="H4" s="7" t="s">
        <v>6</v>
      </c>
      <c r="I4" s="7" t="s">
        <v>8</v>
      </c>
    </row>
    <row r="5" spans="2:9" ht="15" x14ac:dyDescent="0.25">
      <c r="B5" s="4"/>
      <c r="C5" s="2"/>
      <c r="D5" s="4" t="s">
        <v>2</v>
      </c>
      <c r="G5" s="7" t="s">
        <v>12</v>
      </c>
      <c r="H5" s="7" t="s">
        <v>12</v>
      </c>
      <c r="I5" s="7" t="s">
        <v>13</v>
      </c>
    </row>
    <row r="6" spans="2:9" x14ac:dyDescent="0.25">
      <c r="D6" s="81"/>
      <c r="E6" s="15"/>
      <c r="G6" s="7"/>
      <c r="H6" s="7"/>
      <c r="I6" s="7"/>
    </row>
    <row r="7" spans="2:9" ht="13.8" thickBot="1" x14ac:dyDescent="0.3">
      <c r="B7" s="2"/>
      <c r="E7" s="15"/>
      <c r="G7" s="8" t="s">
        <v>17</v>
      </c>
      <c r="H7" s="8" t="s">
        <v>17</v>
      </c>
      <c r="I7" s="8" t="s">
        <v>18</v>
      </c>
    </row>
    <row r="8" spans="2:9" ht="5.0999999999999996" customHeight="1" x14ac:dyDescent="0.25">
      <c r="B8" s="2"/>
      <c r="E8" s="15"/>
      <c r="G8" s="9"/>
      <c r="H8" s="9"/>
      <c r="I8" s="9"/>
    </row>
    <row r="9" spans="2:9" ht="14.4" thickBot="1" x14ac:dyDescent="0.3">
      <c r="B9" s="6" t="s">
        <v>3</v>
      </c>
      <c r="D9" s="3" t="s">
        <v>19</v>
      </c>
      <c r="E9" s="18" t="s">
        <v>20</v>
      </c>
      <c r="G9" s="11">
        <v>54303</v>
      </c>
      <c r="H9" s="11">
        <v>0</v>
      </c>
      <c r="I9" s="11">
        <f>G9-H9</f>
        <v>54303</v>
      </c>
    </row>
    <row r="10" spans="2:9" x14ac:dyDescent="0.25">
      <c r="B10" s="2" t="s">
        <v>9</v>
      </c>
      <c r="E10" s="18" t="s">
        <v>21</v>
      </c>
      <c r="G10" s="13">
        <v>997</v>
      </c>
      <c r="H10" s="13">
        <v>997</v>
      </c>
      <c r="I10" s="13">
        <f t="shared" ref="I10:I73" si="0">G10-H10</f>
        <v>0</v>
      </c>
    </row>
    <row r="11" spans="2:9" x14ac:dyDescent="0.25">
      <c r="E11" s="18"/>
      <c r="G11" s="15"/>
      <c r="H11" s="15"/>
      <c r="I11" s="15"/>
    </row>
    <row r="12" spans="2:9" ht="13.8" thickBot="1" x14ac:dyDescent="0.3">
      <c r="D12" s="3" t="s">
        <v>22</v>
      </c>
      <c r="E12" s="18" t="s">
        <v>20</v>
      </c>
      <c r="G12" s="11">
        <v>64879</v>
      </c>
      <c r="H12" s="11">
        <v>64879</v>
      </c>
      <c r="I12" s="11">
        <f t="shared" si="0"/>
        <v>0</v>
      </c>
    </row>
    <row r="13" spans="2:9" x14ac:dyDescent="0.25">
      <c r="E13" s="18" t="s">
        <v>21</v>
      </c>
      <c r="G13" s="13">
        <v>1112.3</v>
      </c>
      <c r="H13" s="13">
        <v>1112.3</v>
      </c>
      <c r="I13" s="13">
        <f t="shared" si="0"/>
        <v>0</v>
      </c>
    </row>
    <row r="14" spans="2:9" x14ac:dyDescent="0.25">
      <c r="E14" s="15"/>
      <c r="G14" s="15"/>
      <c r="H14" s="15"/>
      <c r="I14" s="15"/>
    </row>
    <row r="15" spans="2:9" x14ac:dyDescent="0.25">
      <c r="D15" s="3" t="s">
        <v>23</v>
      </c>
      <c r="E15" s="18" t="s">
        <v>24</v>
      </c>
      <c r="G15" s="11">
        <v>11129.070203979476</v>
      </c>
      <c r="H15" s="11">
        <v>0</v>
      </c>
      <c r="I15" s="11">
        <f t="shared" si="0"/>
        <v>11129.070203979476</v>
      </c>
    </row>
    <row r="16" spans="2:9" x14ac:dyDescent="0.25">
      <c r="D16" s="3" t="s">
        <v>25</v>
      </c>
      <c r="E16" s="18" t="s">
        <v>26</v>
      </c>
      <c r="G16" s="11">
        <v>3944.5041438800249</v>
      </c>
      <c r="H16" s="11">
        <v>3944.5041438800249</v>
      </c>
      <c r="I16" s="11">
        <f t="shared" si="0"/>
        <v>0</v>
      </c>
    </row>
    <row r="17" spans="2:9" x14ac:dyDescent="0.25">
      <c r="E17" s="18" t="s">
        <v>27</v>
      </c>
      <c r="G17" s="11">
        <v>611.35026905268421</v>
      </c>
      <c r="H17" s="11">
        <v>0</v>
      </c>
      <c r="I17" s="11">
        <f t="shared" si="0"/>
        <v>611.35026905268421</v>
      </c>
    </row>
    <row r="18" spans="2:9" x14ac:dyDescent="0.25">
      <c r="E18" s="18" t="s">
        <v>28</v>
      </c>
      <c r="G18" s="11">
        <v>9202</v>
      </c>
      <c r="H18" s="11">
        <v>0</v>
      </c>
      <c r="I18" s="11">
        <f t="shared" si="0"/>
        <v>9202</v>
      </c>
    </row>
    <row r="19" spans="2:9" x14ac:dyDescent="0.25">
      <c r="E19" s="18" t="s">
        <v>29</v>
      </c>
      <c r="G19" s="11">
        <v>0</v>
      </c>
      <c r="H19" s="11">
        <v>0</v>
      </c>
      <c r="I19" s="11">
        <f t="shared" si="0"/>
        <v>0</v>
      </c>
    </row>
    <row r="20" spans="2:9" x14ac:dyDescent="0.25">
      <c r="E20" s="18" t="s">
        <v>30</v>
      </c>
      <c r="G20" s="21">
        <v>2854</v>
      </c>
      <c r="H20" s="11">
        <v>0</v>
      </c>
      <c r="I20" s="11">
        <f t="shared" si="0"/>
        <v>2854</v>
      </c>
    </row>
    <row r="21" spans="2:9" x14ac:dyDescent="0.25">
      <c r="D21" s="2" t="s">
        <v>31</v>
      </c>
      <c r="E21" s="18"/>
      <c r="G21" s="23">
        <v>146922.92461691218</v>
      </c>
      <c r="H21" s="25">
        <v>68823.504143880025</v>
      </c>
      <c r="I21" s="25">
        <f t="shared" si="0"/>
        <v>78099.420473032151</v>
      </c>
    </row>
    <row r="22" spans="2:9" x14ac:dyDescent="0.25">
      <c r="E22" s="18"/>
      <c r="G22" s="11"/>
      <c r="H22" s="11"/>
      <c r="I22" s="11">
        <f t="shared" si="0"/>
        <v>0</v>
      </c>
    </row>
    <row r="23" spans="2:9" x14ac:dyDescent="0.25">
      <c r="B23" s="2" t="s">
        <v>32</v>
      </c>
      <c r="E23" s="18" t="s">
        <v>33</v>
      </c>
      <c r="G23" s="21">
        <v>21974</v>
      </c>
      <c r="H23" s="21">
        <v>1743.7935795504497</v>
      </c>
      <c r="I23" s="21">
        <f t="shared" si="0"/>
        <v>20230.206420449551</v>
      </c>
    </row>
    <row r="24" spans="2:9" x14ac:dyDescent="0.25">
      <c r="B24" s="2"/>
      <c r="D24" s="2" t="s">
        <v>34</v>
      </c>
      <c r="E24" s="18"/>
      <c r="G24" s="23">
        <v>21974</v>
      </c>
      <c r="H24" s="23">
        <v>1743.7935795504497</v>
      </c>
      <c r="I24" s="23">
        <f t="shared" si="0"/>
        <v>20230.206420449551</v>
      </c>
    </row>
    <row r="25" spans="2:9" x14ac:dyDescent="0.25">
      <c r="B25" s="2"/>
      <c r="E25" s="15"/>
      <c r="G25" s="15"/>
      <c r="H25" s="15"/>
      <c r="I25" s="15"/>
    </row>
    <row r="26" spans="2:9" x14ac:dyDescent="0.25">
      <c r="B26" s="2" t="s">
        <v>35</v>
      </c>
      <c r="E26" s="18" t="s">
        <v>36</v>
      </c>
      <c r="F26" s="15"/>
      <c r="G26" s="11">
        <v>733</v>
      </c>
      <c r="H26" s="29">
        <v>0</v>
      </c>
      <c r="I26" s="29">
        <f t="shared" si="0"/>
        <v>733</v>
      </c>
    </row>
    <row r="27" spans="2:9" x14ac:dyDescent="0.25">
      <c r="B27" s="2"/>
      <c r="E27" s="18" t="s">
        <v>37</v>
      </c>
      <c r="G27" s="11">
        <v>1040</v>
      </c>
      <c r="H27" s="11">
        <v>1040</v>
      </c>
      <c r="I27" s="11">
        <f t="shared" si="0"/>
        <v>0</v>
      </c>
    </row>
    <row r="28" spans="2:9" x14ac:dyDescent="0.25">
      <c r="B28" s="2"/>
      <c r="E28" s="15" t="s">
        <v>38</v>
      </c>
      <c r="G28" s="11">
        <v>0</v>
      </c>
      <c r="H28" s="11">
        <v>0</v>
      </c>
      <c r="I28" s="11">
        <f t="shared" si="0"/>
        <v>0</v>
      </c>
    </row>
    <row r="29" spans="2:9" x14ac:dyDescent="0.25">
      <c r="B29" s="2"/>
      <c r="E29" s="18" t="s">
        <v>39</v>
      </c>
      <c r="G29" s="11">
        <v>6193</v>
      </c>
      <c r="H29" s="11">
        <v>6193</v>
      </c>
      <c r="I29" s="11">
        <f t="shared" si="0"/>
        <v>0</v>
      </c>
    </row>
    <row r="30" spans="2:9" x14ac:dyDescent="0.25">
      <c r="B30" s="2"/>
      <c r="E30" s="10" t="s">
        <v>40</v>
      </c>
      <c r="G30" s="21">
        <v>0</v>
      </c>
      <c r="H30" s="21">
        <v>0</v>
      </c>
      <c r="I30" s="21">
        <f t="shared" si="0"/>
        <v>0</v>
      </c>
    </row>
    <row r="31" spans="2:9" x14ac:dyDescent="0.25">
      <c r="B31" s="2"/>
      <c r="D31" s="2" t="s">
        <v>41</v>
      </c>
      <c r="G31" s="24">
        <v>7966</v>
      </c>
      <c r="H31" s="23">
        <v>7233</v>
      </c>
      <c r="I31" s="23">
        <f t="shared" si="0"/>
        <v>733</v>
      </c>
    </row>
    <row r="32" spans="2:9" x14ac:dyDescent="0.25">
      <c r="B32" s="2"/>
    </row>
    <row r="33" spans="2:9" x14ac:dyDescent="0.25">
      <c r="B33" s="2" t="s">
        <v>42</v>
      </c>
      <c r="D33" s="2" t="s">
        <v>43</v>
      </c>
      <c r="E33" s="3" t="s">
        <v>44</v>
      </c>
      <c r="G33" s="11">
        <v>0</v>
      </c>
      <c r="H33" s="12">
        <v>0</v>
      </c>
      <c r="I33" s="12">
        <f t="shared" si="0"/>
        <v>0</v>
      </c>
    </row>
    <row r="34" spans="2:9" x14ac:dyDescent="0.25">
      <c r="B34" s="2" t="s">
        <v>45</v>
      </c>
      <c r="D34" s="2" t="s">
        <v>46</v>
      </c>
      <c r="E34" s="3" t="s">
        <v>47</v>
      </c>
      <c r="G34" s="11">
        <v>0</v>
      </c>
      <c r="H34" s="12">
        <v>0</v>
      </c>
      <c r="I34" s="12">
        <f t="shared" si="0"/>
        <v>0</v>
      </c>
    </row>
    <row r="35" spans="2:9" x14ac:dyDescent="0.25">
      <c r="D35" s="2"/>
      <c r="G35" s="15"/>
    </row>
    <row r="36" spans="2:9" x14ac:dyDescent="0.25">
      <c r="D36" s="2" t="s">
        <v>48</v>
      </c>
      <c r="E36" s="3" t="s">
        <v>49</v>
      </c>
      <c r="G36" s="11">
        <v>0</v>
      </c>
      <c r="H36" s="12">
        <v>0</v>
      </c>
      <c r="I36" s="12">
        <f t="shared" si="0"/>
        <v>0</v>
      </c>
    </row>
    <row r="37" spans="2:9" x14ac:dyDescent="0.25">
      <c r="D37" s="2" t="s">
        <v>50</v>
      </c>
      <c r="E37" s="3" t="s">
        <v>51</v>
      </c>
      <c r="G37" s="11">
        <v>0</v>
      </c>
      <c r="H37" s="12">
        <v>0</v>
      </c>
      <c r="I37" s="12">
        <f t="shared" si="0"/>
        <v>0</v>
      </c>
    </row>
    <row r="38" spans="2:9" x14ac:dyDescent="0.25">
      <c r="D38" s="2"/>
      <c r="E38" s="3" t="s">
        <v>52</v>
      </c>
      <c r="G38" s="11">
        <v>0</v>
      </c>
      <c r="H38" s="12">
        <v>0</v>
      </c>
      <c r="I38" s="12">
        <f t="shared" si="0"/>
        <v>0</v>
      </c>
    </row>
    <row r="39" spans="2:9" x14ac:dyDescent="0.25">
      <c r="D39" s="2"/>
      <c r="E39" s="3" t="s">
        <v>53</v>
      </c>
      <c r="G39" s="11"/>
      <c r="H39" s="12">
        <v>0</v>
      </c>
      <c r="I39" s="12">
        <f t="shared" si="0"/>
        <v>0</v>
      </c>
    </row>
    <row r="40" spans="2:9" x14ac:dyDescent="0.25">
      <c r="D40" s="2"/>
      <c r="G40" s="15"/>
    </row>
    <row r="41" spans="2:9" x14ac:dyDescent="0.25">
      <c r="D41" s="2" t="s">
        <v>54</v>
      </c>
      <c r="G41" s="11">
        <v>0</v>
      </c>
      <c r="H41" s="12">
        <v>0</v>
      </c>
      <c r="I41" s="12">
        <f t="shared" si="0"/>
        <v>0</v>
      </c>
    </row>
    <row r="42" spans="2:9" x14ac:dyDescent="0.25">
      <c r="D42" s="2"/>
      <c r="G42" s="15"/>
    </row>
    <row r="43" spans="2:9" x14ac:dyDescent="0.25">
      <c r="D43" s="2" t="s">
        <v>55</v>
      </c>
      <c r="G43" s="11">
        <v>0</v>
      </c>
      <c r="H43" s="12">
        <v>0</v>
      </c>
      <c r="I43" s="12">
        <f t="shared" si="0"/>
        <v>0</v>
      </c>
    </row>
    <row r="44" spans="2:9" x14ac:dyDescent="0.25">
      <c r="D44" s="2"/>
      <c r="G44" s="15"/>
    </row>
    <row r="45" spans="2:9" x14ac:dyDescent="0.25">
      <c r="D45" s="2" t="s">
        <v>56</v>
      </c>
      <c r="G45" s="11">
        <v>0</v>
      </c>
      <c r="H45" s="12">
        <v>0</v>
      </c>
      <c r="I45" s="12">
        <f t="shared" si="0"/>
        <v>0</v>
      </c>
    </row>
    <row r="46" spans="2:9" x14ac:dyDescent="0.25">
      <c r="D46" s="2"/>
      <c r="G46" s="15"/>
    </row>
    <row r="47" spans="2:9" x14ac:dyDescent="0.25">
      <c r="D47" s="2" t="s">
        <v>57</v>
      </c>
      <c r="G47" s="11">
        <v>0</v>
      </c>
      <c r="H47" s="12">
        <v>0</v>
      </c>
      <c r="I47" s="12">
        <f t="shared" si="0"/>
        <v>0</v>
      </c>
    </row>
    <row r="48" spans="2:9" x14ac:dyDescent="0.25">
      <c r="D48" s="2" t="s">
        <v>58</v>
      </c>
      <c r="G48" s="15"/>
    </row>
    <row r="49" spans="2:9" x14ac:dyDescent="0.25">
      <c r="D49" s="2"/>
      <c r="G49" s="15"/>
    </row>
    <row r="50" spans="2:9" x14ac:dyDescent="0.25">
      <c r="B50" s="2"/>
      <c r="D50" s="2" t="s">
        <v>53</v>
      </c>
      <c r="G50" s="21">
        <v>582</v>
      </c>
      <c r="H50" s="22">
        <v>582</v>
      </c>
      <c r="I50" s="22">
        <f t="shared" si="0"/>
        <v>0</v>
      </c>
    </row>
    <row r="51" spans="2:9" x14ac:dyDescent="0.25">
      <c r="D51" s="2" t="s">
        <v>59</v>
      </c>
      <c r="G51" s="24">
        <v>582</v>
      </c>
      <c r="H51" s="24">
        <v>582</v>
      </c>
      <c r="I51" s="24">
        <f t="shared" si="0"/>
        <v>0</v>
      </c>
    </row>
    <row r="52" spans="2:9" x14ac:dyDescent="0.25">
      <c r="B52" s="2"/>
    </row>
    <row r="53" spans="2:9" x14ac:dyDescent="0.25">
      <c r="B53" s="2" t="s">
        <v>60</v>
      </c>
      <c r="G53" s="12">
        <v>0</v>
      </c>
      <c r="H53" s="12">
        <v>0</v>
      </c>
      <c r="I53" s="12">
        <f t="shared" si="0"/>
        <v>0</v>
      </c>
    </row>
    <row r="54" spans="2:9" x14ac:dyDescent="0.25">
      <c r="B54" s="2" t="s">
        <v>61</v>
      </c>
    </row>
    <row r="55" spans="2:9" ht="13.8" thickBot="1" x14ac:dyDescent="0.3"/>
    <row r="56" spans="2:9" x14ac:dyDescent="0.25">
      <c r="B56" s="2" t="s">
        <v>62</v>
      </c>
      <c r="G56" s="31">
        <v>177444.92461691218</v>
      </c>
      <c r="H56" s="31">
        <v>78382.297723430471</v>
      </c>
      <c r="I56" s="31">
        <f t="shared" si="0"/>
        <v>99062.626893481705</v>
      </c>
    </row>
    <row r="59" spans="2:9" ht="13.8" x14ac:dyDescent="0.25">
      <c r="B59" s="6" t="s">
        <v>63</v>
      </c>
    </row>
    <row r="60" spans="2:9" x14ac:dyDescent="0.25">
      <c r="D60" s="15" t="s">
        <v>64</v>
      </c>
      <c r="E60" s="10" t="s">
        <v>20</v>
      </c>
      <c r="G60" s="12">
        <v>152076</v>
      </c>
      <c r="H60" s="12">
        <v>152076</v>
      </c>
      <c r="I60" s="12">
        <f t="shared" si="0"/>
        <v>0</v>
      </c>
    </row>
    <row r="61" spans="2:9" x14ac:dyDescent="0.25">
      <c r="D61" s="15"/>
      <c r="E61" s="10" t="s">
        <v>21</v>
      </c>
      <c r="G61" s="33">
        <v>0</v>
      </c>
      <c r="H61" s="33">
        <v>0</v>
      </c>
      <c r="I61" s="33">
        <f t="shared" si="0"/>
        <v>0</v>
      </c>
    </row>
    <row r="62" spans="2:9" x14ac:dyDescent="0.25">
      <c r="D62" s="15"/>
      <c r="E62" s="10"/>
    </row>
    <row r="63" spans="2:9" x14ac:dyDescent="0.25">
      <c r="D63" s="15" t="s">
        <v>94</v>
      </c>
      <c r="E63" s="10" t="s">
        <v>20</v>
      </c>
      <c r="G63" s="12">
        <v>250685.53956660538</v>
      </c>
      <c r="H63" s="12">
        <v>250685.53956660538</v>
      </c>
      <c r="I63" s="12">
        <f t="shared" si="0"/>
        <v>0</v>
      </c>
    </row>
    <row r="64" spans="2:9" ht="12.75" customHeight="1" x14ac:dyDescent="0.25">
      <c r="D64" s="15"/>
      <c r="E64" s="10" t="s">
        <v>21</v>
      </c>
      <c r="G64" s="36">
        <v>0</v>
      </c>
      <c r="H64" s="33">
        <v>0</v>
      </c>
      <c r="I64" s="33">
        <f t="shared" si="0"/>
        <v>0</v>
      </c>
    </row>
    <row r="65" spans="4:9" ht="12.75" customHeight="1" x14ac:dyDescent="0.25">
      <c r="D65" s="15"/>
      <c r="E65" s="10"/>
    </row>
    <row r="66" spans="4:9" x14ac:dyDescent="0.25">
      <c r="D66" s="15" t="s">
        <v>65</v>
      </c>
      <c r="E66" s="10" t="s">
        <v>20</v>
      </c>
      <c r="G66" s="12">
        <v>7826.8162909935181</v>
      </c>
      <c r="H66" s="12">
        <v>7826.8162909935181</v>
      </c>
      <c r="I66" s="12">
        <f t="shared" si="0"/>
        <v>0</v>
      </c>
    </row>
    <row r="67" spans="4:9" x14ac:dyDescent="0.25">
      <c r="D67" s="15"/>
      <c r="E67" s="10" t="s">
        <v>21</v>
      </c>
      <c r="G67" s="36">
        <v>0</v>
      </c>
      <c r="H67" s="33">
        <v>0</v>
      </c>
      <c r="I67" s="33">
        <f t="shared" si="0"/>
        <v>0</v>
      </c>
    </row>
    <row r="68" spans="4:9" x14ac:dyDescent="0.25">
      <c r="D68" s="15"/>
      <c r="E68" s="10"/>
      <c r="G68" s="33"/>
      <c r="H68" s="33"/>
      <c r="I68" s="33">
        <f t="shared" si="0"/>
        <v>0</v>
      </c>
    </row>
    <row r="69" spans="4:9" x14ac:dyDescent="0.25">
      <c r="D69" s="99" t="s">
        <v>155</v>
      </c>
      <c r="E69" s="10" t="s">
        <v>20</v>
      </c>
      <c r="G69" s="12">
        <v>1678.1005127212925</v>
      </c>
      <c r="H69" s="12">
        <v>1678.1005127212925</v>
      </c>
      <c r="I69" s="12">
        <f t="shared" si="0"/>
        <v>0</v>
      </c>
    </row>
    <row r="70" spans="4:9" x14ac:dyDescent="0.25">
      <c r="D70" s="15"/>
      <c r="E70" s="10" t="s">
        <v>21</v>
      </c>
      <c r="G70" s="36">
        <v>0</v>
      </c>
      <c r="H70" s="33">
        <v>0</v>
      </c>
      <c r="I70" s="33">
        <f t="shared" si="0"/>
        <v>0</v>
      </c>
    </row>
    <row r="71" spans="4:9" x14ac:dyDescent="0.25">
      <c r="D71" s="15"/>
      <c r="E71" s="10"/>
      <c r="G71" s="36"/>
      <c r="H71" s="33"/>
      <c r="I71" s="33">
        <f t="shared" si="0"/>
        <v>0</v>
      </c>
    </row>
    <row r="72" spans="4:9" x14ac:dyDescent="0.25">
      <c r="D72" s="15" t="s">
        <v>127</v>
      </c>
      <c r="E72" s="10" t="s">
        <v>20</v>
      </c>
      <c r="G72" s="12">
        <v>10791.676501886426</v>
      </c>
      <c r="H72" s="12">
        <v>10791.676501886426</v>
      </c>
      <c r="I72" s="12">
        <f t="shared" si="0"/>
        <v>0</v>
      </c>
    </row>
    <row r="73" spans="4:9" x14ac:dyDescent="0.25">
      <c r="D73" s="15"/>
      <c r="E73" s="10" t="s">
        <v>21</v>
      </c>
      <c r="G73" s="36">
        <v>0</v>
      </c>
      <c r="H73" s="33">
        <v>0</v>
      </c>
      <c r="I73" s="33">
        <f t="shared" si="0"/>
        <v>0</v>
      </c>
    </row>
    <row r="74" spans="4:9" x14ac:dyDescent="0.25">
      <c r="D74" s="15"/>
      <c r="E74" s="10"/>
    </row>
    <row r="75" spans="4:9" x14ac:dyDescent="0.25">
      <c r="D75" s="99" t="s">
        <v>156</v>
      </c>
      <c r="E75" s="10" t="s">
        <v>20</v>
      </c>
      <c r="G75" s="12">
        <v>10331.008754957918</v>
      </c>
      <c r="H75" s="12">
        <v>10331.008754957918</v>
      </c>
      <c r="I75" s="12">
        <f t="shared" ref="I75:I93" si="1">G75-H75</f>
        <v>0</v>
      </c>
    </row>
    <row r="76" spans="4:9" x14ac:dyDescent="0.25">
      <c r="D76" s="15"/>
      <c r="E76" s="10" t="s">
        <v>21</v>
      </c>
      <c r="G76" s="36">
        <v>0</v>
      </c>
      <c r="H76" s="33">
        <v>0</v>
      </c>
      <c r="I76" s="33">
        <f t="shared" si="1"/>
        <v>0</v>
      </c>
    </row>
    <row r="77" spans="4:9" x14ac:dyDescent="0.25">
      <c r="D77" s="15"/>
      <c r="E77" s="10"/>
    </row>
    <row r="78" spans="4:9" x14ac:dyDescent="0.25">
      <c r="D78" s="99" t="s">
        <v>144</v>
      </c>
      <c r="E78" s="10" t="s">
        <v>20</v>
      </c>
      <c r="G78" s="12">
        <v>36605.268211279865</v>
      </c>
      <c r="H78" s="12">
        <v>36605.268211279865</v>
      </c>
      <c r="I78" s="12">
        <f t="shared" si="1"/>
        <v>0</v>
      </c>
    </row>
    <row r="79" spans="4:9" x14ac:dyDescent="0.25">
      <c r="D79" s="15"/>
      <c r="E79" s="10" t="s">
        <v>21</v>
      </c>
      <c r="G79" s="36">
        <v>0</v>
      </c>
      <c r="H79" s="33">
        <v>0</v>
      </c>
      <c r="I79" s="33">
        <f t="shared" si="1"/>
        <v>0</v>
      </c>
    </row>
    <row r="80" spans="4:9" x14ac:dyDescent="0.25">
      <c r="D80" s="15"/>
      <c r="E80" s="10"/>
    </row>
    <row r="81" spans="2:9" x14ac:dyDescent="0.25">
      <c r="D81" s="99" t="s">
        <v>145</v>
      </c>
      <c r="E81" s="10" t="s">
        <v>20</v>
      </c>
      <c r="G81" s="12">
        <v>40799.871577827224</v>
      </c>
      <c r="H81" s="12">
        <v>40799.871577827224</v>
      </c>
      <c r="I81" s="12">
        <f t="shared" si="1"/>
        <v>0</v>
      </c>
    </row>
    <row r="82" spans="2:9" x14ac:dyDescent="0.25">
      <c r="D82" s="15"/>
      <c r="E82" s="10" t="s">
        <v>21</v>
      </c>
      <c r="G82" s="36">
        <v>0</v>
      </c>
      <c r="H82" s="33">
        <v>0</v>
      </c>
      <c r="I82" s="33">
        <f t="shared" si="1"/>
        <v>0</v>
      </c>
    </row>
    <row r="83" spans="2:9" x14ac:dyDescent="0.25">
      <c r="D83" s="15"/>
      <c r="E83" s="10"/>
    </row>
    <row r="84" spans="2:9" x14ac:dyDescent="0.25">
      <c r="D84" s="99"/>
      <c r="E84" s="10" t="s">
        <v>20</v>
      </c>
      <c r="G84" s="12">
        <v>0</v>
      </c>
      <c r="H84" s="12">
        <v>0</v>
      </c>
      <c r="I84" s="12">
        <f t="shared" si="1"/>
        <v>0</v>
      </c>
    </row>
    <row r="85" spans="2:9" x14ac:dyDescent="0.25">
      <c r="E85" s="10" t="s">
        <v>21</v>
      </c>
      <c r="G85" s="36">
        <v>0</v>
      </c>
      <c r="H85" s="33">
        <v>0</v>
      </c>
      <c r="I85" s="33"/>
    </row>
    <row r="86" spans="2:9" x14ac:dyDescent="0.25">
      <c r="E86" s="10"/>
      <c r="G86" s="36"/>
      <c r="H86" s="33"/>
      <c r="I86" s="33"/>
    </row>
    <row r="87" spans="2:9" x14ac:dyDescent="0.25">
      <c r="D87" s="15" t="s">
        <v>66</v>
      </c>
      <c r="E87" s="10" t="s">
        <v>20</v>
      </c>
      <c r="G87" s="12">
        <v>0</v>
      </c>
      <c r="H87" s="12">
        <v>0</v>
      </c>
      <c r="I87" s="12">
        <f t="shared" si="1"/>
        <v>0</v>
      </c>
    </row>
    <row r="88" spans="2:9" ht="13.8" thickBot="1" x14ac:dyDescent="0.3">
      <c r="D88" s="15"/>
      <c r="I88" s="3">
        <f t="shared" si="1"/>
        <v>0</v>
      </c>
    </row>
    <row r="89" spans="2:9" ht="13.8" thickBot="1" x14ac:dyDescent="0.3">
      <c r="B89" s="2" t="s">
        <v>67</v>
      </c>
      <c r="E89" s="10" t="s">
        <v>20</v>
      </c>
      <c r="G89" s="31">
        <v>510794.28141627164</v>
      </c>
      <c r="H89" s="31">
        <v>510794.28141627164</v>
      </c>
      <c r="I89" s="31">
        <f t="shared" si="1"/>
        <v>0</v>
      </c>
    </row>
    <row r="90" spans="2:9" x14ac:dyDescent="0.25">
      <c r="B90" s="2"/>
      <c r="E90" s="10" t="s">
        <v>21</v>
      </c>
      <c r="G90" s="31">
        <v>0</v>
      </c>
      <c r="H90" s="31">
        <v>0</v>
      </c>
      <c r="I90" s="31">
        <f t="shared" si="1"/>
        <v>0</v>
      </c>
    </row>
    <row r="92" spans="2:9" ht="13.8" thickBot="1" x14ac:dyDescent="0.3"/>
    <row r="93" spans="2:9" ht="14.4" thickBot="1" x14ac:dyDescent="0.3">
      <c r="B93" s="6" t="s">
        <v>68</v>
      </c>
      <c r="G93" s="45">
        <v>688239.20603318384</v>
      </c>
      <c r="H93" s="79">
        <v>589176.57913970214</v>
      </c>
      <c r="I93" s="79">
        <f t="shared" si="1"/>
        <v>99062.626893481705</v>
      </c>
    </row>
    <row r="94" spans="2:9" ht="13.8" thickTop="1" x14ac:dyDescent="0.25">
      <c r="G94" s="77"/>
      <c r="H94" s="80"/>
    </row>
    <row r="95" spans="2:9" x14ac:dyDescent="0.25">
      <c r="G95" s="77"/>
      <c r="H95" s="80"/>
    </row>
    <row r="96" spans="2:9" x14ac:dyDescent="0.25">
      <c r="G96" s="77"/>
      <c r="H96" s="80"/>
    </row>
    <row r="97" spans="5:8" x14ac:dyDescent="0.25">
      <c r="G97" s="77"/>
      <c r="H97" s="80"/>
    </row>
    <row r="98" spans="5:8" x14ac:dyDescent="0.25">
      <c r="G98" s="77"/>
      <c r="H98" s="80"/>
    </row>
    <row r="99" spans="5:8" x14ac:dyDescent="0.25">
      <c r="G99" s="77"/>
      <c r="H99" s="80"/>
    </row>
    <row r="100" spans="5:8" x14ac:dyDescent="0.25">
      <c r="G100" s="77"/>
      <c r="H100" s="80"/>
    </row>
    <row r="101" spans="5:8" x14ac:dyDescent="0.25">
      <c r="G101" s="77"/>
      <c r="H101" s="80"/>
    </row>
    <row r="102" spans="5:8" ht="13.8" thickBot="1" x14ac:dyDescent="0.3"/>
    <row r="103" spans="5:8" x14ac:dyDescent="0.25">
      <c r="E103" s="50"/>
      <c r="F103" s="51"/>
      <c r="G103" s="52" t="e">
        <f>G115</f>
        <v>#REF!</v>
      </c>
      <c r="H103" s="47"/>
    </row>
    <row r="104" spans="5:8" x14ac:dyDescent="0.25">
      <c r="E104" s="54"/>
      <c r="F104" s="38"/>
      <c r="G104" s="38"/>
    </row>
    <row r="105" spans="5:8" x14ac:dyDescent="0.25">
      <c r="E105" s="54" t="s">
        <v>69</v>
      </c>
      <c r="F105" s="38"/>
      <c r="G105" s="38"/>
    </row>
    <row r="106" spans="5:8" x14ac:dyDescent="0.25">
      <c r="E106" s="54" t="s">
        <v>90</v>
      </c>
      <c r="F106" s="38"/>
      <c r="G106" s="38"/>
    </row>
    <row r="107" spans="5:8" x14ac:dyDescent="0.25">
      <c r="E107" s="54"/>
      <c r="F107" s="38"/>
      <c r="G107" s="38"/>
    </row>
    <row r="108" spans="5:8" x14ac:dyDescent="0.25">
      <c r="E108" s="54" t="s">
        <v>70</v>
      </c>
      <c r="F108" s="38"/>
      <c r="G108" s="38"/>
    </row>
    <row r="109" spans="5:8" x14ac:dyDescent="0.25">
      <c r="E109" s="54" t="s">
        <v>71</v>
      </c>
      <c r="F109" s="38"/>
      <c r="G109" s="38"/>
    </row>
    <row r="110" spans="5:8" x14ac:dyDescent="0.25">
      <c r="E110" s="54" t="s">
        <v>72</v>
      </c>
      <c r="F110" s="38"/>
      <c r="G110" s="38"/>
    </row>
    <row r="111" spans="5:8" x14ac:dyDescent="0.25">
      <c r="E111" s="54"/>
      <c r="F111" s="38"/>
      <c r="G111" s="38"/>
    </row>
    <row r="112" spans="5:8" x14ac:dyDescent="0.25">
      <c r="E112" s="57" t="s">
        <v>73</v>
      </c>
      <c r="F112" s="38"/>
      <c r="G112" s="59">
        <v>768246</v>
      </c>
    </row>
    <row r="113" spans="2:7" x14ac:dyDescent="0.25">
      <c r="E113" s="54" t="s">
        <v>74</v>
      </c>
      <c r="F113" s="38"/>
      <c r="G113" s="61" t="e">
        <f>-#REF!</f>
        <v>#REF!</v>
      </c>
    </row>
    <row r="114" spans="2:7" ht="13.8" thickBot="1" x14ac:dyDescent="0.3">
      <c r="E114" s="54" t="s">
        <v>75</v>
      </c>
      <c r="F114" s="38"/>
      <c r="G114" s="64" t="e">
        <f>SUM(G112:G113)</f>
        <v>#REF!</v>
      </c>
    </row>
    <row r="115" spans="2:7" ht="14.4" thickTop="1" thickBot="1" x14ac:dyDescent="0.3">
      <c r="E115" s="54" t="s">
        <v>76</v>
      </c>
      <c r="F115" s="38"/>
      <c r="G115" s="66" t="e">
        <f>G$114/#REF!</f>
        <v>#REF!</v>
      </c>
    </row>
    <row r="116" spans="2:7" ht="14.4" thickTop="1" thickBot="1" x14ac:dyDescent="0.3">
      <c r="E116" s="67"/>
      <c r="F116" s="68"/>
      <c r="G116" s="69" t="s">
        <v>79</v>
      </c>
    </row>
    <row r="119" spans="2:7" x14ac:dyDescent="0.25">
      <c r="B119" s="2" t="s">
        <v>83</v>
      </c>
      <c r="C119" s="2"/>
      <c r="D119" s="2" t="s">
        <v>149</v>
      </c>
      <c r="E119" s="78"/>
      <c r="F119" s="71"/>
      <c r="G119" s="88"/>
    </row>
    <row r="120" spans="2:7" x14ac:dyDescent="0.25">
      <c r="B120" s="2" t="s">
        <v>84</v>
      </c>
      <c r="C120" s="2"/>
      <c r="D120" s="2"/>
      <c r="E120" s="71"/>
      <c r="F120" s="71"/>
      <c r="G120" s="88"/>
    </row>
    <row r="121" spans="2:7" x14ac:dyDescent="0.25">
      <c r="B121" s="2" t="s">
        <v>80</v>
      </c>
      <c r="C121" s="2"/>
      <c r="D121" s="139" t="s">
        <v>150</v>
      </c>
      <c r="E121" s="71"/>
      <c r="F121" s="71"/>
      <c r="G121" s="49"/>
    </row>
    <row r="122" spans="2:7" x14ac:dyDescent="0.25">
      <c r="B122" s="2" t="s">
        <v>82</v>
      </c>
      <c r="C122" s="2"/>
      <c r="D122" s="139"/>
      <c r="E122" s="71"/>
      <c r="F122" s="71"/>
      <c r="G122" s="75"/>
    </row>
    <row r="123" spans="2:7" x14ac:dyDescent="0.25">
      <c r="B123" s="2" t="s">
        <v>81</v>
      </c>
      <c r="C123" s="2"/>
      <c r="D123" s="139"/>
      <c r="E123" s="71"/>
      <c r="F123" s="71"/>
      <c r="G123" s="49"/>
    </row>
    <row r="124" spans="2:7" x14ac:dyDescent="0.25">
      <c r="E124" s="71"/>
      <c r="F124" s="71"/>
      <c r="G124" s="75"/>
    </row>
    <row r="125" spans="2:7" x14ac:dyDescent="0.25">
      <c r="B125" s="2" t="s">
        <v>91</v>
      </c>
      <c r="D125" s="2" t="s">
        <v>142</v>
      </c>
      <c r="E125" s="71"/>
      <c r="F125" s="71"/>
      <c r="G125" s="76"/>
    </row>
    <row r="126" spans="2:7" x14ac:dyDescent="0.25">
      <c r="D126" s="92" t="s">
        <v>125</v>
      </c>
      <c r="G126" s="63"/>
    </row>
    <row r="127" spans="2:7" x14ac:dyDescent="0.25">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G20" sqref="G20"/>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1.4414062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ht="21" thickBot="1" x14ac:dyDescent="0.4">
      <c r="B2" s="1" t="s">
        <v>0</v>
      </c>
      <c r="C2" s="2"/>
      <c r="D2" s="2"/>
      <c r="E2" s="2"/>
      <c r="F2" s="2"/>
      <c r="G2" s="134" t="s">
        <v>171</v>
      </c>
      <c r="H2" s="134"/>
      <c r="I2" s="134"/>
      <c r="J2" s="134"/>
      <c r="K2" s="134"/>
      <c r="L2" s="5"/>
      <c r="M2" s="134" t="s">
        <v>172</v>
      </c>
      <c r="N2" s="134"/>
      <c r="O2" s="134"/>
      <c r="P2" s="134"/>
      <c r="Q2" s="134"/>
      <c r="R2" s="83"/>
      <c r="S2" s="83"/>
      <c r="T2" s="83"/>
      <c r="U2" s="83"/>
      <c r="V2" s="83"/>
    </row>
    <row r="3" spans="2:24" ht="20.399999999999999" x14ac:dyDescent="0.35">
      <c r="B3" s="1" t="s">
        <v>1</v>
      </c>
      <c r="C3" s="2"/>
      <c r="D3" s="2"/>
      <c r="L3" s="5"/>
    </row>
    <row r="4" spans="2:24" x14ac:dyDescent="0.25">
      <c r="B4" s="2" t="s">
        <v>173</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5">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5">
      <c r="D6" s="81"/>
      <c r="E6" s="15"/>
      <c r="G6" s="7"/>
      <c r="H6" s="7" t="s">
        <v>14</v>
      </c>
      <c r="I6" s="7"/>
      <c r="J6" s="7"/>
      <c r="K6" s="7"/>
      <c r="L6" s="5"/>
      <c r="M6" s="7"/>
      <c r="N6" s="7" t="s">
        <v>14</v>
      </c>
      <c r="O6" s="7"/>
      <c r="P6" s="7"/>
      <c r="Q6" s="7"/>
      <c r="R6" s="7"/>
      <c r="S6" s="7"/>
      <c r="T6" s="7"/>
      <c r="U6" s="7"/>
      <c r="V6" s="7"/>
    </row>
    <row r="7" spans="2:24" ht="13.8" thickBot="1" x14ac:dyDescent="0.3">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5">
      <c r="B8" s="2"/>
      <c r="E8" s="15"/>
      <c r="G8" s="9"/>
      <c r="H8" s="9"/>
      <c r="I8" s="9"/>
      <c r="J8" s="9"/>
      <c r="K8" s="9"/>
      <c r="L8" s="5"/>
      <c r="M8" s="9"/>
      <c r="N8" s="9"/>
      <c r="O8" s="9"/>
      <c r="P8" s="9"/>
      <c r="Q8" s="9"/>
      <c r="R8" s="87"/>
      <c r="S8" s="87"/>
      <c r="T8" s="87"/>
      <c r="U8" s="87"/>
      <c r="V8" s="87"/>
    </row>
    <row r="9" spans="2:24" ht="14.4" thickBot="1" x14ac:dyDescent="0.3">
      <c r="B9" s="6" t="s">
        <v>3</v>
      </c>
      <c r="D9" s="3" t="s">
        <v>19</v>
      </c>
      <c r="E9" s="18" t="s">
        <v>20</v>
      </c>
      <c r="G9" s="11">
        <v>4194</v>
      </c>
      <c r="H9" s="11">
        <v>2097</v>
      </c>
      <c r="I9" s="11">
        <v>36019</v>
      </c>
      <c r="J9" s="12">
        <v>0</v>
      </c>
      <c r="K9" s="11">
        <f>SUM(G9:J9)</f>
        <v>42310</v>
      </c>
      <c r="L9" s="5"/>
      <c r="M9" s="11">
        <v>0</v>
      </c>
      <c r="N9" s="11">
        <v>0</v>
      </c>
      <c r="O9" s="11">
        <v>0</v>
      </c>
      <c r="P9" s="12">
        <v>0</v>
      </c>
      <c r="Q9" s="12">
        <f>SUM(M9:P9)</f>
        <v>0</v>
      </c>
      <c r="R9" s="12"/>
      <c r="S9" s="12"/>
      <c r="T9" s="12"/>
      <c r="U9" s="12"/>
      <c r="V9" s="12"/>
    </row>
    <row r="10" spans="2:24" x14ac:dyDescent="0.25">
      <c r="B10" s="2" t="s">
        <v>9</v>
      </c>
      <c r="E10" s="18" t="s">
        <v>21</v>
      </c>
      <c r="G10" s="13">
        <v>69.599999999999994</v>
      </c>
      <c r="H10" s="13">
        <v>34.799999999999997</v>
      </c>
      <c r="I10" s="13">
        <v>591.20000000000005</v>
      </c>
      <c r="J10" s="14">
        <v>0</v>
      </c>
      <c r="K10" s="13">
        <f>SUM(G10:J10)</f>
        <v>695.6</v>
      </c>
      <c r="L10" s="5"/>
      <c r="M10" s="13">
        <f>G10</f>
        <v>69.599999999999994</v>
      </c>
      <c r="N10" s="13">
        <f>H10</f>
        <v>34.799999999999997</v>
      </c>
      <c r="O10" s="13">
        <f>I10</f>
        <v>591.20000000000005</v>
      </c>
      <c r="P10" s="14">
        <v>0</v>
      </c>
      <c r="Q10" s="14">
        <f>SUM(M10:P10)</f>
        <v>695.6</v>
      </c>
      <c r="R10" s="85"/>
      <c r="S10" s="85"/>
      <c r="T10" s="85"/>
      <c r="U10" s="85"/>
      <c r="V10" s="85"/>
    </row>
    <row r="11" spans="2:24" x14ac:dyDescent="0.25">
      <c r="E11" s="18"/>
      <c r="G11" s="15"/>
      <c r="H11" s="15"/>
      <c r="I11" s="15"/>
      <c r="K11" s="15"/>
      <c r="L11" s="5"/>
      <c r="M11" s="15"/>
      <c r="N11" s="15"/>
      <c r="O11" s="15"/>
    </row>
    <row r="12" spans="2:24" ht="13.8" thickBot="1" x14ac:dyDescent="0.3">
      <c r="D12" s="3" t="s">
        <v>22</v>
      </c>
      <c r="E12" s="18" t="s">
        <v>20</v>
      </c>
      <c r="G12" s="11">
        <v>6309</v>
      </c>
      <c r="H12" s="11">
        <v>3154</v>
      </c>
      <c r="I12" s="11">
        <v>53624</v>
      </c>
      <c r="J12" s="12">
        <v>0</v>
      </c>
      <c r="K12" s="11">
        <f>SUM(G12:J12)</f>
        <v>63087</v>
      </c>
      <c r="L12" s="5"/>
      <c r="M12" s="11">
        <f t="shared" ref="M12:P13" si="0">G12</f>
        <v>6309</v>
      </c>
      <c r="N12" s="11">
        <f t="shared" si="0"/>
        <v>3154</v>
      </c>
      <c r="O12" s="11">
        <f t="shared" si="0"/>
        <v>53624</v>
      </c>
      <c r="P12" s="11">
        <f t="shared" si="0"/>
        <v>0</v>
      </c>
      <c r="Q12" s="12">
        <f>SUM(M12:P12)</f>
        <v>63087</v>
      </c>
      <c r="R12" s="12"/>
      <c r="S12" s="12"/>
      <c r="T12" s="12"/>
      <c r="U12" s="12"/>
      <c r="V12" s="12"/>
    </row>
    <row r="13" spans="2:24" ht="13.8" thickBot="1" x14ac:dyDescent="0.3">
      <c r="E13" s="18" t="s">
        <v>21</v>
      </c>
      <c r="G13" s="13">
        <v>99.5</v>
      </c>
      <c r="H13" s="13">
        <v>49.9</v>
      </c>
      <c r="I13" s="13">
        <v>845.6</v>
      </c>
      <c r="J13" s="14">
        <v>0</v>
      </c>
      <c r="K13" s="13">
        <f>SUM(G13:J13)</f>
        <v>995</v>
      </c>
      <c r="L13" s="5"/>
      <c r="M13" s="13">
        <f t="shared" si="0"/>
        <v>99.5</v>
      </c>
      <c r="N13" s="13">
        <f t="shared" si="0"/>
        <v>49.9</v>
      </c>
      <c r="O13" s="13">
        <f t="shared" si="0"/>
        <v>845.6</v>
      </c>
      <c r="P13" s="14">
        <v>0</v>
      </c>
      <c r="Q13" s="14">
        <f>SUM(M13:P13)</f>
        <v>995</v>
      </c>
      <c r="R13" s="85"/>
      <c r="S13" s="85"/>
      <c r="T13" s="85"/>
      <c r="U13" s="85"/>
      <c r="V13" s="85"/>
    </row>
    <row r="14" spans="2:24" x14ac:dyDescent="0.25">
      <c r="E14" s="15"/>
      <c r="G14" s="15"/>
      <c r="H14" s="15"/>
      <c r="I14" s="15"/>
      <c r="K14" s="15"/>
      <c r="L14" s="5"/>
      <c r="M14" s="15"/>
      <c r="N14" s="15"/>
      <c r="O14" s="15"/>
      <c r="X14" s="16" t="s">
        <v>86</v>
      </c>
    </row>
    <row r="15" spans="2:24" x14ac:dyDescent="0.25">
      <c r="D15" s="3" t="s">
        <v>23</v>
      </c>
      <c r="E15" s="18" t="s">
        <v>24</v>
      </c>
      <c r="G15" s="11">
        <f>1212+(10440*(G10/K10))</f>
        <v>2256.6003450258768</v>
      </c>
      <c r="H15" s="11">
        <f>606+(10440*(H10/K10))</f>
        <v>1128.3001725129384</v>
      </c>
      <c r="I15" s="11">
        <f>10440*(I10/K10)</f>
        <v>8873.0994824611862</v>
      </c>
      <c r="J15" s="12"/>
      <c r="K15" s="11">
        <f t="shared" ref="K15:K20" si="1">SUM(G15:J15)</f>
        <v>12258.000000000002</v>
      </c>
      <c r="L15" s="5"/>
      <c r="M15" s="11">
        <v>0</v>
      </c>
      <c r="N15" s="11">
        <v>0</v>
      </c>
      <c r="O15" s="11">
        <v>0</v>
      </c>
      <c r="P15" s="12">
        <v>0</v>
      </c>
      <c r="Q15" s="12">
        <f t="shared" ref="Q15:Q20" si="2">SUM(M15:P15)</f>
        <v>0</v>
      </c>
      <c r="R15" s="12"/>
      <c r="S15" s="12"/>
      <c r="T15" s="12"/>
      <c r="U15" s="12"/>
      <c r="V15" s="12"/>
      <c r="X15" s="17"/>
    </row>
    <row r="16" spans="2:24" x14ac:dyDescent="0.25">
      <c r="D16" s="3" t="s">
        <v>25</v>
      </c>
      <c r="E16" s="18" t="s">
        <v>26</v>
      </c>
      <c r="G16" s="11">
        <f>569+(4835*(G13/K13))</f>
        <v>1052.5</v>
      </c>
      <c r="H16" s="11">
        <f>284+(4835*(H13/K13))</f>
        <v>526.47889447236184</v>
      </c>
      <c r="I16" s="11">
        <f>4835*(I13/K13)</f>
        <v>4109.0211055276377</v>
      </c>
      <c r="J16" s="12"/>
      <c r="K16" s="11">
        <f t="shared" si="1"/>
        <v>5688</v>
      </c>
      <c r="L16" s="5"/>
      <c r="M16" s="11">
        <f>G16</f>
        <v>1052.5</v>
      </c>
      <c r="N16" s="11">
        <f>H16</f>
        <v>526.47889447236184</v>
      </c>
      <c r="O16" s="11">
        <f>I16</f>
        <v>4109.0211055276377</v>
      </c>
      <c r="P16" s="11">
        <f>J16</f>
        <v>0</v>
      </c>
      <c r="Q16" s="12">
        <f t="shared" si="2"/>
        <v>5688</v>
      </c>
      <c r="R16" s="12"/>
      <c r="S16" s="12"/>
      <c r="T16" s="12"/>
      <c r="U16" s="12"/>
      <c r="V16" s="12"/>
      <c r="X16" s="17" t="s">
        <v>87</v>
      </c>
    </row>
    <row r="17" spans="2:24" x14ac:dyDescent="0.25">
      <c r="E17" s="18" t="s">
        <v>27</v>
      </c>
      <c r="G17" s="11">
        <f>56+(472*(G10/K10))</f>
        <v>103.22714203565266</v>
      </c>
      <c r="H17" s="11">
        <f>28+(472*(H10/K10))</f>
        <v>51.613571017826331</v>
      </c>
      <c r="I17" s="11">
        <f>472*(I10/K10)</f>
        <v>401.15928694652104</v>
      </c>
      <c r="J17" s="12"/>
      <c r="K17" s="11">
        <f t="shared" si="1"/>
        <v>556</v>
      </c>
      <c r="L17" s="5"/>
      <c r="M17" s="11">
        <v>0</v>
      </c>
      <c r="N17" s="11">
        <v>0</v>
      </c>
      <c r="O17" s="11">
        <v>0</v>
      </c>
      <c r="P17" s="12">
        <v>0</v>
      </c>
      <c r="Q17" s="12">
        <f t="shared" si="2"/>
        <v>0</v>
      </c>
      <c r="R17" s="12"/>
      <c r="S17" s="12"/>
      <c r="T17" s="12"/>
      <c r="U17" s="12"/>
      <c r="V17" s="12"/>
      <c r="X17" s="19">
        <f>395196+21379</f>
        <v>416575</v>
      </c>
    </row>
    <row r="18" spans="2:24" x14ac:dyDescent="0.25">
      <c r="E18" s="18" t="s">
        <v>28</v>
      </c>
      <c r="G18" s="11">
        <v>723</v>
      </c>
      <c r="H18" s="11">
        <v>352</v>
      </c>
      <c r="I18" s="11">
        <v>6409</v>
      </c>
      <c r="J18" s="12">
        <v>0</v>
      </c>
      <c r="K18" s="11">
        <f t="shared" si="1"/>
        <v>7484</v>
      </c>
      <c r="L18" s="5"/>
      <c r="M18" s="11">
        <v>0</v>
      </c>
      <c r="N18" s="11">
        <v>0</v>
      </c>
      <c r="O18" s="11">
        <v>0</v>
      </c>
      <c r="P18" s="12">
        <v>0</v>
      </c>
      <c r="Q18" s="12">
        <f t="shared" si="2"/>
        <v>0</v>
      </c>
      <c r="R18" s="12"/>
      <c r="S18" s="12"/>
      <c r="T18" s="12"/>
      <c r="U18" s="12"/>
      <c r="V18" s="12"/>
      <c r="X18" s="17"/>
    </row>
    <row r="19" spans="2:24" x14ac:dyDescent="0.25">
      <c r="E19" s="18" t="s">
        <v>29</v>
      </c>
      <c r="G19" s="11">
        <v>9576</v>
      </c>
      <c r="H19" s="11">
        <v>4891</v>
      </c>
      <c r="I19" s="11">
        <v>0</v>
      </c>
      <c r="J19" s="12">
        <v>0</v>
      </c>
      <c r="K19" s="11">
        <f t="shared" si="1"/>
        <v>14467</v>
      </c>
      <c r="L19" s="5"/>
      <c r="M19" s="11">
        <f>G19</f>
        <v>9576</v>
      </c>
      <c r="N19" s="11">
        <f>H19</f>
        <v>4891</v>
      </c>
      <c r="O19" s="11">
        <f>I19</f>
        <v>0</v>
      </c>
      <c r="P19" s="11">
        <f>J19</f>
        <v>0</v>
      </c>
      <c r="Q19" s="12">
        <f t="shared" si="2"/>
        <v>14467</v>
      </c>
      <c r="R19" s="12"/>
      <c r="S19" s="12"/>
      <c r="T19" s="12"/>
      <c r="U19" s="12"/>
      <c r="V19" s="12"/>
      <c r="X19" s="17" t="s">
        <v>88</v>
      </c>
    </row>
    <row r="20" spans="2:24" x14ac:dyDescent="0.25">
      <c r="E20" s="18" t="s">
        <v>30</v>
      </c>
      <c r="G20" s="21">
        <v>715</v>
      </c>
      <c r="H20" s="21">
        <v>345</v>
      </c>
      <c r="I20" s="21">
        <v>6794</v>
      </c>
      <c r="J20" s="22">
        <v>0</v>
      </c>
      <c r="K20" s="21">
        <f t="shared" si="1"/>
        <v>7854</v>
      </c>
      <c r="L20" s="5"/>
      <c r="M20" s="11">
        <v>0</v>
      </c>
      <c r="N20" s="11">
        <v>0</v>
      </c>
      <c r="O20" s="11">
        <v>0</v>
      </c>
      <c r="P20" s="12">
        <v>0</v>
      </c>
      <c r="Q20" s="12">
        <f t="shared" si="2"/>
        <v>0</v>
      </c>
      <c r="R20" s="12"/>
      <c r="S20" s="12"/>
      <c r="T20" s="12"/>
      <c r="U20" s="12"/>
      <c r="V20" s="12"/>
      <c r="X20" s="19">
        <f>31030+1679</f>
        <v>32709</v>
      </c>
    </row>
    <row r="21" spans="2:24" x14ac:dyDescent="0.25">
      <c r="D21" s="2" t="s">
        <v>31</v>
      </c>
      <c r="E21" s="18"/>
      <c r="G21" s="23">
        <f>G9+G12+SUM(G15:G20)</f>
        <v>24929.327487061528</v>
      </c>
      <c r="H21" s="23">
        <f t="shared" ref="H21:K21" si="3">H9+H12+SUM(H15:H20)</f>
        <v>12545.392638003126</v>
      </c>
      <c r="I21" s="23">
        <f t="shared" si="3"/>
        <v>116229.27987493534</v>
      </c>
      <c r="J21" s="23">
        <f t="shared" si="3"/>
        <v>0</v>
      </c>
      <c r="K21" s="23">
        <f t="shared" si="3"/>
        <v>153704</v>
      </c>
      <c r="L21" s="5"/>
      <c r="M21" s="25">
        <f>M9+M12+SUM(M15:M20)</f>
        <v>16937.5</v>
      </c>
      <c r="N21" s="25">
        <f>N9+N12+SUM(N15:N20)</f>
        <v>8571.4788944723623</v>
      </c>
      <c r="O21" s="25">
        <f>O9+O12+SUM(O15:O20)</f>
        <v>57733.021105527638</v>
      </c>
      <c r="P21" s="26">
        <f>P9+P12+SUM(P15:P20)</f>
        <v>0</v>
      </c>
      <c r="Q21" s="26">
        <f>Q9+Q12+SUM(Q15:Q20)</f>
        <v>83242</v>
      </c>
      <c r="R21" s="86"/>
      <c r="S21" s="86"/>
      <c r="T21" s="86"/>
      <c r="U21" s="86"/>
      <c r="V21" s="86"/>
      <c r="X21" s="17"/>
    </row>
    <row r="22" spans="2:24" x14ac:dyDescent="0.25">
      <c r="E22" s="18"/>
      <c r="G22" s="11"/>
      <c r="H22" s="11"/>
      <c r="I22" s="11"/>
      <c r="J22" s="12"/>
      <c r="K22" s="11"/>
      <c r="L22" s="5"/>
      <c r="M22" s="27"/>
      <c r="N22" s="11"/>
      <c r="O22" s="11"/>
      <c r="P22" s="12"/>
      <c r="Q22" s="12"/>
      <c r="R22" s="12"/>
      <c r="S22" s="12"/>
      <c r="T22" s="12"/>
      <c r="U22" s="12"/>
      <c r="V22" s="12"/>
      <c r="X22" s="17" t="s">
        <v>89</v>
      </c>
    </row>
    <row r="23" spans="2:24" ht="13.8" thickBot="1" x14ac:dyDescent="0.3">
      <c r="B23" s="2" t="s">
        <v>32</v>
      </c>
      <c r="E23" s="18" t="s">
        <v>33</v>
      </c>
      <c r="G23" s="21">
        <v>1176</v>
      </c>
      <c r="H23" s="21">
        <v>451</v>
      </c>
      <c r="I23" s="21">
        <v>11556</v>
      </c>
      <c r="J23" s="22">
        <v>0</v>
      </c>
      <c r="K23" s="21">
        <f>SUM(G23:J23)</f>
        <v>13183</v>
      </c>
      <c r="L23" s="5"/>
      <c r="M23" s="21">
        <f>$Q$23*G$115</f>
        <v>189.78659167336497</v>
      </c>
      <c r="N23" s="21">
        <f>$Q$23*H$115</f>
        <v>60.446406785038164</v>
      </c>
      <c r="O23" s="21">
        <f>$Q$23*I$115</f>
        <v>784.88131949154592</v>
      </c>
      <c r="P23" s="21">
        <v>0</v>
      </c>
      <c r="Q23" s="21">
        <f>K23*X23</f>
        <v>1035.1143179499491</v>
      </c>
      <c r="R23" s="29"/>
      <c r="S23" s="29"/>
      <c r="T23" s="29"/>
      <c r="U23" s="29"/>
      <c r="V23" s="29"/>
      <c r="X23" s="28">
        <f>X20/X17</f>
        <v>7.8518874152313511E-2</v>
      </c>
    </row>
    <row r="24" spans="2:24" x14ac:dyDescent="0.25">
      <c r="B24" s="2"/>
      <c r="D24" s="2" t="s">
        <v>34</v>
      </c>
      <c r="E24" s="18"/>
      <c r="G24" s="23">
        <f>SUM(G23)</f>
        <v>1176</v>
      </c>
      <c r="H24" s="23">
        <f>SUM(H23)</f>
        <v>451</v>
      </c>
      <c r="I24" s="23">
        <f>SUM(I23)</f>
        <v>11556</v>
      </c>
      <c r="J24" s="24">
        <f>SUM(J23)</f>
        <v>0</v>
      </c>
      <c r="K24" s="23">
        <f>SUM(G24:J24)</f>
        <v>13183</v>
      </c>
      <c r="L24" s="5"/>
      <c r="M24" s="23">
        <f>SUM(M23)</f>
        <v>189.78659167336497</v>
      </c>
      <c r="N24" s="23">
        <f>SUM(N23)</f>
        <v>60.446406785038164</v>
      </c>
      <c r="O24" s="23">
        <f>SUM(O23)</f>
        <v>784.88131949154592</v>
      </c>
      <c r="P24" s="24">
        <f>SUM(P23)</f>
        <v>0</v>
      </c>
      <c r="Q24" s="24">
        <f>SUM(M24:P24)</f>
        <v>1035.1143179499491</v>
      </c>
      <c r="R24" s="24"/>
      <c r="S24" s="24"/>
      <c r="T24" s="24"/>
      <c r="U24" s="24"/>
      <c r="V24" s="24"/>
    </row>
    <row r="25" spans="2:24" x14ac:dyDescent="0.25">
      <c r="B25" s="2"/>
      <c r="E25" s="15"/>
      <c r="G25" s="15"/>
      <c r="H25" s="15"/>
      <c r="I25" s="15"/>
      <c r="K25" s="15"/>
      <c r="L25" s="5"/>
      <c r="M25" s="15"/>
      <c r="N25" s="15"/>
      <c r="O25" s="15"/>
    </row>
    <row r="26" spans="2:24" x14ac:dyDescent="0.25">
      <c r="B26" s="2" t="s">
        <v>35</v>
      </c>
      <c r="E26" s="18" t="s">
        <v>36</v>
      </c>
      <c r="F26" s="15"/>
      <c r="G26" s="11">
        <v>20</v>
      </c>
      <c r="H26" s="11">
        <v>7</v>
      </c>
      <c r="I26" s="11">
        <v>236</v>
      </c>
      <c r="J26" s="12">
        <v>0</v>
      </c>
      <c r="K26" s="11">
        <f t="shared" ref="K26:K31" si="4">SUM(G26:J26)</f>
        <v>263</v>
      </c>
      <c r="L26" s="5"/>
      <c r="M26" s="29">
        <v>0</v>
      </c>
      <c r="N26" s="29">
        <v>0</v>
      </c>
      <c r="O26" s="29">
        <v>0</v>
      </c>
      <c r="P26" s="12">
        <v>0</v>
      </c>
      <c r="Q26" s="12">
        <f t="shared" ref="Q26:Q31" si="5">SUM(M26:P26)</f>
        <v>0</v>
      </c>
      <c r="R26" s="12"/>
      <c r="S26" s="12"/>
      <c r="T26" s="12"/>
      <c r="U26" s="12"/>
      <c r="V26" s="12"/>
    </row>
    <row r="27" spans="2:24" x14ac:dyDescent="0.25">
      <c r="B27" s="2"/>
      <c r="E27" s="18" t="s">
        <v>37</v>
      </c>
      <c r="G27" s="11">
        <v>108</v>
      </c>
      <c r="H27" s="11">
        <v>54</v>
      </c>
      <c r="I27" s="11">
        <v>917</v>
      </c>
      <c r="J27" s="12">
        <v>0</v>
      </c>
      <c r="K27" s="11">
        <f t="shared" si="4"/>
        <v>1079</v>
      </c>
      <c r="L27" s="5"/>
      <c r="M27" s="11">
        <f>G27</f>
        <v>108</v>
      </c>
      <c r="N27" s="11">
        <f>H27</f>
        <v>54</v>
      </c>
      <c r="O27" s="11">
        <f>I27</f>
        <v>917</v>
      </c>
      <c r="P27" s="11">
        <f>J27</f>
        <v>0</v>
      </c>
      <c r="Q27" s="12">
        <f>SUM(M27:P27)</f>
        <v>1079</v>
      </c>
      <c r="R27" s="12"/>
      <c r="S27" s="12"/>
      <c r="T27" s="12"/>
      <c r="U27" s="12"/>
      <c r="V27" s="12"/>
    </row>
    <row r="28" spans="2:24" x14ac:dyDescent="0.25">
      <c r="B28" s="2"/>
      <c r="E28" s="15" t="s">
        <v>38</v>
      </c>
      <c r="G28" s="11"/>
      <c r="H28" s="11">
        <v>0</v>
      </c>
      <c r="I28" s="11">
        <v>0</v>
      </c>
      <c r="J28" s="12">
        <v>0</v>
      </c>
      <c r="K28" s="11">
        <f t="shared" si="4"/>
        <v>0</v>
      </c>
      <c r="L28" s="5"/>
      <c r="M28" s="11">
        <v>0</v>
      </c>
      <c r="N28" s="11">
        <v>0</v>
      </c>
      <c r="O28" s="11">
        <v>0</v>
      </c>
      <c r="P28" s="12">
        <v>0</v>
      </c>
      <c r="Q28" s="12">
        <f t="shared" si="5"/>
        <v>0</v>
      </c>
      <c r="R28" s="12"/>
      <c r="S28" s="12"/>
      <c r="T28" s="12"/>
      <c r="U28" s="12"/>
      <c r="V28" s="12"/>
    </row>
    <row r="29" spans="2:24" x14ac:dyDescent="0.25">
      <c r="B29" s="2"/>
      <c r="E29" s="18" t="s">
        <v>39</v>
      </c>
      <c r="G29" s="11">
        <v>132</v>
      </c>
      <c r="H29" s="11">
        <v>66</v>
      </c>
      <c r="I29" s="11">
        <v>1119</v>
      </c>
      <c r="J29" s="12">
        <v>0</v>
      </c>
      <c r="K29" s="11">
        <f t="shared" si="4"/>
        <v>1317</v>
      </c>
      <c r="L29" s="5"/>
      <c r="M29" s="11">
        <f t="shared" ref="M29:P30" si="6">G29</f>
        <v>132</v>
      </c>
      <c r="N29" s="11">
        <f t="shared" si="6"/>
        <v>66</v>
      </c>
      <c r="O29" s="11">
        <f t="shared" si="6"/>
        <v>1119</v>
      </c>
      <c r="P29" s="11">
        <f t="shared" si="6"/>
        <v>0</v>
      </c>
      <c r="Q29" s="12">
        <f t="shared" si="5"/>
        <v>1317</v>
      </c>
      <c r="R29" s="12"/>
      <c r="S29" s="12"/>
      <c r="T29" s="12"/>
      <c r="U29" s="12"/>
      <c r="V29" s="12"/>
    </row>
    <row r="30" spans="2:24" x14ac:dyDescent="0.25">
      <c r="B30" s="2"/>
      <c r="E30" s="10" t="s">
        <v>40</v>
      </c>
      <c r="G30" s="21">
        <v>0</v>
      </c>
      <c r="H30" s="21">
        <v>0</v>
      </c>
      <c r="I30" s="21">
        <v>0</v>
      </c>
      <c r="J30" s="22">
        <v>0</v>
      </c>
      <c r="K30" s="21">
        <f t="shared" si="4"/>
        <v>0</v>
      </c>
      <c r="L30" s="5"/>
      <c r="M30" s="21">
        <f t="shared" si="6"/>
        <v>0</v>
      </c>
      <c r="N30" s="21">
        <f t="shared" si="6"/>
        <v>0</v>
      </c>
      <c r="O30" s="21">
        <f>I30</f>
        <v>0</v>
      </c>
      <c r="P30" s="21">
        <f>J30</f>
        <v>0</v>
      </c>
      <c r="Q30" s="22">
        <f t="shared" si="5"/>
        <v>0</v>
      </c>
      <c r="R30" s="82"/>
      <c r="S30" s="82"/>
      <c r="T30" s="82"/>
      <c r="U30" s="82"/>
      <c r="V30" s="82"/>
    </row>
    <row r="31" spans="2:24" x14ac:dyDescent="0.25">
      <c r="B31" s="2"/>
      <c r="D31" s="2" t="s">
        <v>41</v>
      </c>
      <c r="G31" s="24">
        <f>SUM(G26:G30)</f>
        <v>260</v>
      </c>
      <c r="H31" s="24">
        <f>SUM(H11:H23)</f>
        <v>23494.685276006254</v>
      </c>
      <c r="I31" s="24">
        <f>SUM(I26:I30)</f>
        <v>2272</v>
      </c>
      <c r="J31" s="24">
        <f>SUM(J26:J30)</f>
        <v>0</v>
      </c>
      <c r="K31" s="23">
        <f t="shared" si="4"/>
        <v>26026.685276006254</v>
      </c>
      <c r="L31" s="5"/>
      <c r="M31" s="23">
        <f>SUM(M26:M30)</f>
        <v>240</v>
      </c>
      <c r="N31" s="23">
        <f>SUM(N26:N30)</f>
        <v>120</v>
      </c>
      <c r="O31" s="23">
        <f>SUM(O26:O30)</f>
        <v>2036</v>
      </c>
      <c r="P31" s="24">
        <f>SUM(P26:P30)</f>
        <v>0</v>
      </c>
      <c r="Q31" s="24">
        <f t="shared" si="5"/>
        <v>2396</v>
      </c>
      <c r="R31" s="24"/>
      <c r="S31" s="24"/>
      <c r="T31" s="24"/>
      <c r="U31" s="24"/>
      <c r="V31" s="24"/>
    </row>
    <row r="32" spans="2:24" x14ac:dyDescent="0.25">
      <c r="B32" s="2"/>
      <c r="K32" s="15"/>
      <c r="L32" s="5"/>
    </row>
    <row r="33" spans="2:22" x14ac:dyDescent="0.25">
      <c r="B33" s="2" t="s">
        <v>42</v>
      </c>
      <c r="D33" s="2" t="s">
        <v>43</v>
      </c>
      <c r="E33" s="3" t="s">
        <v>44</v>
      </c>
      <c r="G33" s="11">
        <v>2212</v>
      </c>
      <c r="H33" s="11">
        <v>0</v>
      </c>
      <c r="I33" s="11">
        <v>0</v>
      </c>
      <c r="J33" s="11">
        <v>0</v>
      </c>
      <c r="K33" s="11">
        <f>SUM(G33:J33)</f>
        <v>2212</v>
      </c>
      <c r="L33" s="5"/>
      <c r="M33" s="12">
        <f t="shared" ref="M33:P34" si="7">G33</f>
        <v>2212</v>
      </c>
      <c r="N33" s="12">
        <f t="shared" si="7"/>
        <v>0</v>
      </c>
      <c r="O33" s="12">
        <f t="shared" si="7"/>
        <v>0</v>
      </c>
      <c r="P33" s="12">
        <f t="shared" si="7"/>
        <v>0</v>
      </c>
      <c r="Q33" s="12">
        <f>SUM(M33:P33)</f>
        <v>2212</v>
      </c>
      <c r="R33" s="12"/>
      <c r="S33" s="12"/>
      <c r="T33" s="12"/>
      <c r="U33" s="12"/>
      <c r="V33" s="12"/>
    </row>
    <row r="34" spans="2:22" x14ac:dyDescent="0.25">
      <c r="B34" s="2" t="s">
        <v>45</v>
      </c>
      <c r="D34" s="2" t="s">
        <v>46</v>
      </c>
      <c r="E34" s="3" t="s">
        <v>47</v>
      </c>
      <c r="G34" s="11">
        <v>380</v>
      </c>
      <c r="H34" s="11">
        <v>0</v>
      </c>
      <c r="I34" s="11">
        <v>0</v>
      </c>
      <c r="J34" s="11">
        <v>0</v>
      </c>
      <c r="K34" s="11">
        <f>SUM(G34:J34)</f>
        <v>380</v>
      </c>
      <c r="L34" s="5"/>
      <c r="M34" s="12">
        <f t="shared" si="7"/>
        <v>380</v>
      </c>
      <c r="N34" s="12">
        <f t="shared" si="7"/>
        <v>0</v>
      </c>
      <c r="O34" s="12">
        <f t="shared" si="7"/>
        <v>0</v>
      </c>
      <c r="P34" s="12">
        <f t="shared" si="7"/>
        <v>0</v>
      </c>
      <c r="Q34" s="12">
        <f>SUM(M34:P34)</f>
        <v>380</v>
      </c>
      <c r="R34" s="12"/>
      <c r="S34" s="12"/>
      <c r="T34" s="12"/>
      <c r="U34" s="12"/>
      <c r="V34" s="12"/>
    </row>
    <row r="35" spans="2:22" x14ac:dyDescent="0.25">
      <c r="D35" s="2"/>
      <c r="G35" s="15"/>
      <c r="H35" s="15"/>
      <c r="I35" s="15"/>
      <c r="J35" s="15"/>
      <c r="K35" s="15"/>
      <c r="L35" s="5"/>
      <c r="Q35" s="12"/>
      <c r="R35" s="12"/>
      <c r="S35" s="12"/>
      <c r="T35" s="12"/>
      <c r="U35" s="12"/>
      <c r="V35" s="12"/>
    </row>
    <row r="36" spans="2:22" x14ac:dyDescent="0.25">
      <c r="D36" s="2" t="s">
        <v>48</v>
      </c>
      <c r="E36" s="3" t="s">
        <v>49</v>
      </c>
      <c r="G36" s="11">
        <v>627</v>
      </c>
      <c r="H36" s="11"/>
      <c r="I36" s="11">
        <v>0</v>
      </c>
      <c r="J36" s="11">
        <v>0</v>
      </c>
      <c r="K36" s="11">
        <f>SUM(G36:J36)</f>
        <v>627</v>
      </c>
      <c r="L36" s="5"/>
      <c r="M36" s="12">
        <f t="shared" ref="M36:P39" si="8">G36</f>
        <v>627</v>
      </c>
      <c r="N36" s="12">
        <f t="shared" si="8"/>
        <v>0</v>
      </c>
      <c r="O36" s="12">
        <f t="shared" si="8"/>
        <v>0</v>
      </c>
      <c r="P36" s="12">
        <f t="shared" si="8"/>
        <v>0</v>
      </c>
      <c r="Q36" s="12">
        <f>SUM(M36:P36)</f>
        <v>627</v>
      </c>
      <c r="R36" s="12"/>
      <c r="S36" s="12"/>
      <c r="T36" s="12"/>
      <c r="U36" s="12"/>
      <c r="V36" s="12"/>
    </row>
    <row r="37" spans="2:22" x14ac:dyDescent="0.25">
      <c r="D37" s="2" t="s">
        <v>50</v>
      </c>
      <c r="E37" s="3" t="s">
        <v>51</v>
      </c>
      <c r="G37" s="11">
        <v>526</v>
      </c>
      <c r="H37" s="11">
        <v>0</v>
      </c>
      <c r="I37" s="11">
        <v>0</v>
      </c>
      <c r="J37" s="11">
        <v>0</v>
      </c>
      <c r="K37" s="11">
        <f>SUM(G37:J37)</f>
        <v>526</v>
      </c>
      <c r="L37" s="5"/>
      <c r="M37" s="12">
        <f t="shared" si="8"/>
        <v>526</v>
      </c>
      <c r="N37" s="12">
        <f t="shared" si="8"/>
        <v>0</v>
      </c>
      <c r="O37" s="12">
        <f t="shared" si="8"/>
        <v>0</v>
      </c>
      <c r="P37" s="12">
        <f t="shared" si="8"/>
        <v>0</v>
      </c>
      <c r="Q37" s="12">
        <f>SUM(M37:P37)</f>
        <v>526</v>
      </c>
      <c r="R37" s="12"/>
      <c r="S37" s="12"/>
      <c r="T37" s="12"/>
      <c r="U37" s="12"/>
      <c r="V37" s="12"/>
    </row>
    <row r="38" spans="2:22" x14ac:dyDescent="0.25">
      <c r="D38" s="2"/>
      <c r="E38" s="3" t="s">
        <v>52</v>
      </c>
      <c r="G38" s="11">
        <v>331</v>
      </c>
      <c r="H38" s="11">
        <v>0</v>
      </c>
      <c r="I38" s="11">
        <v>0</v>
      </c>
      <c r="J38" s="11">
        <v>0</v>
      </c>
      <c r="K38" s="11">
        <f>SUM(G38:J38)</f>
        <v>331</v>
      </c>
      <c r="L38" s="5"/>
      <c r="M38" s="12">
        <f t="shared" si="8"/>
        <v>331</v>
      </c>
      <c r="N38" s="12">
        <f t="shared" si="8"/>
        <v>0</v>
      </c>
      <c r="O38" s="12">
        <f t="shared" si="8"/>
        <v>0</v>
      </c>
      <c r="P38" s="12">
        <f t="shared" si="8"/>
        <v>0</v>
      </c>
      <c r="Q38" s="12">
        <f>SUM(M38:P38)</f>
        <v>331</v>
      </c>
      <c r="R38" s="12"/>
      <c r="S38" s="12"/>
      <c r="T38" s="12"/>
      <c r="U38" s="12"/>
      <c r="V38" s="12"/>
    </row>
    <row r="39" spans="2:22" x14ac:dyDescent="0.25">
      <c r="D39" s="2"/>
      <c r="E39" s="3" t="s">
        <v>53</v>
      </c>
      <c r="G39" s="11">
        <v>2729</v>
      </c>
      <c r="H39" s="11">
        <v>0</v>
      </c>
      <c r="I39" s="11"/>
      <c r="J39" s="11">
        <v>0</v>
      </c>
      <c r="K39" s="11">
        <f>SUM(G39:J39)</f>
        <v>2729</v>
      </c>
      <c r="L39" s="5"/>
      <c r="M39" s="12">
        <f t="shared" si="8"/>
        <v>2729</v>
      </c>
      <c r="N39" s="12">
        <f t="shared" si="8"/>
        <v>0</v>
      </c>
      <c r="O39" s="12">
        <f t="shared" si="8"/>
        <v>0</v>
      </c>
      <c r="P39" s="12">
        <f t="shared" si="8"/>
        <v>0</v>
      </c>
      <c r="Q39" s="12">
        <f>SUM(M39:P39)</f>
        <v>2729</v>
      </c>
      <c r="R39" s="12"/>
      <c r="S39" s="12"/>
      <c r="T39" s="12"/>
      <c r="U39" s="12"/>
      <c r="V39" s="12"/>
    </row>
    <row r="40" spans="2:22" x14ac:dyDescent="0.25">
      <c r="D40" s="2"/>
      <c r="G40" s="15"/>
      <c r="H40" s="15"/>
      <c r="I40" s="15"/>
      <c r="J40" s="15"/>
      <c r="K40" s="15"/>
      <c r="L40" s="5"/>
      <c r="Q40" s="12"/>
      <c r="R40" s="12"/>
      <c r="S40" s="12"/>
      <c r="T40" s="12"/>
      <c r="U40" s="12"/>
      <c r="V40" s="12"/>
    </row>
    <row r="41" spans="2:22" x14ac:dyDescent="0.25">
      <c r="D41" s="2" t="s">
        <v>54</v>
      </c>
      <c r="G41" s="11">
        <v>1307</v>
      </c>
      <c r="H41" s="11">
        <f>H11</f>
        <v>0</v>
      </c>
      <c r="I41" s="11">
        <v>0</v>
      </c>
      <c r="J41" s="11">
        <v>0</v>
      </c>
      <c r="K41" s="11">
        <f>SUM(G41:J41)</f>
        <v>1307</v>
      </c>
      <c r="L41" s="5"/>
      <c r="M41" s="12">
        <f>G41</f>
        <v>1307</v>
      </c>
      <c r="N41" s="12">
        <f>H41</f>
        <v>0</v>
      </c>
      <c r="O41" s="12">
        <f>I41</f>
        <v>0</v>
      </c>
      <c r="P41" s="12">
        <f>J41</f>
        <v>0</v>
      </c>
      <c r="Q41" s="12">
        <f>SUM(M41:P41)</f>
        <v>1307</v>
      </c>
      <c r="R41" s="12"/>
      <c r="S41" s="12"/>
      <c r="T41" s="12"/>
      <c r="U41" s="12"/>
      <c r="V41" s="12"/>
    </row>
    <row r="42" spans="2:22" x14ac:dyDescent="0.25">
      <c r="D42" s="2"/>
      <c r="G42" s="15"/>
      <c r="H42" s="15"/>
      <c r="I42" s="15"/>
      <c r="J42" s="15"/>
      <c r="L42" s="5"/>
    </row>
    <row r="43" spans="2:22" x14ac:dyDescent="0.25">
      <c r="D43" s="2" t="s">
        <v>55</v>
      </c>
      <c r="G43" s="11">
        <v>0</v>
      </c>
      <c r="H43" s="11">
        <f>H13+H17+H15</f>
        <v>1229.8137435307647</v>
      </c>
      <c r="I43" s="11">
        <v>0</v>
      </c>
      <c r="J43" s="11">
        <v>0</v>
      </c>
      <c r="K43" s="12">
        <f>SUM(G43:J43)</f>
        <v>1229.8137435307647</v>
      </c>
      <c r="L43" s="5"/>
      <c r="M43" s="12">
        <f>G43</f>
        <v>0</v>
      </c>
      <c r="N43" s="12">
        <f>H43</f>
        <v>1229.8137435307647</v>
      </c>
      <c r="O43" s="12">
        <f>I43</f>
        <v>0</v>
      </c>
      <c r="P43" s="12">
        <f>J43</f>
        <v>0</v>
      </c>
      <c r="Q43" s="12">
        <f>SUM(M43:P43)</f>
        <v>1229.8137435307647</v>
      </c>
      <c r="R43" s="12"/>
      <c r="S43" s="12"/>
      <c r="T43" s="12"/>
      <c r="U43" s="12"/>
      <c r="V43" s="12"/>
    </row>
    <row r="44" spans="2:22" x14ac:dyDescent="0.25">
      <c r="D44" s="2"/>
      <c r="G44" s="15"/>
      <c r="H44" s="15"/>
      <c r="I44" s="15"/>
      <c r="J44" s="15"/>
      <c r="L44" s="5"/>
    </row>
    <row r="45" spans="2:22" x14ac:dyDescent="0.25">
      <c r="D45" s="2" t="s">
        <v>56</v>
      </c>
      <c r="G45" s="11">
        <v>0</v>
      </c>
      <c r="H45" s="11">
        <f>H19+H21+H23</f>
        <v>17887.392638003126</v>
      </c>
      <c r="I45" s="11">
        <v>0</v>
      </c>
      <c r="J45" s="11">
        <v>0</v>
      </c>
      <c r="K45" s="12">
        <f>SUM(G45:J45)</f>
        <v>17887.392638003126</v>
      </c>
      <c r="L45" s="5"/>
      <c r="M45" s="12">
        <f>G45</f>
        <v>0</v>
      </c>
      <c r="N45" s="12">
        <f>H45</f>
        <v>17887.392638003126</v>
      </c>
      <c r="O45" s="12">
        <f>I45</f>
        <v>0</v>
      </c>
      <c r="P45" s="12">
        <f>J45</f>
        <v>0</v>
      </c>
      <c r="Q45" s="12">
        <f>SUM(M45:P45)</f>
        <v>17887.392638003126</v>
      </c>
      <c r="R45" s="12"/>
      <c r="S45" s="12"/>
      <c r="T45" s="12"/>
      <c r="U45" s="12"/>
      <c r="V45" s="12"/>
    </row>
    <row r="46" spans="2:22" x14ac:dyDescent="0.25">
      <c r="D46" s="2"/>
      <c r="G46" s="15"/>
      <c r="H46" s="15"/>
      <c r="I46" s="15"/>
      <c r="J46" s="15"/>
      <c r="L46" s="5"/>
    </row>
    <row r="47" spans="2:22" x14ac:dyDescent="0.25">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5">
      <c r="D48" s="2" t="s">
        <v>58</v>
      </c>
      <c r="G48" s="15"/>
      <c r="H48" s="15"/>
      <c r="I48" s="15"/>
      <c r="J48" s="15"/>
      <c r="L48" s="5"/>
    </row>
    <row r="49" spans="2:24" x14ac:dyDescent="0.25">
      <c r="D49" s="2"/>
      <c r="G49" s="15"/>
      <c r="H49" s="15"/>
      <c r="I49" s="15"/>
      <c r="J49" s="15"/>
      <c r="L49" s="5"/>
    </row>
    <row r="50" spans="2:24" x14ac:dyDescent="0.25">
      <c r="B50" s="2"/>
      <c r="D50" s="2" t="s">
        <v>53</v>
      </c>
      <c r="G50" s="21">
        <f>9917-8112</f>
        <v>1805</v>
      </c>
      <c r="H50" s="21">
        <v>0</v>
      </c>
      <c r="I50" s="21">
        <v>582</v>
      </c>
      <c r="J50" s="21">
        <v>0</v>
      </c>
      <c r="K50" s="21">
        <f>SUM(G50:J50)</f>
        <v>2387</v>
      </c>
      <c r="L50" s="5"/>
      <c r="M50" s="22">
        <f>G50</f>
        <v>1805</v>
      </c>
      <c r="N50" s="22">
        <f>H50</f>
        <v>0</v>
      </c>
      <c r="O50" s="22">
        <f>I50</f>
        <v>582</v>
      </c>
      <c r="P50" s="22">
        <f>J50</f>
        <v>0</v>
      </c>
      <c r="Q50" s="22">
        <f>SUM(M50:P50)</f>
        <v>2387</v>
      </c>
      <c r="R50" s="82"/>
      <c r="S50" s="82"/>
      <c r="T50" s="82"/>
      <c r="U50" s="82"/>
      <c r="V50" s="82"/>
    </row>
    <row r="51" spans="2:24" x14ac:dyDescent="0.25">
      <c r="D51" s="2" t="s">
        <v>59</v>
      </c>
      <c r="G51" s="24">
        <f>SUM(G33:G50)</f>
        <v>9917</v>
      </c>
      <c r="H51" s="24">
        <f>SUM(H33:H50)</f>
        <v>19117.206381533892</v>
      </c>
      <c r="I51" s="24">
        <f>SUM(I33:I50)</f>
        <v>582</v>
      </c>
      <c r="J51" s="24">
        <f>SUM(J33:J50)</f>
        <v>0</v>
      </c>
      <c r="K51" s="24">
        <f>SUM(G51:J51)</f>
        <v>29616.206381533892</v>
      </c>
      <c r="L51" s="5"/>
      <c r="M51" s="24">
        <f>SUM(M33:M50)</f>
        <v>9917</v>
      </c>
      <c r="N51" s="24">
        <f>SUM(N33:N50)</f>
        <v>19117.206381533892</v>
      </c>
      <c r="O51" s="24">
        <f>SUM(O33:O50)</f>
        <v>582</v>
      </c>
      <c r="P51" s="24">
        <f>SUM(P33:P50)</f>
        <v>0</v>
      </c>
      <c r="Q51" s="24">
        <f>SUM(M51:P51)</f>
        <v>29616.206381533892</v>
      </c>
      <c r="R51" s="24"/>
      <c r="S51" s="24"/>
      <c r="T51" s="24"/>
      <c r="U51" s="24"/>
      <c r="V51" s="24"/>
    </row>
    <row r="52" spans="2:24" x14ac:dyDescent="0.25">
      <c r="B52" s="2"/>
      <c r="L52" s="5"/>
    </row>
    <row r="53" spans="2:24" x14ac:dyDescent="0.25">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5">
      <c r="B54" s="2" t="s">
        <v>61</v>
      </c>
      <c r="L54" s="5"/>
    </row>
    <row r="55" spans="2:24" ht="13.8" thickBot="1" x14ac:dyDescent="0.3">
      <c r="K55" s="12"/>
      <c r="L55" s="5"/>
      <c r="Q55" s="30"/>
      <c r="R55" s="40"/>
      <c r="S55" s="40"/>
      <c r="T55" s="40"/>
      <c r="U55" s="40"/>
      <c r="V55" s="40"/>
    </row>
    <row r="56" spans="2:24" x14ac:dyDescent="0.25">
      <c r="B56" s="2" t="s">
        <v>62</v>
      </c>
      <c r="G56" s="31">
        <f>G21+G24+G31+G51+G53</f>
        <v>36282.327487061528</v>
      </c>
      <c r="H56" s="31">
        <f>H21+H24+H31+H51+H53</f>
        <v>55608.284295543272</v>
      </c>
      <c r="I56" s="31">
        <f>I21+I24+I31+I51+I53</f>
        <v>130639.27987493534</v>
      </c>
      <c r="J56" s="31">
        <f>J21+J24+J31+J51+J53</f>
        <v>0</v>
      </c>
      <c r="K56" s="31">
        <f>SUM(G56:J56)</f>
        <v>222529.89165754014</v>
      </c>
      <c r="L56" s="32"/>
      <c r="M56" s="31">
        <f>M21+M24+M31+M51+M53</f>
        <v>27284.286591673364</v>
      </c>
      <c r="N56" s="31">
        <f>N21+N24+N31+N51+N53</f>
        <v>27869.131682791292</v>
      </c>
      <c r="O56" s="31">
        <f>O21+O24+O31+O51+O53</f>
        <v>61135.902425019187</v>
      </c>
      <c r="P56" s="31">
        <f>P21+P24+P31+P51+P53</f>
        <v>0</v>
      </c>
      <c r="Q56" s="31">
        <f>SUM(M56:P56)</f>
        <v>116289.32069948384</v>
      </c>
      <c r="R56" s="86"/>
      <c r="S56" s="86"/>
      <c r="T56" s="86"/>
      <c r="U56" s="86"/>
      <c r="V56" s="86"/>
    </row>
    <row r="57" spans="2:24" x14ac:dyDescent="0.25">
      <c r="L57" s="5"/>
    </row>
    <row r="58" spans="2:24" x14ac:dyDescent="0.25">
      <c r="L58" s="5"/>
    </row>
    <row r="59" spans="2:24" ht="13.8" x14ac:dyDescent="0.25">
      <c r="B59" s="6" t="s">
        <v>63</v>
      </c>
      <c r="K59" s="15"/>
      <c r="L59" s="5"/>
    </row>
    <row r="60" spans="2:24" x14ac:dyDescent="0.25">
      <c r="D60" s="15" t="s">
        <v>64</v>
      </c>
      <c r="E60" s="10" t="s">
        <v>20</v>
      </c>
      <c r="G60" s="12">
        <v>0</v>
      </c>
      <c r="H60" s="12">
        <v>0</v>
      </c>
      <c r="I60" s="12">
        <f>K60</f>
        <v>8634</v>
      </c>
      <c r="J60" s="11">
        <v>0</v>
      </c>
      <c r="K60" s="11">
        <v>8634</v>
      </c>
      <c r="L60" s="5"/>
      <c r="M60" s="12">
        <f>G60</f>
        <v>0</v>
      </c>
      <c r="N60" s="12">
        <f>H60</f>
        <v>0</v>
      </c>
      <c r="O60" s="12">
        <f>Q60</f>
        <v>8634</v>
      </c>
      <c r="P60" s="11">
        <f>J60</f>
        <v>0</v>
      </c>
      <c r="Q60" s="11">
        <f>$K$60</f>
        <v>8634</v>
      </c>
      <c r="R60" s="11"/>
      <c r="S60" s="11"/>
      <c r="T60" s="11"/>
      <c r="U60" s="11"/>
      <c r="V60" s="11"/>
      <c r="X60" s="3" t="s">
        <v>92</v>
      </c>
    </row>
    <row r="61" spans="2:24" x14ac:dyDescent="0.25">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-57001.440000000002</v>
      </c>
    </row>
    <row r="62" spans="2:24" x14ac:dyDescent="0.25">
      <c r="D62" s="15"/>
      <c r="E62" s="10"/>
      <c r="J62" s="15"/>
      <c r="K62" s="15"/>
      <c r="L62" s="5"/>
      <c r="P62" s="15"/>
    </row>
    <row r="63" spans="2:24" x14ac:dyDescent="0.25">
      <c r="D63" s="15" t="s">
        <v>94</v>
      </c>
      <c r="E63" s="10" t="s">
        <v>20</v>
      </c>
      <c r="G63" s="12">
        <f>$G$103*K63</f>
        <v>30820.138762169587</v>
      </c>
      <c r="H63" s="12">
        <f>$H$103*K63</f>
        <v>9816.1130792406657</v>
      </c>
      <c r="I63" s="12">
        <f>$I$103*K63</f>
        <v>127459.74815858976</v>
      </c>
      <c r="J63" s="11">
        <v>0</v>
      </c>
      <c r="K63" s="11">
        <v>168096</v>
      </c>
      <c r="L63" s="5"/>
      <c r="M63" s="12">
        <f>$G$103*Q63</f>
        <v>30820.138762169587</v>
      </c>
      <c r="N63" s="12">
        <f>$H$103*Q63</f>
        <v>9816.1130792406657</v>
      </c>
      <c r="O63" s="12">
        <f>$I$103*Q63</f>
        <v>127459.74815858976</v>
      </c>
      <c r="P63" s="11">
        <f t="shared" ref="M63:Q64" si="9">J63</f>
        <v>0</v>
      </c>
      <c r="Q63" s="11">
        <f>K63-(0*67.3*8)</f>
        <v>168096</v>
      </c>
      <c r="R63" s="11"/>
      <c r="S63" s="11"/>
      <c r="T63" s="11"/>
      <c r="U63" s="11"/>
      <c r="V63" s="11"/>
    </row>
    <row r="64" spans="2:24" ht="12.75" customHeight="1" x14ac:dyDescent="0.25">
      <c r="D64" s="15"/>
      <c r="E64" s="10" t="s">
        <v>21</v>
      </c>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5">
      <c r="D65" s="15"/>
      <c r="E65" s="10"/>
      <c r="J65" s="15"/>
      <c r="K65" s="15"/>
      <c r="L65" s="5"/>
      <c r="P65" s="15"/>
    </row>
    <row r="66" spans="4:22" x14ac:dyDescent="0.25">
      <c r="D66" s="15" t="s">
        <v>65</v>
      </c>
      <c r="E66" s="10" t="s">
        <v>20</v>
      </c>
      <c r="G66" s="12">
        <f>$G$103*K66</f>
        <v>766.02976720650429</v>
      </c>
      <c r="H66" s="12">
        <f>$H$103*K66</f>
        <v>243.97796762009506</v>
      </c>
      <c r="I66" s="12">
        <f>$I$103*K66</f>
        <v>3167.9922651734009</v>
      </c>
      <c r="J66" s="11">
        <v>0</v>
      </c>
      <c r="K66" s="11">
        <v>4178</v>
      </c>
      <c r="L66" s="5"/>
      <c r="M66" s="12">
        <f>$G$103*Q$66</f>
        <v>766.02976720650429</v>
      </c>
      <c r="N66" s="12">
        <f>$H$103*Q$66</f>
        <v>243.97796762009506</v>
      </c>
      <c r="O66" s="12">
        <f>$I$103*Q$66</f>
        <v>3167.9922651734009</v>
      </c>
      <c r="P66" s="11">
        <f>J66</f>
        <v>0</v>
      </c>
      <c r="Q66" s="11">
        <f>K66</f>
        <v>4178</v>
      </c>
      <c r="R66" s="11"/>
      <c r="S66" s="11"/>
      <c r="T66" s="11"/>
      <c r="U66" s="11"/>
      <c r="V66" s="11"/>
    </row>
    <row r="67" spans="4:22" x14ac:dyDescent="0.25">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5">
      <c r="D68" s="15"/>
      <c r="E68" s="10"/>
      <c r="G68" s="33"/>
      <c r="H68" s="33"/>
      <c r="I68" s="33"/>
      <c r="J68" s="34"/>
      <c r="K68" s="34"/>
      <c r="L68" s="5"/>
      <c r="M68" s="33"/>
      <c r="N68" s="33"/>
      <c r="O68" s="33"/>
      <c r="P68" s="34"/>
      <c r="Q68" s="34"/>
      <c r="R68" s="34"/>
      <c r="S68" s="34"/>
      <c r="T68" s="34"/>
      <c r="U68" s="34"/>
      <c r="V68" s="34"/>
    </row>
    <row r="69" spans="4:22" x14ac:dyDescent="0.25">
      <c r="D69" s="99" t="s">
        <v>143</v>
      </c>
      <c r="E69" s="10" t="s">
        <v>20</v>
      </c>
      <c r="G69" s="12">
        <f>$G$103*K69</f>
        <v>1119.3422041157751</v>
      </c>
      <c r="H69" s="12">
        <f>$H$103*K69</f>
        <v>356.50681960763052</v>
      </c>
      <c r="I69" s="12">
        <f>$I$103*K69</f>
        <v>4629.1509762765945</v>
      </c>
      <c r="J69" s="11">
        <v>0</v>
      </c>
      <c r="K69" s="11">
        <v>6105</v>
      </c>
      <c r="L69" s="5"/>
      <c r="M69" s="12">
        <f t="shared" ref="M69:Q70" si="10">G69</f>
        <v>1119.3422041157751</v>
      </c>
      <c r="N69" s="12">
        <f t="shared" si="10"/>
        <v>356.50681960763052</v>
      </c>
      <c r="O69" s="12">
        <f t="shared" si="10"/>
        <v>4629.1509762765945</v>
      </c>
      <c r="P69" s="11">
        <f t="shared" si="10"/>
        <v>0</v>
      </c>
      <c r="Q69" s="11">
        <f>K69</f>
        <v>6105</v>
      </c>
      <c r="R69" s="11"/>
      <c r="S69" s="11"/>
      <c r="T69" s="11"/>
      <c r="U69" s="11"/>
      <c r="V69" s="11"/>
    </row>
    <row r="70" spans="4:22" x14ac:dyDescent="0.25">
      <c r="D70" s="15"/>
      <c r="E70" s="10" t="s">
        <v>21</v>
      </c>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5">
      <c r="D71" s="15"/>
      <c r="E71" s="10"/>
      <c r="G71" s="36"/>
      <c r="H71" s="36"/>
      <c r="I71" s="36"/>
      <c r="J71" s="34"/>
      <c r="K71" s="34"/>
      <c r="L71" s="5"/>
      <c r="M71" s="33"/>
      <c r="N71" s="33"/>
      <c r="O71" s="33"/>
      <c r="P71" s="34"/>
      <c r="Q71" s="33"/>
      <c r="R71" s="33"/>
      <c r="S71" s="33"/>
      <c r="T71" s="33"/>
      <c r="U71" s="33"/>
      <c r="V71" s="33"/>
    </row>
    <row r="72" spans="4:22" x14ac:dyDescent="0.25">
      <c r="D72" s="15" t="s">
        <v>127</v>
      </c>
      <c r="E72" s="10" t="s">
        <v>20</v>
      </c>
      <c r="G72" s="12">
        <f>$G$103*K72</f>
        <v>3059.1686610436868</v>
      </c>
      <c r="H72" s="12">
        <f>$H$103*K72</f>
        <v>974.33518184329489</v>
      </c>
      <c r="I72" s="12">
        <f>$I$103*K72</f>
        <v>12651.496157113019</v>
      </c>
      <c r="J72" s="11">
        <v>0</v>
      </c>
      <c r="K72" s="11">
        <v>16685</v>
      </c>
      <c r="L72" s="5"/>
      <c r="M72" s="12">
        <f t="shared" ref="M72:Q73" si="11">G72</f>
        <v>3059.1686610436868</v>
      </c>
      <c r="N72" s="12">
        <f t="shared" si="11"/>
        <v>974.33518184329489</v>
      </c>
      <c r="O72" s="12">
        <f t="shared" si="11"/>
        <v>12651.496157113019</v>
      </c>
      <c r="P72" s="11">
        <f t="shared" si="11"/>
        <v>0</v>
      </c>
      <c r="Q72" s="11">
        <f>K72</f>
        <v>16685</v>
      </c>
      <c r="R72" s="33"/>
      <c r="S72" s="33"/>
      <c r="T72" s="33"/>
      <c r="U72" s="33"/>
      <c r="V72" s="33"/>
    </row>
    <row r="73" spans="4:22" x14ac:dyDescent="0.25">
      <c r="D73" s="15"/>
      <c r="E73" s="10" t="s">
        <v>21</v>
      </c>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5">
      <c r="D74" s="15"/>
      <c r="E74" s="10"/>
      <c r="J74" s="15"/>
      <c r="K74" s="15"/>
      <c r="L74" s="5"/>
      <c r="P74" s="15"/>
    </row>
    <row r="75" spans="4:22" x14ac:dyDescent="0.25">
      <c r="D75" s="99" t="s">
        <v>108</v>
      </c>
      <c r="E75" s="10" t="s">
        <v>20</v>
      </c>
      <c r="G75" s="12">
        <f>$G$103*K75</f>
        <v>300.87478410384716</v>
      </c>
      <c r="H75" s="12">
        <f>$H$103*K75</f>
        <v>95.827631609520338</v>
      </c>
      <c r="I75" s="12">
        <f>$I$103*K75</f>
        <v>1244.2975842866326</v>
      </c>
      <c r="J75" s="11">
        <v>0</v>
      </c>
      <c r="K75" s="11">
        <v>1641</v>
      </c>
      <c r="L75" s="5"/>
      <c r="M75" s="12">
        <f t="shared" ref="M75:Q76" si="12">G75</f>
        <v>300.87478410384716</v>
      </c>
      <c r="N75" s="12">
        <f t="shared" si="12"/>
        <v>95.827631609520338</v>
      </c>
      <c r="O75" s="12">
        <f t="shared" si="12"/>
        <v>1244.2975842866326</v>
      </c>
      <c r="P75" s="11">
        <f t="shared" si="12"/>
        <v>0</v>
      </c>
      <c r="Q75" s="11">
        <f>K75</f>
        <v>1641</v>
      </c>
    </row>
    <row r="76" spans="4:22" x14ac:dyDescent="0.25">
      <c r="D76" s="15"/>
      <c r="E76" s="10" t="s">
        <v>21</v>
      </c>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5">
      <c r="D77" s="15"/>
      <c r="E77" s="10"/>
      <c r="J77" s="15"/>
      <c r="K77" s="15"/>
      <c r="L77" s="5"/>
      <c r="P77" s="15"/>
    </row>
    <row r="78" spans="4:22" x14ac:dyDescent="0.25">
      <c r="D78" s="99" t="s">
        <v>144</v>
      </c>
      <c r="E78" s="10" t="s">
        <v>20</v>
      </c>
      <c r="G78" s="12">
        <f>$G$103*K78</f>
        <v>1941.6599412917376</v>
      </c>
      <c r="H78" s="12">
        <f>$H$103*K78</f>
        <v>618.41232099014042</v>
      </c>
      <c r="I78" s="12">
        <f>$I$103*K78</f>
        <v>8029.9277377181224</v>
      </c>
      <c r="J78" s="11">
        <v>0</v>
      </c>
      <c r="K78" s="11">
        <v>10590</v>
      </c>
      <c r="L78" s="5"/>
      <c r="M78" s="12">
        <f t="shared" ref="M78:Q79" si="13">G78</f>
        <v>1941.6599412917376</v>
      </c>
      <c r="N78" s="12">
        <f t="shared" si="13"/>
        <v>618.41232099014042</v>
      </c>
      <c r="O78" s="12">
        <f t="shared" si="13"/>
        <v>8029.9277377181224</v>
      </c>
      <c r="P78" s="11">
        <f t="shared" si="13"/>
        <v>0</v>
      </c>
      <c r="Q78" s="11">
        <f>K78</f>
        <v>10590</v>
      </c>
    </row>
    <row r="79" spans="4:22" x14ac:dyDescent="0.25">
      <c r="D79" s="15"/>
      <c r="E79" s="10" t="s">
        <v>21</v>
      </c>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5">
      <c r="D80" s="15"/>
      <c r="E80" s="10"/>
      <c r="J80" s="15"/>
      <c r="K80" s="15"/>
      <c r="L80" s="5"/>
      <c r="P80" s="15"/>
    </row>
    <row r="81" spans="2:23" x14ac:dyDescent="0.25">
      <c r="D81" s="99" t="s">
        <v>145</v>
      </c>
      <c r="E81" s="10" t="s">
        <v>20</v>
      </c>
      <c r="G81" s="12">
        <f>$G$103*K81</f>
        <v>0</v>
      </c>
      <c r="H81" s="12">
        <f>$H$103*K81</f>
        <v>0</v>
      </c>
      <c r="I81" s="12">
        <f>$I$103*K81</f>
        <v>0</v>
      </c>
      <c r="J81" s="11">
        <v>0</v>
      </c>
      <c r="K81" s="11">
        <v>0</v>
      </c>
      <c r="L81" s="5"/>
      <c r="M81" s="12">
        <f t="shared" ref="M81:Q82" si="14">G81</f>
        <v>0</v>
      </c>
      <c r="N81" s="12">
        <f t="shared" si="14"/>
        <v>0</v>
      </c>
      <c r="O81" s="12">
        <f t="shared" si="14"/>
        <v>0</v>
      </c>
      <c r="P81" s="11">
        <f t="shared" si="14"/>
        <v>0</v>
      </c>
      <c r="Q81" s="11">
        <f>K81</f>
        <v>0</v>
      </c>
    </row>
    <row r="82" spans="2:23" x14ac:dyDescent="0.25">
      <c r="D82" s="15"/>
      <c r="E82" s="10" t="s">
        <v>21</v>
      </c>
      <c r="G82" s="36">
        <f>$G$103*K82</f>
        <v>0</v>
      </c>
      <c r="H82" s="36">
        <f>$H$103*K82</f>
        <v>0</v>
      </c>
      <c r="I82" s="36">
        <f>$I$103*K82</f>
        <v>0</v>
      </c>
      <c r="J82" s="34">
        <v>0</v>
      </c>
      <c r="K82" s="34">
        <v>0</v>
      </c>
      <c r="L82" s="5"/>
      <c r="M82" s="33">
        <f t="shared" si="14"/>
        <v>0</v>
      </c>
      <c r="N82" s="33">
        <f t="shared" si="14"/>
        <v>0</v>
      </c>
      <c r="O82" s="33">
        <f t="shared" si="14"/>
        <v>0</v>
      </c>
      <c r="P82" s="34">
        <f t="shared" si="14"/>
        <v>0</v>
      </c>
      <c r="Q82" s="33">
        <f t="shared" si="14"/>
        <v>0</v>
      </c>
    </row>
    <row r="83" spans="2:23" x14ac:dyDescent="0.25">
      <c r="D83" s="15"/>
      <c r="E83" s="10"/>
      <c r="J83" s="15"/>
      <c r="K83" s="15"/>
      <c r="L83" s="5"/>
      <c r="P83" s="15"/>
    </row>
    <row r="84" spans="2:23" x14ac:dyDescent="0.25">
      <c r="D84" s="99"/>
      <c r="E84" s="10" t="s">
        <v>20</v>
      </c>
      <c r="G84" s="12">
        <f>$G$103*K84</f>
        <v>0</v>
      </c>
      <c r="H84" s="12">
        <f>$H$103*K84</f>
        <v>0</v>
      </c>
      <c r="I84" s="12">
        <f>$I$103*K84</f>
        <v>0</v>
      </c>
      <c r="J84" s="11">
        <v>0</v>
      </c>
      <c r="K84" s="11">
        <v>0</v>
      </c>
      <c r="L84" s="5"/>
      <c r="M84" s="12">
        <f t="shared" ref="M84:Q85" si="15">G84</f>
        <v>0</v>
      </c>
      <c r="N84" s="12">
        <f t="shared" si="15"/>
        <v>0</v>
      </c>
      <c r="O84" s="12">
        <f t="shared" si="15"/>
        <v>0</v>
      </c>
      <c r="P84" s="11">
        <f t="shared" si="15"/>
        <v>0</v>
      </c>
      <c r="Q84" s="12">
        <f>K84</f>
        <v>0</v>
      </c>
      <c r="R84" s="12"/>
      <c r="S84" s="12"/>
      <c r="T84" s="12"/>
      <c r="U84" s="12"/>
      <c r="V84" s="12"/>
    </row>
    <row r="85" spans="2:23" x14ac:dyDescent="0.25">
      <c r="E85" s="10" t="s">
        <v>21</v>
      </c>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5">
      <c r="E86" s="10"/>
      <c r="G86" s="36"/>
      <c r="H86" s="36"/>
      <c r="I86" s="36"/>
      <c r="J86" s="34"/>
      <c r="K86" s="34"/>
      <c r="L86" s="5"/>
      <c r="M86" s="33"/>
      <c r="N86" s="33"/>
      <c r="O86" s="33"/>
      <c r="P86" s="34"/>
      <c r="Q86" s="33"/>
      <c r="R86" s="33"/>
      <c r="S86" s="33"/>
      <c r="T86" s="33"/>
      <c r="U86" s="33"/>
      <c r="V86" s="33"/>
    </row>
    <row r="87" spans="2:23" x14ac:dyDescent="0.25">
      <c r="D87" s="15" t="s">
        <v>66</v>
      </c>
      <c r="E87" s="10" t="s">
        <v>20</v>
      </c>
      <c r="G87" s="12">
        <f>$G$103*K87</f>
        <v>0</v>
      </c>
      <c r="H87" s="12">
        <f>$H$103*K87</f>
        <v>0</v>
      </c>
      <c r="I87" s="12">
        <f>$I$103*K87</f>
        <v>0</v>
      </c>
      <c r="J87" s="11">
        <v>0</v>
      </c>
      <c r="K87" s="11">
        <v>0</v>
      </c>
      <c r="L87" s="5"/>
      <c r="M87" s="12">
        <f>G87</f>
        <v>0</v>
      </c>
      <c r="N87" s="12">
        <f>H87</f>
        <v>0</v>
      </c>
      <c r="O87" s="12">
        <f>I87</f>
        <v>0</v>
      </c>
      <c r="P87" s="11">
        <f>J87</f>
        <v>0</v>
      </c>
      <c r="Q87" s="12">
        <f>K87</f>
        <v>0</v>
      </c>
      <c r="R87" s="12"/>
      <c r="S87" s="12"/>
      <c r="T87" s="12"/>
      <c r="U87" s="12"/>
      <c r="V87" s="12"/>
    </row>
    <row r="88" spans="2:23" ht="13.8" thickBot="1" x14ac:dyDescent="0.3">
      <c r="D88" s="15"/>
      <c r="J88" s="15"/>
      <c r="L88" s="5"/>
      <c r="W88" s="38"/>
    </row>
    <row r="89" spans="2:23" ht="13.8" thickBot="1" x14ac:dyDescent="0.3">
      <c r="B89" s="2" t="s">
        <v>67</v>
      </c>
      <c r="E89" s="10" t="s">
        <v>20</v>
      </c>
      <c r="G89" s="31">
        <f>G60+G63+G66+G69+G72+G75+G78+G81+G84+G87</f>
        <v>38007.214119931137</v>
      </c>
      <c r="H89" s="31">
        <f>H60+H63+H66+H69+H72+H75+H78+H81+H84+H87</f>
        <v>12105.173000911345</v>
      </c>
      <c r="I89" s="31">
        <f>I60+I63+I66+I69+I72+I75+I78+I81+I84+I87</f>
        <v>165816.61287915756</v>
      </c>
      <c r="J89" s="31">
        <f>J60+J63+J66+J69+J72+J75+J78+J81+J84+J87</f>
        <v>0</v>
      </c>
      <c r="K89" s="31">
        <f>SUM(G89:J89)</f>
        <v>215929.00000000006</v>
      </c>
      <c r="L89" s="32"/>
      <c r="M89" s="31">
        <f>M60+M63+M66+M69+M72+M75+M78+M81+M84+M87</f>
        <v>38007.214119931137</v>
      </c>
      <c r="N89" s="31">
        <f>N60+N63+N66+N69+N72+N75+N78+N81+N84+N87</f>
        <v>12105.173000911345</v>
      </c>
      <c r="O89" s="31">
        <f>O60+O63+O66+O69+O72+O75+O78+O81+O84+O87</f>
        <v>165816.61287915756</v>
      </c>
      <c r="P89" s="31">
        <f>P60+P63+P66+P69+P72+P75+P78+P81+P84+P87</f>
        <v>0</v>
      </c>
      <c r="Q89" s="31">
        <f>SUM(M89:P89)</f>
        <v>215929.00000000006</v>
      </c>
      <c r="R89" s="86"/>
      <c r="S89" s="86"/>
      <c r="T89" s="86"/>
      <c r="U89" s="86"/>
      <c r="V89" s="86"/>
      <c r="W89" s="40"/>
    </row>
    <row r="90" spans="2:23" x14ac:dyDescent="0.25">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5">
      <c r="K91" s="12"/>
      <c r="L91" s="5"/>
      <c r="W91" s="12"/>
    </row>
    <row r="92" spans="2:23" ht="13.8" thickBot="1" x14ac:dyDescent="0.3">
      <c r="L92" s="5"/>
    </row>
    <row r="93" spans="2:23" ht="14.4" thickBot="1" x14ac:dyDescent="0.3">
      <c r="B93" s="6" t="s">
        <v>68</v>
      </c>
      <c r="G93" s="45">
        <f>G56+G89</f>
        <v>74289.541606992658</v>
      </c>
      <c r="H93" s="45">
        <f t="shared" ref="H93:Q93" si="16">H56+H89</f>
        <v>67713.45729645461</v>
      </c>
      <c r="I93" s="45">
        <f t="shared" si="16"/>
        <v>296455.89275409293</v>
      </c>
      <c r="J93" s="45">
        <f t="shared" si="16"/>
        <v>0</v>
      </c>
      <c r="K93" s="45">
        <f t="shared" si="16"/>
        <v>438458.89165754023</v>
      </c>
      <c r="L93" s="46">
        <f t="shared" si="16"/>
        <v>0</v>
      </c>
      <c r="M93" s="45">
        <f t="shared" si="16"/>
        <v>65291.500711604502</v>
      </c>
      <c r="N93" s="45">
        <f t="shared" si="16"/>
        <v>39974.304683702634</v>
      </c>
      <c r="O93" s="79">
        <f t="shared" si="16"/>
        <v>226952.51530417675</v>
      </c>
      <c r="P93" s="45">
        <f t="shared" si="16"/>
        <v>0</v>
      </c>
      <c r="Q93" s="45">
        <f t="shared" si="16"/>
        <v>332218.32069948391</v>
      </c>
      <c r="R93" s="86"/>
      <c r="S93" s="86"/>
      <c r="T93" s="86"/>
      <c r="U93" s="86"/>
      <c r="V93" s="86"/>
    </row>
    <row r="94" spans="2:23" ht="13.8" thickTop="1" x14ac:dyDescent="0.25">
      <c r="I94" s="77"/>
      <c r="L94" s="5"/>
      <c r="O94" s="80"/>
    </row>
    <row r="95" spans="2:23" x14ac:dyDescent="0.25">
      <c r="I95" s="77"/>
      <c r="L95" s="5"/>
      <c r="O95" s="80"/>
    </row>
    <row r="96" spans="2:23" x14ac:dyDescent="0.25">
      <c r="I96" s="77"/>
      <c r="L96" s="5"/>
      <c r="O96" s="80"/>
    </row>
    <row r="97" spans="5:15" x14ac:dyDescent="0.25">
      <c r="I97" s="77"/>
      <c r="L97" s="5"/>
      <c r="O97" s="80"/>
    </row>
    <row r="98" spans="5:15" x14ac:dyDescent="0.25">
      <c r="I98" s="77"/>
      <c r="L98" s="5"/>
      <c r="O98" s="80"/>
    </row>
    <row r="99" spans="5:15" x14ac:dyDescent="0.25">
      <c r="I99" s="77"/>
      <c r="L99" s="5"/>
      <c r="O99" s="80"/>
    </row>
    <row r="100" spans="5:15" x14ac:dyDescent="0.25">
      <c r="I100" s="77"/>
      <c r="L100" s="5"/>
      <c r="O100" s="80"/>
    </row>
    <row r="101" spans="5:15" x14ac:dyDescent="0.25">
      <c r="I101" s="77"/>
      <c r="L101" s="5"/>
      <c r="O101" s="80"/>
    </row>
    <row r="102" spans="5:15" ht="13.8" thickBot="1" x14ac:dyDescent="0.3">
      <c r="L102" s="5"/>
    </row>
    <row r="103" spans="5:15" x14ac:dyDescent="0.25">
      <c r="E103" s="50"/>
      <c r="F103" s="51"/>
      <c r="G103" s="52">
        <f>G115</f>
        <v>0.18334843638260034</v>
      </c>
      <c r="H103" s="52">
        <f>H115</f>
        <v>5.8395875447605328E-2</v>
      </c>
      <c r="I103" s="52">
        <f>I115</f>
        <v>0.75825568816979438</v>
      </c>
      <c r="J103" s="51"/>
      <c r="K103" s="53"/>
      <c r="L103" s="5"/>
      <c r="M103" s="47"/>
      <c r="N103" s="47"/>
      <c r="O103" s="47"/>
    </row>
    <row r="104" spans="5:15" x14ac:dyDescent="0.25">
      <c r="E104" s="54"/>
      <c r="F104" s="38"/>
      <c r="G104" s="38"/>
      <c r="H104" s="38"/>
      <c r="I104" s="38"/>
      <c r="J104" s="38"/>
      <c r="K104" s="55"/>
      <c r="L104" s="5"/>
      <c r="M104" s="48"/>
    </row>
    <row r="105" spans="5:15" x14ac:dyDescent="0.25">
      <c r="E105" s="54" t="s">
        <v>69</v>
      </c>
      <c r="F105" s="38"/>
      <c r="G105" s="38"/>
      <c r="H105" s="38"/>
      <c r="I105" s="38"/>
      <c r="J105" s="38"/>
      <c r="K105" s="56">
        <v>395973</v>
      </c>
      <c r="L105" s="5"/>
      <c r="M105" s="49"/>
    </row>
    <row r="106" spans="5:15" x14ac:dyDescent="0.25">
      <c r="E106" s="54" t="s">
        <v>90</v>
      </c>
      <c r="F106" s="38"/>
      <c r="G106" s="38"/>
      <c r="H106" s="38"/>
      <c r="I106" s="38"/>
      <c r="J106" s="38"/>
      <c r="K106" s="56">
        <v>0</v>
      </c>
      <c r="L106" s="5"/>
      <c r="M106" s="49"/>
    </row>
    <row r="107" spans="5:15" x14ac:dyDescent="0.25">
      <c r="E107" s="54"/>
      <c r="F107" s="38"/>
      <c r="G107" s="38"/>
      <c r="H107" s="38"/>
      <c r="I107" s="38"/>
      <c r="J107" s="38"/>
      <c r="K107" s="56"/>
      <c r="L107" s="5"/>
      <c r="M107" s="49"/>
    </row>
    <row r="108" spans="5:15" x14ac:dyDescent="0.25">
      <c r="E108" s="54" t="s">
        <v>70</v>
      </c>
      <c r="F108" s="38"/>
      <c r="G108" s="38"/>
      <c r="H108" s="38"/>
      <c r="I108" s="38"/>
      <c r="J108" s="38"/>
      <c r="K108" s="72">
        <f>SUM(K105:K107)</f>
        <v>395973</v>
      </c>
      <c r="L108" s="5"/>
      <c r="M108" s="49"/>
    </row>
    <row r="109" spans="5:15" x14ac:dyDescent="0.25">
      <c r="E109" s="54" t="s">
        <v>71</v>
      </c>
      <c r="F109" s="38"/>
      <c r="G109" s="38"/>
      <c r="H109" s="38"/>
      <c r="I109" s="38"/>
      <c r="J109" s="38"/>
      <c r="K109" s="56">
        <f>-K60</f>
        <v>-8634</v>
      </c>
      <c r="L109" s="5"/>
      <c r="M109" s="49"/>
    </row>
    <row r="110" spans="5:15" ht="13.8" thickBot="1" x14ac:dyDescent="0.3">
      <c r="E110" s="54" t="s">
        <v>72</v>
      </c>
      <c r="F110" s="38"/>
      <c r="G110" s="38"/>
      <c r="H110" s="38"/>
      <c r="I110" s="38"/>
      <c r="J110" s="38"/>
      <c r="K110" s="73">
        <f>SUM(K108:K109)</f>
        <v>387339</v>
      </c>
      <c r="L110" s="5"/>
      <c r="M110" s="49"/>
    </row>
    <row r="111" spans="5:15" ht="13.8" thickTop="1" x14ac:dyDescent="0.25">
      <c r="E111" s="54"/>
      <c r="F111" s="38"/>
      <c r="G111" s="38"/>
      <c r="H111" s="38"/>
      <c r="I111" s="38"/>
      <c r="J111" s="94" t="s">
        <v>95</v>
      </c>
      <c r="K111" s="56"/>
      <c r="L111" s="5"/>
      <c r="M111" s="49"/>
    </row>
    <row r="112" spans="5:15" ht="13.8" thickBot="1" x14ac:dyDescent="0.3">
      <c r="E112" s="57" t="s">
        <v>73</v>
      </c>
      <c r="F112" s="38"/>
      <c r="G112" s="58">
        <v>55271</v>
      </c>
      <c r="H112" s="59">
        <v>22619</v>
      </c>
      <c r="I112" s="59">
        <v>302336</v>
      </c>
      <c r="J112" s="59">
        <v>15747</v>
      </c>
      <c r="K112" s="56"/>
      <c r="L112" s="5"/>
      <c r="M112" s="49"/>
    </row>
    <row r="113" spans="2:13" ht="13.8" thickTop="1" x14ac:dyDescent="0.25">
      <c r="E113" s="54" t="s">
        <v>74</v>
      </c>
      <c r="F113" s="38"/>
      <c r="G113" s="60"/>
      <c r="H113" s="61"/>
      <c r="I113" s="61">
        <f>-K60</f>
        <v>-8634</v>
      </c>
      <c r="K113" s="55"/>
      <c r="L113" s="5"/>
    </row>
    <row r="114" spans="2:13" ht="13.8" thickBot="1" x14ac:dyDescent="0.3">
      <c r="E114" s="54" t="s">
        <v>75</v>
      </c>
      <c r="F114" s="38"/>
      <c r="G114" s="63"/>
      <c r="H114" s="64">
        <f>SUM(H112:H113)</f>
        <v>22619</v>
      </c>
      <c r="I114" s="64">
        <f>SUM(I112:I113)</f>
        <v>293702</v>
      </c>
      <c r="J114" s="65"/>
      <c r="K114" s="56"/>
      <c r="L114" s="5"/>
    </row>
    <row r="115" spans="2:13" ht="14.4" thickTop="1" thickBot="1" x14ac:dyDescent="0.3">
      <c r="E115" s="54" t="s">
        <v>76</v>
      </c>
      <c r="F115" s="38"/>
      <c r="G115" s="66">
        <f>1-(H115+I115)</f>
        <v>0.18334843638260034</v>
      </c>
      <c r="H115" s="66">
        <f>H$114/$K$110</f>
        <v>5.8395875447605328E-2</v>
      </c>
      <c r="I115" s="66">
        <f>I$114/$K$110</f>
        <v>0.75825568816979438</v>
      </c>
      <c r="J115" s="49"/>
      <c r="K115" s="56"/>
      <c r="L115" s="5"/>
    </row>
    <row r="116" spans="2:13" ht="14.4" thickTop="1" thickBot="1" x14ac:dyDescent="0.3">
      <c r="E116" s="67"/>
      <c r="F116" s="68"/>
      <c r="G116" s="69" t="s">
        <v>77</v>
      </c>
      <c r="H116" s="69" t="s">
        <v>78</v>
      </c>
      <c r="I116" s="69" t="s">
        <v>79</v>
      </c>
      <c r="J116" s="68"/>
      <c r="K116" s="70"/>
      <c r="L116" s="5"/>
    </row>
    <row r="117" spans="2:13" x14ac:dyDescent="0.25">
      <c r="J117" s="51"/>
      <c r="K117" s="74"/>
      <c r="L117" s="15"/>
    </row>
    <row r="118" spans="2:13" x14ac:dyDescent="0.25">
      <c r="J118" s="38"/>
      <c r="K118" s="63"/>
      <c r="L118" s="15"/>
    </row>
    <row r="119" spans="2:13" x14ac:dyDescent="0.25">
      <c r="B119" s="2" t="s">
        <v>83</v>
      </c>
      <c r="C119" s="2"/>
      <c r="D119" s="2" t="s">
        <v>158</v>
      </c>
      <c r="E119" s="78"/>
      <c r="F119" s="71"/>
      <c r="G119" s="49"/>
      <c r="H119" s="49"/>
      <c r="I119" s="88"/>
      <c r="J119" s="89"/>
      <c r="K119" s="90"/>
      <c r="L119" s="15"/>
    </row>
    <row r="120" spans="2:13" x14ac:dyDescent="0.25">
      <c r="B120" s="2" t="s">
        <v>84</v>
      </c>
      <c r="C120" s="2"/>
      <c r="D120" s="2"/>
      <c r="E120" s="71"/>
      <c r="F120" s="71"/>
      <c r="G120" s="71"/>
      <c r="H120" s="71"/>
      <c r="I120" s="88"/>
      <c r="J120" s="89"/>
      <c r="K120" s="89"/>
      <c r="M120" s="62"/>
    </row>
    <row r="121" spans="2:13" x14ac:dyDescent="0.25">
      <c r="B121" s="2" t="s">
        <v>80</v>
      </c>
      <c r="C121" s="2"/>
      <c r="D121" s="139" t="s">
        <v>148</v>
      </c>
      <c r="E121" s="71"/>
      <c r="F121" s="71"/>
      <c r="G121" s="71"/>
      <c r="H121" s="49"/>
      <c r="I121" s="49"/>
      <c r="J121" s="38"/>
      <c r="K121" s="38"/>
    </row>
    <row r="122" spans="2:13" x14ac:dyDescent="0.25">
      <c r="B122" s="2" t="s">
        <v>82</v>
      </c>
      <c r="C122" s="2"/>
      <c r="D122" s="139"/>
      <c r="E122" s="71"/>
      <c r="F122" s="71"/>
      <c r="G122" s="75"/>
      <c r="H122" s="75"/>
      <c r="I122" s="75"/>
    </row>
    <row r="123" spans="2:13" x14ac:dyDescent="0.25">
      <c r="B123" s="2" t="s">
        <v>81</v>
      </c>
      <c r="C123" s="2"/>
      <c r="D123" s="139"/>
      <c r="E123" s="71"/>
      <c r="F123" s="71"/>
      <c r="G123" s="49"/>
      <c r="H123" s="49"/>
      <c r="I123" s="49"/>
    </row>
    <row r="124" spans="2:13" x14ac:dyDescent="0.25">
      <c r="E124" s="71"/>
      <c r="F124" s="71"/>
      <c r="G124" s="75"/>
      <c r="H124" s="75"/>
      <c r="I124" s="75"/>
    </row>
    <row r="125" spans="2:13" x14ac:dyDescent="0.25">
      <c r="B125" s="2" t="s">
        <v>91</v>
      </c>
      <c r="D125" s="2" t="s">
        <v>146</v>
      </c>
      <c r="E125" s="71"/>
      <c r="F125" s="71"/>
      <c r="G125" s="76"/>
      <c r="H125" s="76"/>
      <c r="I125" s="76"/>
      <c r="J125" s="38"/>
    </row>
    <row r="126" spans="2:13" x14ac:dyDescent="0.25">
      <c r="D126" s="92" t="s">
        <v>147</v>
      </c>
      <c r="G126" s="63"/>
      <c r="H126" s="63"/>
      <c r="I126" s="63"/>
      <c r="J126" s="38"/>
    </row>
    <row r="127" spans="2:13" x14ac:dyDescent="0.25">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127"/>
  <sheetViews>
    <sheetView topLeftCell="E72" zoomScaleNormal="100" workbookViewId="0">
      <selection activeCell="I93" sqref="G9:I93"/>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0" width="2.5546875" style="3" customWidth="1"/>
    <col min="11" max="16384" width="9.109375" style="3"/>
  </cols>
  <sheetData>
    <row r="1" spans="2:10" x14ac:dyDescent="0.25">
      <c r="E1" s="2"/>
      <c r="F1" s="2"/>
    </row>
    <row r="2" spans="2:10" ht="21" thickBot="1" x14ac:dyDescent="0.4">
      <c r="B2" s="1" t="s">
        <v>0</v>
      </c>
      <c r="C2" s="2"/>
      <c r="D2" s="2"/>
      <c r="E2" s="2"/>
      <c r="F2" s="2"/>
      <c r="G2" s="100"/>
      <c r="H2" s="134"/>
      <c r="I2" s="134"/>
      <c r="J2" s="83"/>
    </row>
    <row r="3" spans="2:10" ht="20.399999999999999" x14ac:dyDescent="0.35">
      <c r="B3" s="1" t="s">
        <v>1</v>
      </c>
      <c r="C3" s="2"/>
      <c r="D3" s="2"/>
    </row>
    <row r="4" spans="2:10" x14ac:dyDescent="0.25">
      <c r="B4" s="2" t="s">
        <v>173</v>
      </c>
      <c r="C4" s="2"/>
      <c r="D4" s="2"/>
      <c r="G4" s="7" t="s">
        <v>6</v>
      </c>
      <c r="H4" s="7" t="s">
        <v>6</v>
      </c>
      <c r="I4" s="7" t="s">
        <v>8</v>
      </c>
      <c r="J4" s="7"/>
    </row>
    <row r="5" spans="2:10" ht="15" x14ac:dyDescent="0.25">
      <c r="B5" s="4"/>
      <c r="C5" s="2"/>
      <c r="D5" s="4" t="s">
        <v>2</v>
      </c>
      <c r="G5" s="7" t="s">
        <v>12</v>
      </c>
      <c r="H5" s="7" t="s">
        <v>12</v>
      </c>
      <c r="I5" s="7" t="s">
        <v>13</v>
      </c>
      <c r="J5" s="7"/>
    </row>
    <row r="6" spans="2:10" x14ac:dyDescent="0.25">
      <c r="D6" s="81"/>
      <c r="E6" s="15"/>
      <c r="G6" s="7"/>
      <c r="H6" s="7"/>
      <c r="I6" s="7"/>
      <c r="J6" s="7"/>
    </row>
    <row r="7" spans="2:10" ht="13.8" thickBot="1" x14ac:dyDescent="0.3">
      <c r="B7" s="2"/>
      <c r="E7" s="15"/>
      <c r="G7" s="8" t="s">
        <v>17</v>
      </c>
      <c r="H7" s="8" t="s">
        <v>17</v>
      </c>
      <c r="I7" s="8" t="s">
        <v>18</v>
      </c>
      <c r="J7" s="84"/>
    </row>
    <row r="8" spans="2:10" ht="5.0999999999999996" customHeight="1" x14ac:dyDescent="0.25">
      <c r="B8" s="2"/>
      <c r="E8" s="15"/>
      <c r="G8" s="9"/>
      <c r="H8" s="9"/>
      <c r="I8" s="9"/>
      <c r="J8" s="87"/>
    </row>
    <row r="9" spans="2:10" ht="14.4" thickBot="1" x14ac:dyDescent="0.3">
      <c r="B9" s="6" t="s">
        <v>3</v>
      </c>
      <c r="D9" s="3" t="s">
        <v>19</v>
      </c>
      <c r="E9" s="18" t="s">
        <v>20</v>
      </c>
      <c r="G9" s="11">
        <v>36019</v>
      </c>
      <c r="H9" s="11">
        <v>0</v>
      </c>
      <c r="I9" s="11">
        <f>G9-H9</f>
        <v>36019</v>
      </c>
      <c r="J9" s="12"/>
    </row>
    <row r="10" spans="2:10" x14ac:dyDescent="0.25">
      <c r="B10" s="2" t="s">
        <v>9</v>
      </c>
      <c r="E10" s="18" t="s">
        <v>21</v>
      </c>
      <c r="G10" s="13">
        <v>591.20000000000005</v>
      </c>
      <c r="H10" s="13">
        <v>591.20000000000005</v>
      </c>
      <c r="I10" s="13">
        <f t="shared" ref="I10:I73" si="0">G10-H10</f>
        <v>0</v>
      </c>
      <c r="J10" s="85"/>
    </row>
    <row r="11" spans="2:10" x14ac:dyDescent="0.25">
      <c r="E11" s="18"/>
      <c r="G11" s="15"/>
      <c r="H11" s="15"/>
      <c r="I11" s="15"/>
    </row>
    <row r="12" spans="2:10" ht="13.8" thickBot="1" x14ac:dyDescent="0.3">
      <c r="D12" s="3" t="s">
        <v>22</v>
      </c>
      <c r="E12" s="18" t="s">
        <v>20</v>
      </c>
      <c r="G12" s="11">
        <v>53624</v>
      </c>
      <c r="H12" s="11">
        <v>53624</v>
      </c>
      <c r="I12" s="11">
        <f t="shared" si="0"/>
        <v>0</v>
      </c>
      <c r="J12" s="12"/>
    </row>
    <row r="13" spans="2:10" x14ac:dyDescent="0.25">
      <c r="E13" s="18" t="s">
        <v>21</v>
      </c>
      <c r="G13" s="13">
        <v>845.6</v>
      </c>
      <c r="H13" s="13">
        <v>845.6</v>
      </c>
      <c r="I13" s="13">
        <f t="shared" si="0"/>
        <v>0</v>
      </c>
      <c r="J13" s="85"/>
    </row>
    <row r="14" spans="2:10" x14ac:dyDescent="0.25">
      <c r="E14" s="15"/>
      <c r="G14" s="15"/>
      <c r="H14" s="15"/>
      <c r="I14" s="15"/>
    </row>
    <row r="15" spans="2:10" x14ac:dyDescent="0.25">
      <c r="D15" s="3" t="s">
        <v>23</v>
      </c>
      <c r="E15" s="18" t="s">
        <v>24</v>
      </c>
      <c r="G15" s="11">
        <v>8873.0994824611862</v>
      </c>
      <c r="H15" s="11">
        <v>0</v>
      </c>
      <c r="I15" s="11">
        <f t="shared" si="0"/>
        <v>8873.0994824611862</v>
      </c>
      <c r="J15" s="12"/>
    </row>
    <row r="16" spans="2:10" x14ac:dyDescent="0.25">
      <c r="D16" s="3" t="s">
        <v>25</v>
      </c>
      <c r="E16" s="18" t="s">
        <v>26</v>
      </c>
      <c r="G16" s="11">
        <v>4109.0211055276377</v>
      </c>
      <c r="H16" s="11">
        <v>4109.0211055276377</v>
      </c>
      <c r="I16" s="11">
        <f t="shared" si="0"/>
        <v>0</v>
      </c>
      <c r="J16" s="12"/>
    </row>
    <row r="17" spans="2:10" x14ac:dyDescent="0.25">
      <c r="E17" s="18" t="s">
        <v>27</v>
      </c>
      <c r="G17" s="11">
        <v>401.15928694652104</v>
      </c>
      <c r="H17" s="11">
        <v>0</v>
      </c>
      <c r="I17" s="11">
        <f t="shared" si="0"/>
        <v>401.15928694652104</v>
      </c>
      <c r="J17" s="12"/>
    </row>
    <row r="18" spans="2:10" x14ac:dyDescent="0.25">
      <c r="E18" s="18" t="s">
        <v>28</v>
      </c>
      <c r="G18" s="11">
        <v>6409</v>
      </c>
      <c r="H18" s="11">
        <v>0</v>
      </c>
      <c r="I18" s="11">
        <f t="shared" si="0"/>
        <v>6409</v>
      </c>
      <c r="J18" s="12"/>
    </row>
    <row r="19" spans="2:10" x14ac:dyDescent="0.25">
      <c r="E19" s="18" t="s">
        <v>29</v>
      </c>
      <c r="G19" s="11">
        <v>0</v>
      </c>
      <c r="H19" s="11">
        <v>0</v>
      </c>
      <c r="I19" s="11">
        <f t="shared" si="0"/>
        <v>0</v>
      </c>
      <c r="J19" s="12"/>
    </row>
    <row r="20" spans="2:10" x14ac:dyDescent="0.25">
      <c r="E20" s="18" t="s">
        <v>30</v>
      </c>
      <c r="G20" s="21">
        <v>6794</v>
      </c>
      <c r="H20" s="11">
        <v>0</v>
      </c>
      <c r="I20" s="11">
        <f t="shared" si="0"/>
        <v>6794</v>
      </c>
      <c r="J20" s="12"/>
    </row>
    <row r="21" spans="2:10" x14ac:dyDescent="0.25">
      <c r="D21" s="2" t="s">
        <v>31</v>
      </c>
      <c r="E21" s="18"/>
      <c r="G21" s="23">
        <v>116229.27987493534</v>
      </c>
      <c r="H21" s="25">
        <v>57733.021105527638</v>
      </c>
      <c r="I21" s="25">
        <f t="shared" si="0"/>
        <v>58496.258769407701</v>
      </c>
      <c r="J21" s="86"/>
    </row>
    <row r="22" spans="2:10" x14ac:dyDescent="0.25">
      <c r="E22" s="18"/>
      <c r="G22" s="11"/>
      <c r="H22" s="11"/>
      <c r="I22" s="11">
        <f t="shared" si="0"/>
        <v>0</v>
      </c>
      <c r="J22" s="12"/>
    </row>
    <row r="23" spans="2:10" x14ac:dyDescent="0.25">
      <c r="B23" s="2" t="s">
        <v>32</v>
      </c>
      <c r="E23" s="18" t="s">
        <v>33</v>
      </c>
      <c r="G23" s="21">
        <v>11556</v>
      </c>
      <c r="H23" s="21">
        <v>784.88131949154592</v>
      </c>
      <c r="I23" s="21">
        <f t="shared" si="0"/>
        <v>10771.118680508454</v>
      </c>
      <c r="J23" s="29"/>
    </row>
    <row r="24" spans="2:10" x14ac:dyDescent="0.25">
      <c r="B24" s="2"/>
      <c r="D24" s="2" t="s">
        <v>34</v>
      </c>
      <c r="E24" s="18"/>
      <c r="G24" s="23">
        <v>11556</v>
      </c>
      <c r="H24" s="23">
        <v>784.88131949154592</v>
      </c>
      <c r="I24" s="23">
        <f t="shared" si="0"/>
        <v>10771.118680508454</v>
      </c>
      <c r="J24" s="24"/>
    </row>
    <row r="25" spans="2:10" x14ac:dyDescent="0.25">
      <c r="B25" s="2"/>
      <c r="E25" s="15"/>
      <c r="G25" s="15"/>
      <c r="H25" s="15"/>
      <c r="I25" s="15"/>
    </row>
    <row r="26" spans="2:10" x14ac:dyDescent="0.25">
      <c r="B26" s="2" t="s">
        <v>35</v>
      </c>
      <c r="E26" s="18" t="s">
        <v>36</v>
      </c>
      <c r="F26" s="15"/>
      <c r="G26" s="11">
        <v>236</v>
      </c>
      <c r="H26" s="29">
        <v>0</v>
      </c>
      <c r="I26" s="29">
        <f t="shared" si="0"/>
        <v>236</v>
      </c>
      <c r="J26" s="12"/>
    </row>
    <row r="27" spans="2:10" x14ac:dyDescent="0.25">
      <c r="B27" s="2"/>
      <c r="E27" s="18" t="s">
        <v>37</v>
      </c>
      <c r="G27" s="11">
        <v>917</v>
      </c>
      <c r="H27" s="11">
        <v>917</v>
      </c>
      <c r="I27" s="11">
        <f t="shared" si="0"/>
        <v>0</v>
      </c>
      <c r="J27" s="12"/>
    </row>
    <row r="28" spans="2:10" x14ac:dyDescent="0.25">
      <c r="B28" s="2"/>
      <c r="E28" s="15" t="s">
        <v>38</v>
      </c>
      <c r="G28" s="11">
        <v>0</v>
      </c>
      <c r="H28" s="11">
        <v>0</v>
      </c>
      <c r="I28" s="11">
        <f t="shared" si="0"/>
        <v>0</v>
      </c>
      <c r="J28" s="12"/>
    </row>
    <row r="29" spans="2:10" x14ac:dyDescent="0.25">
      <c r="B29" s="2"/>
      <c r="E29" s="18" t="s">
        <v>39</v>
      </c>
      <c r="G29" s="11">
        <v>1119</v>
      </c>
      <c r="H29" s="11">
        <v>1119</v>
      </c>
      <c r="I29" s="11">
        <f t="shared" si="0"/>
        <v>0</v>
      </c>
      <c r="J29" s="12"/>
    </row>
    <row r="30" spans="2:10" x14ac:dyDescent="0.25">
      <c r="B30" s="2"/>
      <c r="E30" s="10" t="s">
        <v>40</v>
      </c>
      <c r="G30" s="21">
        <v>0</v>
      </c>
      <c r="H30" s="21">
        <v>0</v>
      </c>
      <c r="I30" s="21">
        <f t="shared" si="0"/>
        <v>0</v>
      </c>
      <c r="J30" s="82"/>
    </row>
    <row r="31" spans="2:10" x14ac:dyDescent="0.25">
      <c r="B31" s="2"/>
      <c r="D31" s="2" t="s">
        <v>41</v>
      </c>
      <c r="G31" s="24">
        <v>2272</v>
      </c>
      <c r="H31" s="23">
        <v>2036</v>
      </c>
      <c r="I31" s="23">
        <f t="shared" si="0"/>
        <v>236</v>
      </c>
      <c r="J31" s="24"/>
    </row>
    <row r="32" spans="2:10" x14ac:dyDescent="0.25">
      <c r="B32" s="2"/>
    </row>
    <row r="33" spans="2:10" x14ac:dyDescent="0.25">
      <c r="B33" s="2" t="s">
        <v>42</v>
      </c>
      <c r="D33" s="2" t="s">
        <v>43</v>
      </c>
      <c r="E33" s="3" t="s">
        <v>44</v>
      </c>
      <c r="G33" s="11">
        <v>0</v>
      </c>
      <c r="H33" s="12">
        <v>0</v>
      </c>
      <c r="I33" s="12">
        <f t="shared" si="0"/>
        <v>0</v>
      </c>
      <c r="J33" s="12"/>
    </row>
    <row r="34" spans="2:10" x14ac:dyDescent="0.25">
      <c r="B34" s="2" t="s">
        <v>45</v>
      </c>
      <c r="D34" s="2" t="s">
        <v>46</v>
      </c>
      <c r="E34" s="3" t="s">
        <v>47</v>
      </c>
      <c r="G34" s="11">
        <v>0</v>
      </c>
      <c r="H34" s="12">
        <v>0</v>
      </c>
      <c r="I34" s="12">
        <f t="shared" si="0"/>
        <v>0</v>
      </c>
      <c r="J34" s="12"/>
    </row>
    <row r="35" spans="2:10" x14ac:dyDescent="0.25">
      <c r="D35" s="2"/>
      <c r="G35" s="15"/>
      <c r="J35" s="12"/>
    </row>
    <row r="36" spans="2:10" x14ac:dyDescent="0.25">
      <c r="D36" s="2" t="s">
        <v>48</v>
      </c>
      <c r="E36" s="3" t="s">
        <v>49</v>
      </c>
      <c r="G36" s="11">
        <v>0</v>
      </c>
      <c r="H36" s="12">
        <v>0</v>
      </c>
      <c r="I36" s="12">
        <f t="shared" si="0"/>
        <v>0</v>
      </c>
      <c r="J36" s="12"/>
    </row>
    <row r="37" spans="2:10" x14ac:dyDescent="0.25">
      <c r="D37" s="2" t="s">
        <v>50</v>
      </c>
      <c r="E37" s="3" t="s">
        <v>51</v>
      </c>
      <c r="G37" s="11">
        <v>0</v>
      </c>
      <c r="H37" s="12">
        <v>0</v>
      </c>
      <c r="I37" s="12">
        <f t="shared" si="0"/>
        <v>0</v>
      </c>
      <c r="J37" s="12"/>
    </row>
    <row r="38" spans="2:10" x14ac:dyDescent="0.25">
      <c r="D38" s="2"/>
      <c r="E38" s="3" t="s">
        <v>52</v>
      </c>
      <c r="G38" s="11">
        <v>0</v>
      </c>
      <c r="H38" s="12">
        <v>0</v>
      </c>
      <c r="I38" s="12">
        <f t="shared" si="0"/>
        <v>0</v>
      </c>
      <c r="J38" s="12"/>
    </row>
    <row r="39" spans="2:10" x14ac:dyDescent="0.25">
      <c r="D39" s="2"/>
      <c r="E39" s="3" t="s">
        <v>53</v>
      </c>
      <c r="G39" s="11"/>
      <c r="H39" s="12">
        <v>0</v>
      </c>
      <c r="I39" s="12">
        <f t="shared" si="0"/>
        <v>0</v>
      </c>
      <c r="J39" s="12"/>
    </row>
    <row r="40" spans="2:10" x14ac:dyDescent="0.25">
      <c r="D40" s="2"/>
      <c r="G40" s="15"/>
      <c r="J40" s="12"/>
    </row>
    <row r="41" spans="2:10" x14ac:dyDescent="0.25">
      <c r="D41" s="2" t="s">
        <v>54</v>
      </c>
      <c r="G41" s="11">
        <v>0</v>
      </c>
      <c r="H41" s="12">
        <v>0</v>
      </c>
      <c r="I41" s="12">
        <f t="shared" si="0"/>
        <v>0</v>
      </c>
      <c r="J41" s="12"/>
    </row>
    <row r="42" spans="2:10" x14ac:dyDescent="0.25">
      <c r="D42" s="2"/>
      <c r="G42" s="15"/>
    </row>
    <row r="43" spans="2:10" x14ac:dyDescent="0.25">
      <c r="D43" s="2" t="s">
        <v>55</v>
      </c>
      <c r="G43" s="11">
        <v>0</v>
      </c>
      <c r="H43" s="12">
        <v>0</v>
      </c>
      <c r="I43" s="12">
        <f t="shared" si="0"/>
        <v>0</v>
      </c>
      <c r="J43" s="12"/>
    </row>
    <row r="44" spans="2:10" x14ac:dyDescent="0.25">
      <c r="D44" s="2"/>
      <c r="G44" s="15"/>
    </row>
    <row r="45" spans="2:10" x14ac:dyDescent="0.25">
      <c r="D45" s="2" t="s">
        <v>56</v>
      </c>
      <c r="G45" s="11">
        <v>0</v>
      </c>
      <c r="H45" s="12">
        <v>0</v>
      </c>
      <c r="I45" s="12">
        <f t="shared" si="0"/>
        <v>0</v>
      </c>
      <c r="J45" s="12"/>
    </row>
    <row r="46" spans="2:10" x14ac:dyDescent="0.25">
      <c r="D46" s="2"/>
      <c r="G46" s="15"/>
    </row>
    <row r="47" spans="2:10" x14ac:dyDescent="0.25">
      <c r="D47" s="2" t="s">
        <v>57</v>
      </c>
      <c r="G47" s="11">
        <v>0</v>
      </c>
      <c r="H47" s="12">
        <v>0</v>
      </c>
      <c r="I47" s="12">
        <f t="shared" si="0"/>
        <v>0</v>
      </c>
      <c r="J47" s="12"/>
    </row>
    <row r="48" spans="2:10" x14ac:dyDescent="0.25">
      <c r="D48" s="2" t="s">
        <v>58</v>
      </c>
      <c r="G48" s="15"/>
    </row>
    <row r="49" spans="2:10" x14ac:dyDescent="0.25">
      <c r="D49" s="2"/>
      <c r="G49" s="15"/>
    </row>
    <row r="50" spans="2:10" x14ac:dyDescent="0.25">
      <c r="B50" s="2"/>
      <c r="D50" s="2" t="s">
        <v>53</v>
      </c>
      <c r="G50" s="21">
        <v>582</v>
      </c>
      <c r="H50" s="22">
        <v>582</v>
      </c>
      <c r="I50" s="22">
        <f t="shared" si="0"/>
        <v>0</v>
      </c>
      <c r="J50" s="82"/>
    </row>
    <row r="51" spans="2:10" x14ac:dyDescent="0.25">
      <c r="D51" s="2" t="s">
        <v>59</v>
      </c>
      <c r="G51" s="24">
        <v>582</v>
      </c>
      <c r="H51" s="24">
        <v>582</v>
      </c>
      <c r="I51" s="24">
        <f t="shared" si="0"/>
        <v>0</v>
      </c>
      <c r="J51" s="24"/>
    </row>
    <row r="52" spans="2:10" x14ac:dyDescent="0.25">
      <c r="B52" s="2"/>
    </row>
    <row r="53" spans="2:10" x14ac:dyDescent="0.25">
      <c r="B53" s="2" t="s">
        <v>60</v>
      </c>
      <c r="G53" s="12">
        <v>0</v>
      </c>
      <c r="H53" s="12">
        <v>0</v>
      </c>
      <c r="I53" s="12">
        <f t="shared" si="0"/>
        <v>0</v>
      </c>
      <c r="J53" s="12"/>
    </row>
    <row r="54" spans="2:10" x14ac:dyDescent="0.25">
      <c r="B54" s="2" t="s">
        <v>61</v>
      </c>
    </row>
    <row r="55" spans="2:10" ht="13.8" thickBot="1" x14ac:dyDescent="0.3">
      <c r="J55" s="40"/>
    </row>
    <row r="56" spans="2:10" x14ac:dyDescent="0.25">
      <c r="B56" s="2" t="s">
        <v>62</v>
      </c>
      <c r="G56" s="31">
        <v>130639.27987493534</v>
      </c>
      <c r="H56" s="31">
        <v>61135.902425019187</v>
      </c>
      <c r="I56" s="31">
        <f t="shared" si="0"/>
        <v>69503.377449916152</v>
      </c>
      <c r="J56" s="86"/>
    </row>
    <row r="59" spans="2:10" ht="13.8" x14ac:dyDescent="0.25">
      <c r="B59" s="6" t="s">
        <v>63</v>
      </c>
    </row>
    <row r="60" spans="2:10" x14ac:dyDescent="0.25">
      <c r="D60" s="15" t="s">
        <v>64</v>
      </c>
      <c r="E60" s="10" t="s">
        <v>20</v>
      </c>
      <c r="G60" s="12">
        <v>8634</v>
      </c>
      <c r="H60" s="12">
        <v>8634</v>
      </c>
      <c r="I60" s="12">
        <f t="shared" si="0"/>
        <v>0</v>
      </c>
      <c r="J60" s="11"/>
    </row>
    <row r="61" spans="2:10" x14ac:dyDescent="0.25">
      <c r="D61" s="15"/>
      <c r="E61" s="10" t="s">
        <v>21</v>
      </c>
      <c r="G61" s="33">
        <v>0</v>
      </c>
      <c r="H61" s="33">
        <v>0</v>
      </c>
      <c r="I61" s="33">
        <f t="shared" si="0"/>
        <v>0</v>
      </c>
      <c r="J61" s="33"/>
    </row>
    <row r="62" spans="2:10" x14ac:dyDescent="0.25">
      <c r="D62" s="15"/>
      <c r="E62" s="10"/>
    </row>
    <row r="63" spans="2:10" x14ac:dyDescent="0.25">
      <c r="D63" s="15" t="s">
        <v>94</v>
      </c>
      <c r="E63" s="10" t="s">
        <v>20</v>
      </c>
      <c r="G63" s="12">
        <v>127459.74815858976</v>
      </c>
      <c r="H63" s="12">
        <v>127459.74815858976</v>
      </c>
      <c r="I63" s="12">
        <f t="shared" si="0"/>
        <v>0</v>
      </c>
      <c r="J63" s="11"/>
    </row>
    <row r="64" spans="2:10" ht="12.75" customHeight="1" x14ac:dyDescent="0.25">
      <c r="D64" s="15"/>
      <c r="E64" s="10" t="s">
        <v>21</v>
      </c>
      <c r="G64" s="36">
        <v>0</v>
      </c>
      <c r="H64" s="33">
        <v>0</v>
      </c>
      <c r="I64" s="33">
        <f t="shared" si="0"/>
        <v>0</v>
      </c>
      <c r="J64" s="33"/>
    </row>
    <row r="65" spans="4:10" ht="12.75" customHeight="1" x14ac:dyDescent="0.25">
      <c r="D65" s="15"/>
      <c r="E65" s="10"/>
    </row>
    <row r="66" spans="4:10" x14ac:dyDescent="0.25">
      <c r="D66" s="15" t="s">
        <v>65</v>
      </c>
      <c r="E66" s="10" t="s">
        <v>20</v>
      </c>
      <c r="G66" s="12">
        <v>3167.9922651734009</v>
      </c>
      <c r="H66" s="12">
        <v>3167.9922651734009</v>
      </c>
      <c r="I66" s="12">
        <f t="shared" si="0"/>
        <v>0</v>
      </c>
      <c r="J66" s="11"/>
    </row>
    <row r="67" spans="4:10" x14ac:dyDescent="0.25">
      <c r="D67" s="15"/>
      <c r="E67" s="10" t="s">
        <v>21</v>
      </c>
      <c r="G67" s="36">
        <v>0</v>
      </c>
      <c r="H67" s="33">
        <v>0</v>
      </c>
      <c r="I67" s="33">
        <f t="shared" si="0"/>
        <v>0</v>
      </c>
      <c r="J67" s="33"/>
    </row>
    <row r="68" spans="4:10" x14ac:dyDescent="0.25">
      <c r="D68" s="15"/>
      <c r="E68" s="10"/>
      <c r="G68" s="33"/>
      <c r="H68" s="33"/>
      <c r="I68" s="33">
        <f t="shared" si="0"/>
        <v>0</v>
      </c>
      <c r="J68" s="34"/>
    </row>
    <row r="69" spans="4:10" x14ac:dyDescent="0.25">
      <c r="D69" s="99" t="s">
        <v>143</v>
      </c>
      <c r="E69" s="10" t="s">
        <v>20</v>
      </c>
      <c r="G69" s="12">
        <v>4629.1509762765945</v>
      </c>
      <c r="H69" s="12">
        <v>4629.1509762765945</v>
      </c>
      <c r="I69" s="12">
        <f t="shared" si="0"/>
        <v>0</v>
      </c>
      <c r="J69" s="11"/>
    </row>
    <row r="70" spans="4:10" x14ac:dyDescent="0.25">
      <c r="D70" s="15"/>
      <c r="E70" s="10" t="s">
        <v>21</v>
      </c>
      <c r="G70" s="36">
        <v>0</v>
      </c>
      <c r="H70" s="33">
        <v>0</v>
      </c>
      <c r="I70" s="33">
        <f t="shared" si="0"/>
        <v>0</v>
      </c>
      <c r="J70" s="33"/>
    </row>
    <row r="71" spans="4:10" x14ac:dyDescent="0.25">
      <c r="D71" s="15"/>
      <c r="E71" s="10"/>
      <c r="G71" s="36"/>
      <c r="H71" s="33"/>
      <c r="I71" s="33">
        <f t="shared" si="0"/>
        <v>0</v>
      </c>
      <c r="J71" s="33"/>
    </row>
    <row r="72" spans="4:10" x14ac:dyDescent="0.25">
      <c r="D72" s="15" t="s">
        <v>127</v>
      </c>
      <c r="E72" s="10" t="s">
        <v>20</v>
      </c>
      <c r="G72" s="12">
        <v>12651.496157113019</v>
      </c>
      <c r="H72" s="12">
        <v>12651.496157113019</v>
      </c>
      <c r="I72" s="12">
        <f t="shared" si="0"/>
        <v>0</v>
      </c>
      <c r="J72" s="33"/>
    </row>
    <row r="73" spans="4:10" x14ac:dyDescent="0.25">
      <c r="D73" s="15"/>
      <c r="E73" s="10" t="s">
        <v>21</v>
      </c>
      <c r="G73" s="36">
        <v>0</v>
      </c>
      <c r="H73" s="33">
        <v>0</v>
      </c>
      <c r="I73" s="33">
        <f t="shared" si="0"/>
        <v>0</v>
      </c>
      <c r="J73" s="33"/>
    </row>
    <row r="74" spans="4:10" x14ac:dyDescent="0.25">
      <c r="D74" s="15"/>
      <c r="E74" s="10"/>
    </row>
    <row r="75" spans="4:10" x14ac:dyDescent="0.25">
      <c r="D75" s="99" t="s">
        <v>108</v>
      </c>
      <c r="E75" s="10" t="s">
        <v>20</v>
      </c>
      <c r="G75" s="12">
        <v>1244.2975842866326</v>
      </c>
      <c r="H75" s="12">
        <v>1244.2975842866326</v>
      </c>
      <c r="I75" s="12">
        <f t="shared" ref="I75:I93" si="1">G75-H75</f>
        <v>0</v>
      </c>
    </row>
    <row r="76" spans="4:10" x14ac:dyDescent="0.25">
      <c r="D76" s="15"/>
      <c r="E76" s="10" t="s">
        <v>21</v>
      </c>
      <c r="G76" s="36">
        <v>0</v>
      </c>
      <c r="H76" s="33">
        <v>0</v>
      </c>
      <c r="I76" s="33">
        <f t="shared" si="1"/>
        <v>0</v>
      </c>
    </row>
    <row r="77" spans="4:10" x14ac:dyDescent="0.25">
      <c r="D77" s="15"/>
      <c r="E77" s="10"/>
    </row>
    <row r="78" spans="4:10" x14ac:dyDescent="0.25">
      <c r="D78" s="99" t="s">
        <v>144</v>
      </c>
      <c r="E78" s="10" t="s">
        <v>20</v>
      </c>
      <c r="G78" s="12">
        <v>8029.9277377181224</v>
      </c>
      <c r="H78" s="12">
        <v>8029.9277377181224</v>
      </c>
      <c r="I78" s="12">
        <f t="shared" si="1"/>
        <v>0</v>
      </c>
    </row>
    <row r="79" spans="4:10" x14ac:dyDescent="0.25">
      <c r="D79" s="15"/>
      <c r="E79" s="10" t="s">
        <v>21</v>
      </c>
      <c r="G79" s="36">
        <v>0</v>
      </c>
      <c r="H79" s="33">
        <v>0</v>
      </c>
      <c r="I79" s="33">
        <f t="shared" si="1"/>
        <v>0</v>
      </c>
    </row>
    <row r="80" spans="4:10" x14ac:dyDescent="0.25">
      <c r="D80" s="15"/>
      <c r="E80" s="10"/>
    </row>
    <row r="81" spans="2:10" x14ac:dyDescent="0.25">
      <c r="D81" s="99" t="s">
        <v>145</v>
      </c>
      <c r="E81" s="10" t="s">
        <v>20</v>
      </c>
      <c r="G81" s="12">
        <v>0</v>
      </c>
      <c r="H81" s="12">
        <v>0</v>
      </c>
      <c r="I81" s="12">
        <f t="shared" si="1"/>
        <v>0</v>
      </c>
    </row>
    <row r="82" spans="2:10" x14ac:dyDescent="0.25">
      <c r="D82" s="15"/>
      <c r="E82" s="10" t="s">
        <v>21</v>
      </c>
      <c r="G82" s="36">
        <v>0</v>
      </c>
      <c r="H82" s="33">
        <v>0</v>
      </c>
      <c r="I82" s="33">
        <f t="shared" si="1"/>
        <v>0</v>
      </c>
    </row>
    <row r="83" spans="2:10" x14ac:dyDescent="0.25">
      <c r="D83" s="15"/>
      <c r="E83" s="10"/>
    </row>
    <row r="84" spans="2:10" x14ac:dyDescent="0.25">
      <c r="D84" s="99"/>
      <c r="E84" s="10" t="s">
        <v>20</v>
      </c>
      <c r="G84" s="12">
        <v>0</v>
      </c>
      <c r="H84" s="12">
        <v>0</v>
      </c>
      <c r="I84" s="12">
        <f t="shared" si="1"/>
        <v>0</v>
      </c>
      <c r="J84" s="12"/>
    </row>
    <row r="85" spans="2:10" x14ac:dyDescent="0.25">
      <c r="E85" s="10" t="s">
        <v>21</v>
      </c>
      <c r="G85" s="36">
        <v>0</v>
      </c>
      <c r="H85" s="33">
        <v>0</v>
      </c>
      <c r="I85" s="33">
        <f t="shared" si="1"/>
        <v>0</v>
      </c>
      <c r="J85" s="33"/>
    </row>
    <row r="86" spans="2:10" x14ac:dyDescent="0.25">
      <c r="E86" s="10"/>
      <c r="G86" s="36"/>
      <c r="H86" s="33"/>
      <c r="I86" s="33">
        <f t="shared" si="1"/>
        <v>0</v>
      </c>
      <c r="J86" s="33"/>
    </row>
    <row r="87" spans="2:10" x14ac:dyDescent="0.25">
      <c r="D87" s="15" t="s">
        <v>66</v>
      </c>
      <c r="E87" s="10" t="s">
        <v>20</v>
      </c>
      <c r="G87" s="12">
        <v>0</v>
      </c>
      <c r="H87" s="12">
        <v>0</v>
      </c>
      <c r="I87" s="12">
        <f t="shared" si="1"/>
        <v>0</v>
      </c>
      <c r="J87" s="12"/>
    </row>
    <row r="88" spans="2:10" ht="13.8" thickBot="1" x14ac:dyDescent="0.3">
      <c r="D88" s="15"/>
    </row>
    <row r="89" spans="2:10" ht="13.8" thickBot="1" x14ac:dyDescent="0.3">
      <c r="B89" s="2" t="s">
        <v>67</v>
      </c>
      <c r="E89" s="10" t="s">
        <v>20</v>
      </c>
      <c r="G89" s="31">
        <v>165816.61287915756</v>
      </c>
      <c r="H89" s="31">
        <v>165816.61287915756</v>
      </c>
      <c r="I89" s="31">
        <f t="shared" si="1"/>
        <v>0</v>
      </c>
      <c r="J89" s="86"/>
    </row>
    <row r="90" spans="2:10" x14ac:dyDescent="0.25">
      <c r="B90" s="2"/>
      <c r="E90" s="10" t="s">
        <v>21</v>
      </c>
      <c r="G90" s="31">
        <v>0</v>
      </c>
      <c r="H90" s="31">
        <v>0</v>
      </c>
      <c r="I90" s="31">
        <f t="shared" si="1"/>
        <v>0</v>
      </c>
      <c r="J90" s="42"/>
    </row>
    <row r="92" spans="2:10" ht="13.8" thickBot="1" x14ac:dyDescent="0.3"/>
    <row r="93" spans="2:10" ht="14.4" thickBot="1" x14ac:dyDescent="0.3">
      <c r="B93" s="6" t="s">
        <v>68</v>
      </c>
      <c r="G93" s="45">
        <v>296455.89275409293</v>
      </c>
      <c r="H93" s="79">
        <v>226952.51530417675</v>
      </c>
      <c r="I93" s="79">
        <f t="shared" si="1"/>
        <v>69503.377449916181</v>
      </c>
      <c r="J93" s="86"/>
    </row>
    <row r="94" spans="2:10" ht="13.8" thickTop="1" x14ac:dyDescent="0.25">
      <c r="G94" s="77"/>
      <c r="H94" s="80"/>
    </row>
    <row r="95" spans="2:10" x14ac:dyDescent="0.25">
      <c r="G95" s="77"/>
      <c r="H95" s="80"/>
    </row>
    <row r="96" spans="2:10" x14ac:dyDescent="0.25">
      <c r="G96" s="77"/>
      <c r="H96" s="80"/>
    </row>
    <row r="97" spans="5:8" x14ac:dyDescent="0.25">
      <c r="G97" s="77"/>
      <c r="H97" s="80"/>
    </row>
    <row r="98" spans="5:8" x14ac:dyDescent="0.25">
      <c r="G98" s="77"/>
      <c r="H98" s="80"/>
    </row>
    <row r="99" spans="5:8" x14ac:dyDescent="0.25">
      <c r="G99" s="77"/>
      <c r="H99" s="80"/>
    </row>
    <row r="100" spans="5:8" x14ac:dyDescent="0.25">
      <c r="G100" s="77"/>
      <c r="H100" s="80"/>
    </row>
    <row r="101" spans="5:8" x14ac:dyDescent="0.25">
      <c r="G101" s="77"/>
      <c r="H101" s="80"/>
    </row>
    <row r="102" spans="5:8" ht="13.8" thickBot="1" x14ac:dyDescent="0.3"/>
    <row r="103" spans="5:8" x14ac:dyDescent="0.25">
      <c r="E103" s="50"/>
      <c r="F103" s="51"/>
      <c r="G103" s="52" t="e">
        <f>G115</f>
        <v>#REF!</v>
      </c>
      <c r="H103" s="47"/>
    </row>
    <row r="104" spans="5:8" x14ac:dyDescent="0.25">
      <c r="E104" s="54"/>
      <c r="F104" s="38"/>
      <c r="G104" s="38"/>
    </row>
    <row r="105" spans="5:8" x14ac:dyDescent="0.25">
      <c r="E105" s="54" t="s">
        <v>69</v>
      </c>
      <c r="F105" s="38"/>
      <c r="G105" s="38"/>
    </row>
    <row r="106" spans="5:8" x14ac:dyDescent="0.25">
      <c r="E106" s="54" t="s">
        <v>90</v>
      </c>
      <c r="F106" s="38"/>
      <c r="G106" s="38"/>
    </row>
    <row r="107" spans="5:8" x14ac:dyDescent="0.25">
      <c r="E107" s="54"/>
      <c r="F107" s="38"/>
      <c r="G107" s="38"/>
    </row>
    <row r="108" spans="5:8" x14ac:dyDescent="0.25">
      <c r="E108" s="54" t="s">
        <v>70</v>
      </c>
      <c r="F108" s="38"/>
      <c r="G108" s="38"/>
    </row>
    <row r="109" spans="5:8" x14ac:dyDescent="0.25">
      <c r="E109" s="54" t="s">
        <v>71</v>
      </c>
      <c r="F109" s="38"/>
      <c r="G109" s="38"/>
    </row>
    <row r="110" spans="5:8" x14ac:dyDescent="0.25">
      <c r="E110" s="54" t="s">
        <v>72</v>
      </c>
      <c r="F110" s="38"/>
      <c r="G110" s="38"/>
    </row>
    <row r="111" spans="5:8" x14ac:dyDescent="0.25">
      <c r="E111" s="54"/>
      <c r="F111" s="38"/>
      <c r="G111" s="38"/>
    </row>
    <row r="112" spans="5:8" x14ac:dyDescent="0.25">
      <c r="E112" s="57" t="s">
        <v>73</v>
      </c>
      <c r="F112" s="38"/>
      <c r="G112" s="59">
        <v>302336</v>
      </c>
    </row>
    <row r="113" spans="2:7" x14ac:dyDescent="0.25">
      <c r="E113" s="54" t="s">
        <v>74</v>
      </c>
      <c r="F113" s="38"/>
      <c r="G113" s="61" t="e">
        <f>-#REF!</f>
        <v>#REF!</v>
      </c>
    </row>
    <row r="114" spans="2:7" ht="13.8" thickBot="1" x14ac:dyDescent="0.3">
      <c r="E114" s="54" t="s">
        <v>75</v>
      </c>
      <c r="F114" s="38"/>
      <c r="G114" s="64" t="e">
        <f>SUM(G112:G113)</f>
        <v>#REF!</v>
      </c>
    </row>
    <row r="115" spans="2:7" ht="14.4" thickTop="1" thickBot="1" x14ac:dyDescent="0.3">
      <c r="E115" s="54" t="s">
        <v>76</v>
      </c>
      <c r="F115" s="38"/>
      <c r="G115" s="66" t="e">
        <f>G$114/#REF!</f>
        <v>#REF!</v>
      </c>
    </row>
    <row r="116" spans="2:7" ht="14.4" thickTop="1" thickBot="1" x14ac:dyDescent="0.3">
      <c r="E116" s="67"/>
      <c r="F116" s="68"/>
      <c r="G116" s="69" t="s">
        <v>79</v>
      </c>
    </row>
    <row r="119" spans="2:7" x14ac:dyDescent="0.25">
      <c r="B119" s="2" t="s">
        <v>83</v>
      </c>
      <c r="C119" s="2"/>
      <c r="D119" s="2" t="s">
        <v>158</v>
      </c>
      <c r="E119" s="78"/>
      <c r="F119" s="71"/>
      <c r="G119" s="88"/>
    </row>
    <row r="120" spans="2:7" x14ac:dyDescent="0.25">
      <c r="B120" s="2" t="s">
        <v>84</v>
      </c>
      <c r="C120" s="2"/>
      <c r="D120" s="2"/>
      <c r="E120" s="71"/>
      <c r="F120" s="71"/>
      <c r="G120" s="88"/>
    </row>
    <row r="121" spans="2:7" x14ac:dyDescent="0.25">
      <c r="B121" s="2" t="s">
        <v>80</v>
      </c>
      <c r="C121" s="2"/>
      <c r="D121" s="139" t="s">
        <v>148</v>
      </c>
      <c r="E121" s="71"/>
      <c r="F121" s="71"/>
      <c r="G121" s="49"/>
    </row>
    <row r="122" spans="2:7" x14ac:dyDescent="0.25">
      <c r="B122" s="2" t="s">
        <v>82</v>
      </c>
      <c r="C122" s="2"/>
      <c r="D122" s="139"/>
      <c r="E122" s="71"/>
      <c r="F122" s="71"/>
      <c r="G122" s="75"/>
    </row>
    <row r="123" spans="2:7" x14ac:dyDescent="0.25">
      <c r="B123" s="2" t="s">
        <v>81</v>
      </c>
      <c r="C123" s="2"/>
      <c r="D123" s="139"/>
      <c r="E123" s="71"/>
      <c r="F123" s="71"/>
      <c r="G123" s="49"/>
    </row>
    <row r="124" spans="2:7" x14ac:dyDescent="0.25">
      <c r="E124" s="71"/>
      <c r="F124" s="71"/>
      <c r="G124" s="75"/>
    </row>
    <row r="125" spans="2:7" x14ac:dyDescent="0.25">
      <c r="B125" s="2" t="s">
        <v>91</v>
      </c>
      <c r="D125" s="2" t="s">
        <v>146</v>
      </c>
      <c r="E125" s="71"/>
      <c r="F125" s="71"/>
      <c r="G125" s="76"/>
    </row>
    <row r="126" spans="2:7" x14ac:dyDescent="0.25">
      <c r="D126" s="92" t="s">
        <v>147</v>
      </c>
      <c r="G126" s="63"/>
    </row>
    <row r="127" spans="2:7" x14ac:dyDescent="0.25">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J19" sqref="J19"/>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1.10937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ht="21" thickBot="1" x14ac:dyDescent="0.4">
      <c r="B2" s="1" t="s">
        <v>0</v>
      </c>
      <c r="C2" s="2"/>
      <c r="D2" s="2"/>
      <c r="E2" s="2"/>
      <c r="F2" s="2"/>
      <c r="G2" s="134" t="s">
        <v>137</v>
      </c>
      <c r="H2" s="134"/>
      <c r="I2" s="134"/>
      <c r="J2" s="134"/>
      <c r="K2" s="134"/>
      <c r="L2" s="5"/>
      <c r="M2" s="134" t="s">
        <v>138</v>
      </c>
      <c r="N2" s="134"/>
      <c r="O2" s="134"/>
      <c r="P2" s="134"/>
      <c r="Q2" s="134"/>
      <c r="R2" s="83"/>
      <c r="S2" s="83"/>
      <c r="T2" s="83"/>
      <c r="U2" s="83"/>
      <c r="V2" s="83"/>
    </row>
    <row r="3" spans="2:24" ht="20.399999999999999" x14ac:dyDescent="0.35">
      <c r="B3" s="1" t="s">
        <v>1</v>
      </c>
      <c r="C3" s="2"/>
      <c r="D3" s="2"/>
      <c r="L3" s="5"/>
    </row>
    <row r="4" spans="2:24" x14ac:dyDescent="0.25">
      <c r="B4" s="2" t="s">
        <v>136</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5">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5">
      <c r="D6" s="81"/>
      <c r="E6" s="15"/>
      <c r="G6" s="7"/>
      <c r="H6" s="7" t="s">
        <v>14</v>
      </c>
      <c r="I6" s="7"/>
      <c r="J6" s="7"/>
      <c r="K6" s="7"/>
      <c r="L6" s="5"/>
      <c r="M6" s="7"/>
      <c r="N6" s="7" t="s">
        <v>14</v>
      </c>
      <c r="O6" s="7"/>
      <c r="P6" s="7"/>
      <c r="Q6" s="7"/>
      <c r="R6" s="7"/>
      <c r="S6" s="7"/>
      <c r="T6" s="7"/>
      <c r="U6" s="7"/>
      <c r="V6" s="7"/>
    </row>
    <row r="7" spans="2:24" ht="13.8" thickBot="1" x14ac:dyDescent="0.3">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5">
      <c r="B8" s="2"/>
      <c r="E8" s="15"/>
      <c r="G8" s="9"/>
      <c r="H8" s="9"/>
      <c r="I8" s="9"/>
      <c r="J8" s="9"/>
      <c r="K8" s="9"/>
      <c r="L8" s="5"/>
      <c r="M8" s="9"/>
      <c r="N8" s="9"/>
      <c r="O8" s="9"/>
      <c r="P8" s="9"/>
      <c r="Q8" s="9"/>
      <c r="R8" s="87"/>
      <c r="S8" s="87"/>
      <c r="T8" s="87"/>
      <c r="U8" s="87"/>
      <c r="V8" s="87"/>
    </row>
    <row r="9" spans="2:24" ht="14.4" thickBot="1" x14ac:dyDescent="0.3">
      <c r="B9" s="6" t="s">
        <v>3</v>
      </c>
      <c r="D9" s="3" t="s">
        <v>19</v>
      </c>
      <c r="E9" s="18" t="s">
        <v>20</v>
      </c>
      <c r="G9" s="11">
        <v>1360</v>
      </c>
      <c r="H9" s="11">
        <v>182</v>
      </c>
      <c r="I9" s="11">
        <v>7522</v>
      </c>
      <c r="J9" s="12">
        <v>0</v>
      </c>
      <c r="K9" s="11">
        <v>9064</v>
      </c>
      <c r="L9" s="5"/>
      <c r="M9" s="11">
        <v>0</v>
      </c>
      <c r="N9" s="11">
        <v>0</v>
      </c>
      <c r="O9" s="11">
        <v>0</v>
      </c>
      <c r="P9" s="12">
        <v>0</v>
      </c>
      <c r="Q9" s="12">
        <f>SUM(M9:P9)</f>
        <v>0</v>
      </c>
      <c r="R9" s="12"/>
      <c r="S9" s="12"/>
      <c r="T9" s="12"/>
      <c r="U9" s="12"/>
      <c r="V9" s="12"/>
    </row>
    <row r="10" spans="2:24" x14ac:dyDescent="0.25">
      <c r="B10" s="2" t="s">
        <v>9</v>
      </c>
      <c r="E10" s="18" t="s">
        <v>21</v>
      </c>
      <c r="G10" s="13">
        <v>27.5</v>
      </c>
      <c r="H10" s="13">
        <v>3.7</v>
      </c>
      <c r="I10" s="13">
        <v>153</v>
      </c>
      <c r="J10" s="14">
        <v>0</v>
      </c>
      <c r="K10" s="13">
        <v>184.2</v>
      </c>
      <c r="L10" s="5"/>
      <c r="M10" s="13">
        <f>G10</f>
        <v>27.5</v>
      </c>
      <c r="N10" s="13">
        <f>H10</f>
        <v>3.7</v>
      </c>
      <c r="O10" s="13">
        <f>I10</f>
        <v>153</v>
      </c>
      <c r="P10" s="14">
        <v>0</v>
      </c>
      <c r="Q10" s="14">
        <f>SUM(M10:P10)</f>
        <v>184.2</v>
      </c>
      <c r="R10" s="85"/>
      <c r="S10" s="85"/>
      <c r="T10" s="85"/>
      <c r="U10" s="85"/>
      <c r="V10" s="85"/>
    </row>
    <row r="11" spans="2:24" x14ac:dyDescent="0.25">
      <c r="E11" s="18"/>
      <c r="G11" s="15"/>
      <c r="H11" s="15"/>
      <c r="I11" s="15"/>
      <c r="K11" s="15"/>
      <c r="L11" s="5"/>
      <c r="M11" s="15"/>
      <c r="N11" s="15"/>
      <c r="O11" s="15"/>
    </row>
    <row r="12" spans="2:24" ht="13.8" thickBot="1" x14ac:dyDescent="0.3">
      <c r="D12" s="3" t="s">
        <v>22</v>
      </c>
      <c r="E12" s="18" t="s">
        <v>20</v>
      </c>
      <c r="G12" s="11">
        <v>10139</v>
      </c>
      <c r="H12" s="11">
        <v>1352</v>
      </c>
      <c r="I12" s="11">
        <v>56239</v>
      </c>
      <c r="J12" s="12">
        <v>0</v>
      </c>
      <c r="K12" s="11">
        <v>67730</v>
      </c>
      <c r="L12" s="5"/>
      <c r="M12" s="11">
        <f t="shared" ref="M12:P13" si="0">G12</f>
        <v>10139</v>
      </c>
      <c r="N12" s="11">
        <f t="shared" si="0"/>
        <v>1352</v>
      </c>
      <c r="O12" s="11">
        <f t="shared" si="0"/>
        <v>56239</v>
      </c>
      <c r="P12" s="11">
        <f t="shared" si="0"/>
        <v>0</v>
      </c>
      <c r="Q12" s="12">
        <f>SUM(M12:P12)</f>
        <v>67730</v>
      </c>
      <c r="R12" s="12"/>
      <c r="S12" s="12"/>
      <c r="T12" s="12"/>
      <c r="U12" s="12"/>
      <c r="V12" s="12"/>
    </row>
    <row r="13" spans="2:24" ht="13.8" thickBot="1" x14ac:dyDescent="0.3">
      <c r="E13" s="18" t="s">
        <v>21</v>
      </c>
      <c r="G13" s="13">
        <v>190.6</v>
      </c>
      <c r="H13" s="13">
        <v>25.4</v>
      </c>
      <c r="I13" s="13">
        <v>1053.4000000000001</v>
      </c>
      <c r="J13" s="14">
        <v>0</v>
      </c>
      <c r="K13" s="13">
        <v>1269.4000000000001</v>
      </c>
      <c r="L13" s="5"/>
      <c r="M13" s="13">
        <f t="shared" si="0"/>
        <v>190.6</v>
      </c>
      <c r="N13" s="13">
        <f t="shared" si="0"/>
        <v>25.4</v>
      </c>
      <c r="O13" s="13">
        <f t="shared" si="0"/>
        <v>1053.4000000000001</v>
      </c>
      <c r="P13" s="14">
        <v>0</v>
      </c>
      <c r="Q13" s="14">
        <f>SUM(M13:P13)</f>
        <v>1269.4000000000001</v>
      </c>
      <c r="R13" s="85"/>
      <c r="S13" s="85"/>
      <c r="T13" s="85"/>
      <c r="U13" s="85"/>
      <c r="V13" s="85"/>
    </row>
    <row r="14" spans="2:24" x14ac:dyDescent="0.25">
      <c r="E14" s="15"/>
      <c r="G14" s="15"/>
      <c r="H14" s="15"/>
      <c r="I14" s="15"/>
      <c r="K14" s="15"/>
      <c r="L14" s="5"/>
      <c r="M14" s="15"/>
      <c r="N14" s="15"/>
      <c r="O14" s="15"/>
      <c r="X14" s="16" t="s">
        <v>86</v>
      </c>
    </row>
    <row r="15" spans="2:24" x14ac:dyDescent="0.25">
      <c r="D15" s="3" t="s">
        <v>23</v>
      </c>
      <c r="E15" s="18" t="s">
        <v>24</v>
      </c>
      <c r="G15" s="11">
        <v>850.82138979370256</v>
      </c>
      <c r="H15" s="11">
        <v>114.04505971769817</v>
      </c>
      <c r="I15" s="11">
        <v>2152.1335504885997</v>
      </c>
      <c r="J15" s="12"/>
      <c r="K15" s="11">
        <v>3117.0000000000005</v>
      </c>
      <c r="L15" s="5"/>
      <c r="M15" s="11">
        <v>0</v>
      </c>
      <c r="N15" s="11">
        <v>0</v>
      </c>
      <c r="O15" s="11">
        <v>0</v>
      </c>
      <c r="P15" s="12">
        <v>0</v>
      </c>
      <c r="Q15" s="12">
        <f t="shared" ref="Q15:Q20" si="1">SUM(M15:P15)</f>
        <v>0</v>
      </c>
      <c r="R15" s="12"/>
      <c r="S15" s="12"/>
      <c r="T15" s="12"/>
      <c r="U15" s="12"/>
      <c r="V15" s="12"/>
      <c r="X15" s="17"/>
    </row>
    <row r="16" spans="2:24" x14ac:dyDescent="0.25">
      <c r="D16" s="3" t="s">
        <v>25</v>
      </c>
      <c r="E16" s="18" t="s">
        <v>26</v>
      </c>
      <c r="G16" s="11">
        <v>2096.8498503229871</v>
      </c>
      <c r="H16" s="11">
        <v>279.97999054671499</v>
      </c>
      <c r="I16" s="11">
        <v>5266.1701591302972</v>
      </c>
      <c r="J16" s="12"/>
      <c r="K16" s="11">
        <v>7642.9999999999991</v>
      </c>
      <c r="L16" s="5"/>
      <c r="M16" s="11">
        <f>G16</f>
        <v>2096.8498503229871</v>
      </c>
      <c r="N16" s="11">
        <f>H16</f>
        <v>279.97999054671499</v>
      </c>
      <c r="O16" s="11">
        <f>I16</f>
        <v>5266.1701591302972</v>
      </c>
      <c r="P16" s="11">
        <f>J16</f>
        <v>0</v>
      </c>
      <c r="Q16" s="12">
        <f t="shared" si="1"/>
        <v>7642.9999999999991</v>
      </c>
      <c r="R16" s="12"/>
      <c r="S16" s="12"/>
      <c r="T16" s="12"/>
      <c r="U16" s="12"/>
      <c r="V16" s="12"/>
      <c r="X16" s="17" t="s">
        <v>87</v>
      </c>
    </row>
    <row r="17" spans="2:24" x14ac:dyDescent="0.25">
      <c r="E17" s="18" t="s">
        <v>27</v>
      </c>
      <c r="G17" s="11">
        <v>60.470141150922913</v>
      </c>
      <c r="H17" s="11">
        <v>7.6959826275787186</v>
      </c>
      <c r="I17" s="11">
        <v>152.83387622149837</v>
      </c>
      <c r="J17" s="12"/>
      <c r="K17" s="11">
        <v>221</v>
      </c>
      <c r="L17" s="5"/>
      <c r="M17" s="11">
        <v>0</v>
      </c>
      <c r="N17" s="11">
        <v>0</v>
      </c>
      <c r="O17" s="11">
        <v>0</v>
      </c>
      <c r="P17" s="12">
        <v>0</v>
      </c>
      <c r="Q17" s="12">
        <f t="shared" si="1"/>
        <v>0</v>
      </c>
      <c r="R17" s="12"/>
      <c r="S17" s="12"/>
      <c r="T17" s="12"/>
      <c r="U17" s="12"/>
      <c r="V17" s="12"/>
      <c r="X17" s="19">
        <f>395196+21379</f>
        <v>416575</v>
      </c>
    </row>
    <row r="18" spans="2:24" x14ac:dyDescent="0.25">
      <c r="E18" s="18" t="s">
        <v>28</v>
      </c>
      <c r="G18" s="20">
        <v>390</v>
      </c>
      <c r="H18" s="11">
        <v>52</v>
      </c>
      <c r="I18" s="11">
        <v>2157</v>
      </c>
      <c r="J18" s="12">
        <v>0</v>
      </c>
      <c r="K18" s="11">
        <v>2599</v>
      </c>
      <c r="L18" s="5"/>
      <c r="M18" s="11">
        <v>0</v>
      </c>
      <c r="N18" s="11">
        <v>0</v>
      </c>
      <c r="O18" s="11">
        <v>0</v>
      </c>
      <c r="P18" s="12">
        <v>0</v>
      </c>
      <c r="Q18" s="12">
        <f t="shared" si="1"/>
        <v>0</v>
      </c>
      <c r="R18" s="12"/>
      <c r="S18" s="12"/>
      <c r="T18" s="12"/>
      <c r="U18" s="12"/>
      <c r="V18" s="12"/>
      <c r="X18" s="17"/>
    </row>
    <row r="19" spans="2:24" x14ac:dyDescent="0.25">
      <c r="E19" s="18" t="s">
        <v>29</v>
      </c>
      <c r="G19" s="11">
        <v>20666</v>
      </c>
      <c r="H19" s="11">
        <v>2716</v>
      </c>
      <c r="I19" s="11">
        <v>0</v>
      </c>
      <c r="J19" s="12">
        <v>0</v>
      </c>
      <c r="K19" s="11">
        <v>23382</v>
      </c>
      <c r="L19" s="5"/>
      <c r="M19" s="11">
        <f>G19</f>
        <v>20666</v>
      </c>
      <c r="N19" s="11">
        <f>H19</f>
        <v>2716</v>
      </c>
      <c r="O19" s="11">
        <f>I19</f>
        <v>0</v>
      </c>
      <c r="P19" s="11">
        <f>J19</f>
        <v>0</v>
      </c>
      <c r="Q19" s="12">
        <f t="shared" si="1"/>
        <v>23382</v>
      </c>
      <c r="R19" s="12"/>
      <c r="S19" s="12"/>
      <c r="T19" s="12"/>
      <c r="U19" s="12"/>
      <c r="V19" s="12"/>
      <c r="X19" s="17" t="s">
        <v>88</v>
      </c>
    </row>
    <row r="20" spans="2:24" x14ac:dyDescent="0.25">
      <c r="E20" s="18" t="s">
        <v>30</v>
      </c>
      <c r="G20" s="21">
        <v>293</v>
      </c>
      <c r="H20" s="21">
        <v>29</v>
      </c>
      <c r="I20" s="21">
        <v>2963</v>
      </c>
      <c r="J20" s="22">
        <v>0</v>
      </c>
      <c r="K20" s="21">
        <v>3285</v>
      </c>
      <c r="L20" s="5"/>
      <c r="M20" s="11">
        <v>0</v>
      </c>
      <c r="N20" s="11">
        <v>0</v>
      </c>
      <c r="O20" s="11">
        <v>0</v>
      </c>
      <c r="P20" s="12">
        <v>0</v>
      </c>
      <c r="Q20" s="12">
        <f t="shared" si="1"/>
        <v>0</v>
      </c>
      <c r="R20" s="12"/>
      <c r="S20" s="12"/>
      <c r="T20" s="12"/>
      <c r="U20" s="12"/>
      <c r="V20" s="12"/>
      <c r="X20" s="19">
        <f>31030+1679</f>
        <v>32709</v>
      </c>
    </row>
    <row r="21" spans="2:24" x14ac:dyDescent="0.25">
      <c r="D21" s="2" t="s">
        <v>31</v>
      </c>
      <c r="E21" s="18"/>
      <c r="G21" s="23">
        <f>G9+G12+SUM(G15:G20)</f>
        <v>35856.141381267611</v>
      </c>
      <c r="H21" s="23">
        <f t="shared" ref="H21:K21" si="2">H9+H12+SUM(H15:H20)</f>
        <v>4732.7210328919919</v>
      </c>
      <c r="I21" s="23">
        <f t="shared" si="2"/>
        <v>76452.137585840392</v>
      </c>
      <c r="J21" s="23">
        <f t="shared" si="2"/>
        <v>0</v>
      </c>
      <c r="K21" s="23">
        <f t="shared" si="2"/>
        <v>117041</v>
      </c>
      <c r="L21" s="5"/>
      <c r="M21" s="25">
        <f>M9+M12+SUM(M15:M20)</f>
        <v>32901.849850322986</v>
      </c>
      <c r="N21" s="25">
        <f>N9+N12+SUM(N15:N20)</f>
        <v>4347.9799905467153</v>
      </c>
      <c r="O21" s="25">
        <f>O9+O12+SUM(O15:O20)</f>
        <v>61505.170159130299</v>
      </c>
      <c r="P21" s="26">
        <f>P9+P12+SUM(P15:P20)</f>
        <v>0</v>
      </c>
      <c r="Q21" s="26">
        <f>Q9+Q12+SUM(Q15:Q20)</f>
        <v>98755</v>
      </c>
      <c r="R21" s="86"/>
      <c r="S21" s="86"/>
      <c r="T21" s="86"/>
      <c r="U21" s="86"/>
      <c r="V21" s="86"/>
      <c r="X21" s="17"/>
    </row>
    <row r="22" spans="2:24" x14ac:dyDescent="0.25">
      <c r="E22" s="18"/>
      <c r="G22" s="11"/>
      <c r="H22" s="11"/>
      <c r="I22" s="11"/>
      <c r="J22" s="12"/>
      <c r="K22" s="11"/>
      <c r="L22" s="5"/>
      <c r="M22" s="27"/>
      <c r="N22" s="11"/>
      <c r="O22" s="11"/>
      <c r="P22" s="12"/>
      <c r="Q22" s="12"/>
      <c r="R22" s="12"/>
      <c r="S22" s="12"/>
      <c r="T22" s="12"/>
      <c r="U22" s="12"/>
      <c r="V22" s="12"/>
      <c r="X22" s="17" t="s">
        <v>89</v>
      </c>
    </row>
    <row r="23" spans="2:24" ht="13.8" thickBot="1" x14ac:dyDescent="0.3">
      <c r="B23" s="2" t="s">
        <v>32</v>
      </c>
      <c r="E23" s="18" t="s">
        <v>33</v>
      </c>
      <c r="G23" s="21">
        <v>3364</v>
      </c>
      <c r="H23" s="21">
        <v>285</v>
      </c>
      <c r="I23" s="21">
        <v>19365</v>
      </c>
      <c r="J23" s="22">
        <v>0</v>
      </c>
      <c r="K23" s="21">
        <v>23014</v>
      </c>
      <c r="L23" s="5"/>
      <c r="M23" s="21">
        <f>$Q$23*G$115</f>
        <v>457.22145805855473</v>
      </c>
      <c r="N23" s="21">
        <f>$Q$23*H$115</f>
        <v>45.279877237489288</v>
      </c>
      <c r="O23" s="21">
        <f>$Q$23*I$115</f>
        <v>1304.5320344452994</v>
      </c>
      <c r="P23" s="21">
        <v>0</v>
      </c>
      <c r="Q23" s="21">
        <f>K23*X23</f>
        <v>1807.0333697413432</v>
      </c>
      <c r="R23" s="29"/>
      <c r="S23" s="29"/>
      <c r="T23" s="29"/>
      <c r="U23" s="29"/>
      <c r="V23" s="29"/>
      <c r="X23" s="28">
        <f>X20/X17</f>
        <v>7.8518874152313511E-2</v>
      </c>
    </row>
    <row r="24" spans="2:24" x14ac:dyDescent="0.25">
      <c r="B24" s="2"/>
      <c r="D24" s="2" t="s">
        <v>34</v>
      </c>
      <c r="E24" s="18"/>
      <c r="G24" s="23">
        <f>SUM(G23)</f>
        <v>3364</v>
      </c>
      <c r="H24" s="23">
        <f>SUM(H23)</f>
        <v>285</v>
      </c>
      <c r="I24" s="23">
        <f>SUM(I23)</f>
        <v>19365</v>
      </c>
      <c r="J24" s="24">
        <f>SUM(J23)</f>
        <v>0</v>
      </c>
      <c r="K24" s="23">
        <f>SUM(G24:J24)</f>
        <v>23014</v>
      </c>
      <c r="L24" s="5"/>
      <c r="M24" s="23">
        <f>SUM(M23)</f>
        <v>457.22145805855473</v>
      </c>
      <c r="N24" s="23">
        <f>SUM(N23)</f>
        <v>45.279877237489288</v>
      </c>
      <c r="O24" s="23">
        <f>SUM(O23)</f>
        <v>1304.5320344452994</v>
      </c>
      <c r="P24" s="24">
        <f>SUM(P23)</f>
        <v>0</v>
      </c>
      <c r="Q24" s="24">
        <f>SUM(M24:P24)</f>
        <v>1807.0333697413434</v>
      </c>
      <c r="R24" s="24"/>
      <c r="S24" s="24"/>
      <c r="T24" s="24"/>
      <c r="U24" s="24"/>
      <c r="V24" s="24"/>
    </row>
    <row r="25" spans="2:24" x14ac:dyDescent="0.25">
      <c r="B25" s="2"/>
      <c r="E25" s="15"/>
      <c r="G25" s="15"/>
      <c r="H25" s="15"/>
      <c r="I25" s="15"/>
      <c r="K25" s="15"/>
      <c r="L25" s="5"/>
      <c r="M25" s="15"/>
      <c r="N25" s="15"/>
      <c r="O25" s="15"/>
    </row>
    <row r="26" spans="2:24" x14ac:dyDescent="0.25">
      <c r="B26" s="2" t="s">
        <v>35</v>
      </c>
      <c r="E26" s="18" t="s">
        <v>36</v>
      </c>
      <c r="F26" s="15"/>
      <c r="G26" s="11">
        <v>70</v>
      </c>
      <c r="H26" s="11">
        <v>4</v>
      </c>
      <c r="I26" s="11">
        <v>425</v>
      </c>
      <c r="J26" s="12">
        <v>0</v>
      </c>
      <c r="K26" s="11">
        <f t="shared" ref="K26:K31" si="3">SUM(G26:J26)</f>
        <v>499</v>
      </c>
      <c r="L26" s="5"/>
      <c r="M26" s="29">
        <v>0</v>
      </c>
      <c r="N26" s="29">
        <v>0</v>
      </c>
      <c r="O26" s="29">
        <v>0</v>
      </c>
      <c r="P26" s="12">
        <v>0</v>
      </c>
      <c r="Q26" s="12">
        <f t="shared" ref="Q26:Q31" si="4">SUM(M26:P26)</f>
        <v>0</v>
      </c>
      <c r="R26" s="12"/>
      <c r="S26" s="12"/>
      <c r="T26" s="12"/>
      <c r="U26" s="12"/>
      <c r="V26" s="12"/>
    </row>
    <row r="27" spans="2:24" x14ac:dyDescent="0.25">
      <c r="B27" s="2"/>
      <c r="E27" s="18" t="s">
        <v>37</v>
      </c>
      <c r="G27" s="11">
        <v>280</v>
      </c>
      <c r="H27" s="11">
        <v>37</v>
      </c>
      <c r="I27" s="11">
        <v>1551</v>
      </c>
      <c r="J27" s="12">
        <v>0</v>
      </c>
      <c r="K27" s="11">
        <f t="shared" si="3"/>
        <v>1868</v>
      </c>
      <c r="L27" s="5"/>
      <c r="M27" s="11">
        <f>G27</f>
        <v>280</v>
      </c>
      <c r="N27" s="11">
        <f>H27</f>
        <v>37</v>
      </c>
      <c r="O27" s="11">
        <f>I27</f>
        <v>1551</v>
      </c>
      <c r="P27" s="11">
        <f>J27</f>
        <v>0</v>
      </c>
      <c r="Q27" s="12">
        <f>SUM(M27:P27)</f>
        <v>1868</v>
      </c>
      <c r="R27" s="12"/>
      <c r="S27" s="12"/>
      <c r="T27" s="12"/>
      <c r="U27" s="12"/>
      <c r="V27" s="12"/>
    </row>
    <row r="28" spans="2:24" x14ac:dyDescent="0.25">
      <c r="B28" s="2"/>
      <c r="E28" s="15" t="s">
        <v>38</v>
      </c>
      <c r="G28" s="11">
        <v>0</v>
      </c>
      <c r="H28" s="11">
        <v>0</v>
      </c>
      <c r="I28" s="11">
        <v>0</v>
      </c>
      <c r="J28" s="12">
        <v>0</v>
      </c>
      <c r="K28" s="11">
        <f t="shared" si="3"/>
        <v>0</v>
      </c>
      <c r="L28" s="5"/>
      <c r="M28" s="11">
        <v>0</v>
      </c>
      <c r="N28" s="11">
        <v>0</v>
      </c>
      <c r="O28" s="11">
        <v>0</v>
      </c>
      <c r="P28" s="12">
        <v>0</v>
      </c>
      <c r="Q28" s="12">
        <f t="shared" si="4"/>
        <v>0</v>
      </c>
      <c r="R28" s="12"/>
      <c r="S28" s="12"/>
      <c r="T28" s="12"/>
      <c r="U28" s="12"/>
      <c r="V28" s="12"/>
    </row>
    <row r="29" spans="2:24" x14ac:dyDescent="0.25">
      <c r="B29" s="2"/>
      <c r="E29" s="18" t="s">
        <v>39</v>
      </c>
      <c r="G29" s="11">
        <v>268</v>
      </c>
      <c r="H29" s="11">
        <v>36</v>
      </c>
      <c r="I29" s="11">
        <v>1482</v>
      </c>
      <c r="J29" s="12">
        <v>0</v>
      </c>
      <c r="K29" s="11">
        <f t="shared" si="3"/>
        <v>1786</v>
      </c>
      <c r="L29" s="5"/>
      <c r="M29" s="11">
        <f t="shared" ref="M29:P30" si="5">G29</f>
        <v>268</v>
      </c>
      <c r="N29" s="11">
        <f t="shared" si="5"/>
        <v>36</v>
      </c>
      <c r="O29" s="11">
        <f t="shared" si="5"/>
        <v>1482</v>
      </c>
      <c r="P29" s="11">
        <f t="shared" si="5"/>
        <v>0</v>
      </c>
      <c r="Q29" s="12">
        <f t="shared" si="4"/>
        <v>1786</v>
      </c>
      <c r="R29" s="12"/>
      <c r="S29" s="12"/>
      <c r="T29" s="12"/>
      <c r="U29" s="12"/>
      <c r="V29" s="12"/>
    </row>
    <row r="30" spans="2:24" x14ac:dyDescent="0.25">
      <c r="B30" s="2"/>
      <c r="E30" s="10" t="s">
        <v>40</v>
      </c>
      <c r="G30" s="21">
        <v>0</v>
      </c>
      <c r="H30" s="21">
        <v>0</v>
      </c>
      <c r="I30" s="21">
        <v>0</v>
      </c>
      <c r="J30" s="22">
        <v>0</v>
      </c>
      <c r="K30" s="21">
        <f t="shared" si="3"/>
        <v>0</v>
      </c>
      <c r="L30" s="5"/>
      <c r="M30" s="21">
        <f t="shared" si="5"/>
        <v>0</v>
      </c>
      <c r="N30" s="21">
        <f t="shared" si="5"/>
        <v>0</v>
      </c>
      <c r="O30" s="21">
        <f>I30</f>
        <v>0</v>
      </c>
      <c r="P30" s="21">
        <f>J30</f>
        <v>0</v>
      </c>
      <c r="Q30" s="22">
        <f t="shared" si="4"/>
        <v>0</v>
      </c>
      <c r="R30" s="82"/>
      <c r="S30" s="82"/>
      <c r="T30" s="82"/>
      <c r="U30" s="82"/>
      <c r="V30" s="82"/>
    </row>
    <row r="31" spans="2:24" x14ac:dyDescent="0.25">
      <c r="B31" s="2"/>
      <c r="D31" s="2" t="s">
        <v>41</v>
      </c>
      <c r="G31" s="24">
        <f>SUM(G26:G30)</f>
        <v>618</v>
      </c>
      <c r="H31" s="24">
        <f>SUM(H11:H23)</f>
        <v>9593.8420657839852</v>
      </c>
      <c r="I31" s="24">
        <f>SUM(I26:I30)</f>
        <v>3458</v>
      </c>
      <c r="J31" s="24">
        <f>SUM(J26:J30)</f>
        <v>0</v>
      </c>
      <c r="K31" s="23">
        <f t="shared" si="3"/>
        <v>13669.842065783985</v>
      </c>
      <c r="L31" s="5"/>
      <c r="M31" s="23">
        <f>SUM(M26:M30)</f>
        <v>548</v>
      </c>
      <c r="N31" s="23">
        <f>SUM(N26:N30)</f>
        <v>73</v>
      </c>
      <c r="O31" s="23">
        <f>SUM(O26:O30)</f>
        <v>3033</v>
      </c>
      <c r="P31" s="24">
        <f>SUM(P26:P30)</f>
        <v>0</v>
      </c>
      <c r="Q31" s="24">
        <f t="shared" si="4"/>
        <v>3654</v>
      </c>
      <c r="R31" s="24"/>
      <c r="S31" s="24"/>
      <c r="T31" s="24"/>
      <c r="U31" s="24"/>
      <c r="V31" s="24"/>
    </row>
    <row r="32" spans="2:24" x14ac:dyDescent="0.25">
      <c r="B32" s="2"/>
      <c r="K32" s="15"/>
      <c r="L32" s="5"/>
    </row>
    <row r="33" spans="2:22" x14ac:dyDescent="0.25">
      <c r="B33" s="2" t="s">
        <v>42</v>
      </c>
      <c r="D33" s="2" t="s">
        <v>43</v>
      </c>
      <c r="E33" s="3" t="s">
        <v>44</v>
      </c>
      <c r="G33" s="11">
        <v>2454</v>
      </c>
      <c r="H33" s="11">
        <v>0</v>
      </c>
      <c r="I33" s="11">
        <v>0</v>
      </c>
      <c r="J33" s="11">
        <v>0</v>
      </c>
      <c r="K33" s="11">
        <f>SUM(G33:J33)</f>
        <v>2454</v>
      </c>
      <c r="L33" s="5"/>
      <c r="M33" s="12">
        <f t="shared" ref="M33:P34" si="6">G33</f>
        <v>2454</v>
      </c>
      <c r="N33" s="12">
        <f t="shared" si="6"/>
        <v>0</v>
      </c>
      <c r="O33" s="12">
        <f t="shared" si="6"/>
        <v>0</v>
      </c>
      <c r="P33" s="12">
        <f t="shared" si="6"/>
        <v>0</v>
      </c>
      <c r="Q33" s="12">
        <f>SUM(M33:P33)</f>
        <v>2454</v>
      </c>
      <c r="R33" s="12"/>
      <c r="S33" s="12"/>
      <c r="T33" s="12"/>
      <c r="U33" s="12"/>
      <c r="V33" s="12"/>
    </row>
    <row r="34" spans="2:22" x14ac:dyDescent="0.25">
      <c r="B34" s="2" t="s">
        <v>45</v>
      </c>
      <c r="D34" s="2" t="s">
        <v>46</v>
      </c>
      <c r="E34" s="3" t="s">
        <v>47</v>
      </c>
      <c r="G34" s="11">
        <v>544</v>
      </c>
      <c r="H34" s="11">
        <v>0</v>
      </c>
      <c r="I34" s="11">
        <v>0</v>
      </c>
      <c r="J34" s="11">
        <v>0</v>
      </c>
      <c r="K34" s="11">
        <f>SUM(G34:J34)</f>
        <v>544</v>
      </c>
      <c r="L34" s="5"/>
      <c r="M34" s="12">
        <f t="shared" si="6"/>
        <v>544</v>
      </c>
      <c r="N34" s="12">
        <f t="shared" si="6"/>
        <v>0</v>
      </c>
      <c r="O34" s="12">
        <f t="shared" si="6"/>
        <v>0</v>
      </c>
      <c r="P34" s="12">
        <f t="shared" si="6"/>
        <v>0</v>
      </c>
      <c r="Q34" s="12">
        <f>SUM(M34:P34)</f>
        <v>544</v>
      </c>
      <c r="R34" s="12"/>
      <c r="S34" s="12"/>
      <c r="T34" s="12"/>
      <c r="U34" s="12"/>
      <c r="V34" s="12"/>
    </row>
    <row r="35" spans="2:22" x14ac:dyDescent="0.25">
      <c r="D35" s="2"/>
      <c r="G35" s="15"/>
      <c r="H35" s="15"/>
      <c r="I35" s="15"/>
      <c r="J35" s="15"/>
      <c r="K35" s="15"/>
      <c r="L35" s="5"/>
      <c r="Q35" s="12"/>
      <c r="R35" s="12"/>
      <c r="S35" s="12"/>
      <c r="T35" s="12"/>
      <c r="U35" s="12"/>
      <c r="V35" s="12"/>
    </row>
    <row r="36" spans="2:22" x14ac:dyDescent="0.25">
      <c r="D36" s="2" t="s">
        <v>48</v>
      </c>
      <c r="E36" s="3" t="s">
        <v>49</v>
      </c>
      <c r="G36" s="11">
        <v>1896</v>
      </c>
      <c r="H36" s="11"/>
      <c r="I36" s="11">
        <v>0</v>
      </c>
      <c r="J36" s="11">
        <v>0</v>
      </c>
      <c r="K36" s="11">
        <f>SUM(G36:J36)</f>
        <v>1896</v>
      </c>
      <c r="L36" s="5"/>
      <c r="M36" s="12">
        <f t="shared" ref="M36:P39" si="7">G36</f>
        <v>1896</v>
      </c>
      <c r="N36" s="12">
        <f t="shared" si="7"/>
        <v>0</v>
      </c>
      <c r="O36" s="12">
        <f t="shared" si="7"/>
        <v>0</v>
      </c>
      <c r="P36" s="12">
        <f t="shared" si="7"/>
        <v>0</v>
      </c>
      <c r="Q36" s="12">
        <f>SUM(M36:P36)</f>
        <v>1896</v>
      </c>
      <c r="R36" s="12"/>
      <c r="S36" s="12"/>
      <c r="T36" s="12"/>
      <c r="U36" s="12"/>
      <c r="V36" s="12"/>
    </row>
    <row r="37" spans="2:22" x14ac:dyDescent="0.25">
      <c r="D37" s="2" t="s">
        <v>50</v>
      </c>
      <c r="E37" s="3" t="s">
        <v>51</v>
      </c>
      <c r="G37" s="11">
        <v>1201</v>
      </c>
      <c r="H37" s="11">
        <v>0</v>
      </c>
      <c r="I37" s="11">
        <v>0</v>
      </c>
      <c r="J37" s="11">
        <v>0</v>
      </c>
      <c r="K37" s="11">
        <f>SUM(G37:J37)</f>
        <v>1201</v>
      </c>
      <c r="L37" s="5"/>
      <c r="M37" s="12">
        <f t="shared" si="7"/>
        <v>1201</v>
      </c>
      <c r="N37" s="12">
        <f t="shared" si="7"/>
        <v>0</v>
      </c>
      <c r="O37" s="12">
        <f t="shared" si="7"/>
        <v>0</v>
      </c>
      <c r="P37" s="12">
        <f t="shared" si="7"/>
        <v>0</v>
      </c>
      <c r="Q37" s="12">
        <f>SUM(M37:P37)</f>
        <v>1201</v>
      </c>
      <c r="R37" s="12"/>
      <c r="S37" s="12"/>
      <c r="T37" s="12"/>
      <c r="U37" s="12"/>
      <c r="V37" s="12"/>
    </row>
    <row r="38" spans="2:22" x14ac:dyDescent="0.25">
      <c r="D38" s="2"/>
      <c r="E38" s="3" t="s">
        <v>52</v>
      </c>
      <c r="G38" s="11">
        <v>130</v>
      </c>
      <c r="H38" s="11">
        <v>0</v>
      </c>
      <c r="I38" s="11">
        <v>0</v>
      </c>
      <c r="J38" s="11">
        <v>0</v>
      </c>
      <c r="K38" s="11">
        <f>SUM(G38:J38)</f>
        <v>130</v>
      </c>
      <c r="L38" s="5"/>
      <c r="M38" s="12">
        <f t="shared" si="7"/>
        <v>130</v>
      </c>
      <c r="N38" s="12">
        <f t="shared" si="7"/>
        <v>0</v>
      </c>
      <c r="O38" s="12">
        <f t="shared" si="7"/>
        <v>0</v>
      </c>
      <c r="P38" s="12">
        <f t="shared" si="7"/>
        <v>0</v>
      </c>
      <c r="Q38" s="12">
        <f>SUM(M38:P38)</f>
        <v>130</v>
      </c>
      <c r="R38" s="12"/>
      <c r="S38" s="12"/>
      <c r="T38" s="12"/>
      <c r="U38" s="12"/>
      <c r="V38" s="12"/>
    </row>
    <row r="39" spans="2:22" x14ac:dyDescent="0.25">
      <c r="D39" s="2"/>
      <c r="E39" s="3" t="s">
        <v>53</v>
      </c>
      <c r="G39" s="11">
        <v>4925</v>
      </c>
      <c r="H39" s="11">
        <v>0</v>
      </c>
      <c r="I39" s="11"/>
      <c r="J39" s="11">
        <v>0</v>
      </c>
      <c r="K39" s="11">
        <f>SUM(G39:J39)</f>
        <v>4925</v>
      </c>
      <c r="L39" s="5"/>
      <c r="M39" s="12">
        <f t="shared" si="7"/>
        <v>4925</v>
      </c>
      <c r="N39" s="12">
        <f t="shared" si="7"/>
        <v>0</v>
      </c>
      <c r="O39" s="12">
        <f t="shared" si="7"/>
        <v>0</v>
      </c>
      <c r="P39" s="12">
        <f t="shared" si="7"/>
        <v>0</v>
      </c>
      <c r="Q39" s="12">
        <f>SUM(M39:P39)</f>
        <v>4925</v>
      </c>
      <c r="R39" s="12"/>
      <c r="S39" s="12"/>
      <c r="T39" s="12"/>
      <c r="U39" s="12"/>
      <c r="V39" s="12"/>
    </row>
    <row r="40" spans="2:22" x14ac:dyDescent="0.25">
      <c r="D40" s="2"/>
      <c r="G40" s="15"/>
      <c r="H40" s="15"/>
      <c r="I40" s="15"/>
      <c r="J40" s="15"/>
      <c r="K40" s="15"/>
      <c r="L40" s="5"/>
      <c r="Q40" s="12"/>
      <c r="R40" s="12"/>
      <c r="S40" s="12"/>
      <c r="T40" s="12"/>
      <c r="U40" s="12"/>
      <c r="V40" s="12"/>
    </row>
    <row r="41" spans="2:22" x14ac:dyDescent="0.25">
      <c r="D41" s="2" t="s">
        <v>54</v>
      </c>
      <c r="G41" s="11">
        <v>3908</v>
      </c>
      <c r="H41" s="11">
        <f>H11</f>
        <v>0</v>
      </c>
      <c r="I41" s="11">
        <v>0</v>
      </c>
      <c r="J41" s="11">
        <v>0</v>
      </c>
      <c r="K41" s="11">
        <f>SUM(G41:J41)</f>
        <v>3908</v>
      </c>
      <c r="L41" s="5"/>
      <c r="M41" s="12">
        <f>G41</f>
        <v>3908</v>
      </c>
      <c r="N41" s="12">
        <f>H41</f>
        <v>0</v>
      </c>
      <c r="O41" s="12">
        <f>I41</f>
        <v>0</v>
      </c>
      <c r="P41" s="12">
        <f>J41</f>
        <v>0</v>
      </c>
      <c r="Q41" s="12">
        <f>SUM(M41:P41)</f>
        <v>3908</v>
      </c>
      <c r="R41" s="12"/>
      <c r="S41" s="12"/>
      <c r="T41" s="12"/>
      <c r="U41" s="12"/>
      <c r="V41" s="12"/>
    </row>
    <row r="42" spans="2:22" x14ac:dyDescent="0.25">
      <c r="D42" s="2"/>
      <c r="G42" s="15"/>
      <c r="H42" s="15"/>
      <c r="I42" s="15"/>
      <c r="J42" s="15"/>
      <c r="L42" s="5"/>
    </row>
    <row r="43" spans="2:22" x14ac:dyDescent="0.25">
      <c r="D43" s="2" t="s">
        <v>55</v>
      </c>
      <c r="G43" s="11">
        <v>0</v>
      </c>
      <c r="H43" s="11">
        <f>H13+H17+H15</f>
        <v>147.1410423452769</v>
      </c>
      <c r="I43" s="11">
        <v>0</v>
      </c>
      <c r="J43" s="11">
        <v>0</v>
      </c>
      <c r="K43" s="12">
        <f>SUM(G43:J43)</f>
        <v>147.1410423452769</v>
      </c>
      <c r="L43" s="5"/>
      <c r="M43" s="12">
        <f>G43</f>
        <v>0</v>
      </c>
      <c r="N43" s="12">
        <f>H43</f>
        <v>147.1410423452769</v>
      </c>
      <c r="O43" s="12">
        <f>I43</f>
        <v>0</v>
      </c>
      <c r="P43" s="12">
        <f>J43</f>
        <v>0</v>
      </c>
      <c r="Q43" s="12">
        <f>SUM(M43:P43)</f>
        <v>147.1410423452769</v>
      </c>
      <c r="R43" s="12"/>
      <c r="S43" s="12"/>
      <c r="T43" s="12"/>
      <c r="U43" s="12"/>
      <c r="V43" s="12"/>
    </row>
    <row r="44" spans="2:22" x14ac:dyDescent="0.25">
      <c r="D44" s="2"/>
      <c r="G44" s="15"/>
      <c r="H44" s="15"/>
      <c r="I44" s="15"/>
      <c r="J44" s="15"/>
      <c r="L44" s="5"/>
    </row>
    <row r="45" spans="2:22" x14ac:dyDescent="0.25">
      <c r="D45" s="2" t="s">
        <v>56</v>
      </c>
      <c r="G45" s="11">
        <v>0</v>
      </c>
      <c r="H45" s="11">
        <f>H19+H21+H23</f>
        <v>7733.7210328919919</v>
      </c>
      <c r="I45" s="11">
        <v>0</v>
      </c>
      <c r="J45" s="11">
        <v>0</v>
      </c>
      <c r="K45" s="12">
        <f>SUM(G45:J45)</f>
        <v>7733.7210328919919</v>
      </c>
      <c r="L45" s="5"/>
      <c r="M45" s="12">
        <f>G45</f>
        <v>0</v>
      </c>
      <c r="N45" s="12">
        <f>H45</f>
        <v>7733.7210328919919</v>
      </c>
      <c r="O45" s="12">
        <f>I45</f>
        <v>0</v>
      </c>
      <c r="P45" s="12">
        <f>J45</f>
        <v>0</v>
      </c>
      <c r="Q45" s="12">
        <f>SUM(M45:P45)</f>
        <v>7733.7210328919919</v>
      </c>
      <c r="R45" s="12"/>
      <c r="S45" s="12"/>
      <c r="T45" s="12"/>
      <c r="U45" s="12"/>
      <c r="V45" s="12"/>
    </row>
    <row r="46" spans="2:22" x14ac:dyDescent="0.25">
      <c r="D46" s="2"/>
      <c r="G46" s="15"/>
      <c r="H46" s="15"/>
      <c r="I46" s="15"/>
      <c r="J46" s="15"/>
      <c r="L46" s="5"/>
    </row>
    <row r="47" spans="2:22" x14ac:dyDescent="0.25">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5">
      <c r="D48" s="2" t="s">
        <v>58</v>
      </c>
      <c r="G48" s="15"/>
      <c r="H48" s="15"/>
      <c r="I48" s="15"/>
      <c r="J48" s="15"/>
      <c r="L48" s="5"/>
    </row>
    <row r="49" spans="2:24" x14ac:dyDescent="0.25">
      <c r="D49" s="2"/>
      <c r="G49" s="15"/>
      <c r="H49" s="15"/>
      <c r="I49" s="15"/>
      <c r="J49" s="15"/>
      <c r="L49" s="5"/>
    </row>
    <row r="50" spans="2:24" x14ac:dyDescent="0.25">
      <c r="B50" s="2"/>
      <c r="D50" s="2" t="s">
        <v>53</v>
      </c>
      <c r="G50" s="21">
        <v>3294</v>
      </c>
      <c r="H50" s="21">
        <v>0</v>
      </c>
      <c r="I50" s="21">
        <v>624</v>
      </c>
      <c r="J50" s="21">
        <v>0</v>
      </c>
      <c r="K50" s="21">
        <f>SUM(G50:J50)</f>
        <v>3918</v>
      </c>
      <c r="L50" s="5"/>
      <c r="M50" s="22">
        <f>G50</f>
        <v>3294</v>
      </c>
      <c r="N50" s="22">
        <f>H50</f>
        <v>0</v>
      </c>
      <c r="O50" s="22">
        <f>I50</f>
        <v>624</v>
      </c>
      <c r="P50" s="22">
        <f>J50</f>
        <v>0</v>
      </c>
      <c r="Q50" s="22">
        <f>SUM(M50:P50)</f>
        <v>3918</v>
      </c>
      <c r="R50" s="82"/>
      <c r="S50" s="82"/>
      <c r="T50" s="82"/>
      <c r="U50" s="82"/>
      <c r="V50" s="82"/>
    </row>
    <row r="51" spans="2:24" x14ac:dyDescent="0.25">
      <c r="D51" s="2" t="s">
        <v>59</v>
      </c>
      <c r="G51" s="24">
        <f>SUM(G33:G50)</f>
        <v>18352</v>
      </c>
      <c r="H51" s="24">
        <f>SUM(H33:H50)</f>
        <v>7880.862075237269</v>
      </c>
      <c r="I51" s="24">
        <f>SUM(I33:I50)</f>
        <v>624</v>
      </c>
      <c r="J51" s="24">
        <f>SUM(J33:J50)</f>
        <v>0</v>
      </c>
      <c r="K51" s="24">
        <f>SUM(G51:J51)</f>
        <v>26856.86207523727</v>
      </c>
      <c r="L51" s="5"/>
      <c r="M51" s="24">
        <f>SUM(M33:M50)</f>
        <v>18352</v>
      </c>
      <c r="N51" s="24">
        <f>SUM(N33:N50)</f>
        <v>7880.862075237269</v>
      </c>
      <c r="O51" s="24">
        <f>SUM(O33:O50)</f>
        <v>624</v>
      </c>
      <c r="P51" s="24">
        <f>SUM(P33:P50)</f>
        <v>0</v>
      </c>
      <c r="Q51" s="24">
        <f>SUM(M51:P51)</f>
        <v>26856.86207523727</v>
      </c>
      <c r="R51" s="24"/>
      <c r="S51" s="24"/>
      <c r="T51" s="24"/>
      <c r="U51" s="24"/>
      <c r="V51" s="24"/>
    </row>
    <row r="52" spans="2:24" x14ac:dyDescent="0.25">
      <c r="B52" s="2"/>
      <c r="L52" s="5"/>
    </row>
    <row r="53" spans="2:24" x14ac:dyDescent="0.25">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5">
      <c r="B54" s="2" t="s">
        <v>61</v>
      </c>
      <c r="L54" s="5"/>
    </row>
    <row r="55" spans="2:24" ht="13.8" thickBot="1" x14ac:dyDescent="0.3">
      <c r="K55" s="12"/>
      <c r="L55" s="5"/>
      <c r="Q55" s="30"/>
      <c r="R55" s="40"/>
      <c r="S55" s="40"/>
      <c r="T55" s="40"/>
      <c r="U55" s="40"/>
      <c r="V55" s="40"/>
    </row>
    <row r="56" spans="2:24" x14ac:dyDescent="0.25">
      <c r="B56" s="2" t="s">
        <v>62</v>
      </c>
      <c r="G56" s="31">
        <f>G21+G24+G31+G51+G53</f>
        <v>58190.141381267611</v>
      </c>
      <c r="H56" s="31">
        <f>H21+H24+H31+H51+H53</f>
        <v>22492.425173913245</v>
      </c>
      <c r="I56" s="31">
        <f>I21+I24+I31+I51+I53</f>
        <v>99899.137585840392</v>
      </c>
      <c r="J56" s="31">
        <f>J21+J24+J31+J51+J53</f>
        <v>0</v>
      </c>
      <c r="K56" s="31">
        <f>SUM(G56:J56)</f>
        <v>180581.70414102124</v>
      </c>
      <c r="L56" s="32"/>
      <c r="M56" s="31">
        <f>M21+M24+M31+M51+M53</f>
        <v>52259.071308381543</v>
      </c>
      <c r="N56" s="31">
        <f>N21+N24+N31+N51+N53</f>
        <v>12347.121943021473</v>
      </c>
      <c r="O56" s="31">
        <f>O21+O24+O31+O51+O53</f>
        <v>66466.702193575591</v>
      </c>
      <c r="P56" s="31">
        <f>P21+P24+P31+P51+P53</f>
        <v>0</v>
      </c>
      <c r="Q56" s="31">
        <f>SUM(M56:P56)</f>
        <v>131072.89544497861</v>
      </c>
      <c r="R56" s="86"/>
      <c r="S56" s="86"/>
      <c r="T56" s="86"/>
      <c r="U56" s="86"/>
      <c r="V56" s="86"/>
    </row>
    <row r="57" spans="2:24" x14ac:dyDescent="0.25">
      <c r="L57" s="5"/>
    </row>
    <row r="58" spans="2:24" x14ac:dyDescent="0.25">
      <c r="L58" s="5"/>
    </row>
    <row r="59" spans="2:24" ht="13.8" x14ac:dyDescent="0.25">
      <c r="B59" s="6" t="s">
        <v>63</v>
      </c>
      <c r="K59" s="15"/>
      <c r="L59" s="5"/>
    </row>
    <row r="60" spans="2:24" x14ac:dyDescent="0.25">
      <c r="D60" s="15" t="s">
        <v>64</v>
      </c>
      <c r="E60" s="10" t="s">
        <v>20</v>
      </c>
      <c r="G60" s="12">
        <v>0</v>
      </c>
      <c r="H60" s="12">
        <v>0</v>
      </c>
      <c r="I60" s="12">
        <f>K60</f>
        <v>68174</v>
      </c>
      <c r="J60" s="11">
        <v>0</v>
      </c>
      <c r="K60" s="11">
        <v>68174</v>
      </c>
      <c r="L60" s="5"/>
      <c r="M60" s="12">
        <f>G60</f>
        <v>0</v>
      </c>
      <c r="N60" s="12">
        <f>H60</f>
        <v>0</v>
      </c>
      <c r="O60" s="12">
        <f>Q60</f>
        <v>68174</v>
      </c>
      <c r="P60" s="11">
        <f>J60</f>
        <v>0</v>
      </c>
      <c r="Q60" s="11">
        <f>$K$60</f>
        <v>68174</v>
      </c>
      <c r="R60" s="11"/>
      <c r="S60" s="11"/>
      <c r="T60" s="11"/>
      <c r="U60" s="11"/>
      <c r="V60" s="11"/>
      <c r="X60" s="3" t="s">
        <v>92</v>
      </c>
    </row>
    <row r="61" spans="2:24" x14ac:dyDescent="0.25">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2538.5599999999977</v>
      </c>
    </row>
    <row r="62" spans="2:24" x14ac:dyDescent="0.25">
      <c r="D62" s="15"/>
      <c r="E62" s="10"/>
      <c r="J62" s="15"/>
      <c r="K62" s="15"/>
      <c r="L62" s="5"/>
      <c r="P62" s="15"/>
    </row>
    <row r="63" spans="2:24" x14ac:dyDescent="0.25">
      <c r="D63" s="15" t="s">
        <v>94</v>
      </c>
      <c r="E63" s="10" t="s">
        <v>20</v>
      </c>
      <c r="G63" s="12">
        <f>$G$103*K63</f>
        <v>48992.133040783818</v>
      </c>
      <c r="H63" s="12">
        <f>$H$103*K63</f>
        <v>4851.82340109098</v>
      </c>
      <c r="I63" s="12">
        <f>$I$103*K63</f>
        <v>139783.04355812521</v>
      </c>
      <c r="J63" s="11">
        <v>0</v>
      </c>
      <c r="K63" s="11">
        <v>193627</v>
      </c>
      <c r="L63" s="5"/>
      <c r="M63" s="12">
        <f>$G$103*Q63</f>
        <v>48992.133040783818</v>
      </c>
      <c r="N63" s="12">
        <f>$H$103*Q63</f>
        <v>4851.82340109098</v>
      </c>
      <c r="O63" s="12">
        <f>$I$103*Q63</f>
        <v>139783.04355812521</v>
      </c>
      <c r="P63" s="11">
        <f t="shared" ref="M63:Q64" si="8">J63</f>
        <v>0</v>
      </c>
      <c r="Q63" s="11">
        <f>K63-(0*67.3*8)</f>
        <v>193627</v>
      </c>
      <c r="R63" s="11"/>
      <c r="S63" s="11"/>
      <c r="T63" s="11"/>
      <c r="U63" s="11"/>
      <c r="V63" s="11"/>
    </row>
    <row r="64" spans="2:24" ht="12.75" customHeight="1" x14ac:dyDescent="0.25">
      <c r="D64" s="15"/>
      <c r="E64" s="10" t="s">
        <v>21</v>
      </c>
      <c r="G64" s="36">
        <f>$G$103*K64</f>
        <v>0</v>
      </c>
      <c r="H64" s="36">
        <f>$H$103*K64</f>
        <v>0</v>
      </c>
      <c r="I64" s="36">
        <f>$I$103*K64</f>
        <v>0</v>
      </c>
      <c r="J64" s="37">
        <v>0</v>
      </c>
      <c r="K64" s="34">
        <v>0</v>
      </c>
      <c r="L64" s="5"/>
      <c r="M64" s="33">
        <f t="shared" si="8"/>
        <v>0</v>
      </c>
      <c r="N64" s="33">
        <f t="shared" si="8"/>
        <v>0</v>
      </c>
      <c r="O64" s="33">
        <f t="shared" si="8"/>
        <v>0</v>
      </c>
      <c r="P64" s="34">
        <f t="shared" si="8"/>
        <v>0</v>
      </c>
      <c r="Q64" s="33">
        <f t="shared" si="8"/>
        <v>0</v>
      </c>
      <c r="R64" s="33"/>
      <c r="S64" s="33"/>
      <c r="T64" s="33"/>
      <c r="U64" s="33"/>
      <c r="V64" s="33"/>
    </row>
    <row r="65" spans="4:22" ht="12.75" customHeight="1" x14ac:dyDescent="0.25">
      <c r="D65" s="15"/>
      <c r="E65" s="10"/>
      <c r="J65" s="15"/>
      <c r="K65" s="15"/>
      <c r="L65" s="5"/>
      <c r="P65" s="15"/>
    </row>
    <row r="66" spans="4:22" x14ac:dyDescent="0.25">
      <c r="D66" s="15" t="s">
        <v>65</v>
      </c>
      <c r="E66" s="10" t="s">
        <v>20</v>
      </c>
      <c r="G66" s="12">
        <f>$G$103*K66</f>
        <v>3110.6678490262011</v>
      </c>
      <c r="H66" s="12">
        <f>$H$103*K66</f>
        <v>308.0578477847227</v>
      </c>
      <c r="I66" s="12">
        <f>$I$103*K66</f>
        <v>8875.2743031890768</v>
      </c>
      <c r="J66" s="11">
        <v>0</v>
      </c>
      <c r="K66" s="11">
        <v>12294</v>
      </c>
      <c r="L66" s="5"/>
      <c r="M66" s="12">
        <f>$G$103*Q$66</f>
        <v>3110.6678490262011</v>
      </c>
      <c r="N66" s="12">
        <f>$H$103*Q$66</f>
        <v>308.0578477847227</v>
      </c>
      <c r="O66" s="12">
        <f>$I$103*Q$66</f>
        <v>8875.2743031890768</v>
      </c>
      <c r="P66" s="11">
        <f>J66</f>
        <v>0</v>
      </c>
      <c r="Q66" s="11">
        <f>K66</f>
        <v>12294</v>
      </c>
      <c r="R66" s="11"/>
      <c r="S66" s="11"/>
      <c r="T66" s="11"/>
      <c r="U66" s="11"/>
      <c r="V66" s="11"/>
    </row>
    <row r="67" spans="4:22" x14ac:dyDescent="0.25">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5">
      <c r="D68" s="15"/>
      <c r="E68" s="10"/>
      <c r="G68" s="33"/>
      <c r="H68" s="33"/>
      <c r="I68" s="33"/>
      <c r="J68" s="34"/>
      <c r="K68" s="34"/>
      <c r="L68" s="5"/>
      <c r="M68" s="33"/>
      <c r="N68" s="33"/>
      <c r="O68" s="33"/>
      <c r="P68" s="34"/>
      <c r="Q68" s="34"/>
      <c r="R68" s="34"/>
      <c r="S68" s="34"/>
      <c r="T68" s="34"/>
      <c r="U68" s="34"/>
      <c r="V68" s="34"/>
    </row>
    <row r="69" spans="4:22" x14ac:dyDescent="0.25">
      <c r="D69" s="99" t="s">
        <v>97</v>
      </c>
      <c r="E69" s="10" t="s">
        <v>20</v>
      </c>
      <c r="G69" s="12">
        <f>$G$103*K69</f>
        <v>0</v>
      </c>
      <c r="H69" s="12">
        <f>$H$103*K69</f>
        <v>0</v>
      </c>
      <c r="I69" s="12">
        <f>$I$103*K69</f>
        <v>0</v>
      </c>
      <c r="J69" s="11">
        <v>0</v>
      </c>
      <c r="K69" s="11">
        <v>0</v>
      </c>
      <c r="L69" s="5"/>
      <c r="M69" s="12">
        <f t="shared" ref="M69:Q70" si="9">G69</f>
        <v>0</v>
      </c>
      <c r="N69" s="12">
        <f t="shared" si="9"/>
        <v>0</v>
      </c>
      <c r="O69" s="12">
        <f t="shared" si="9"/>
        <v>0</v>
      </c>
      <c r="P69" s="11">
        <f t="shared" si="9"/>
        <v>0</v>
      </c>
      <c r="Q69" s="11">
        <f>K69</f>
        <v>0</v>
      </c>
      <c r="R69" s="11"/>
      <c r="S69" s="11"/>
      <c r="T69" s="11"/>
      <c r="U69" s="11"/>
      <c r="V69" s="11"/>
    </row>
    <row r="70" spans="4:22" x14ac:dyDescent="0.25">
      <c r="D70" s="15"/>
      <c r="E70" s="10" t="s">
        <v>21</v>
      </c>
      <c r="G70" s="36">
        <f>$G$103*K70</f>
        <v>0</v>
      </c>
      <c r="H70" s="36">
        <f>$H$103*K70</f>
        <v>0</v>
      </c>
      <c r="I70" s="36">
        <f>$I$103*K70</f>
        <v>0</v>
      </c>
      <c r="J70" s="34">
        <v>0</v>
      </c>
      <c r="K70" s="34">
        <v>0</v>
      </c>
      <c r="L70" s="5"/>
      <c r="M70" s="33">
        <f t="shared" si="9"/>
        <v>0</v>
      </c>
      <c r="N70" s="33">
        <f t="shared" si="9"/>
        <v>0</v>
      </c>
      <c r="O70" s="33">
        <f t="shared" si="9"/>
        <v>0</v>
      </c>
      <c r="P70" s="34">
        <f t="shared" si="9"/>
        <v>0</v>
      </c>
      <c r="Q70" s="33">
        <f t="shared" si="9"/>
        <v>0</v>
      </c>
      <c r="R70" s="33"/>
      <c r="S70" s="33"/>
      <c r="T70" s="33"/>
      <c r="U70" s="33"/>
      <c r="V70" s="33"/>
    </row>
    <row r="71" spans="4:22" x14ac:dyDescent="0.25">
      <c r="D71" s="15"/>
      <c r="E71" s="10"/>
      <c r="G71" s="36"/>
      <c r="H71" s="36"/>
      <c r="I71" s="36"/>
      <c r="J71" s="34"/>
      <c r="K71" s="34"/>
      <c r="L71" s="5"/>
      <c r="M71" s="33"/>
      <c r="N71" s="33"/>
      <c r="O71" s="33"/>
      <c r="P71" s="34"/>
      <c r="Q71" s="33"/>
      <c r="R71" s="33"/>
      <c r="S71" s="33"/>
      <c r="T71" s="33"/>
      <c r="U71" s="33"/>
      <c r="V71" s="33"/>
    </row>
    <row r="72" spans="4:22" x14ac:dyDescent="0.25">
      <c r="D72" s="15" t="s">
        <v>127</v>
      </c>
      <c r="E72" s="10" t="s">
        <v>20</v>
      </c>
      <c r="G72" s="12">
        <f>$G$103*K72</f>
        <v>0</v>
      </c>
      <c r="H72" s="12">
        <f>$H$103*K72</f>
        <v>0</v>
      </c>
      <c r="I72" s="12">
        <f>$I$103*K72</f>
        <v>0</v>
      </c>
      <c r="J72" s="11">
        <v>0</v>
      </c>
      <c r="K72" s="11">
        <v>0</v>
      </c>
      <c r="L72" s="5"/>
      <c r="M72" s="12">
        <f t="shared" ref="M72:Q73" si="10">G72</f>
        <v>0</v>
      </c>
      <c r="N72" s="12">
        <f t="shared" si="10"/>
        <v>0</v>
      </c>
      <c r="O72" s="12">
        <f t="shared" si="10"/>
        <v>0</v>
      </c>
      <c r="P72" s="11">
        <f t="shared" si="10"/>
        <v>0</v>
      </c>
      <c r="Q72" s="11">
        <f>K72</f>
        <v>0</v>
      </c>
      <c r="R72" s="33"/>
      <c r="S72" s="33"/>
      <c r="T72" s="33"/>
      <c r="U72" s="33"/>
      <c r="V72" s="33"/>
    </row>
    <row r="73" spans="4:22" x14ac:dyDescent="0.25">
      <c r="D73" s="15"/>
      <c r="E73" s="10" t="s">
        <v>21</v>
      </c>
      <c r="G73" s="36">
        <f>$G$103*K73</f>
        <v>0</v>
      </c>
      <c r="H73" s="36">
        <f>$H$103*K73</f>
        <v>0</v>
      </c>
      <c r="I73" s="36">
        <f>$I$103*K73</f>
        <v>0</v>
      </c>
      <c r="J73" s="34">
        <v>0</v>
      </c>
      <c r="K73" s="34">
        <v>0</v>
      </c>
      <c r="L73" s="5"/>
      <c r="M73" s="33">
        <f t="shared" si="10"/>
        <v>0</v>
      </c>
      <c r="N73" s="33">
        <f t="shared" si="10"/>
        <v>0</v>
      </c>
      <c r="O73" s="33">
        <f t="shared" si="10"/>
        <v>0</v>
      </c>
      <c r="P73" s="34">
        <f t="shared" si="10"/>
        <v>0</v>
      </c>
      <c r="Q73" s="33">
        <f t="shared" si="10"/>
        <v>0</v>
      </c>
      <c r="R73" s="33"/>
      <c r="S73" s="33"/>
      <c r="T73" s="33"/>
      <c r="U73" s="33"/>
      <c r="V73" s="33"/>
    </row>
    <row r="74" spans="4:22" x14ac:dyDescent="0.25">
      <c r="D74" s="15"/>
      <c r="E74" s="10"/>
      <c r="J74" s="15"/>
      <c r="K74" s="15"/>
      <c r="L74" s="5"/>
      <c r="P74" s="15"/>
    </row>
    <row r="75" spans="4:22" x14ac:dyDescent="0.25">
      <c r="D75" s="98" t="s">
        <v>130</v>
      </c>
      <c r="E75" s="10" t="s">
        <v>20</v>
      </c>
      <c r="G75" s="12">
        <f>$G$103*K75</f>
        <v>0</v>
      </c>
      <c r="H75" s="12">
        <f>$H$103*K75</f>
        <v>0</v>
      </c>
      <c r="I75" s="12">
        <f>$I$103*K75</f>
        <v>0</v>
      </c>
      <c r="J75" s="11">
        <v>0</v>
      </c>
      <c r="K75" s="11">
        <v>0</v>
      </c>
      <c r="L75" s="5"/>
      <c r="M75" s="12">
        <f t="shared" ref="M75:Q76" si="11">G75</f>
        <v>0</v>
      </c>
      <c r="N75" s="12">
        <f t="shared" si="11"/>
        <v>0</v>
      </c>
      <c r="O75" s="12">
        <f t="shared" si="11"/>
        <v>0</v>
      </c>
      <c r="P75" s="11">
        <f t="shared" si="11"/>
        <v>0</v>
      </c>
      <c r="Q75" s="11">
        <f>K75</f>
        <v>0</v>
      </c>
    </row>
    <row r="76" spans="4:22" x14ac:dyDescent="0.25">
      <c r="D76" s="15"/>
      <c r="E76" s="10" t="s">
        <v>21</v>
      </c>
      <c r="G76" s="36">
        <f>$G$103*K76</f>
        <v>0</v>
      </c>
      <c r="H76" s="36">
        <f>$H$103*K76</f>
        <v>0</v>
      </c>
      <c r="I76" s="36">
        <f>$I$103*K76</f>
        <v>0</v>
      </c>
      <c r="J76" s="34">
        <v>0</v>
      </c>
      <c r="K76" s="34">
        <v>0</v>
      </c>
      <c r="L76" s="5"/>
      <c r="M76" s="33">
        <f t="shared" si="11"/>
        <v>0</v>
      </c>
      <c r="N76" s="33">
        <f t="shared" si="11"/>
        <v>0</v>
      </c>
      <c r="O76" s="33">
        <f t="shared" si="11"/>
        <v>0</v>
      </c>
      <c r="P76" s="34">
        <f t="shared" si="11"/>
        <v>0</v>
      </c>
      <c r="Q76" s="33">
        <f t="shared" si="11"/>
        <v>0</v>
      </c>
    </row>
    <row r="77" spans="4:22" x14ac:dyDescent="0.25">
      <c r="D77" s="15"/>
      <c r="E77" s="10"/>
      <c r="J77" s="15"/>
      <c r="K77" s="15"/>
      <c r="L77" s="5"/>
      <c r="P77" s="15"/>
    </row>
    <row r="78" spans="4:22" x14ac:dyDescent="0.25">
      <c r="D78" s="98" t="s">
        <v>129</v>
      </c>
      <c r="E78" s="10" t="s">
        <v>20</v>
      </c>
      <c r="G78" s="12">
        <f>$G$103*K78</f>
        <v>0</v>
      </c>
      <c r="H78" s="12">
        <f>$H$103*K78</f>
        <v>0</v>
      </c>
      <c r="I78" s="12">
        <f>$I$103*K78</f>
        <v>0</v>
      </c>
      <c r="J78" s="11">
        <v>0</v>
      </c>
      <c r="K78" s="11">
        <v>0</v>
      </c>
      <c r="L78" s="5"/>
      <c r="M78" s="12">
        <f t="shared" ref="M78:Q79" si="12">G78</f>
        <v>0</v>
      </c>
      <c r="N78" s="12">
        <f t="shared" si="12"/>
        <v>0</v>
      </c>
      <c r="O78" s="12">
        <f t="shared" si="12"/>
        <v>0</v>
      </c>
      <c r="P78" s="11">
        <f t="shared" si="12"/>
        <v>0</v>
      </c>
      <c r="Q78" s="11">
        <f>K78</f>
        <v>0</v>
      </c>
    </row>
    <row r="79" spans="4:22" x14ac:dyDescent="0.25">
      <c r="D79" s="15"/>
      <c r="E79" s="10" t="s">
        <v>21</v>
      </c>
      <c r="G79" s="36">
        <f>$G$103*K79</f>
        <v>0</v>
      </c>
      <c r="H79" s="36">
        <f>$H$103*K79</f>
        <v>0</v>
      </c>
      <c r="I79" s="36">
        <f>$I$103*K79</f>
        <v>0</v>
      </c>
      <c r="J79" s="34">
        <v>0</v>
      </c>
      <c r="K79" s="34">
        <v>0</v>
      </c>
      <c r="L79" s="5"/>
      <c r="M79" s="33">
        <f t="shared" si="12"/>
        <v>0</v>
      </c>
      <c r="N79" s="33">
        <f t="shared" si="12"/>
        <v>0</v>
      </c>
      <c r="O79" s="33">
        <f t="shared" si="12"/>
        <v>0</v>
      </c>
      <c r="P79" s="34">
        <f t="shared" si="12"/>
        <v>0</v>
      </c>
      <c r="Q79" s="33">
        <f t="shared" si="12"/>
        <v>0</v>
      </c>
    </row>
    <row r="80" spans="4:22" x14ac:dyDescent="0.25">
      <c r="D80" s="15"/>
      <c r="E80" s="10"/>
      <c r="J80" s="15"/>
      <c r="K80" s="15"/>
      <c r="L80" s="5"/>
      <c r="P80" s="15"/>
    </row>
    <row r="81" spans="2:23" x14ac:dyDescent="0.25">
      <c r="D81" s="98" t="s">
        <v>128</v>
      </c>
      <c r="E81" s="10" t="s">
        <v>20</v>
      </c>
      <c r="G81" s="12">
        <f>$G$103*K81</f>
        <v>0</v>
      </c>
      <c r="H81" s="12">
        <f>$H$103*K81</f>
        <v>0</v>
      </c>
      <c r="I81" s="12">
        <f>$I$103*K81</f>
        <v>0</v>
      </c>
      <c r="J81" s="11">
        <v>0</v>
      </c>
      <c r="K81" s="11">
        <v>0</v>
      </c>
      <c r="L81" s="5"/>
      <c r="M81" s="12">
        <f t="shared" ref="M81:Q82" si="13">G81</f>
        <v>0</v>
      </c>
      <c r="N81" s="12">
        <f t="shared" si="13"/>
        <v>0</v>
      </c>
      <c r="O81" s="12">
        <f t="shared" si="13"/>
        <v>0</v>
      </c>
      <c r="P81" s="11">
        <f t="shared" si="13"/>
        <v>0</v>
      </c>
      <c r="Q81" s="11">
        <f>K81</f>
        <v>0</v>
      </c>
    </row>
    <row r="82" spans="2:23" x14ac:dyDescent="0.25">
      <c r="D82" s="15"/>
      <c r="E82" s="10" t="s">
        <v>21</v>
      </c>
      <c r="G82" s="36">
        <f>$G$103*K82</f>
        <v>0</v>
      </c>
      <c r="H82" s="36">
        <f>$H$103*K82</f>
        <v>0</v>
      </c>
      <c r="I82" s="36">
        <f>$I$103*K82</f>
        <v>0</v>
      </c>
      <c r="J82" s="34">
        <v>0</v>
      </c>
      <c r="K82" s="34">
        <v>0</v>
      </c>
      <c r="L82" s="5"/>
      <c r="M82" s="33">
        <f t="shared" si="13"/>
        <v>0</v>
      </c>
      <c r="N82" s="33">
        <f t="shared" si="13"/>
        <v>0</v>
      </c>
      <c r="O82" s="33">
        <f t="shared" si="13"/>
        <v>0</v>
      </c>
      <c r="P82" s="34">
        <f t="shared" si="13"/>
        <v>0</v>
      </c>
      <c r="Q82" s="33">
        <f t="shared" si="13"/>
        <v>0</v>
      </c>
    </row>
    <row r="83" spans="2:23" x14ac:dyDescent="0.25">
      <c r="D83" s="15"/>
      <c r="E83" s="10"/>
      <c r="J83" s="15"/>
      <c r="K83" s="15"/>
      <c r="L83" s="5"/>
      <c r="P83" s="15"/>
    </row>
    <row r="84" spans="2:23" x14ac:dyDescent="0.25">
      <c r="D84" s="99" t="s">
        <v>126</v>
      </c>
      <c r="E84" s="10" t="s">
        <v>20</v>
      </c>
      <c r="G84" s="12">
        <f>$G$103*K84</f>
        <v>0</v>
      </c>
      <c r="H84" s="12">
        <f>$H$103*K84</f>
        <v>0</v>
      </c>
      <c r="I84" s="12">
        <f>$I$103*K84</f>
        <v>0</v>
      </c>
      <c r="J84" s="11">
        <v>0</v>
      </c>
      <c r="K84" s="11">
        <v>0</v>
      </c>
      <c r="L84" s="5"/>
      <c r="M84" s="12">
        <f t="shared" ref="M84:Q85" si="14">G84</f>
        <v>0</v>
      </c>
      <c r="N84" s="12">
        <f t="shared" si="14"/>
        <v>0</v>
      </c>
      <c r="O84" s="12">
        <f t="shared" si="14"/>
        <v>0</v>
      </c>
      <c r="P84" s="11">
        <f t="shared" si="14"/>
        <v>0</v>
      </c>
      <c r="Q84" s="12">
        <f>K84</f>
        <v>0</v>
      </c>
      <c r="R84" s="12"/>
      <c r="S84" s="12"/>
      <c r="T84" s="12"/>
      <c r="U84" s="12"/>
      <c r="V84" s="12"/>
    </row>
    <row r="85" spans="2:23" x14ac:dyDescent="0.25">
      <c r="E85" s="10" t="s">
        <v>21</v>
      </c>
      <c r="G85" s="36">
        <f>$G$103*K85</f>
        <v>0</v>
      </c>
      <c r="H85" s="36">
        <f>$H$103*K85</f>
        <v>0</v>
      </c>
      <c r="I85" s="36">
        <f>$I$103*K85</f>
        <v>0</v>
      </c>
      <c r="J85" s="34">
        <v>0</v>
      </c>
      <c r="K85" s="34">
        <v>0</v>
      </c>
      <c r="L85" s="5"/>
      <c r="M85" s="33">
        <f t="shared" si="14"/>
        <v>0</v>
      </c>
      <c r="N85" s="33">
        <f t="shared" si="14"/>
        <v>0</v>
      </c>
      <c r="O85" s="33">
        <f t="shared" si="14"/>
        <v>0</v>
      </c>
      <c r="P85" s="34">
        <f t="shared" si="14"/>
        <v>0</v>
      </c>
      <c r="Q85" s="33">
        <f t="shared" si="14"/>
        <v>0</v>
      </c>
      <c r="R85" s="33"/>
      <c r="S85" s="33"/>
      <c r="T85" s="33"/>
      <c r="U85" s="33"/>
      <c r="V85" s="33"/>
    </row>
    <row r="86" spans="2:23" x14ac:dyDescent="0.25">
      <c r="E86" s="10"/>
      <c r="G86" s="36"/>
      <c r="H86" s="36"/>
      <c r="I86" s="36"/>
      <c r="J86" s="34"/>
      <c r="K86" s="34"/>
      <c r="L86" s="5"/>
      <c r="M86" s="33"/>
      <c r="N86" s="33"/>
      <c r="O86" s="33"/>
      <c r="P86" s="34"/>
      <c r="Q86" s="33"/>
      <c r="R86" s="33"/>
      <c r="S86" s="33"/>
      <c r="T86" s="33"/>
      <c r="U86" s="33"/>
      <c r="V86" s="33"/>
    </row>
    <row r="87" spans="2:23" x14ac:dyDescent="0.25">
      <c r="D87" s="15" t="s">
        <v>66</v>
      </c>
      <c r="E87" s="10" t="s">
        <v>20</v>
      </c>
      <c r="G87" s="12">
        <f>$G$103*K87</f>
        <v>4805.9236313977271</v>
      </c>
      <c r="H87" s="12">
        <f>$H$103*K87</f>
        <v>475.94361158475868</v>
      </c>
      <c r="I87" s="12">
        <f>$I$103*K87</f>
        <v>13712.132757017514</v>
      </c>
      <c r="J87" s="11">
        <v>0</v>
      </c>
      <c r="K87" s="11">
        <f>3224+4860+18805-7895</f>
        <v>18994</v>
      </c>
      <c r="L87" s="5"/>
      <c r="M87" s="12">
        <f>G87</f>
        <v>4805.9236313977271</v>
      </c>
      <c r="N87" s="12">
        <f>H87</f>
        <v>475.94361158475868</v>
      </c>
      <c r="O87" s="12">
        <f>I87</f>
        <v>13712.132757017514</v>
      </c>
      <c r="P87" s="11">
        <f>J87</f>
        <v>0</v>
      </c>
      <c r="Q87" s="12">
        <f>K87</f>
        <v>18994</v>
      </c>
      <c r="R87" s="12"/>
      <c r="S87" s="12"/>
      <c r="T87" s="12"/>
      <c r="U87" s="12"/>
      <c r="V87" s="12"/>
    </row>
    <row r="88" spans="2:23" ht="13.8" thickBot="1" x14ac:dyDescent="0.3">
      <c r="D88" s="15"/>
      <c r="J88" s="15"/>
      <c r="L88" s="5"/>
      <c r="W88" s="38"/>
    </row>
    <row r="89" spans="2:23" ht="13.8" thickBot="1" x14ac:dyDescent="0.3">
      <c r="B89" s="2" t="s">
        <v>67</v>
      </c>
      <c r="E89" s="10" t="s">
        <v>20</v>
      </c>
      <c r="G89" s="31">
        <f>G60+G63+G66+G69+G72+G75+G78+G81+G84+G87</f>
        <v>56908.72452120774</v>
      </c>
      <c r="H89" s="31">
        <f>H60+H63+H66+H69+H72+H75+H78+H81+H84+H87</f>
        <v>5635.8248604604614</v>
      </c>
      <c r="I89" s="31">
        <f>I60+I63+I66+I69+I72+I75+I78+I81+I84+I87</f>
        <v>230544.45061833179</v>
      </c>
      <c r="J89" s="31">
        <f>J60+J63+J66+J69+J72+J75+J78+J81+J84+J87</f>
        <v>0</v>
      </c>
      <c r="K89" s="31">
        <f>SUM(G89:J89)</f>
        <v>293089</v>
      </c>
      <c r="L89" s="32"/>
      <c r="M89" s="31">
        <f>M60+M63+M66+M69+M72+M75+M78+M81+M84+M87</f>
        <v>56908.72452120774</v>
      </c>
      <c r="N89" s="31">
        <f>N60+N63+N66+N69+N72+N75+N78+N81+N84+N87</f>
        <v>5635.8248604604614</v>
      </c>
      <c r="O89" s="31">
        <f>O60+O63+O66+O69+O72+O75+O78+O81+O84+O87</f>
        <v>230544.45061833179</v>
      </c>
      <c r="P89" s="31">
        <f>P60+P63+P66+P69+P72+P75+P78+P81+P84+P87</f>
        <v>0</v>
      </c>
      <c r="Q89" s="31">
        <f>SUM(M89:P89)</f>
        <v>293089</v>
      </c>
      <c r="R89" s="86"/>
      <c r="S89" s="86"/>
      <c r="T89" s="86"/>
      <c r="U89" s="86"/>
      <c r="V89" s="86"/>
      <c r="W89" s="40"/>
    </row>
    <row r="90" spans="2:23" x14ac:dyDescent="0.25">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5">
      <c r="K91" s="12"/>
      <c r="L91" s="5"/>
      <c r="W91" s="12"/>
    </row>
    <row r="92" spans="2:23" ht="13.8" thickBot="1" x14ac:dyDescent="0.3">
      <c r="L92" s="5"/>
    </row>
    <row r="93" spans="2:23" ht="14.4" thickBot="1" x14ac:dyDescent="0.3">
      <c r="B93" s="6" t="s">
        <v>68</v>
      </c>
      <c r="G93" s="45">
        <f>G56+G89</f>
        <v>115098.86590247534</v>
      </c>
      <c r="H93" s="45">
        <f t="shared" ref="H93:Q93" si="15">H56+H89</f>
        <v>28128.250034373705</v>
      </c>
      <c r="I93" s="45">
        <f t="shared" si="15"/>
        <v>330443.58820417221</v>
      </c>
      <c r="J93" s="45">
        <f t="shared" si="15"/>
        <v>0</v>
      </c>
      <c r="K93" s="45">
        <f t="shared" si="15"/>
        <v>473670.70414102124</v>
      </c>
      <c r="L93" s="46">
        <f t="shared" si="15"/>
        <v>0</v>
      </c>
      <c r="M93" s="45">
        <f t="shared" si="15"/>
        <v>109167.79582958927</v>
      </c>
      <c r="N93" s="45">
        <f t="shared" si="15"/>
        <v>17982.946803481937</v>
      </c>
      <c r="O93" s="79">
        <f t="shared" si="15"/>
        <v>297011.15281190735</v>
      </c>
      <c r="P93" s="45">
        <f t="shared" si="15"/>
        <v>0</v>
      </c>
      <c r="Q93" s="45">
        <f t="shared" si="15"/>
        <v>424161.89544497861</v>
      </c>
      <c r="R93" s="86"/>
      <c r="S93" s="86"/>
      <c r="T93" s="86"/>
      <c r="U93" s="86"/>
      <c r="V93" s="86"/>
    </row>
    <row r="94" spans="2:23" ht="13.8" thickTop="1" x14ac:dyDescent="0.25">
      <c r="I94" s="77"/>
      <c r="L94" s="5"/>
      <c r="O94" s="80"/>
    </row>
    <row r="95" spans="2:23" x14ac:dyDescent="0.25">
      <c r="I95" s="77"/>
      <c r="L95" s="5"/>
      <c r="O95" s="80"/>
    </row>
    <row r="96" spans="2:23" x14ac:dyDescent="0.25">
      <c r="I96" s="77"/>
      <c r="L96" s="5"/>
      <c r="O96" s="80"/>
    </row>
    <row r="97" spans="5:15" x14ac:dyDescent="0.25">
      <c r="I97" s="77"/>
      <c r="L97" s="5"/>
      <c r="O97" s="80"/>
    </row>
    <row r="98" spans="5:15" x14ac:dyDescent="0.25">
      <c r="I98" s="77"/>
      <c r="L98" s="5"/>
      <c r="O98" s="80"/>
    </row>
    <row r="99" spans="5:15" x14ac:dyDescent="0.25">
      <c r="I99" s="77"/>
      <c r="L99" s="5"/>
      <c r="O99" s="80"/>
    </row>
    <row r="100" spans="5:15" x14ac:dyDescent="0.25">
      <c r="I100" s="77"/>
      <c r="L100" s="5"/>
      <c r="O100" s="80"/>
    </row>
    <row r="101" spans="5:15" x14ac:dyDescent="0.25">
      <c r="I101" s="77"/>
      <c r="L101" s="5"/>
      <c r="O101" s="80"/>
    </row>
    <row r="102" spans="5:15" ht="13.8" thickBot="1" x14ac:dyDescent="0.3">
      <c r="L102" s="5"/>
    </row>
    <row r="103" spans="5:15" x14ac:dyDescent="0.25">
      <c r="E103" s="50"/>
      <c r="F103" s="51"/>
      <c r="G103" s="52">
        <f>G115</f>
        <v>0.25302325110022783</v>
      </c>
      <c r="H103" s="52">
        <f>H115</f>
        <v>2.5057576686572533E-2</v>
      </c>
      <c r="I103" s="52">
        <f>I115</f>
        <v>0.72191917221319968</v>
      </c>
      <c r="J103" s="51"/>
      <c r="K103" s="53"/>
      <c r="L103" s="5"/>
      <c r="M103" s="47"/>
      <c r="N103" s="47"/>
      <c r="O103" s="47"/>
    </row>
    <row r="104" spans="5:15" x14ac:dyDescent="0.25">
      <c r="E104" s="54"/>
      <c r="F104" s="38"/>
      <c r="G104" s="38"/>
      <c r="H104" s="38"/>
      <c r="I104" s="38"/>
      <c r="J104" s="38"/>
      <c r="K104" s="55"/>
      <c r="L104" s="5"/>
      <c r="M104" s="48"/>
    </row>
    <row r="105" spans="5:15" x14ac:dyDescent="0.25">
      <c r="E105" s="54" t="s">
        <v>69</v>
      </c>
      <c r="F105" s="38"/>
      <c r="G105" s="38"/>
      <c r="H105" s="38"/>
      <c r="I105" s="38"/>
      <c r="J105" s="38"/>
      <c r="K105" s="56">
        <v>462865</v>
      </c>
      <c r="L105" s="5"/>
      <c r="M105" s="49"/>
    </row>
    <row r="106" spans="5:15" x14ac:dyDescent="0.25">
      <c r="E106" s="54" t="s">
        <v>90</v>
      </c>
      <c r="F106" s="38"/>
      <c r="G106" s="38"/>
      <c r="H106" s="38"/>
      <c r="I106" s="38"/>
      <c r="J106" s="38"/>
      <c r="K106" s="56">
        <v>0</v>
      </c>
      <c r="L106" s="5"/>
      <c r="M106" s="49"/>
    </row>
    <row r="107" spans="5:15" x14ac:dyDescent="0.25">
      <c r="E107" s="54"/>
      <c r="F107" s="38"/>
      <c r="G107" s="38"/>
      <c r="H107" s="38"/>
      <c r="I107" s="38"/>
      <c r="J107" s="38"/>
      <c r="K107" s="56"/>
      <c r="L107" s="5"/>
      <c r="M107" s="49"/>
    </row>
    <row r="108" spans="5:15" x14ac:dyDescent="0.25">
      <c r="E108" s="54" t="s">
        <v>70</v>
      </c>
      <c r="F108" s="38"/>
      <c r="G108" s="38"/>
      <c r="H108" s="38"/>
      <c r="I108" s="38"/>
      <c r="J108" s="38"/>
      <c r="K108" s="72">
        <f>SUM(K105:K107)</f>
        <v>462865</v>
      </c>
      <c r="L108" s="5"/>
      <c r="M108" s="49"/>
    </row>
    <row r="109" spans="5:15" x14ac:dyDescent="0.25">
      <c r="E109" s="54" t="s">
        <v>71</v>
      </c>
      <c r="F109" s="38"/>
      <c r="G109" s="38"/>
      <c r="H109" s="38"/>
      <c r="I109" s="38"/>
      <c r="J109" s="38"/>
      <c r="K109" s="56">
        <f>-K60</f>
        <v>-68174</v>
      </c>
      <c r="L109" s="5"/>
      <c r="M109" s="49"/>
    </row>
    <row r="110" spans="5:15" ht="13.8" thickBot="1" x14ac:dyDescent="0.3">
      <c r="E110" s="54" t="s">
        <v>72</v>
      </c>
      <c r="F110" s="38"/>
      <c r="G110" s="38"/>
      <c r="H110" s="38"/>
      <c r="I110" s="38"/>
      <c r="J110" s="38"/>
      <c r="K110" s="73">
        <f>SUM(K108:K109)</f>
        <v>394691</v>
      </c>
      <c r="L110" s="5"/>
      <c r="M110" s="49"/>
    </row>
    <row r="111" spans="5:15" ht="13.8" thickTop="1" x14ac:dyDescent="0.25">
      <c r="E111" s="54"/>
      <c r="F111" s="38"/>
      <c r="G111" s="38"/>
      <c r="H111" s="38"/>
      <c r="I111" s="38"/>
      <c r="J111" s="94" t="s">
        <v>95</v>
      </c>
      <c r="K111" s="56"/>
      <c r="L111" s="5"/>
      <c r="M111" s="49"/>
    </row>
    <row r="112" spans="5:15" ht="13.8" thickBot="1" x14ac:dyDescent="0.3">
      <c r="E112" s="57" t="s">
        <v>73</v>
      </c>
      <c r="F112" s="38"/>
      <c r="G112" s="58">
        <v>90737</v>
      </c>
      <c r="H112" s="59">
        <v>9890</v>
      </c>
      <c r="I112" s="59">
        <v>353109</v>
      </c>
      <c r="J112" s="59">
        <v>9129</v>
      </c>
      <c r="K112" s="56"/>
      <c r="L112" s="5"/>
      <c r="M112" s="49"/>
    </row>
    <row r="113" spans="2:13" ht="13.8" thickTop="1" x14ac:dyDescent="0.25">
      <c r="E113" s="54" t="s">
        <v>74</v>
      </c>
      <c r="F113" s="38"/>
      <c r="G113" s="60"/>
      <c r="H113" s="61"/>
      <c r="I113" s="61">
        <f>-K60</f>
        <v>-68174</v>
      </c>
      <c r="K113" s="55"/>
      <c r="L113" s="5"/>
    </row>
    <row r="114" spans="2:13" ht="13.8" thickBot="1" x14ac:dyDescent="0.3">
      <c r="E114" s="54" t="s">
        <v>75</v>
      </c>
      <c r="F114" s="38"/>
      <c r="G114" s="63"/>
      <c r="H114" s="64">
        <f>SUM(H112:H113)</f>
        <v>9890</v>
      </c>
      <c r="I114" s="64">
        <f>SUM(I112:I113)</f>
        <v>284935</v>
      </c>
      <c r="J114" s="65"/>
      <c r="K114" s="56"/>
      <c r="L114" s="5"/>
    </row>
    <row r="115" spans="2:13" ht="14.4" thickTop="1" thickBot="1" x14ac:dyDescent="0.3">
      <c r="E115" s="54" t="s">
        <v>76</v>
      </c>
      <c r="F115" s="38"/>
      <c r="G115" s="66">
        <f>1-(H115+I115)</f>
        <v>0.25302325110022783</v>
      </c>
      <c r="H115" s="66">
        <f>H$114/$K$110</f>
        <v>2.5057576686572533E-2</v>
      </c>
      <c r="I115" s="66">
        <f>I$114/$K$110</f>
        <v>0.72191917221319968</v>
      </c>
      <c r="J115" s="49"/>
      <c r="K115" s="56"/>
      <c r="L115" s="5"/>
    </row>
    <row r="116" spans="2:13" ht="14.4" thickTop="1" thickBot="1" x14ac:dyDescent="0.3">
      <c r="E116" s="67"/>
      <c r="F116" s="68"/>
      <c r="G116" s="69" t="s">
        <v>77</v>
      </c>
      <c r="H116" s="69" t="s">
        <v>78</v>
      </c>
      <c r="I116" s="69" t="s">
        <v>79</v>
      </c>
      <c r="J116" s="68"/>
      <c r="K116" s="70"/>
      <c r="L116" s="5"/>
    </row>
    <row r="117" spans="2:13" x14ac:dyDescent="0.25">
      <c r="J117" s="51"/>
      <c r="K117" s="74"/>
      <c r="L117" s="15"/>
    </row>
    <row r="118" spans="2:13" x14ac:dyDescent="0.25">
      <c r="J118" s="38"/>
      <c r="K118" s="63"/>
      <c r="L118" s="15"/>
    </row>
    <row r="119" spans="2:13" x14ac:dyDescent="0.25">
      <c r="B119" s="2" t="s">
        <v>83</v>
      </c>
      <c r="C119" s="2"/>
      <c r="D119" s="2" t="s">
        <v>139</v>
      </c>
      <c r="E119" s="78"/>
      <c r="F119" s="71"/>
      <c r="G119" s="49"/>
      <c r="H119" s="49"/>
      <c r="I119" s="88"/>
      <c r="J119" s="89"/>
      <c r="K119" s="90"/>
      <c r="L119" s="15"/>
    </row>
    <row r="120" spans="2:13" x14ac:dyDescent="0.25">
      <c r="B120" s="2" t="s">
        <v>84</v>
      </c>
      <c r="C120" s="2"/>
      <c r="D120" s="2"/>
      <c r="E120" s="71"/>
      <c r="F120" s="71"/>
      <c r="G120" s="71"/>
      <c r="H120" s="71"/>
      <c r="I120" s="88"/>
      <c r="J120" s="89"/>
      <c r="K120" s="89"/>
      <c r="M120" s="62"/>
    </row>
    <row r="121" spans="2:13" x14ac:dyDescent="0.25">
      <c r="B121" s="2" t="s">
        <v>80</v>
      </c>
      <c r="C121" s="2"/>
      <c r="D121" s="139" t="s">
        <v>140</v>
      </c>
      <c r="E121" s="71"/>
      <c r="F121" s="71"/>
      <c r="G121" s="71"/>
      <c r="H121" s="49"/>
      <c r="I121" s="49"/>
      <c r="J121" s="38"/>
      <c r="K121" s="38"/>
    </row>
    <row r="122" spans="2:13" x14ac:dyDescent="0.25">
      <c r="B122" s="2" t="s">
        <v>82</v>
      </c>
      <c r="C122" s="2"/>
      <c r="D122" s="139"/>
      <c r="E122" s="71"/>
      <c r="F122" s="71"/>
      <c r="G122" s="75"/>
      <c r="H122" s="75"/>
      <c r="I122" s="75"/>
    </row>
    <row r="123" spans="2:13" x14ac:dyDescent="0.25">
      <c r="B123" s="2" t="s">
        <v>81</v>
      </c>
      <c r="C123" s="2"/>
      <c r="D123" s="139"/>
      <c r="E123" s="71"/>
      <c r="F123" s="71"/>
      <c r="G123" s="49"/>
      <c r="H123" s="49"/>
      <c r="I123" s="49"/>
    </row>
    <row r="124" spans="2:13" x14ac:dyDescent="0.25">
      <c r="E124" s="71"/>
      <c r="F124" s="71"/>
      <c r="G124" s="75"/>
      <c r="H124" s="75"/>
      <c r="I124" s="75"/>
    </row>
    <row r="125" spans="2:13" x14ac:dyDescent="0.25">
      <c r="B125" s="2" t="s">
        <v>91</v>
      </c>
      <c r="D125" s="2" t="s">
        <v>141</v>
      </c>
      <c r="E125" s="71"/>
      <c r="F125" s="71"/>
      <c r="G125" s="76"/>
      <c r="H125" s="76"/>
      <c r="I125" s="76"/>
      <c r="J125" s="38"/>
    </row>
    <row r="126" spans="2:13" x14ac:dyDescent="0.25">
      <c r="D126" s="92" t="s">
        <v>102</v>
      </c>
      <c r="G126" s="63"/>
      <c r="H126" s="63"/>
      <c r="I126" s="63"/>
      <c r="J126" s="38"/>
    </row>
    <row r="127" spans="2:13" x14ac:dyDescent="0.25">
      <c r="G127" s="38"/>
      <c r="H127" s="38"/>
      <c r="I127" s="38"/>
      <c r="J127" s="38"/>
    </row>
  </sheetData>
  <mergeCells count="3">
    <mergeCell ref="D121:D123"/>
    <mergeCell ref="G2:K2"/>
    <mergeCell ref="M2:Q2"/>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P127"/>
  <sheetViews>
    <sheetView topLeftCell="A72" zoomScaleNormal="100" workbookViewId="0">
      <selection activeCell="I93" sqref="G9:I93"/>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0" width="2.5546875" style="3" customWidth="1"/>
    <col min="11" max="14" width="16.109375" style="3" customWidth="1"/>
    <col min="15" max="15" width="2.6640625" style="3" customWidth="1"/>
    <col min="16" max="16" width="47" style="3" bestFit="1" customWidth="1"/>
    <col min="17" max="16384" width="9.109375" style="3"/>
  </cols>
  <sheetData>
    <row r="1" spans="2:16" x14ac:dyDescent="0.25">
      <c r="E1" s="2"/>
      <c r="F1" s="2"/>
    </row>
    <row r="2" spans="2:16" ht="21" thickBot="1" x14ac:dyDescent="0.4">
      <c r="B2" s="1" t="s">
        <v>0</v>
      </c>
      <c r="C2" s="2"/>
      <c r="D2" s="2"/>
      <c r="E2" s="2"/>
      <c r="F2" s="2"/>
      <c r="G2" s="100"/>
      <c r="H2" s="134"/>
      <c r="I2" s="134"/>
      <c r="J2" s="83"/>
      <c r="K2" s="83"/>
      <c r="L2" s="83"/>
      <c r="M2" s="83"/>
      <c r="N2" s="83"/>
    </row>
    <row r="3" spans="2:16" ht="20.399999999999999" x14ac:dyDescent="0.35">
      <c r="B3" s="1" t="s">
        <v>1</v>
      </c>
      <c r="C3" s="2"/>
      <c r="D3" s="2"/>
    </row>
    <row r="4" spans="2:16" x14ac:dyDescent="0.25">
      <c r="B4" s="2" t="s">
        <v>136</v>
      </c>
      <c r="C4" s="2"/>
      <c r="D4" s="2"/>
      <c r="G4" s="7" t="s">
        <v>6</v>
      </c>
      <c r="H4" s="7" t="s">
        <v>6</v>
      </c>
      <c r="I4" s="7" t="s">
        <v>8</v>
      </c>
      <c r="J4" s="7"/>
      <c r="K4" s="7"/>
      <c r="L4" s="7"/>
      <c r="M4" s="7"/>
      <c r="N4" s="7"/>
    </row>
    <row r="5" spans="2:16" ht="15" x14ac:dyDescent="0.25">
      <c r="B5" s="4"/>
      <c r="C5" s="2"/>
      <c r="D5" s="4" t="s">
        <v>2</v>
      </c>
      <c r="G5" s="7" t="s">
        <v>12</v>
      </c>
      <c r="H5" s="7" t="s">
        <v>12</v>
      </c>
      <c r="I5" s="7" t="s">
        <v>13</v>
      </c>
      <c r="J5" s="7"/>
      <c r="K5" s="7"/>
      <c r="L5" s="7"/>
      <c r="M5" s="7"/>
      <c r="N5" s="7"/>
    </row>
    <row r="6" spans="2:16" x14ac:dyDescent="0.25">
      <c r="D6" s="81"/>
      <c r="E6" s="15"/>
      <c r="G6" s="7"/>
      <c r="H6" s="7"/>
      <c r="I6" s="7"/>
      <c r="J6" s="7"/>
      <c r="K6" s="7"/>
      <c r="L6" s="7"/>
      <c r="M6" s="7"/>
      <c r="N6" s="7"/>
    </row>
    <row r="7" spans="2:16" ht="13.8" thickBot="1" x14ac:dyDescent="0.3">
      <c r="B7" s="2"/>
      <c r="E7" s="15"/>
      <c r="G7" s="8" t="s">
        <v>17</v>
      </c>
      <c r="H7" s="8" t="s">
        <v>17</v>
      </c>
      <c r="I7" s="8" t="s">
        <v>18</v>
      </c>
      <c r="J7" s="84"/>
      <c r="K7" s="84"/>
      <c r="L7" s="84"/>
      <c r="M7" s="84"/>
      <c r="N7" s="84"/>
    </row>
    <row r="8" spans="2:16" ht="5.0999999999999996" customHeight="1" x14ac:dyDescent="0.25">
      <c r="B8" s="2"/>
      <c r="E8" s="15"/>
      <c r="G8" s="9"/>
      <c r="H8" s="9"/>
      <c r="I8" s="9"/>
      <c r="J8" s="87"/>
      <c r="K8" s="87"/>
      <c r="L8" s="87"/>
      <c r="M8" s="87"/>
      <c r="N8" s="87"/>
    </row>
    <row r="9" spans="2:16" ht="14.4" thickBot="1" x14ac:dyDescent="0.3">
      <c r="B9" s="6" t="s">
        <v>3</v>
      </c>
      <c r="D9" s="3" t="s">
        <v>19</v>
      </c>
      <c r="E9" s="18" t="s">
        <v>20</v>
      </c>
      <c r="G9" s="11">
        <v>7522</v>
      </c>
      <c r="H9" s="11">
        <v>0</v>
      </c>
      <c r="I9" s="11">
        <f>G9-H9</f>
        <v>7522</v>
      </c>
      <c r="J9" s="12"/>
      <c r="K9" s="12"/>
      <c r="L9" s="12"/>
      <c r="M9" s="12"/>
      <c r="N9" s="12"/>
    </row>
    <row r="10" spans="2:16" x14ac:dyDescent="0.25">
      <c r="B10" s="2" t="s">
        <v>9</v>
      </c>
      <c r="E10" s="18" t="s">
        <v>21</v>
      </c>
      <c r="G10" s="13">
        <v>153</v>
      </c>
      <c r="H10" s="13">
        <v>153</v>
      </c>
      <c r="I10" s="13">
        <f t="shared" ref="I10:I73" si="0">G10-H10</f>
        <v>0</v>
      </c>
      <c r="J10" s="85"/>
      <c r="K10" s="85"/>
      <c r="L10" s="85"/>
      <c r="M10" s="85"/>
      <c r="N10" s="85"/>
    </row>
    <row r="11" spans="2:16" x14ac:dyDescent="0.25">
      <c r="E11" s="18"/>
      <c r="G11" s="15"/>
      <c r="H11" s="15"/>
      <c r="I11" s="15"/>
    </row>
    <row r="12" spans="2:16" ht="13.8" thickBot="1" x14ac:dyDescent="0.3">
      <c r="D12" s="3" t="s">
        <v>22</v>
      </c>
      <c r="E12" s="18" t="s">
        <v>20</v>
      </c>
      <c r="G12" s="11">
        <v>56239</v>
      </c>
      <c r="H12" s="11">
        <v>56239</v>
      </c>
      <c r="I12" s="11">
        <f t="shared" si="0"/>
        <v>0</v>
      </c>
      <c r="J12" s="12"/>
      <c r="K12" s="12"/>
      <c r="L12" s="12"/>
      <c r="M12" s="12"/>
      <c r="N12" s="12"/>
    </row>
    <row r="13" spans="2:16" ht="13.8" thickBot="1" x14ac:dyDescent="0.3">
      <c r="E13" s="18" t="s">
        <v>21</v>
      </c>
      <c r="G13" s="13">
        <v>1053.4000000000001</v>
      </c>
      <c r="H13" s="13">
        <v>1053.4000000000001</v>
      </c>
      <c r="I13" s="13">
        <f t="shared" si="0"/>
        <v>0</v>
      </c>
      <c r="J13" s="85"/>
      <c r="K13" s="85"/>
      <c r="L13" s="85"/>
      <c r="M13" s="85"/>
      <c r="N13" s="85"/>
    </row>
    <row r="14" spans="2:16" x14ac:dyDescent="0.25">
      <c r="E14" s="15"/>
      <c r="G14" s="15"/>
      <c r="H14" s="15"/>
      <c r="I14" s="15"/>
      <c r="P14" s="16" t="s">
        <v>86</v>
      </c>
    </row>
    <row r="15" spans="2:16" x14ac:dyDescent="0.25">
      <c r="D15" s="3" t="s">
        <v>23</v>
      </c>
      <c r="E15" s="18" t="s">
        <v>24</v>
      </c>
      <c r="G15" s="11">
        <v>2152.1335504885997</v>
      </c>
      <c r="H15" s="11">
        <v>0</v>
      </c>
      <c r="I15" s="11">
        <f t="shared" si="0"/>
        <v>2152.1335504885997</v>
      </c>
      <c r="J15" s="12"/>
      <c r="K15" s="12"/>
      <c r="L15" s="12"/>
      <c r="M15" s="12"/>
      <c r="N15" s="12"/>
      <c r="P15" s="17"/>
    </row>
    <row r="16" spans="2:16" x14ac:dyDescent="0.25">
      <c r="D16" s="3" t="s">
        <v>25</v>
      </c>
      <c r="E16" s="18" t="s">
        <v>26</v>
      </c>
      <c r="G16" s="11">
        <v>5266.1701591302972</v>
      </c>
      <c r="H16" s="11">
        <v>5266.1701591302972</v>
      </c>
      <c r="I16" s="11">
        <f t="shared" si="0"/>
        <v>0</v>
      </c>
      <c r="J16" s="12"/>
      <c r="K16" s="12"/>
      <c r="L16" s="12"/>
      <c r="M16" s="12"/>
      <c r="N16" s="12"/>
      <c r="P16" s="17" t="s">
        <v>87</v>
      </c>
    </row>
    <row r="17" spans="2:16" x14ac:dyDescent="0.25">
      <c r="E17" s="18" t="s">
        <v>27</v>
      </c>
      <c r="G17" s="11">
        <v>152.83387622149837</v>
      </c>
      <c r="H17" s="11">
        <v>0</v>
      </c>
      <c r="I17" s="11">
        <f t="shared" si="0"/>
        <v>152.83387622149837</v>
      </c>
      <c r="J17" s="12"/>
      <c r="K17" s="12"/>
      <c r="L17" s="12"/>
      <c r="M17" s="12"/>
      <c r="N17" s="12"/>
      <c r="P17" s="19">
        <f>395196+21379</f>
        <v>416575</v>
      </c>
    </row>
    <row r="18" spans="2:16" x14ac:dyDescent="0.25">
      <c r="E18" s="18" t="s">
        <v>28</v>
      </c>
      <c r="G18" s="11">
        <v>2157</v>
      </c>
      <c r="H18" s="11">
        <v>0</v>
      </c>
      <c r="I18" s="11">
        <f t="shared" si="0"/>
        <v>2157</v>
      </c>
      <c r="J18" s="12"/>
      <c r="K18" s="12"/>
      <c r="L18" s="12"/>
      <c r="M18" s="12"/>
      <c r="N18" s="12"/>
      <c r="P18" s="17"/>
    </row>
    <row r="19" spans="2:16" x14ac:dyDescent="0.25">
      <c r="E19" s="18" t="s">
        <v>29</v>
      </c>
      <c r="G19" s="11">
        <v>0</v>
      </c>
      <c r="H19" s="11">
        <v>0</v>
      </c>
      <c r="I19" s="11">
        <f t="shared" si="0"/>
        <v>0</v>
      </c>
      <c r="J19" s="12"/>
      <c r="K19" s="12"/>
      <c r="L19" s="12"/>
      <c r="M19" s="12"/>
      <c r="N19" s="12"/>
      <c r="P19" s="17" t="s">
        <v>88</v>
      </c>
    </row>
    <row r="20" spans="2:16" x14ac:dyDescent="0.25">
      <c r="E20" s="18" t="s">
        <v>30</v>
      </c>
      <c r="G20" s="21">
        <v>2963</v>
      </c>
      <c r="H20" s="11">
        <v>0</v>
      </c>
      <c r="I20" s="11">
        <f t="shared" si="0"/>
        <v>2963</v>
      </c>
      <c r="J20" s="12"/>
      <c r="K20" s="12"/>
      <c r="L20" s="12"/>
      <c r="M20" s="12"/>
      <c r="N20" s="12"/>
      <c r="P20" s="19">
        <f>31030+1679</f>
        <v>32709</v>
      </c>
    </row>
    <row r="21" spans="2:16" x14ac:dyDescent="0.25">
      <c r="D21" s="2" t="s">
        <v>31</v>
      </c>
      <c r="E21" s="18"/>
      <c r="G21" s="23">
        <v>76452.137585840392</v>
      </c>
      <c r="H21" s="25">
        <v>61505.170159130299</v>
      </c>
      <c r="I21" s="25">
        <f t="shared" si="0"/>
        <v>14946.967426710093</v>
      </c>
      <c r="J21" s="86"/>
      <c r="K21" s="86"/>
      <c r="L21" s="86"/>
      <c r="M21" s="86"/>
      <c r="N21" s="86"/>
      <c r="P21" s="17"/>
    </row>
    <row r="22" spans="2:16" x14ac:dyDescent="0.25">
      <c r="E22" s="18"/>
      <c r="G22" s="11"/>
      <c r="H22" s="11"/>
      <c r="I22" s="11">
        <f t="shared" si="0"/>
        <v>0</v>
      </c>
      <c r="J22" s="12"/>
      <c r="K22" s="12"/>
      <c r="L22" s="12"/>
      <c r="M22" s="12"/>
      <c r="N22" s="12"/>
      <c r="P22" s="17" t="s">
        <v>89</v>
      </c>
    </row>
    <row r="23" spans="2:16" ht="13.8" thickBot="1" x14ac:dyDescent="0.3">
      <c r="B23" s="2" t="s">
        <v>32</v>
      </c>
      <c r="E23" s="18" t="s">
        <v>33</v>
      </c>
      <c r="G23" s="21">
        <v>19365</v>
      </c>
      <c r="H23" s="21">
        <v>1304.5320344452994</v>
      </c>
      <c r="I23" s="21">
        <f t="shared" si="0"/>
        <v>18060.467965554701</v>
      </c>
      <c r="J23" s="29"/>
      <c r="K23" s="29"/>
      <c r="L23" s="29"/>
      <c r="M23" s="29"/>
      <c r="N23" s="29"/>
      <c r="P23" s="28">
        <f>P20/P17</f>
        <v>7.8518874152313511E-2</v>
      </c>
    </row>
    <row r="24" spans="2:16" x14ac:dyDescent="0.25">
      <c r="B24" s="2"/>
      <c r="D24" s="2" t="s">
        <v>34</v>
      </c>
      <c r="E24" s="18"/>
      <c r="G24" s="23">
        <v>19365</v>
      </c>
      <c r="H24" s="23">
        <v>1304.5320344452994</v>
      </c>
      <c r="I24" s="23">
        <f t="shared" si="0"/>
        <v>18060.467965554701</v>
      </c>
      <c r="J24" s="24"/>
      <c r="K24" s="24"/>
      <c r="L24" s="24"/>
      <c r="M24" s="24"/>
      <c r="N24" s="24"/>
    </row>
    <row r="25" spans="2:16" x14ac:dyDescent="0.25">
      <c r="B25" s="2"/>
      <c r="E25" s="15"/>
      <c r="G25" s="15"/>
      <c r="H25" s="15"/>
      <c r="I25" s="15"/>
    </row>
    <row r="26" spans="2:16" x14ac:dyDescent="0.25">
      <c r="B26" s="2" t="s">
        <v>35</v>
      </c>
      <c r="E26" s="18" t="s">
        <v>36</v>
      </c>
      <c r="F26" s="15"/>
      <c r="G26" s="11">
        <v>425</v>
      </c>
      <c r="H26" s="29">
        <v>0</v>
      </c>
      <c r="I26" s="29">
        <f t="shared" si="0"/>
        <v>425</v>
      </c>
      <c r="J26" s="12"/>
      <c r="K26" s="12"/>
      <c r="L26" s="12"/>
      <c r="M26" s="12"/>
      <c r="N26" s="12"/>
    </row>
    <row r="27" spans="2:16" x14ac:dyDescent="0.25">
      <c r="B27" s="2"/>
      <c r="E27" s="18" t="s">
        <v>37</v>
      </c>
      <c r="G27" s="11">
        <v>1551</v>
      </c>
      <c r="H27" s="11">
        <v>1551</v>
      </c>
      <c r="I27" s="11">
        <f t="shared" si="0"/>
        <v>0</v>
      </c>
      <c r="J27" s="12"/>
      <c r="K27" s="12"/>
      <c r="L27" s="12"/>
      <c r="M27" s="12"/>
      <c r="N27" s="12"/>
    </row>
    <row r="28" spans="2:16" x14ac:dyDescent="0.25">
      <c r="B28" s="2"/>
      <c r="E28" s="15" t="s">
        <v>38</v>
      </c>
      <c r="G28" s="11">
        <v>0</v>
      </c>
      <c r="H28" s="11">
        <v>0</v>
      </c>
      <c r="I28" s="11">
        <f t="shared" si="0"/>
        <v>0</v>
      </c>
      <c r="J28" s="12"/>
      <c r="K28" s="12"/>
      <c r="L28" s="12"/>
      <c r="M28" s="12"/>
      <c r="N28" s="12"/>
    </row>
    <row r="29" spans="2:16" x14ac:dyDescent="0.25">
      <c r="B29" s="2"/>
      <c r="E29" s="18" t="s">
        <v>39</v>
      </c>
      <c r="G29" s="11">
        <v>1482</v>
      </c>
      <c r="H29" s="11">
        <v>1482</v>
      </c>
      <c r="I29" s="11">
        <f t="shared" si="0"/>
        <v>0</v>
      </c>
      <c r="J29" s="12"/>
      <c r="K29" s="12"/>
      <c r="L29" s="12"/>
      <c r="M29" s="12"/>
      <c r="N29" s="12"/>
    </row>
    <row r="30" spans="2:16" x14ac:dyDescent="0.25">
      <c r="B30" s="2"/>
      <c r="E30" s="10" t="s">
        <v>40</v>
      </c>
      <c r="G30" s="21">
        <v>0</v>
      </c>
      <c r="H30" s="21">
        <v>0</v>
      </c>
      <c r="I30" s="21">
        <f t="shared" si="0"/>
        <v>0</v>
      </c>
      <c r="J30" s="82"/>
      <c r="K30" s="82"/>
      <c r="L30" s="82"/>
      <c r="M30" s="82"/>
      <c r="N30" s="82"/>
    </row>
    <row r="31" spans="2:16" x14ac:dyDescent="0.25">
      <c r="B31" s="2"/>
      <c r="D31" s="2" t="s">
        <v>41</v>
      </c>
      <c r="G31" s="24">
        <v>3458</v>
      </c>
      <c r="H31" s="23">
        <v>3033</v>
      </c>
      <c r="I31" s="23">
        <f t="shared" si="0"/>
        <v>425</v>
      </c>
      <c r="J31" s="24"/>
      <c r="K31" s="24"/>
      <c r="L31" s="24"/>
      <c r="M31" s="24"/>
      <c r="N31" s="24"/>
    </row>
    <row r="32" spans="2:16" x14ac:dyDescent="0.25">
      <c r="B32" s="2"/>
    </row>
    <row r="33" spans="2:14" x14ac:dyDescent="0.25">
      <c r="B33" s="2" t="s">
        <v>42</v>
      </c>
      <c r="D33" s="2" t="s">
        <v>43</v>
      </c>
      <c r="E33" s="3" t="s">
        <v>44</v>
      </c>
      <c r="G33" s="11">
        <v>0</v>
      </c>
      <c r="H33" s="12">
        <v>0</v>
      </c>
      <c r="I33" s="12">
        <f t="shared" si="0"/>
        <v>0</v>
      </c>
      <c r="J33" s="12"/>
      <c r="K33" s="12"/>
      <c r="L33" s="12"/>
      <c r="M33" s="12"/>
      <c r="N33" s="12"/>
    </row>
    <row r="34" spans="2:14" x14ac:dyDescent="0.25">
      <c r="B34" s="2" t="s">
        <v>45</v>
      </c>
      <c r="D34" s="2" t="s">
        <v>46</v>
      </c>
      <c r="E34" s="3" t="s">
        <v>47</v>
      </c>
      <c r="G34" s="11">
        <v>0</v>
      </c>
      <c r="H34" s="12">
        <v>0</v>
      </c>
      <c r="I34" s="12">
        <f t="shared" si="0"/>
        <v>0</v>
      </c>
      <c r="J34" s="12"/>
      <c r="K34" s="12"/>
      <c r="L34" s="12"/>
      <c r="M34" s="12"/>
      <c r="N34" s="12"/>
    </row>
    <row r="35" spans="2:14" x14ac:dyDescent="0.25">
      <c r="D35" s="2"/>
      <c r="G35" s="15"/>
      <c r="J35" s="12"/>
      <c r="K35" s="12"/>
      <c r="L35" s="12"/>
      <c r="M35" s="12"/>
      <c r="N35" s="12"/>
    </row>
    <row r="36" spans="2:14" x14ac:dyDescent="0.25">
      <c r="D36" s="2" t="s">
        <v>48</v>
      </c>
      <c r="E36" s="3" t="s">
        <v>49</v>
      </c>
      <c r="G36" s="11">
        <v>0</v>
      </c>
      <c r="H36" s="12">
        <v>0</v>
      </c>
      <c r="I36" s="12">
        <f t="shared" si="0"/>
        <v>0</v>
      </c>
      <c r="J36" s="12"/>
      <c r="K36" s="12"/>
      <c r="L36" s="12"/>
      <c r="M36" s="12"/>
      <c r="N36" s="12"/>
    </row>
    <row r="37" spans="2:14" x14ac:dyDescent="0.25">
      <c r="D37" s="2" t="s">
        <v>50</v>
      </c>
      <c r="E37" s="3" t="s">
        <v>51</v>
      </c>
      <c r="G37" s="11">
        <v>0</v>
      </c>
      <c r="H37" s="12">
        <v>0</v>
      </c>
      <c r="I37" s="12">
        <f t="shared" si="0"/>
        <v>0</v>
      </c>
      <c r="J37" s="12"/>
      <c r="K37" s="12"/>
      <c r="L37" s="12"/>
      <c r="M37" s="12"/>
      <c r="N37" s="12"/>
    </row>
    <row r="38" spans="2:14" x14ac:dyDescent="0.25">
      <c r="D38" s="2"/>
      <c r="E38" s="3" t="s">
        <v>52</v>
      </c>
      <c r="G38" s="11">
        <v>0</v>
      </c>
      <c r="H38" s="12">
        <v>0</v>
      </c>
      <c r="I38" s="12">
        <f t="shared" si="0"/>
        <v>0</v>
      </c>
      <c r="J38" s="12"/>
      <c r="K38" s="12"/>
      <c r="L38" s="12"/>
      <c r="M38" s="12"/>
      <c r="N38" s="12"/>
    </row>
    <row r="39" spans="2:14" x14ac:dyDescent="0.25">
      <c r="D39" s="2"/>
      <c r="E39" s="3" t="s">
        <v>53</v>
      </c>
      <c r="G39" s="11"/>
      <c r="H39" s="12">
        <v>0</v>
      </c>
      <c r="I39" s="12">
        <f t="shared" si="0"/>
        <v>0</v>
      </c>
      <c r="J39" s="12"/>
      <c r="K39" s="12"/>
      <c r="L39" s="12"/>
      <c r="M39" s="12"/>
      <c r="N39" s="12"/>
    </row>
    <row r="40" spans="2:14" x14ac:dyDescent="0.25">
      <c r="D40" s="2"/>
      <c r="G40" s="15"/>
      <c r="J40" s="12"/>
      <c r="K40" s="12"/>
      <c r="L40" s="12"/>
      <c r="M40" s="12"/>
      <c r="N40" s="12"/>
    </row>
    <row r="41" spans="2:14" x14ac:dyDescent="0.25">
      <c r="D41" s="2" t="s">
        <v>54</v>
      </c>
      <c r="G41" s="11">
        <v>0</v>
      </c>
      <c r="H41" s="12">
        <v>0</v>
      </c>
      <c r="I41" s="12">
        <f t="shared" si="0"/>
        <v>0</v>
      </c>
      <c r="J41" s="12"/>
      <c r="K41" s="12"/>
      <c r="L41" s="12"/>
      <c r="M41" s="12"/>
      <c r="N41" s="12"/>
    </row>
    <row r="42" spans="2:14" x14ac:dyDescent="0.25">
      <c r="D42" s="2"/>
      <c r="G42" s="15"/>
    </row>
    <row r="43" spans="2:14" x14ac:dyDescent="0.25">
      <c r="D43" s="2" t="s">
        <v>55</v>
      </c>
      <c r="G43" s="11">
        <v>0</v>
      </c>
      <c r="H43" s="12">
        <v>0</v>
      </c>
      <c r="I43" s="12">
        <f t="shared" si="0"/>
        <v>0</v>
      </c>
      <c r="J43" s="12"/>
      <c r="K43" s="12"/>
      <c r="L43" s="12"/>
      <c r="M43" s="12"/>
      <c r="N43" s="12"/>
    </row>
    <row r="44" spans="2:14" x14ac:dyDescent="0.25">
      <c r="D44" s="2"/>
      <c r="G44" s="15"/>
    </row>
    <row r="45" spans="2:14" x14ac:dyDescent="0.25">
      <c r="D45" s="2" t="s">
        <v>56</v>
      </c>
      <c r="G45" s="11">
        <v>0</v>
      </c>
      <c r="H45" s="12">
        <v>0</v>
      </c>
      <c r="I45" s="12">
        <f t="shared" si="0"/>
        <v>0</v>
      </c>
      <c r="J45" s="12"/>
      <c r="K45" s="12"/>
      <c r="L45" s="12"/>
      <c r="M45" s="12"/>
      <c r="N45" s="12"/>
    </row>
    <row r="46" spans="2:14" x14ac:dyDescent="0.25">
      <c r="D46" s="2"/>
      <c r="G46" s="15"/>
    </row>
    <row r="47" spans="2:14" x14ac:dyDescent="0.25">
      <c r="D47" s="2" t="s">
        <v>57</v>
      </c>
      <c r="G47" s="11">
        <v>0</v>
      </c>
      <c r="H47" s="12">
        <v>0</v>
      </c>
      <c r="I47" s="12">
        <f t="shared" si="0"/>
        <v>0</v>
      </c>
      <c r="J47" s="12"/>
      <c r="K47" s="12"/>
      <c r="L47" s="12"/>
      <c r="M47" s="12"/>
      <c r="N47" s="12"/>
    </row>
    <row r="48" spans="2:14" x14ac:dyDescent="0.25">
      <c r="D48" s="2" t="s">
        <v>58</v>
      </c>
      <c r="G48" s="15"/>
    </row>
    <row r="49" spans="2:16" x14ac:dyDescent="0.25">
      <c r="D49" s="2"/>
      <c r="G49" s="15"/>
    </row>
    <row r="50" spans="2:16" x14ac:dyDescent="0.25">
      <c r="B50" s="2"/>
      <c r="D50" s="2" t="s">
        <v>53</v>
      </c>
      <c r="G50" s="21">
        <v>624</v>
      </c>
      <c r="H50" s="22">
        <v>624</v>
      </c>
      <c r="I50" s="22">
        <f t="shared" si="0"/>
        <v>0</v>
      </c>
      <c r="J50" s="82"/>
      <c r="K50" s="82"/>
      <c r="L50" s="82"/>
      <c r="M50" s="82"/>
      <c r="N50" s="82"/>
    </row>
    <row r="51" spans="2:16" x14ac:dyDescent="0.25">
      <c r="D51" s="2" t="s">
        <v>59</v>
      </c>
      <c r="G51" s="24">
        <v>624</v>
      </c>
      <c r="H51" s="24">
        <v>624</v>
      </c>
      <c r="I51" s="24">
        <f t="shared" si="0"/>
        <v>0</v>
      </c>
      <c r="J51" s="24"/>
      <c r="K51" s="24"/>
      <c r="L51" s="24"/>
      <c r="M51" s="24"/>
      <c r="N51" s="24"/>
    </row>
    <row r="52" spans="2:16" x14ac:dyDescent="0.25">
      <c r="B52" s="2"/>
    </row>
    <row r="53" spans="2:16" x14ac:dyDescent="0.25">
      <c r="B53" s="2" t="s">
        <v>60</v>
      </c>
      <c r="G53" s="12">
        <v>0</v>
      </c>
      <c r="H53" s="12">
        <v>0</v>
      </c>
      <c r="I53" s="12">
        <f t="shared" si="0"/>
        <v>0</v>
      </c>
      <c r="J53" s="12"/>
      <c r="K53" s="12"/>
      <c r="L53" s="12"/>
      <c r="M53" s="12"/>
      <c r="N53" s="12"/>
    </row>
    <row r="54" spans="2:16" x14ac:dyDescent="0.25">
      <c r="B54" s="2" t="s">
        <v>61</v>
      </c>
    </row>
    <row r="55" spans="2:16" ht="13.8" thickBot="1" x14ac:dyDescent="0.3">
      <c r="J55" s="40"/>
      <c r="K55" s="40"/>
      <c r="L55" s="40"/>
      <c r="M55" s="40"/>
      <c r="N55" s="40"/>
    </row>
    <row r="56" spans="2:16" x14ac:dyDescent="0.25">
      <c r="B56" s="2" t="s">
        <v>62</v>
      </c>
      <c r="G56" s="31">
        <v>99899.137585840392</v>
      </c>
      <c r="H56" s="31">
        <v>66466.702193575591</v>
      </c>
      <c r="I56" s="31">
        <f t="shared" si="0"/>
        <v>33432.435392264801</v>
      </c>
      <c r="J56" s="86"/>
      <c r="K56" s="86"/>
      <c r="L56" s="86"/>
      <c r="M56" s="86"/>
      <c r="N56" s="86"/>
    </row>
    <row r="59" spans="2:16" ht="13.8" x14ac:dyDescent="0.25">
      <c r="B59" s="6" t="s">
        <v>63</v>
      </c>
    </row>
    <row r="60" spans="2:16" x14ac:dyDescent="0.25">
      <c r="D60" s="15" t="s">
        <v>64</v>
      </c>
      <c r="E60" s="10" t="s">
        <v>20</v>
      </c>
      <c r="G60" s="12">
        <v>68174</v>
      </c>
      <c r="H60" s="12">
        <v>68174</v>
      </c>
      <c r="I60" s="12">
        <f t="shared" si="0"/>
        <v>0</v>
      </c>
      <c r="J60" s="11"/>
      <c r="K60" s="11"/>
      <c r="L60" s="11"/>
      <c r="M60" s="11"/>
      <c r="N60" s="11"/>
      <c r="P60" s="3" t="s">
        <v>92</v>
      </c>
    </row>
    <row r="61" spans="2:16" x14ac:dyDescent="0.25">
      <c r="D61" s="15"/>
      <c r="E61" s="10" t="s">
        <v>21</v>
      </c>
      <c r="G61" s="33">
        <v>0</v>
      </c>
      <c r="H61" s="33">
        <v>0</v>
      </c>
      <c r="I61" s="33">
        <f t="shared" si="0"/>
        <v>0</v>
      </c>
      <c r="J61" s="33"/>
      <c r="K61" s="33"/>
      <c r="L61" s="33"/>
      <c r="M61" s="33"/>
      <c r="N61" s="33"/>
      <c r="P61" s="35" t="e">
        <f>#REF!-(327*25.09*8)</f>
        <v>#REF!</v>
      </c>
    </row>
    <row r="62" spans="2:16" x14ac:dyDescent="0.25">
      <c r="D62" s="15"/>
      <c r="E62" s="10"/>
    </row>
    <row r="63" spans="2:16" x14ac:dyDescent="0.25">
      <c r="D63" s="15" t="s">
        <v>94</v>
      </c>
      <c r="E63" s="10" t="s">
        <v>20</v>
      </c>
      <c r="G63" s="12">
        <v>139783.04355812521</v>
      </c>
      <c r="H63" s="12">
        <v>139783.04355812521</v>
      </c>
      <c r="I63" s="12">
        <f t="shared" si="0"/>
        <v>0</v>
      </c>
      <c r="J63" s="11"/>
      <c r="K63" s="11"/>
      <c r="L63" s="11"/>
      <c r="M63" s="11"/>
      <c r="N63" s="11"/>
    </row>
    <row r="64" spans="2:16" ht="12.75" customHeight="1" x14ac:dyDescent="0.25">
      <c r="D64" s="15"/>
      <c r="E64" s="10" t="s">
        <v>21</v>
      </c>
      <c r="G64" s="36">
        <v>0</v>
      </c>
      <c r="H64" s="33">
        <v>0</v>
      </c>
      <c r="I64" s="33">
        <f t="shared" si="0"/>
        <v>0</v>
      </c>
      <c r="J64" s="33"/>
      <c r="K64" s="33"/>
      <c r="L64" s="33"/>
      <c r="M64" s="33"/>
      <c r="N64" s="33"/>
    </row>
    <row r="65" spans="4:14" ht="12.75" customHeight="1" x14ac:dyDescent="0.25">
      <c r="D65" s="15"/>
      <c r="E65" s="10"/>
    </row>
    <row r="66" spans="4:14" x14ac:dyDescent="0.25">
      <c r="D66" s="15" t="s">
        <v>65</v>
      </c>
      <c r="E66" s="10" t="s">
        <v>20</v>
      </c>
      <c r="G66" s="12">
        <v>8875.2743031890768</v>
      </c>
      <c r="H66" s="12">
        <v>8875.2743031890768</v>
      </c>
      <c r="I66" s="12">
        <f t="shared" si="0"/>
        <v>0</v>
      </c>
      <c r="J66" s="11"/>
      <c r="K66" s="11"/>
      <c r="L66" s="11"/>
      <c r="M66" s="11"/>
      <c r="N66" s="11"/>
    </row>
    <row r="67" spans="4:14" x14ac:dyDescent="0.25">
      <c r="D67" s="15"/>
      <c r="E67" s="10" t="s">
        <v>21</v>
      </c>
      <c r="G67" s="36">
        <v>0</v>
      </c>
      <c r="H67" s="33">
        <v>0</v>
      </c>
      <c r="I67" s="33">
        <f t="shared" si="0"/>
        <v>0</v>
      </c>
      <c r="J67" s="33"/>
      <c r="K67" s="33"/>
      <c r="L67" s="33"/>
      <c r="M67" s="33"/>
      <c r="N67" s="33"/>
    </row>
    <row r="68" spans="4:14" x14ac:dyDescent="0.25">
      <c r="D68" s="15"/>
      <c r="E68" s="10"/>
      <c r="G68" s="33"/>
      <c r="H68" s="33"/>
      <c r="I68" s="33">
        <f t="shared" si="0"/>
        <v>0</v>
      </c>
      <c r="J68" s="34"/>
      <c r="K68" s="34"/>
      <c r="L68" s="34"/>
      <c r="M68" s="34"/>
      <c r="N68" s="34"/>
    </row>
    <row r="69" spans="4:14" x14ac:dyDescent="0.25">
      <c r="D69" s="99" t="s">
        <v>97</v>
      </c>
      <c r="E69" s="10" t="s">
        <v>20</v>
      </c>
      <c r="G69" s="12">
        <v>0</v>
      </c>
      <c r="H69" s="12">
        <v>0</v>
      </c>
      <c r="I69" s="12">
        <f t="shared" si="0"/>
        <v>0</v>
      </c>
      <c r="J69" s="11"/>
      <c r="K69" s="11"/>
      <c r="L69" s="11"/>
      <c r="M69" s="11"/>
      <c r="N69" s="11"/>
    </row>
    <row r="70" spans="4:14" x14ac:dyDescent="0.25">
      <c r="D70" s="15"/>
      <c r="E70" s="10" t="s">
        <v>21</v>
      </c>
      <c r="G70" s="36">
        <v>0</v>
      </c>
      <c r="H70" s="33">
        <v>0</v>
      </c>
      <c r="I70" s="33">
        <f t="shared" si="0"/>
        <v>0</v>
      </c>
      <c r="J70" s="33"/>
      <c r="K70" s="33"/>
      <c r="L70" s="33"/>
      <c r="M70" s="33"/>
      <c r="N70" s="33"/>
    </row>
    <row r="71" spans="4:14" x14ac:dyDescent="0.25">
      <c r="D71" s="15"/>
      <c r="E71" s="10"/>
      <c r="G71" s="36"/>
      <c r="H71" s="33"/>
      <c r="I71" s="33">
        <f t="shared" si="0"/>
        <v>0</v>
      </c>
      <c r="J71" s="33"/>
      <c r="K71" s="33"/>
      <c r="L71" s="33"/>
      <c r="M71" s="33"/>
      <c r="N71" s="33"/>
    </row>
    <row r="72" spans="4:14" x14ac:dyDescent="0.25">
      <c r="D72" s="15" t="s">
        <v>127</v>
      </c>
      <c r="E72" s="10" t="s">
        <v>20</v>
      </c>
      <c r="G72" s="12">
        <v>0</v>
      </c>
      <c r="H72" s="12">
        <v>0</v>
      </c>
      <c r="I72" s="12">
        <f t="shared" si="0"/>
        <v>0</v>
      </c>
      <c r="J72" s="33"/>
      <c r="K72" s="33"/>
      <c r="L72" s="33"/>
      <c r="M72" s="33"/>
      <c r="N72" s="33"/>
    </row>
    <row r="73" spans="4:14" x14ac:dyDescent="0.25">
      <c r="D73" s="15"/>
      <c r="E73" s="10" t="s">
        <v>21</v>
      </c>
      <c r="G73" s="36">
        <v>0</v>
      </c>
      <c r="H73" s="33">
        <v>0</v>
      </c>
      <c r="I73" s="33">
        <f t="shared" si="0"/>
        <v>0</v>
      </c>
      <c r="J73" s="33"/>
      <c r="K73" s="33"/>
      <c r="L73" s="33"/>
      <c r="M73" s="33"/>
      <c r="N73" s="33"/>
    </row>
    <row r="74" spans="4:14" x14ac:dyDescent="0.25">
      <c r="D74" s="15"/>
      <c r="E74" s="10"/>
    </row>
    <row r="75" spans="4:14" x14ac:dyDescent="0.25">
      <c r="D75" s="98" t="s">
        <v>130</v>
      </c>
      <c r="E75" s="10" t="s">
        <v>20</v>
      </c>
      <c r="G75" s="12">
        <v>0</v>
      </c>
      <c r="H75" s="12">
        <v>0</v>
      </c>
      <c r="I75" s="12">
        <f t="shared" ref="I75:I93" si="1">G75-H75</f>
        <v>0</v>
      </c>
    </row>
    <row r="76" spans="4:14" x14ac:dyDescent="0.25">
      <c r="D76" s="15"/>
      <c r="E76" s="10" t="s">
        <v>21</v>
      </c>
      <c r="G76" s="36">
        <v>0</v>
      </c>
      <c r="H76" s="33">
        <v>0</v>
      </c>
      <c r="I76" s="33">
        <f t="shared" si="1"/>
        <v>0</v>
      </c>
    </row>
    <row r="77" spans="4:14" x14ac:dyDescent="0.25">
      <c r="D77" s="15"/>
      <c r="E77" s="10"/>
    </row>
    <row r="78" spans="4:14" x14ac:dyDescent="0.25">
      <c r="D78" s="98" t="s">
        <v>129</v>
      </c>
      <c r="E78" s="10" t="s">
        <v>20</v>
      </c>
      <c r="G78" s="12">
        <v>0</v>
      </c>
      <c r="H78" s="12">
        <v>0</v>
      </c>
      <c r="I78" s="12">
        <f t="shared" si="1"/>
        <v>0</v>
      </c>
    </row>
    <row r="79" spans="4:14" x14ac:dyDescent="0.25">
      <c r="D79" s="15"/>
      <c r="E79" s="10" t="s">
        <v>21</v>
      </c>
      <c r="G79" s="36">
        <v>0</v>
      </c>
      <c r="H79" s="33">
        <v>0</v>
      </c>
      <c r="I79" s="33">
        <f t="shared" si="1"/>
        <v>0</v>
      </c>
    </row>
    <row r="80" spans="4:14" x14ac:dyDescent="0.25">
      <c r="D80" s="15"/>
      <c r="E80" s="10"/>
    </row>
    <row r="81" spans="2:15" x14ac:dyDescent="0.25">
      <c r="D81" s="98" t="s">
        <v>128</v>
      </c>
      <c r="E81" s="10" t="s">
        <v>20</v>
      </c>
      <c r="G81" s="12">
        <v>0</v>
      </c>
      <c r="H81" s="12">
        <v>0</v>
      </c>
      <c r="I81" s="12">
        <f t="shared" si="1"/>
        <v>0</v>
      </c>
    </row>
    <row r="82" spans="2:15" x14ac:dyDescent="0.25">
      <c r="D82" s="15"/>
      <c r="E82" s="10" t="s">
        <v>21</v>
      </c>
      <c r="G82" s="36">
        <v>0</v>
      </c>
      <c r="H82" s="33">
        <v>0</v>
      </c>
      <c r="I82" s="33">
        <f t="shared" si="1"/>
        <v>0</v>
      </c>
    </row>
    <row r="83" spans="2:15" x14ac:dyDescent="0.25">
      <c r="D83" s="15"/>
      <c r="E83" s="10"/>
    </row>
    <row r="84" spans="2:15" x14ac:dyDescent="0.25">
      <c r="D84" s="99" t="s">
        <v>126</v>
      </c>
      <c r="E84" s="10" t="s">
        <v>20</v>
      </c>
      <c r="G84" s="12">
        <v>0</v>
      </c>
      <c r="H84" s="12">
        <v>0</v>
      </c>
      <c r="I84" s="12">
        <f t="shared" si="1"/>
        <v>0</v>
      </c>
      <c r="J84" s="12"/>
      <c r="K84" s="12"/>
      <c r="L84" s="12"/>
      <c r="M84" s="12"/>
      <c r="N84" s="12"/>
    </row>
    <row r="85" spans="2:15" x14ac:dyDescent="0.25">
      <c r="E85" s="10" t="s">
        <v>21</v>
      </c>
      <c r="G85" s="36">
        <v>0</v>
      </c>
      <c r="H85" s="33">
        <v>0</v>
      </c>
      <c r="I85" s="33">
        <f t="shared" si="1"/>
        <v>0</v>
      </c>
      <c r="J85" s="33"/>
      <c r="K85" s="33"/>
      <c r="L85" s="33"/>
      <c r="M85" s="33"/>
      <c r="N85" s="33"/>
    </row>
    <row r="86" spans="2:15" x14ac:dyDescent="0.25">
      <c r="E86" s="10"/>
      <c r="G86" s="36"/>
      <c r="H86" s="33"/>
      <c r="I86" s="33">
        <f t="shared" si="1"/>
        <v>0</v>
      </c>
      <c r="J86" s="33"/>
      <c r="K86" s="33"/>
      <c r="L86" s="33"/>
      <c r="M86" s="33"/>
      <c r="N86" s="33"/>
    </row>
    <row r="87" spans="2:15" x14ac:dyDescent="0.25">
      <c r="D87" s="15" t="s">
        <v>66</v>
      </c>
      <c r="E87" s="10" t="s">
        <v>20</v>
      </c>
      <c r="G87" s="12">
        <v>13712.132757017514</v>
      </c>
      <c r="H87" s="12">
        <v>13712.132757017514</v>
      </c>
      <c r="I87" s="12">
        <f t="shared" si="1"/>
        <v>0</v>
      </c>
      <c r="J87" s="12"/>
      <c r="K87" s="12"/>
      <c r="L87" s="12"/>
      <c r="M87" s="12"/>
      <c r="N87" s="12"/>
    </row>
    <row r="88" spans="2:15" ht="13.8" thickBot="1" x14ac:dyDescent="0.3">
      <c r="D88" s="15"/>
      <c r="O88" s="38"/>
    </row>
    <row r="89" spans="2:15" ht="13.8" thickBot="1" x14ac:dyDescent="0.3">
      <c r="B89" s="2" t="s">
        <v>67</v>
      </c>
      <c r="E89" s="10" t="s">
        <v>20</v>
      </c>
      <c r="G89" s="31">
        <v>230544.45061833179</v>
      </c>
      <c r="H89" s="31">
        <v>230544.45061833179</v>
      </c>
      <c r="I89" s="31">
        <f t="shared" si="1"/>
        <v>0</v>
      </c>
      <c r="J89" s="86"/>
      <c r="K89" s="86"/>
      <c r="L89" s="86"/>
      <c r="M89" s="86"/>
      <c r="N89" s="86"/>
      <c r="O89" s="40"/>
    </row>
    <row r="90" spans="2:15" x14ac:dyDescent="0.25">
      <c r="B90" s="2"/>
      <c r="E90" s="10" t="s">
        <v>21</v>
      </c>
      <c r="G90" s="31">
        <v>0</v>
      </c>
      <c r="H90" s="31">
        <v>0</v>
      </c>
      <c r="I90" s="31">
        <f t="shared" si="1"/>
        <v>0</v>
      </c>
      <c r="J90" s="42"/>
      <c r="K90" s="42"/>
      <c r="L90" s="42"/>
      <c r="M90" s="42"/>
      <c r="N90" s="42"/>
    </row>
    <row r="91" spans="2:15" x14ac:dyDescent="0.25">
      <c r="O91" s="12"/>
    </row>
    <row r="92" spans="2:15" ht="13.8" thickBot="1" x14ac:dyDescent="0.3"/>
    <row r="93" spans="2:15" ht="14.4" thickBot="1" x14ac:dyDescent="0.3">
      <c r="B93" s="6" t="s">
        <v>68</v>
      </c>
      <c r="G93" s="45">
        <v>330443.58820417221</v>
      </c>
      <c r="H93" s="79">
        <v>297011.15281190735</v>
      </c>
      <c r="I93" s="79">
        <f t="shared" si="1"/>
        <v>33432.435392264859</v>
      </c>
      <c r="J93" s="86"/>
      <c r="K93" s="86"/>
      <c r="L93" s="86"/>
      <c r="M93" s="86"/>
      <c r="N93" s="86"/>
    </row>
    <row r="94" spans="2:15" ht="13.8" thickTop="1" x14ac:dyDescent="0.25">
      <c r="G94" s="77"/>
      <c r="H94" s="80"/>
    </row>
    <row r="95" spans="2:15" x14ac:dyDescent="0.25">
      <c r="G95" s="77"/>
      <c r="H95" s="80"/>
    </row>
    <row r="96" spans="2:15" x14ac:dyDescent="0.25">
      <c r="G96" s="77"/>
      <c r="H96" s="80"/>
    </row>
    <row r="97" spans="5:8" x14ac:dyDescent="0.25">
      <c r="G97" s="77"/>
      <c r="H97" s="80"/>
    </row>
    <row r="98" spans="5:8" x14ac:dyDescent="0.25">
      <c r="G98" s="77"/>
      <c r="H98" s="80"/>
    </row>
    <row r="99" spans="5:8" x14ac:dyDescent="0.25">
      <c r="G99" s="77"/>
      <c r="H99" s="80"/>
    </row>
    <row r="100" spans="5:8" x14ac:dyDescent="0.25">
      <c r="G100" s="77"/>
      <c r="H100" s="80"/>
    </row>
    <row r="101" spans="5:8" x14ac:dyDescent="0.25">
      <c r="G101" s="77"/>
      <c r="H101" s="80"/>
    </row>
    <row r="102" spans="5:8" ht="13.8" thickBot="1" x14ac:dyDescent="0.3"/>
    <row r="103" spans="5:8" x14ac:dyDescent="0.25">
      <c r="E103" s="50"/>
      <c r="F103" s="51"/>
      <c r="G103" s="52" t="e">
        <f>G115</f>
        <v>#REF!</v>
      </c>
      <c r="H103" s="47"/>
    </row>
    <row r="104" spans="5:8" x14ac:dyDescent="0.25">
      <c r="E104" s="54"/>
      <c r="F104" s="38"/>
      <c r="G104" s="38"/>
    </row>
    <row r="105" spans="5:8" x14ac:dyDescent="0.25">
      <c r="E105" s="54" t="s">
        <v>69</v>
      </c>
      <c r="F105" s="38"/>
      <c r="G105" s="38"/>
    </row>
    <row r="106" spans="5:8" x14ac:dyDescent="0.25">
      <c r="E106" s="54" t="s">
        <v>90</v>
      </c>
      <c r="F106" s="38"/>
      <c r="G106" s="38"/>
    </row>
    <row r="107" spans="5:8" x14ac:dyDescent="0.25">
      <c r="E107" s="54"/>
      <c r="F107" s="38"/>
      <c r="G107" s="38"/>
    </row>
    <row r="108" spans="5:8" x14ac:dyDescent="0.25">
      <c r="E108" s="54" t="s">
        <v>70</v>
      </c>
      <c r="F108" s="38"/>
      <c r="G108" s="38"/>
    </row>
    <row r="109" spans="5:8" x14ac:dyDescent="0.25">
      <c r="E109" s="54" t="s">
        <v>71</v>
      </c>
      <c r="F109" s="38"/>
      <c r="G109" s="38"/>
    </row>
    <row r="110" spans="5:8" x14ac:dyDescent="0.25">
      <c r="E110" s="54" t="s">
        <v>72</v>
      </c>
      <c r="F110" s="38"/>
      <c r="G110" s="38"/>
    </row>
    <row r="111" spans="5:8" x14ac:dyDescent="0.25">
      <c r="E111" s="54"/>
      <c r="F111" s="38"/>
      <c r="G111" s="38"/>
    </row>
    <row r="112" spans="5:8" x14ac:dyDescent="0.25">
      <c r="E112" s="57" t="s">
        <v>73</v>
      </c>
      <c r="F112" s="38"/>
      <c r="G112" s="59">
        <v>353109</v>
      </c>
    </row>
    <row r="113" spans="2:7" x14ac:dyDescent="0.25">
      <c r="E113" s="54" t="s">
        <v>74</v>
      </c>
      <c r="F113" s="38"/>
      <c r="G113" s="61" t="e">
        <f>-#REF!</f>
        <v>#REF!</v>
      </c>
    </row>
    <row r="114" spans="2:7" ht="13.8" thickBot="1" x14ac:dyDescent="0.3">
      <c r="E114" s="54" t="s">
        <v>75</v>
      </c>
      <c r="F114" s="38"/>
      <c r="G114" s="64" t="e">
        <f>SUM(G112:G113)</f>
        <v>#REF!</v>
      </c>
    </row>
    <row r="115" spans="2:7" ht="14.4" thickTop="1" thickBot="1" x14ac:dyDescent="0.3">
      <c r="E115" s="54" t="s">
        <v>76</v>
      </c>
      <c r="F115" s="38"/>
      <c r="G115" s="66" t="e">
        <f>G$114/#REF!</f>
        <v>#REF!</v>
      </c>
    </row>
    <row r="116" spans="2:7" ht="14.4" thickTop="1" thickBot="1" x14ac:dyDescent="0.3">
      <c r="E116" s="67"/>
      <c r="F116" s="68"/>
      <c r="G116" s="69" t="s">
        <v>79</v>
      </c>
    </row>
    <row r="119" spans="2:7" x14ac:dyDescent="0.25">
      <c r="B119" s="2" t="s">
        <v>83</v>
      </c>
      <c r="C119" s="2"/>
      <c r="D119" s="2" t="s">
        <v>139</v>
      </c>
      <c r="E119" s="78"/>
      <c r="F119" s="71"/>
      <c r="G119" s="88"/>
    </row>
    <row r="120" spans="2:7" x14ac:dyDescent="0.25">
      <c r="B120" s="2" t="s">
        <v>84</v>
      </c>
      <c r="C120" s="2"/>
      <c r="D120" s="2"/>
      <c r="E120" s="71"/>
      <c r="F120" s="71"/>
      <c r="G120" s="88"/>
    </row>
    <row r="121" spans="2:7" x14ac:dyDescent="0.25">
      <c r="B121" s="2" t="s">
        <v>80</v>
      </c>
      <c r="C121" s="2"/>
      <c r="D121" s="139" t="s">
        <v>140</v>
      </c>
      <c r="E121" s="71"/>
      <c r="F121" s="71"/>
      <c r="G121" s="49"/>
    </row>
    <row r="122" spans="2:7" x14ac:dyDescent="0.25">
      <c r="B122" s="2" t="s">
        <v>82</v>
      </c>
      <c r="C122" s="2"/>
      <c r="D122" s="139"/>
      <c r="E122" s="71"/>
      <c r="F122" s="71"/>
      <c r="G122" s="75"/>
    </row>
    <row r="123" spans="2:7" x14ac:dyDescent="0.25">
      <c r="B123" s="2" t="s">
        <v>81</v>
      </c>
      <c r="C123" s="2"/>
      <c r="D123" s="139"/>
      <c r="E123" s="71"/>
      <c r="F123" s="71"/>
      <c r="G123" s="49"/>
    </row>
    <row r="124" spans="2:7" x14ac:dyDescent="0.25">
      <c r="E124" s="71"/>
      <c r="F124" s="71"/>
      <c r="G124" s="75"/>
    </row>
    <row r="125" spans="2:7" x14ac:dyDescent="0.25">
      <c r="B125" s="2" t="s">
        <v>91</v>
      </c>
      <c r="D125" s="2" t="s">
        <v>141</v>
      </c>
      <c r="E125" s="71"/>
      <c r="F125" s="71"/>
      <c r="G125" s="76"/>
    </row>
    <row r="126" spans="2:7" x14ac:dyDescent="0.25">
      <c r="D126" s="92" t="s">
        <v>102</v>
      </c>
      <c r="G126" s="63"/>
    </row>
    <row r="127" spans="2:7" x14ac:dyDescent="0.25">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H31" sqref="H31"/>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1.554687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ht="21" thickBot="1" x14ac:dyDescent="0.4">
      <c r="B2" s="1" t="s">
        <v>0</v>
      </c>
      <c r="C2" s="2"/>
      <c r="D2" s="2"/>
      <c r="E2" s="2"/>
      <c r="F2" s="2"/>
      <c r="G2" s="134" t="s">
        <v>132</v>
      </c>
      <c r="H2" s="134"/>
      <c r="I2" s="134"/>
      <c r="J2" s="134"/>
      <c r="K2" s="134"/>
      <c r="L2" s="5"/>
      <c r="M2" s="134" t="s">
        <v>133</v>
      </c>
      <c r="N2" s="134"/>
      <c r="O2" s="134"/>
      <c r="P2" s="134"/>
      <c r="Q2" s="134"/>
      <c r="R2" s="83"/>
      <c r="S2" s="83"/>
      <c r="T2" s="83"/>
      <c r="U2" s="83"/>
      <c r="V2" s="83"/>
    </row>
    <row r="3" spans="2:24" ht="20.399999999999999" x14ac:dyDescent="0.35">
      <c r="B3" s="1" t="s">
        <v>1</v>
      </c>
      <c r="C3" s="2"/>
      <c r="D3" s="2"/>
      <c r="L3" s="5"/>
    </row>
    <row r="4" spans="2:24" x14ac:dyDescent="0.25">
      <c r="B4" s="2" t="s">
        <v>131</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5">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5">
      <c r="D6" s="81"/>
      <c r="E6" s="15"/>
      <c r="G6" s="7"/>
      <c r="H6" s="7" t="s">
        <v>14</v>
      </c>
      <c r="I6" s="7"/>
      <c r="J6" s="7"/>
      <c r="K6" s="7"/>
      <c r="L6" s="5"/>
      <c r="M6" s="7"/>
      <c r="N6" s="7" t="s">
        <v>14</v>
      </c>
      <c r="O6" s="7"/>
      <c r="P6" s="7"/>
      <c r="Q6" s="7"/>
      <c r="R6" s="7"/>
      <c r="S6" s="7"/>
      <c r="T6" s="7"/>
      <c r="U6" s="7"/>
      <c r="V6" s="7"/>
    </row>
    <row r="7" spans="2:24" ht="13.8" thickBot="1" x14ac:dyDescent="0.3">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5">
      <c r="B8" s="2"/>
      <c r="E8" s="15"/>
      <c r="G8" s="9"/>
      <c r="H8" s="9"/>
      <c r="I8" s="9"/>
      <c r="J8" s="9"/>
      <c r="K8" s="9"/>
      <c r="L8" s="5"/>
      <c r="M8" s="9"/>
      <c r="N8" s="9"/>
      <c r="O8" s="9"/>
      <c r="P8" s="9"/>
      <c r="Q8" s="9"/>
      <c r="R8" s="87"/>
      <c r="S8" s="87"/>
      <c r="T8" s="87"/>
      <c r="U8" s="87"/>
      <c r="V8" s="87"/>
    </row>
    <row r="9" spans="2:24" ht="14.4" thickBot="1" x14ac:dyDescent="0.3">
      <c r="B9" s="6" t="s">
        <v>3</v>
      </c>
      <c r="D9" s="3" t="s">
        <v>19</v>
      </c>
      <c r="E9" s="18" t="s">
        <v>20</v>
      </c>
      <c r="G9" s="11">
        <v>8079</v>
      </c>
      <c r="H9" s="11">
        <v>2020</v>
      </c>
      <c r="I9" s="11">
        <v>30681</v>
      </c>
      <c r="J9" s="12">
        <v>0</v>
      </c>
      <c r="K9" s="11">
        <f>SUM(G9:J9)</f>
        <v>40780</v>
      </c>
      <c r="L9" s="5"/>
      <c r="M9" s="11">
        <v>0</v>
      </c>
      <c r="N9" s="11">
        <v>0</v>
      </c>
      <c r="O9" s="11">
        <v>0</v>
      </c>
      <c r="P9" s="12">
        <v>0</v>
      </c>
      <c r="Q9" s="12">
        <f>SUM(M9:P9)</f>
        <v>0</v>
      </c>
      <c r="R9" s="12"/>
      <c r="S9" s="12"/>
      <c r="T9" s="12"/>
      <c r="U9" s="12"/>
      <c r="V9" s="12"/>
    </row>
    <row r="10" spans="2:24" x14ac:dyDescent="0.25">
      <c r="B10" s="2" t="s">
        <v>9</v>
      </c>
      <c r="E10" s="18" t="s">
        <v>21</v>
      </c>
      <c r="G10" s="13">
        <v>179.7</v>
      </c>
      <c r="H10" s="13">
        <v>45.1</v>
      </c>
      <c r="I10" s="13">
        <v>675.8</v>
      </c>
      <c r="J10" s="14">
        <v>0</v>
      </c>
      <c r="K10" s="13">
        <f>SUM(G10:J10)</f>
        <v>900.59999999999991</v>
      </c>
      <c r="L10" s="5"/>
      <c r="M10" s="13">
        <f>G10</f>
        <v>179.7</v>
      </c>
      <c r="N10" s="13">
        <f>H10</f>
        <v>45.1</v>
      </c>
      <c r="O10" s="13">
        <f>I10</f>
        <v>675.8</v>
      </c>
      <c r="P10" s="14">
        <v>0</v>
      </c>
      <c r="Q10" s="14">
        <f>SUM(M10:P10)</f>
        <v>900.59999999999991</v>
      </c>
      <c r="R10" s="85"/>
      <c r="S10" s="85"/>
      <c r="T10" s="85"/>
      <c r="U10" s="85"/>
      <c r="V10" s="85"/>
    </row>
    <row r="11" spans="2:24" x14ac:dyDescent="0.25">
      <c r="E11" s="18"/>
      <c r="G11" s="15"/>
      <c r="H11" s="15"/>
      <c r="I11" s="15"/>
      <c r="K11" s="15"/>
      <c r="L11" s="5"/>
      <c r="M11" s="15"/>
      <c r="N11" s="15"/>
      <c r="O11" s="15"/>
    </row>
    <row r="12" spans="2:24" ht="13.8" thickBot="1" x14ac:dyDescent="0.3">
      <c r="D12" s="3" t="s">
        <v>22</v>
      </c>
      <c r="E12" s="18" t="s">
        <v>20</v>
      </c>
      <c r="G12" s="11">
        <v>8855</v>
      </c>
      <c r="H12" s="11">
        <v>2214</v>
      </c>
      <c r="I12" s="11">
        <v>33206</v>
      </c>
      <c r="J12" s="12">
        <v>0</v>
      </c>
      <c r="K12" s="11">
        <f>SUM(G12:J12)</f>
        <v>44275</v>
      </c>
      <c r="L12" s="5"/>
      <c r="M12" s="11">
        <f t="shared" ref="M12:P13" si="0">G12</f>
        <v>8855</v>
      </c>
      <c r="N12" s="11">
        <f t="shared" si="0"/>
        <v>2214</v>
      </c>
      <c r="O12" s="11">
        <f>I12</f>
        <v>33206</v>
      </c>
      <c r="P12" s="11">
        <f t="shared" si="0"/>
        <v>0</v>
      </c>
      <c r="Q12" s="12">
        <f>SUM(M12:P12)</f>
        <v>44275</v>
      </c>
      <c r="R12" s="12"/>
      <c r="S12" s="12"/>
      <c r="T12" s="12"/>
      <c r="U12" s="12"/>
      <c r="V12" s="12"/>
    </row>
    <row r="13" spans="2:24" ht="13.8" thickBot="1" x14ac:dyDescent="0.3">
      <c r="E13" s="18" t="s">
        <v>21</v>
      </c>
      <c r="G13" s="13">
        <v>161.19999999999999</v>
      </c>
      <c r="H13" s="13">
        <v>40.4</v>
      </c>
      <c r="I13" s="13">
        <v>604.70000000000005</v>
      </c>
      <c r="J13" s="14">
        <v>0</v>
      </c>
      <c r="K13" s="13">
        <f>SUM(G13:J13)</f>
        <v>806.30000000000007</v>
      </c>
      <c r="L13" s="5"/>
      <c r="M13" s="13">
        <f t="shared" si="0"/>
        <v>161.19999999999999</v>
      </c>
      <c r="N13" s="13">
        <f t="shared" si="0"/>
        <v>40.4</v>
      </c>
      <c r="O13" s="13">
        <f t="shared" si="0"/>
        <v>604.70000000000005</v>
      </c>
      <c r="P13" s="14">
        <v>0</v>
      </c>
      <c r="Q13" s="14">
        <f>SUM(M13:P13)</f>
        <v>806.30000000000007</v>
      </c>
      <c r="R13" s="85"/>
      <c r="S13" s="85"/>
      <c r="T13" s="85"/>
      <c r="U13" s="85"/>
      <c r="V13" s="85"/>
    </row>
    <row r="14" spans="2:24" x14ac:dyDescent="0.25">
      <c r="E14" s="15"/>
      <c r="G14" s="15"/>
      <c r="H14" s="15"/>
      <c r="I14" s="15"/>
      <c r="K14" s="15"/>
      <c r="L14" s="5"/>
      <c r="M14" s="15"/>
      <c r="N14" s="15"/>
      <c r="O14" s="15"/>
      <c r="X14" s="16" t="s">
        <v>86</v>
      </c>
    </row>
    <row r="15" spans="2:24" x14ac:dyDescent="0.25">
      <c r="D15" s="3" t="s">
        <v>23</v>
      </c>
      <c r="E15" s="18" t="s">
        <v>24</v>
      </c>
      <c r="G15" s="11">
        <f>2714+(10306*(G10/K10))</f>
        <v>4770.3937375083278</v>
      </c>
      <c r="H15" s="11">
        <f>679+(10306*(H10/K10))</f>
        <v>1195.101043748612</v>
      </c>
      <c r="I15" s="11">
        <f>10306*(I10/K10)</f>
        <v>7733.5052187430601</v>
      </c>
      <c r="J15" s="12"/>
      <c r="K15" s="11">
        <f t="shared" ref="K15:K20" si="1">SUM(G15:J15)</f>
        <v>13699</v>
      </c>
      <c r="L15" s="5"/>
      <c r="M15" s="11">
        <v>0</v>
      </c>
      <c r="N15" s="11">
        <v>0</v>
      </c>
      <c r="O15" s="11">
        <v>0</v>
      </c>
      <c r="P15" s="12">
        <v>0</v>
      </c>
      <c r="Q15" s="12">
        <f t="shared" ref="Q15:Q20" si="2">SUM(M15:P15)</f>
        <v>0</v>
      </c>
      <c r="R15" s="12"/>
      <c r="S15" s="12"/>
      <c r="T15" s="12"/>
      <c r="U15" s="12"/>
      <c r="V15" s="12"/>
      <c r="X15" s="17"/>
    </row>
    <row r="16" spans="2:24" x14ac:dyDescent="0.25">
      <c r="D16" s="3" t="s">
        <v>25</v>
      </c>
      <c r="E16" s="18" t="s">
        <v>26</v>
      </c>
      <c r="G16" s="11">
        <f>1001+(3752*(G13/K13))</f>
        <v>1751.1207987101575</v>
      </c>
      <c r="H16" s="11">
        <f>250+(3752*(H13/K13))</f>
        <v>437.99553516061019</v>
      </c>
      <c r="I16" s="11">
        <f>3752*(I13/K13)</f>
        <v>2813.8836661292321</v>
      </c>
      <c r="J16" s="12"/>
      <c r="K16" s="11">
        <f t="shared" si="1"/>
        <v>5003</v>
      </c>
      <c r="L16" s="5"/>
      <c r="M16" s="11">
        <f>G16</f>
        <v>1751.1207987101575</v>
      </c>
      <c r="N16" s="11">
        <f>H16</f>
        <v>437.99553516061019</v>
      </c>
      <c r="O16" s="11">
        <f>I16</f>
        <v>2813.8836661292321</v>
      </c>
      <c r="P16" s="11">
        <f>J16</f>
        <v>0</v>
      </c>
      <c r="Q16" s="12">
        <f t="shared" si="2"/>
        <v>5003</v>
      </c>
      <c r="R16" s="12"/>
      <c r="S16" s="12"/>
      <c r="T16" s="12"/>
      <c r="U16" s="12"/>
      <c r="V16" s="12"/>
      <c r="X16" s="17" t="s">
        <v>87</v>
      </c>
    </row>
    <row r="17" spans="2:24" x14ac:dyDescent="0.25">
      <c r="E17" s="18" t="s">
        <v>27</v>
      </c>
      <c r="G17" s="11">
        <f>129+(484*(G10/K10))</f>
        <v>225.57428381079279</v>
      </c>
      <c r="H17" s="11">
        <f>32+(484*(H10/K10))</f>
        <v>56.237619364867868</v>
      </c>
      <c r="I17" s="11">
        <f>484*(I10/K10)</f>
        <v>363.18809682433931</v>
      </c>
      <c r="J17" s="12"/>
      <c r="K17" s="11">
        <f t="shared" si="1"/>
        <v>645</v>
      </c>
      <c r="L17" s="5"/>
      <c r="M17" s="11">
        <v>0</v>
      </c>
      <c r="N17" s="11">
        <v>0</v>
      </c>
      <c r="O17" s="11">
        <v>0</v>
      </c>
      <c r="P17" s="12">
        <v>0</v>
      </c>
      <c r="Q17" s="12">
        <f t="shared" si="2"/>
        <v>0</v>
      </c>
      <c r="R17" s="12"/>
      <c r="S17" s="12"/>
      <c r="T17" s="12"/>
      <c r="U17" s="12"/>
      <c r="V17" s="12"/>
      <c r="X17" s="19">
        <f>395196+21379</f>
        <v>416575</v>
      </c>
    </row>
    <row r="18" spans="2:24" x14ac:dyDescent="0.25">
      <c r="E18" s="18" t="s">
        <v>28</v>
      </c>
      <c r="G18" s="20">
        <v>1365</v>
      </c>
      <c r="H18" s="11">
        <v>341</v>
      </c>
      <c r="I18" s="11">
        <v>5121</v>
      </c>
      <c r="J18" s="12">
        <v>0</v>
      </c>
      <c r="K18" s="11">
        <f t="shared" si="1"/>
        <v>6827</v>
      </c>
      <c r="L18" s="5"/>
      <c r="M18" s="11">
        <v>0</v>
      </c>
      <c r="N18" s="11">
        <v>0</v>
      </c>
      <c r="O18" s="11">
        <v>0</v>
      </c>
      <c r="P18" s="12">
        <v>0</v>
      </c>
      <c r="Q18" s="12">
        <f t="shared" si="2"/>
        <v>0</v>
      </c>
      <c r="R18" s="12"/>
      <c r="S18" s="12"/>
      <c r="T18" s="12"/>
      <c r="U18" s="12"/>
      <c r="V18" s="12"/>
      <c r="X18" s="17"/>
    </row>
    <row r="19" spans="2:24" x14ac:dyDescent="0.25">
      <c r="E19" s="18" t="s">
        <v>29</v>
      </c>
      <c r="G19" s="11">
        <v>20745</v>
      </c>
      <c r="H19" s="11">
        <v>4082</v>
      </c>
      <c r="I19" s="11">
        <v>0</v>
      </c>
      <c r="J19" s="12">
        <v>0</v>
      </c>
      <c r="K19" s="11">
        <f t="shared" si="1"/>
        <v>24827</v>
      </c>
      <c r="L19" s="5"/>
      <c r="M19" s="11">
        <f>G19</f>
        <v>20745</v>
      </c>
      <c r="N19" s="11">
        <f>H19</f>
        <v>4082</v>
      </c>
      <c r="O19" s="11">
        <f>I19</f>
        <v>0</v>
      </c>
      <c r="P19" s="11">
        <f>J19</f>
        <v>0</v>
      </c>
      <c r="Q19" s="12">
        <f t="shared" si="2"/>
        <v>24827</v>
      </c>
      <c r="R19" s="12"/>
      <c r="S19" s="12"/>
      <c r="T19" s="12"/>
      <c r="U19" s="12"/>
      <c r="V19" s="12"/>
      <c r="X19" s="17" t="s">
        <v>88</v>
      </c>
    </row>
    <row r="20" spans="2:24" x14ac:dyDescent="0.25">
      <c r="E20" s="18" t="s">
        <v>30</v>
      </c>
      <c r="G20" s="21">
        <v>-125</v>
      </c>
      <c r="H20" s="21">
        <v>-45</v>
      </c>
      <c r="I20" s="21">
        <v>-674</v>
      </c>
      <c r="J20" s="22">
        <v>0</v>
      </c>
      <c r="K20" s="21">
        <f t="shared" si="1"/>
        <v>-844</v>
      </c>
      <c r="L20" s="5"/>
      <c r="M20" s="11">
        <v>0</v>
      </c>
      <c r="N20" s="11">
        <v>0</v>
      </c>
      <c r="O20" s="11">
        <v>0</v>
      </c>
      <c r="P20" s="12">
        <v>0</v>
      </c>
      <c r="Q20" s="12">
        <f t="shared" si="2"/>
        <v>0</v>
      </c>
      <c r="R20" s="12"/>
      <c r="S20" s="12"/>
      <c r="T20" s="12"/>
      <c r="U20" s="12"/>
      <c r="V20" s="12"/>
      <c r="X20" s="19">
        <f>31030+1679</f>
        <v>32709</v>
      </c>
    </row>
    <row r="21" spans="2:24" x14ac:dyDescent="0.25">
      <c r="D21" s="2" t="s">
        <v>31</v>
      </c>
      <c r="E21" s="18"/>
      <c r="G21" s="23">
        <f>G9+G12+SUM(G15:G20)</f>
        <v>45666.088820029276</v>
      </c>
      <c r="H21" s="23">
        <f t="shared" ref="H21:K21" si="3">H9+H12+SUM(H15:H20)</f>
        <v>10301.334198274089</v>
      </c>
      <c r="I21" s="23">
        <f t="shared" si="3"/>
        <v>79244.576981696635</v>
      </c>
      <c r="J21" s="23">
        <f t="shared" si="3"/>
        <v>0</v>
      </c>
      <c r="K21" s="23">
        <f t="shared" si="3"/>
        <v>135212</v>
      </c>
      <c r="L21" s="5"/>
      <c r="M21" s="25">
        <f>M9+M12+SUM(M15:M20)</f>
        <v>31351.120798710159</v>
      </c>
      <c r="N21" s="25">
        <f>N9+N12+SUM(N15:N20)</f>
        <v>6733.9955351606104</v>
      </c>
      <c r="O21" s="25">
        <f>O9+O12+SUM(O15:O20)</f>
        <v>36019.88366612923</v>
      </c>
      <c r="P21" s="26">
        <f>P9+P12+SUM(P15:P20)</f>
        <v>0</v>
      </c>
      <c r="Q21" s="26">
        <f>Q9+Q12+SUM(Q15:Q20)</f>
        <v>74105</v>
      </c>
      <c r="R21" s="86"/>
      <c r="S21" s="86"/>
      <c r="T21" s="86"/>
      <c r="U21" s="86"/>
      <c r="V21" s="86"/>
      <c r="X21" s="17"/>
    </row>
    <row r="22" spans="2:24" x14ac:dyDescent="0.25">
      <c r="E22" s="18"/>
      <c r="G22" s="11"/>
      <c r="H22" s="11"/>
      <c r="I22" s="11"/>
      <c r="J22" s="12"/>
      <c r="K22" s="11"/>
      <c r="L22" s="5"/>
      <c r="M22" s="27"/>
      <c r="N22" s="11"/>
      <c r="O22" s="11"/>
      <c r="P22" s="12"/>
      <c r="Q22" s="12"/>
      <c r="R22" s="12"/>
      <c r="S22" s="12"/>
      <c r="T22" s="12"/>
      <c r="U22" s="12"/>
      <c r="V22" s="12"/>
      <c r="X22" s="17" t="s">
        <v>89</v>
      </c>
    </row>
    <row r="23" spans="2:24" ht="13.8" thickBot="1" x14ac:dyDescent="0.3">
      <c r="B23" s="2" t="s">
        <v>32</v>
      </c>
      <c r="E23" s="18" t="s">
        <v>33</v>
      </c>
      <c r="G23" s="21">
        <v>5516</v>
      </c>
      <c r="H23" s="21">
        <v>1191</v>
      </c>
      <c r="I23" s="21">
        <v>21326</v>
      </c>
      <c r="J23" s="22">
        <v>0</v>
      </c>
      <c r="K23" s="21">
        <f>SUM(G23:J23)</f>
        <v>28033</v>
      </c>
      <c r="L23" s="5"/>
      <c r="M23" s="21">
        <f>$Q$23*G$115</f>
        <v>718.82074437947938</v>
      </c>
      <c r="N23" s="21">
        <f>$Q$23*H$115</f>
        <v>115.75432870001268</v>
      </c>
      <c r="O23" s="21">
        <f>$Q$23*I$115</f>
        <v>1366.5445260323127</v>
      </c>
      <c r="P23" s="21">
        <v>0</v>
      </c>
      <c r="Q23" s="21">
        <f>K23*X23</f>
        <v>2201.1195991118047</v>
      </c>
      <c r="R23" s="29"/>
      <c r="S23" s="29"/>
      <c r="T23" s="29"/>
      <c r="U23" s="29"/>
      <c r="V23" s="29"/>
      <c r="X23" s="28">
        <f>X20/X17</f>
        <v>7.8518874152313511E-2</v>
      </c>
    </row>
    <row r="24" spans="2:24" x14ac:dyDescent="0.25">
      <c r="B24" s="2"/>
      <c r="D24" s="2" t="s">
        <v>34</v>
      </c>
      <c r="E24" s="18"/>
      <c r="G24" s="23">
        <f>SUM(G23)</f>
        <v>5516</v>
      </c>
      <c r="H24" s="23">
        <f>SUM(H23)</f>
        <v>1191</v>
      </c>
      <c r="I24" s="23">
        <f>SUM(I23)</f>
        <v>21326</v>
      </c>
      <c r="J24" s="24">
        <f>SUM(J23)</f>
        <v>0</v>
      </c>
      <c r="K24" s="23">
        <f>SUM(G24:J24)</f>
        <v>28033</v>
      </c>
      <c r="L24" s="5"/>
      <c r="M24" s="23">
        <f>SUM(M23)</f>
        <v>718.82074437947938</v>
      </c>
      <c r="N24" s="23">
        <f>SUM(N23)</f>
        <v>115.75432870001268</v>
      </c>
      <c r="O24" s="23">
        <f>SUM(O23)</f>
        <v>1366.5445260323127</v>
      </c>
      <c r="P24" s="24">
        <f>SUM(P23)</f>
        <v>0</v>
      </c>
      <c r="Q24" s="24">
        <f>SUM(M24:P24)</f>
        <v>2201.1195991118047</v>
      </c>
      <c r="R24" s="24"/>
      <c r="S24" s="24"/>
      <c r="T24" s="24"/>
      <c r="U24" s="24"/>
      <c r="V24" s="24"/>
    </row>
    <row r="25" spans="2:24" x14ac:dyDescent="0.25">
      <c r="B25" s="2"/>
      <c r="E25" s="15"/>
      <c r="G25" s="15"/>
      <c r="H25" s="15"/>
      <c r="I25" s="15"/>
      <c r="K25" s="15"/>
      <c r="L25" s="5"/>
      <c r="M25" s="15"/>
      <c r="N25" s="15"/>
      <c r="O25" s="15"/>
    </row>
    <row r="26" spans="2:24" x14ac:dyDescent="0.25">
      <c r="B26" s="2" t="s">
        <v>35</v>
      </c>
      <c r="E26" s="18" t="s">
        <v>36</v>
      </c>
      <c r="F26" s="15"/>
      <c r="G26" s="11">
        <v>85</v>
      </c>
      <c r="H26" s="11">
        <v>16</v>
      </c>
      <c r="I26" s="11">
        <v>347</v>
      </c>
      <c r="J26" s="12">
        <v>0</v>
      </c>
      <c r="K26" s="11">
        <f t="shared" ref="K26:K31" si="4">SUM(G26:J26)</f>
        <v>448</v>
      </c>
      <c r="L26" s="5"/>
      <c r="M26" s="29">
        <v>0</v>
      </c>
      <c r="N26" s="29">
        <v>0</v>
      </c>
      <c r="O26" s="29">
        <v>0</v>
      </c>
      <c r="P26" s="12">
        <v>0</v>
      </c>
      <c r="Q26" s="12">
        <f t="shared" ref="Q26:Q31" si="5">SUM(M26:P26)</f>
        <v>0</v>
      </c>
      <c r="R26" s="12"/>
      <c r="S26" s="12"/>
      <c r="T26" s="12"/>
      <c r="U26" s="12"/>
      <c r="V26" s="12"/>
    </row>
    <row r="27" spans="2:24" x14ac:dyDescent="0.25">
      <c r="B27" s="2"/>
      <c r="E27" s="18" t="s">
        <v>37</v>
      </c>
      <c r="G27" s="11">
        <v>341</v>
      </c>
      <c r="H27" s="11">
        <v>85</v>
      </c>
      <c r="I27" s="11">
        <v>1277</v>
      </c>
      <c r="J27" s="12">
        <v>0</v>
      </c>
      <c r="K27" s="11">
        <f t="shared" si="4"/>
        <v>1703</v>
      </c>
      <c r="L27" s="5"/>
      <c r="M27" s="11">
        <f>G27</f>
        <v>341</v>
      </c>
      <c r="N27" s="11">
        <f>H27</f>
        <v>85</v>
      </c>
      <c r="O27" s="11">
        <f>I27</f>
        <v>1277</v>
      </c>
      <c r="P27" s="11">
        <f>J27</f>
        <v>0</v>
      </c>
      <c r="Q27" s="12">
        <f>SUM(M27:P27)</f>
        <v>1703</v>
      </c>
      <c r="R27" s="12"/>
      <c r="S27" s="12"/>
      <c r="T27" s="12"/>
      <c r="U27" s="12"/>
      <c r="V27" s="12"/>
    </row>
    <row r="28" spans="2:24" x14ac:dyDescent="0.25">
      <c r="B28" s="2"/>
      <c r="E28" s="15" t="s">
        <v>38</v>
      </c>
      <c r="G28" s="11">
        <v>0</v>
      </c>
      <c r="H28" s="11">
        <v>0</v>
      </c>
      <c r="I28" s="11">
        <v>0</v>
      </c>
      <c r="J28" s="12">
        <v>0</v>
      </c>
      <c r="K28" s="11">
        <f t="shared" si="4"/>
        <v>0</v>
      </c>
      <c r="L28" s="5"/>
      <c r="M28" s="11">
        <v>0</v>
      </c>
      <c r="N28" s="11">
        <v>0</v>
      </c>
      <c r="O28" s="11">
        <v>0</v>
      </c>
      <c r="P28" s="12">
        <v>0</v>
      </c>
      <c r="Q28" s="12">
        <f t="shared" si="5"/>
        <v>0</v>
      </c>
      <c r="R28" s="12"/>
      <c r="S28" s="12"/>
      <c r="T28" s="12"/>
      <c r="U28" s="12"/>
      <c r="V28" s="12"/>
    </row>
    <row r="29" spans="2:24" x14ac:dyDescent="0.25">
      <c r="B29" s="2"/>
      <c r="E29" s="18" t="s">
        <v>39</v>
      </c>
      <c r="G29" s="11">
        <v>197</v>
      </c>
      <c r="H29" s="11">
        <v>49</v>
      </c>
      <c r="I29" s="11">
        <v>740</v>
      </c>
      <c r="J29" s="12">
        <v>0</v>
      </c>
      <c r="K29" s="11">
        <f t="shared" si="4"/>
        <v>986</v>
      </c>
      <c r="L29" s="5"/>
      <c r="M29" s="11">
        <f t="shared" ref="M29:P30" si="6">G29</f>
        <v>197</v>
      </c>
      <c r="N29" s="11">
        <f t="shared" si="6"/>
        <v>49</v>
      </c>
      <c r="O29" s="11">
        <f t="shared" si="6"/>
        <v>740</v>
      </c>
      <c r="P29" s="11">
        <f t="shared" si="6"/>
        <v>0</v>
      </c>
      <c r="Q29" s="12">
        <f t="shared" si="5"/>
        <v>986</v>
      </c>
      <c r="R29" s="12"/>
      <c r="S29" s="12"/>
      <c r="T29" s="12"/>
      <c r="U29" s="12"/>
      <c r="V29" s="12"/>
    </row>
    <row r="30" spans="2:24" x14ac:dyDescent="0.25">
      <c r="B30" s="2"/>
      <c r="E30" s="10" t="s">
        <v>40</v>
      </c>
      <c r="G30" s="21">
        <v>0</v>
      </c>
      <c r="H30" s="21">
        <v>0</v>
      </c>
      <c r="I30" s="21">
        <v>0</v>
      </c>
      <c r="J30" s="22">
        <v>0</v>
      </c>
      <c r="K30" s="21">
        <f t="shared" si="4"/>
        <v>0</v>
      </c>
      <c r="L30" s="5"/>
      <c r="M30" s="21">
        <f t="shared" si="6"/>
        <v>0</v>
      </c>
      <c r="N30" s="21">
        <f t="shared" si="6"/>
        <v>0</v>
      </c>
      <c r="O30" s="21">
        <f>I30</f>
        <v>0</v>
      </c>
      <c r="P30" s="21">
        <f>J30</f>
        <v>0</v>
      </c>
      <c r="Q30" s="22">
        <f t="shared" si="5"/>
        <v>0</v>
      </c>
      <c r="R30" s="82"/>
      <c r="S30" s="82"/>
      <c r="T30" s="82"/>
      <c r="U30" s="82"/>
      <c r="V30" s="82"/>
    </row>
    <row r="31" spans="2:24" x14ac:dyDescent="0.25">
      <c r="B31" s="2"/>
      <c r="D31" s="2" t="s">
        <v>41</v>
      </c>
      <c r="G31" s="24">
        <f>SUM(G26:G30)</f>
        <v>623</v>
      </c>
      <c r="H31" s="24">
        <f>SUM(H11:H23)</f>
        <v>19814.06839654818</v>
      </c>
      <c r="I31" s="24">
        <f>SUM(I26:I30)</f>
        <v>2364</v>
      </c>
      <c r="J31" s="24">
        <f>SUM(J26:J30)</f>
        <v>0</v>
      </c>
      <c r="K31" s="23">
        <f t="shared" si="4"/>
        <v>22801.06839654818</v>
      </c>
      <c r="L31" s="5"/>
      <c r="M31" s="23">
        <f>SUM(M26:M30)</f>
        <v>538</v>
      </c>
      <c r="N31" s="23">
        <f>SUM(N26:N30)</f>
        <v>134</v>
      </c>
      <c r="O31" s="23">
        <f>SUM(O26:O30)</f>
        <v>2017</v>
      </c>
      <c r="P31" s="24">
        <f>SUM(P26:P30)</f>
        <v>0</v>
      </c>
      <c r="Q31" s="24">
        <f t="shared" si="5"/>
        <v>2689</v>
      </c>
      <c r="R31" s="24"/>
      <c r="S31" s="24"/>
      <c r="T31" s="24"/>
      <c r="U31" s="24"/>
      <c r="V31" s="24"/>
    </row>
    <row r="32" spans="2:24" x14ac:dyDescent="0.25">
      <c r="B32" s="2"/>
      <c r="K32" s="15"/>
      <c r="L32" s="5"/>
    </row>
    <row r="33" spans="2:22" x14ac:dyDescent="0.25">
      <c r="B33" s="2" t="s">
        <v>42</v>
      </c>
      <c r="D33" s="2" t="s">
        <v>43</v>
      </c>
      <c r="E33" s="3" t="s">
        <v>44</v>
      </c>
      <c r="G33" s="11">
        <v>2557</v>
      </c>
      <c r="H33" s="11">
        <v>0</v>
      </c>
      <c r="I33" s="11">
        <v>0</v>
      </c>
      <c r="J33" s="11">
        <v>0</v>
      </c>
      <c r="K33" s="11">
        <f>SUM(G33:J33)</f>
        <v>2557</v>
      </c>
      <c r="L33" s="5"/>
      <c r="M33" s="12">
        <f t="shared" ref="M33:P34" si="7">G33</f>
        <v>2557</v>
      </c>
      <c r="N33" s="12">
        <f t="shared" si="7"/>
        <v>0</v>
      </c>
      <c r="O33" s="12">
        <f t="shared" si="7"/>
        <v>0</v>
      </c>
      <c r="P33" s="12">
        <f t="shared" si="7"/>
        <v>0</v>
      </c>
      <c r="Q33" s="12">
        <f>SUM(M33:P33)</f>
        <v>2557</v>
      </c>
      <c r="R33" s="12"/>
      <c r="S33" s="12"/>
      <c r="T33" s="12"/>
      <c r="U33" s="12"/>
      <c r="V33" s="12"/>
    </row>
    <row r="34" spans="2:22" x14ac:dyDescent="0.25">
      <c r="B34" s="2" t="s">
        <v>45</v>
      </c>
      <c r="D34" s="2" t="s">
        <v>46</v>
      </c>
      <c r="E34" s="3" t="s">
        <v>47</v>
      </c>
      <c r="G34" s="11">
        <v>676</v>
      </c>
      <c r="H34" s="11">
        <v>0</v>
      </c>
      <c r="I34" s="11">
        <v>0</v>
      </c>
      <c r="J34" s="11">
        <v>0</v>
      </c>
      <c r="K34" s="11">
        <f>SUM(G34:J34)</f>
        <v>676</v>
      </c>
      <c r="L34" s="5"/>
      <c r="M34" s="12">
        <f t="shared" si="7"/>
        <v>676</v>
      </c>
      <c r="N34" s="12">
        <f t="shared" si="7"/>
        <v>0</v>
      </c>
      <c r="O34" s="12">
        <f t="shared" si="7"/>
        <v>0</v>
      </c>
      <c r="P34" s="12">
        <f t="shared" si="7"/>
        <v>0</v>
      </c>
      <c r="Q34" s="12">
        <f>SUM(M34:P34)</f>
        <v>676</v>
      </c>
      <c r="R34" s="12"/>
      <c r="S34" s="12"/>
      <c r="T34" s="12"/>
      <c r="U34" s="12"/>
      <c r="V34" s="12"/>
    </row>
    <row r="35" spans="2:22" x14ac:dyDescent="0.25">
      <c r="D35" s="2"/>
      <c r="G35" s="15"/>
      <c r="H35" s="15"/>
      <c r="I35" s="15"/>
      <c r="J35" s="15"/>
      <c r="K35" s="15"/>
      <c r="L35" s="5"/>
      <c r="Q35" s="12"/>
      <c r="R35" s="12"/>
      <c r="S35" s="12"/>
      <c r="T35" s="12"/>
      <c r="U35" s="12"/>
      <c r="V35" s="12"/>
    </row>
    <row r="36" spans="2:22" x14ac:dyDescent="0.25">
      <c r="D36" s="2" t="s">
        <v>48</v>
      </c>
      <c r="E36" s="3" t="s">
        <v>49</v>
      </c>
      <c r="G36" s="11">
        <v>466</v>
      </c>
      <c r="H36" s="11"/>
      <c r="I36" s="11">
        <v>0</v>
      </c>
      <c r="J36" s="11">
        <v>0</v>
      </c>
      <c r="K36" s="11">
        <f>SUM(G36:J36)</f>
        <v>466</v>
      </c>
      <c r="L36" s="5"/>
      <c r="M36" s="12">
        <f t="shared" ref="M36:P39" si="8">G36</f>
        <v>466</v>
      </c>
      <c r="N36" s="12">
        <f t="shared" si="8"/>
        <v>0</v>
      </c>
      <c r="O36" s="12">
        <f t="shared" si="8"/>
        <v>0</v>
      </c>
      <c r="P36" s="12">
        <f t="shared" si="8"/>
        <v>0</v>
      </c>
      <c r="Q36" s="12">
        <f>SUM(M36:P36)</f>
        <v>466</v>
      </c>
      <c r="R36" s="12"/>
      <c r="S36" s="12"/>
      <c r="T36" s="12"/>
      <c r="U36" s="12"/>
      <c r="V36" s="12"/>
    </row>
    <row r="37" spans="2:22" x14ac:dyDescent="0.25">
      <c r="D37" s="2" t="s">
        <v>50</v>
      </c>
      <c r="E37" s="3" t="s">
        <v>51</v>
      </c>
      <c r="G37" s="11">
        <v>1279</v>
      </c>
      <c r="H37" s="11">
        <v>0</v>
      </c>
      <c r="I37" s="11">
        <v>0</v>
      </c>
      <c r="J37" s="11">
        <v>0</v>
      </c>
      <c r="K37" s="11">
        <f>SUM(G37:J37)</f>
        <v>1279</v>
      </c>
      <c r="L37" s="5"/>
      <c r="M37" s="12">
        <f t="shared" si="8"/>
        <v>1279</v>
      </c>
      <c r="N37" s="12">
        <f t="shared" si="8"/>
        <v>0</v>
      </c>
      <c r="O37" s="12">
        <f t="shared" si="8"/>
        <v>0</v>
      </c>
      <c r="P37" s="12">
        <f t="shared" si="8"/>
        <v>0</v>
      </c>
      <c r="Q37" s="12">
        <f>SUM(M37:P37)</f>
        <v>1279</v>
      </c>
      <c r="R37" s="12"/>
      <c r="S37" s="12"/>
      <c r="T37" s="12"/>
      <c r="U37" s="12"/>
      <c r="V37" s="12"/>
    </row>
    <row r="38" spans="2:22" x14ac:dyDescent="0.25">
      <c r="D38" s="2"/>
      <c r="E38" s="3" t="s">
        <v>52</v>
      </c>
      <c r="G38" s="11">
        <v>0</v>
      </c>
      <c r="H38" s="11">
        <v>0</v>
      </c>
      <c r="I38" s="11">
        <v>0</v>
      </c>
      <c r="J38" s="11">
        <v>0</v>
      </c>
      <c r="K38" s="11">
        <f>SUM(G38:J38)</f>
        <v>0</v>
      </c>
      <c r="L38" s="5"/>
      <c r="M38" s="12">
        <f t="shared" si="8"/>
        <v>0</v>
      </c>
      <c r="N38" s="12">
        <f t="shared" si="8"/>
        <v>0</v>
      </c>
      <c r="O38" s="12">
        <f t="shared" si="8"/>
        <v>0</v>
      </c>
      <c r="P38" s="12">
        <f t="shared" si="8"/>
        <v>0</v>
      </c>
      <c r="Q38" s="12">
        <f>SUM(M38:P38)</f>
        <v>0</v>
      </c>
      <c r="R38" s="12"/>
      <c r="S38" s="12"/>
      <c r="T38" s="12"/>
      <c r="U38" s="12"/>
      <c r="V38" s="12"/>
    </row>
    <row r="39" spans="2:22" x14ac:dyDescent="0.25">
      <c r="D39" s="2"/>
      <c r="E39" s="3" t="s">
        <v>53</v>
      </c>
      <c r="G39" s="11">
        <v>8203</v>
      </c>
      <c r="H39" s="11">
        <v>0</v>
      </c>
      <c r="I39" s="11"/>
      <c r="J39" s="11">
        <v>0</v>
      </c>
      <c r="K39" s="11">
        <f>SUM(G39:J39)</f>
        <v>8203</v>
      </c>
      <c r="L39" s="5"/>
      <c r="M39" s="12">
        <f t="shared" si="8"/>
        <v>8203</v>
      </c>
      <c r="N39" s="12">
        <f t="shared" si="8"/>
        <v>0</v>
      </c>
      <c r="O39" s="12">
        <f t="shared" si="8"/>
        <v>0</v>
      </c>
      <c r="P39" s="12">
        <f t="shared" si="8"/>
        <v>0</v>
      </c>
      <c r="Q39" s="12">
        <f>SUM(M39:P39)</f>
        <v>8203</v>
      </c>
      <c r="R39" s="12"/>
      <c r="S39" s="12"/>
      <c r="T39" s="12"/>
      <c r="U39" s="12"/>
      <c r="V39" s="12"/>
    </row>
    <row r="40" spans="2:22" x14ac:dyDescent="0.25">
      <c r="D40" s="2"/>
      <c r="G40" s="15"/>
      <c r="H40" s="15"/>
      <c r="I40" s="15"/>
      <c r="J40" s="15"/>
      <c r="K40" s="15"/>
      <c r="L40" s="5"/>
      <c r="Q40" s="12"/>
      <c r="R40" s="12"/>
      <c r="S40" s="12"/>
      <c r="T40" s="12"/>
      <c r="U40" s="12"/>
      <c r="V40" s="12"/>
    </row>
    <row r="41" spans="2:22" x14ac:dyDescent="0.25">
      <c r="D41" s="2" t="s">
        <v>54</v>
      </c>
      <c r="G41" s="11">
        <v>1034</v>
      </c>
      <c r="H41" s="11">
        <f>H11</f>
        <v>0</v>
      </c>
      <c r="I41" s="11">
        <v>0</v>
      </c>
      <c r="J41" s="11">
        <v>0</v>
      </c>
      <c r="K41" s="11">
        <f>SUM(G41:J41)</f>
        <v>1034</v>
      </c>
      <c r="L41" s="5"/>
      <c r="M41" s="12">
        <f>G41</f>
        <v>1034</v>
      </c>
      <c r="N41" s="12">
        <f>H41</f>
        <v>0</v>
      </c>
      <c r="O41" s="12">
        <f>I41</f>
        <v>0</v>
      </c>
      <c r="P41" s="12">
        <f>J41</f>
        <v>0</v>
      </c>
      <c r="Q41" s="12">
        <f>SUM(M41:P41)</f>
        <v>1034</v>
      </c>
      <c r="R41" s="12"/>
      <c r="S41" s="12"/>
      <c r="T41" s="12"/>
      <c r="U41" s="12"/>
      <c r="V41" s="12"/>
    </row>
    <row r="42" spans="2:22" x14ac:dyDescent="0.25">
      <c r="D42" s="2"/>
      <c r="G42" s="15"/>
      <c r="H42" s="15"/>
      <c r="I42" s="15"/>
      <c r="J42" s="15"/>
      <c r="L42" s="5"/>
    </row>
    <row r="43" spans="2:22" x14ac:dyDescent="0.25">
      <c r="D43" s="2" t="s">
        <v>55</v>
      </c>
      <c r="G43" s="11">
        <v>0</v>
      </c>
      <c r="H43" s="11">
        <f>H13+H17+H15</f>
        <v>1291.73866311348</v>
      </c>
      <c r="I43" s="11">
        <v>0</v>
      </c>
      <c r="J43" s="11">
        <v>0</v>
      </c>
      <c r="K43" s="12">
        <f>SUM(G43:J43)</f>
        <v>1291.73866311348</v>
      </c>
      <c r="L43" s="5"/>
      <c r="M43" s="12">
        <f>G43</f>
        <v>0</v>
      </c>
      <c r="N43" s="12">
        <f>H43</f>
        <v>1291.73866311348</v>
      </c>
      <c r="O43" s="12">
        <f>I43</f>
        <v>0</v>
      </c>
      <c r="P43" s="12">
        <f>J43</f>
        <v>0</v>
      </c>
      <c r="Q43" s="12">
        <f>SUM(M43:P43)</f>
        <v>1291.73866311348</v>
      </c>
      <c r="R43" s="12"/>
      <c r="S43" s="12"/>
      <c r="T43" s="12"/>
      <c r="U43" s="12"/>
      <c r="V43" s="12"/>
    </row>
    <row r="44" spans="2:22" x14ac:dyDescent="0.25">
      <c r="D44" s="2"/>
      <c r="G44" s="15"/>
      <c r="H44" s="15"/>
      <c r="I44" s="15"/>
      <c r="J44" s="15"/>
      <c r="L44" s="5"/>
    </row>
    <row r="45" spans="2:22" x14ac:dyDescent="0.25">
      <c r="D45" s="2" t="s">
        <v>56</v>
      </c>
      <c r="G45" s="11">
        <v>0</v>
      </c>
      <c r="H45" s="11">
        <f>H19+H21+H23</f>
        <v>15574.334198274089</v>
      </c>
      <c r="I45" s="11">
        <v>0</v>
      </c>
      <c r="J45" s="11">
        <v>0</v>
      </c>
      <c r="K45" s="12">
        <f>SUM(G45:J45)</f>
        <v>15574.334198274089</v>
      </c>
      <c r="L45" s="5"/>
      <c r="M45" s="12">
        <f>G45</f>
        <v>0</v>
      </c>
      <c r="N45" s="12">
        <f>H45</f>
        <v>15574.334198274089</v>
      </c>
      <c r="O45" s="12">
        <f>I45</f>
        <v>0</v>
      </c>
      <c r="P45" s="12">
        <f>J45</f>
        <v>0</v>
      </c>
      <c r="Q45" s="12">
        <f>SUM(M45:P45)</f>
        <v>15574.334198274089</v>
      </c>
      <c r="R45" s="12"/>
      <c r="S45" s="12"/>
      <c r="T45" s="12"/>
      <c r="U45" s="12"/>
      <c r="V45" s="12"/>
    </row>
    <row r="46" spans="2:22" x14ac:dyDescent="0.25">
      <c r="D46" s="2"/>
      <c r="G46" s="15"/>
      <c r="H46" s="15"/>
      <c r="I46" s="15"/>
      <c r="J46" s="15"/>
      <c r="L46" s="5"/>
    </row>
    <row r="47" spans="2:22" x14ac:dyDescent="0.25">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5">
      <c r="D48" s="2" t="s">
        <v>58</v>
      </c>
      <c r="G48" s="15"/>
      <c r="H48" s="15"/>
      <c r="I48" s="15"/>
      <c r="J48" s="15"/>
      <c r="L48" s="5"/>
    </row>
    <row r="49" spans="2:24" x14ac:dyDescent="0.25">
      <c r="D49" s="2"/>
      <c r="G49" s="15"/>
      <c r="H49" s="15"/>
      <c r="I49" s="15"/>
      <c r="J49" s="15"/>
      <c r="L49" s="5"/>
    </row>
    <row r="50" spans="2:24" x14ac:dyDescent="0.25">
      <c r="B50" s="2"/>
      <c r="D50" s="2" t="s">
        <v>53</v>
      </c>
      <c r="G50" s="21">
        <f>+(5592-1034)+(2337*(4558/(4558+1627)))</f>
        <v>6280.238641875505</v>
      </c>
      <c r="H50" s="21">
        <v>0</v>
      </c>
      <c r="I50" s="21">
        <f>1627+(2337*(1627/(4558+1627)))</f>
        <v>2241.761358124495</v>
      </c>
      <c r="J50" s="21"/>
      <c r="K50" s="21">
        <f>SUM(G50:J50)</f>
        <v>8522</v>
      </c>
      <c r="L50" s="5"/>
      <c r="M50" s="22">
        <f>G50</f>
        <v>6280.238641875505</v>
      </c>
      <c r="N50" s="22">
        <f>H50</f>
        <v>0</v>
      </c>
      <c r="O50" s="22">
        <f>I50</f>
        <v>2241.761358124495</v>
      </c>
      <c r="P50" s="22">
        <f>J50</f>
        <v>0</v>
      </c>
      <c r="Q50" s="22">
        <f>SUM(M50:P50)</f>
        <v>8522</v>
      </c>
      <c r="R50" s="82"/>
      <c r="S50" s="82"/>
      <c r="T50" s="82"/>
      <c r="U50" s="82"/>
      <c r="V50" s="82"/>
    </row>
    <row r="51" spans="2:24" x14ac:dyDescent="0.25">
      <c r="D51" s="2" t="s">
        <v>59</v>
      </c>
      <c r="G51" s="24">
        <f>SUM(G33:G50)</f>
        <v>20495.238641875505</v>
      </c>
      <c r="H51" s="24">
        <f>SUM(H33:H50)</f>
        <v>16866.072861387569</v>
      </c>
      <c r="I51" s="24">
        <f>SUM(I33:I50)</f>
        <v>2241.761358124495</v>
      </c>
      <c r="J51" s="24">
        <f>SUM(J33:J50)</f>
        <v>0</v>
      </c>
      <c r="K51" s="24">
        <f>SUM(G51:J51)</f>
        <v>39603.072861387569</v>
      </c>
      <c r="L51" s="5"/>
      <c r="M51" s="24">
        <f>SUM(M33:M50)</f>
        <v>20495.238641875505</v>
      </c>
      <c r="N51" s="24">
        <f>SUM(N33:N50)</f>
        <v>16866.072861387569</v>
      </c>
      <c r="O51" s="24">
        <f>SUM(O33:O50)</f>
        <v>2241.761358124495</v>
      </c>
      <c r="P51" s="24">
        <f>SUM(P33:P50)</f>
        <v>0</v>
      </c>
      <c r="Q51" s="24">
        <f>SUM(M51:P51)</f>
        <v>39603.072861387569</v>
      </c>
      <c r="R51" s="24"/>
      <c r="S51" s="24"/>
      <c r="T51" s="24"/>
      <c r="U51" s="24"/>
      <c r="V51" s="24"/>
    </row>
    <row r="52" spans="2:24" x14ac:dyDescent="0.25">
      <c r="B52" s="2"/>
      <c r="E52" s="12"/>
      <c r="G52" s="12"/>
      <c r="L52" s="5"/>
    </row>
    <row r="53" spans="2:24" x14ac:dyDescent="0.25">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5">
      <c r="B54" s="2" t="s">
        <v>61</v>
      </c>
      <c r="L54" s="5"/>
    </row>
    <row r="55" spans="2:24" ht="13.8" thickBot="1" x14ac:dyDescent="0.3">
      <c r="K55" s="12"/>
      <c r="L55" s="5"/>
      <c r="Q55" s="30"/>
      <c r="R55" s="40"/>
      <c r="S55" s="40"/>
      <c r="T55" s="40"/>
      <c r="U55" s="40"/>
      <c r="V55" s="40"/>
    </row>
    <row r="56" spans="2:24" x14ac:dyDescent="0.25">
      <c r="B56" s="2" t="s">
        <v>62</v>
      </c>
      <c r="G56" s="31">
        <f>G21+G24+G31+G51+G53</f>
        <v>72300.327461904788</v>
      </c>
      <c r="H56" s="31">
        <f>H21+H24+H31+H51+H53</f>
        <v>48172.475456209839</v>
      </c>
      <c r="I56" s="31">
        <f>I21+I24+I31+I51+I53</f>
        <v>105176.33833982113</v>
      </c>
      <c r="J56" s="31">
        <f>J21+J24+J31+J51+J53</f>
        <v>0</v>
      </c>
      <c r="K56" s="31">
        <f>SUM(G56:J56)</f>
        <v>225649.14125793576</v>
      </c>
      <c r="L56" s="32"/>
      <c r="M56" s="31">
        <f>M21+M24+M31+M51+M53</f>
        <v>53103.180184965138</v>
      </c>
      <c r="N56" s="31">
        <f>N21+N24+N31+N51+N53</f>
        <v>23849.822725248192</v>
      </c>
      <c r="O56" s="31">
        <f>O21+O24+O31+O51+O53</f>
        <v>41645.189550286035</v>
      </c>
      <c r="P56" s="31">
        <f>P21+P24+P31+P51+P53</f>
        <v>0</v>
      </c>
      <c r="Q56" s="31">
        <f>SUM(M56:P56)</f>
        <v>118598.19246049935</v>
      </c>
      <c r="R56" s="86"/>
      <c r="S56" s="86"/>
      <c r="T56" s="86"/>
      <c r="U56" s="86"/>
      <c r="V56" s="86"/>
    </row>
    <row r="57" spans="2:24" x14ac:dyDescent="0.25">
      <c r="L57" s="5"/>
    </row>
    <row r="58" spans="2:24" x14ac:dyDescent="0.25">
      <c r="L58" s="5"/>
    </row>
    <row r="59" spans="2:24" ht="13.8" x14ac:dyDescent="0.25">
      <c r="B59" s="6" t="s">
        <v>63</v>
      </c>
      <c r="K59" s="15"/>
      <c r="L59" s="5"/>
    </row>
    <row r="60" spans="2:24" x14ac:dyDescent="0.25">
      <c r="D60" s="15" t="s">
        <v>64</v>
      </c>
      <c r="E60" s="10" t="s">
        <v>20</v>
      </c>
      <c r="G60" s="12">
        <v>0</v>
      </c>
      <c r="H60" s="12">
        <v>0</v>
      </c>
      <c r="I60" s="12">
        <f>K60</f>
        <v>75832</v>
      </c>
      <c r="J60" s="11">
        <v>0</v>
      </c>
      <c r="K60" s="11">
        <v>75832</v>
      </c>
      <c r="L60" s="5"/>
      <c r="M60" s="12">
        <f>G60</f>
        <v>0</v>
      </c>
      <c r="N60" s="12">
        <f>H60</f>
        <v>0</v>
      </c>
      <c r="O60" s="12">
        <f>Q60</f>
        <v>75832</v>
      </c>
      <c r="P60" s="11">
        <f>J60</f>
        <v>0</v>
      </c>
      <c r="Q60" s="11">
        <f>$K$60</f>
        <v>75832</v>
      </c>
      <c r="R60" s="11"/>
      <c r="S60" s="11"/>
      <c r="T60" s="11"/>
      <c r="U60" s="11"/>
      <c r="V60" s="11"/>
      <c r="X60" s="3" t="s">
        <v>92</v>
      </c>
    </row>
    <row r="61" spans="2:24" x14ac:dyDescent="0.25">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10196.559999999998</v>
      </c>
    </row>
    <row r="62" spans="2:24" x14ac:dyDescent="0.25">
      <c r="D62" s="15"/>
      <c r="E62" s="10"/>
      <c r="J62" s="15"/>
      <c r="K62" s="15"/>
      <c r="L62" s="5"/>
      <c r="P62" s="15"/>
    </row>
    <row r="63" spans="2:24" x14ac:dyDescent="0.25">
      <c r="D63" s="15" t="s">
        <v>94</v>
      </c>
      <c r="E63" s="10" t="s">
        <v>20</v>
      </c>
      <c r="G63" s="12">
        <f>$G$103*K63</f>
        <v>36802.210192960083</v>
      </c>
      <c r="H63" s="12">
        <f>$H$103*K63</f>
        <v>5926.3942629261601</v>
      </c>
      <c r="I63" s="12">
        <f>$I$103*K63</f>
        <v>69964.395544113751</v>
      </c>
      <c r="J63" s="11">
        <v>0</v>
      </c>
      <c r="K63" s="11">
        <v>112693</v>
      </c>
      <c r="L63" s="5"/>
      <c r="M63" s="12">
        <f>$G$103*Q63</f>
        <v>24318.595348025887</v>
      </c>
      <c r="N63" s="12">
        <f>$H$103*Q63</f>
        <v>3916.1121899285426</v>
      </c>
      <c r="O63" s="12">
        <f>$I$103*Q63</f>
        <v>46231.892462045573</v>
      </c>
      <c r="P63" s="11">
        <f t="shared" ref="M63:Q64" si="9">J63</f>
        <v>0</v>
      </c>
      <c r="Q63" s="11">
        <f>K63-(71*67.3*8)</f>
        <v>74466.600000000006</v>
      </c>
      <c r="R63" s="11"/>
      <c r="S63" s="11"/>
      <c r="T63" s="11"/>
      <c r="U63" s="11"/>
      <c r="V63" s="11"/>
    </row>
    <row r="64" spans="2:24" ht="12.75" customHeight="1" x14ac:dyDescent="0.25">
      <c r="D64" s="15"/>
      <c r="E64" s="10" t="s">
        <v>21</v>
      </c>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5">
      <c r="D65" s="15"/>
      <c r="E65" s="10"/>
      <c r="J65" s="15"/>
      <c r="K65" s="15"/>
      <c r="L65" s="5"/>
      <c r="P65" s="15"/>
    </row>
    <row r="66" spans="4:22" x14ac:dyDescent="0.25">
      <c r="D66" s="15" t="s">
        <v>65</v>
      </c>
      <c r="E66" s="10" t="s">
        <v>20</v>
      </c>
      <c r="G66" s="12">
        <f>$G$103*K66</f>
        <v>1708.9434653417702</v>
      </c>
      <c r="H66" s="12">
        <f>$H$103*K66</f>
        <v>275.19740514399825</v>
      </c>
      <c r="I66" s="12">
        <f>$I$103*K66</f>
        <v>3248.8591295142314</v>
      </c>
      <c r="J66" s="11">
        <v>0</v>
      </c>
      <c r="K66" s="11">
        <v>5233</v>
      </c>
      <c r="L66" s="5"/>
      <c r="M66" s="12">
        <f>$G$103*Q$66</f>
        <v>1708.9434653417702</v>
      </c>
      <c r="N66" s="12">
        <f>$H$103*Q$66</f>
        <v>275.19740514399825</v>
      </c>
      <c r="O66" s="12">
        <f>$I$103*Q$66</f>
        <v>3248.8591295142314</v>
      </c>
      <c r="P66" s="11">
        <f>J66</f>
        <v>0</v>
      </c>
      <c r="Q66" s="11">
        <f>K66</f>
        <v>5233</v>
      </c>
      <c r="R66" s="11"/>
      <c r="S66" s="11"/>
      <c r="T66" s="11"/>
      <c r="U66" s="11"/>
      <c r="V66" s="11"/>
    </row>
    <row r="67" spans="4:22" x14ac:dyDescent="0.25">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5">
      <c r="D68" s="15"/>
      <c r="E68" s="10"/>
      <c r="G68" s="33"/>
      <c r="H68" s="33"/>
      <c r="I68" s="33"/>
      <c r="J68" s="34"/>
      <c r="K68" s="34"/>
      <c r="L68" s="5"/>
      <c r="M68" s="33"/>
      <c r="N68" s="33"/>
      <c r="O68" s="33"/>
      <c r="P68" s="34"/>
      <c r="Q68" s="34"/>
      <c r="R68" s="34"/>
      <c r="S68" s="34"/>
      <c r="T68" s="34"/>
      <c r="U68" s="34"/>
      <c r="V68" s="34"/>
    </row>
    <row r="69" spans="4:22" x14ac:dyDescent="0.25">
      <c r="D69" s="93" t="s">
        <v>97</v>
      </c>
      <c r="E69" s="10" t="s">
        <v>20</v>
      </c>
      <c r="G69" s="12">
        <f>$G$103*K69</f>
        <v>39.515031398118516</v>
      </c>
      <c r="H69" s="12">
        <f>$H$103*K69</f>
        <v>6.3632497654163558</v>
      </c>
      <c r="I69" s="12">
        <f>$I$103*K69</f>
        <v>75.121718836465121</v>
      </c>
      <c r="J69" s="11">
        <v>0</v>
      </c>
      <c r="K69" s="11">
        <v>121</v>
      </c>
      <c r="L69" s="5"/>
      <c r="M69" s="12">
        <f t="shared" ref="M69:Q70" si="10">G69</f>
        <v>39.515031398118516</v>
      </c>
      <c r="N69" s="12">
        <f t="shared" si="10"/>
        <v>6.3632497654163558</v>
      </c>
      <c r="O69" s="12">
        <f t="shared" si="10"/>
        <v>75.121718836465121</v>
      </c>
      <c r="P69" s="11">
        <f t="shared" si="10"/>
        <v>0</v>
      </c>
      <c r="Q69" s="11">
        <f>K69</f>
        <v>121</v>
      </c>
      <c r="R69" s="11"/>
      <c r="S69" s="11"/>
      <c r="T69" s="11"/>
      <c r="U69" s="11"/>
      <c r="V69" s="11"/>
    </row>
    <row r="70" spans="4:22" x14ac:dyDescent="0.25">
      <c r="D70" s="15"/>
      <c r="E70" s="10" t="s">
        <v>21</v>
      </c>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5">
      <c r="D71" s="15"/>
      <c r="E71" s="10"/>
      <c r="G71" s="36"/>
      <c r="H71" s="36"/>
      <c r="I71" s="36"/>
      <c r="J71" s="34"/>
      <c r="K71" s="34"/>
      <c r="L71" s="5"/>
      <c r="M71" s="33"/>
      <c r="N71" s="33"/>
      <c r="O71" s="33"/>
      <c r="P71" s="34"/>
      <c r="Q71" s="33"/>
      <c r="R71" s="33"/>
      <c r="S71" s="33"/>
      <c r="T71" s="33"/>
      <c r="U71" s="33"/>
      <c r="V71" s="33"/>
    </row>
    <row r="72" spans="4:22" x14ac:dyDescent="0.25">
      <c r="D72" s="15" t="s">
        <v>127</v>
      </c>
      <c r="E72" s="10" t="s">
        <v>20</v>
      </c>
      <c r="G72" s="12">
        <f>$G$103*K72</f>
        <v>2683.4298594904121</v>
      </c>
      <c r="H72" s="12">
        <f>$H$103*K72</f>
        <v>432.12250679691073</v>
      </c>
      <c r="I72" s="12">
        <f>$I$103*K72</f>
        <v>5101.4476337126771</v>
      </c>
      <c r="J72" s="11">
        <v>0</v>
      </c>
      <c r="K72" s="11">
        <v>8217</v>
      </c>
      <c r="L72" s="5"/>
      <c r="M72" s="12">
        <f t="shared" ref="M72:Q73" si="11">G72</f>
        <v>2683.4298594904121</v>
      </c>
      <c r="N72" s="12">
        <f t="shared" si="11"/>
        <v>432.12250679691073</v>
      </c>
      <c r="O72" s="12">
        <f t="shared" si="11"/>
        <v>5101.4476337126771</v>
      </c>
      <c r="P72" s="11">
        <f t="shared" si="11"/>
        <v>0</v>
      </c>
      <c r="Q72" s="11">
        <f>K72</f>
        <v>8217</v>
      </c>
      <c r="R72" s="33"/>
      <c r="S72" s="33"/>
      <c r="T72" s="33"/>
      <c r="U72" s="33"/>
      <c r="V72" s="33"/>
    </row>
    <row r="73" spans="4:22" x14ac:dyDescent="0.25">
      <c r="D73" s="15"/>
      <c r="E73" s="10" t="s">
        <v>21</v>
      </c>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5">
      <c r="D74" s="15"/>
      <c r="E74" s="10"/>
      <c r="J74" s="15"/>
      <c r="K74" s="15"/>
      <c r="L74" s="5"/>
      <c r="P74" s="15"/>
    </row>
    <row r="75" spans="4:22" x14ac:dyDescent="0.25">
      <c r="D75" s="98" t="s">
        <v>130</v>
      </c>
      <c r="E75" s="10" t="s">
        <v>20</v>
      </c>
      <c r="G75" s="12">
        <f>$G$103*K75</f>
        <v>0</v>
      </c>
      <c r="H75" s="12">
        <f>$H$103*K75</f>
        <v>0</v>
      </c>
      <c r="I75" s="12">
        <f>$I$103*K75</f>
        <v>0</v>
      </c>
      <c r="J75" s="11">
        <v>0</v>
      </c>
      <c r="K75" s="11">
        <v>0</v>
      </c>
      <c r="L75" s="5"/>
      <c r="M75" s="12">
        <f t="shared" ref="M75:Q76" si="12">G75</f>
        <v>0</v>
      </c>
      <c r="N75" s="12">
        <f t="shared" si="12"/>
        <v>0</v>
      </c>
      <c r="O75" s="12">
        <f t="shared" si="12"/>
        <v>0</v>
      </c>
      <c r="P75" s="11">
        <f t="shared" si="12"/>
        <v>0</v>
      </c>
      <c r="Q75" s="11">
        <f>K75</f>
        <v>0</v>
      </c>
    </row>
    <row r="76" spans="4:22" x14ac:dyDescent="0.25">
      <c r="D76" s="15"/>
      <c r="E76" s="10" t="s">
        <v>21</v>
      </c>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5">
      <c r="D77" s="15"/>
      <c r="E77" s="10"/>
      <c r="J77" s="15"/>
      <c r="K77" s="15"/>
      <c r="L77" s="5"/>
      <c r="P77" s="15"/>
    </row>
    <row r="78" spans="4:22" x14ac:dyDescent="0.25">
      <c r="D78" s="98" t="s">
        <v>129</v>
      </c>
      <c r="E78" s="10" t="s">
        <v>20</v>
      </c>
      <c r="G78" s="12">
        <f>$G$103*K78</f>
        <v>0</v>
      </c>
      <c r="H78" s="12">
        <f>$H$103*K78</f>
        <v>0</v>
      </c>
      <c r="I78" s="12">
        <f>$I$103*K78</f>
        <v>0</v>
      </c>
      <c r="J78" s="11">
        <v>0</v>
      </c>
      <c r="K78" s="11">
        <v>0</v>
      </c>
      <c r="L78" s="5"/>
      <c r="M78" s="12">
        <f t="shared" ref="M78:Q79" si="13">G78</f>
        <v>0</v>
      </c>
      <c r="N78" s="12">
        <f t="shared" si="13"/>
        <v>0</v>
      </c>
      <c r="O78" s="12">
        <f t="shared" si="13"/>
        <v>0</v>
      </c>
      <c r="P78" s="11">
        <f t="shared" si="13"/>
        <v>0</v>
      </c>
      <c r="Q78" s="11">
        <f>K78</f>
        <v>0</v>
      </c>
    </row>
    <row r="79" spans="4:22" x14ac:dyDescent="0.25">
      <c r="D79" s="15"/>
      <c r="E79" s="10" t="s">
        <v>21</v>
      </c>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5">
      <c r="D80" s="15"/>
      <c r="E80" s="10"/>
      <c r="J80" s="15"/>
      <c r="K80" s="15"/>
      <c r="L80" s="5"/>
      <c r="P80" s="15"/>
    </row>
    <row r="81" spans="2:23" x14ac:dyDescent="0.25">
      <c r="D81" s="98" t="s">
        <v>128</v>
      </c>
      <c r="E81" s="10" t="s">
        <v>20</v>
      </c>
      <c r="G81" s="12">
        <f>$G$103*K81</f>
        <v>0</v>
      </c>
      <c r="H81" s="12">
        <f>$H$103*K81</f>
        <v>0</v>
      </c>
      <c r="I81" s="12">
        <f>$I$103*K81</f>
        <v>0</v>
      </c>
      <c r="J81" s="11">
        <v>0</v>
      </c>
      <c r="K81" s="11">
        <v>0</v>
      </c>
      <c r="L81" s="5"/>
      <c r="M81" s="12">
        <f t="shared" ref="M81:Q82" si="14">G81</f>
        <v>0</v>
      </c>
      <c r="N81" s="12">
        <f t="shared" si="14"/>
        <v>0</v>
      </c>
      <c r="O81" s="12">
        <f t="shared" si="14"/>
        <v>0</v>
      </c>
      <c r="P81" s="11">
        <f t="shared" si="14"/>
        <v>0</v>
      </c>
      <c r="Q81" s="11">
        <f>K81</f>
        <v>0</v>
      </c>
    </row>
    <row r="82" spans="2:23" x14ac:dyDescent="0.25">
      <c r="D82" s="15"/>
      <c r="E82" s="10" t="s">
        <v>21</v>
      </c>
      <c r="G82" s="36">
        <f>$G$103*K82</f>
        <v>0</v>
      </c>
      <c r="H82" s="36">
        <f>$H$103*K82</f>
        <v>0</v>
      </c>
      <c r="I82" s="36">
        <f>$I$103*K82</f>
        <v>0</v>
      </c>
      <c r="J82" s="34">
        <v>0</v>
      </c>
      <c r="K82" s="34">
        <v>0</v>
      </c>
      <c r="L82" s="5"/>
      <c r="M82" s="33">
        <f t="shared" si="14"/>
        <v>0</v>
      </c>
      <c r="N82" s="33">
        <f t="shared" si="14"/>
        <v>0</v>
      </c>
      <c r="O82" s="33">
        <f t="shared" si="14"/>
        <v>0</v>
      </c>
      <c r="P82" s="34">
        <f t="shared" si="14"/>
        <v>0</v>
      </c>
      <c r="Q82" s="33">
        <f t="shared" si="14"/>
        <v>0</v>
      </c>
    </row>
    <row r="83" spans="2:23" x14ac:dyDescent="0.25">
      <c r="D83" s="15"/>
      <c r="E83" s="10"/>
      <c r="J83" s="15"/>
      <c r="K83" s="15"/>
      <c r="L83" s="5"/>
      <c r="P83" s="15"/>
    </row>
    <row r="84" spans="2:23" x14ac:dyDescent="0.25">
      <c r="D84" s="99" t="s">
        <v>126</v>
      </c>
      <c r="E84" s="10" t="s">
        <v>20</v>
      </c>
      <c r="G84" s="12">
        <f>$G$103*K84</f>
        <v>0</v>
      </c>
      <c r="H84" s="12">
        <f>$H$103*K84</f>
        <v>0</v>
      </c>
      <c r="I84" s="12">
        <f>$I$103*K84</f>
        <v>0</v>
      </c>
      <c r="J84" s="11">
        <v>0</v>
      </c>
      <c r="K84" s="11">
        <v>0</v>
      </c>
      <c r="L84" s="5"/>
      <c r="M84" s="12">
        <f t="shared" ref="M84:Q85" si="15">G84</f>
        <v>0</v>
      </c>
      <c r="N84" s="12">
        <f t="shared" si="15"/>
        <v>0</v>
      </c>
      <c r="O84" s="12">
        <f t="shared" si="15"/>
        <v>0</v>
      </c>
      <c r="P84" s="11">
        <f t="shared" si="15"/>
        <v>0</v>
      </c>
      <c r="Q84" s="12">
        <f>K84</f>
        <v>0</v>
      </c>
      <c r="R84" s="12"/>
      <c r="S84" s="12"/>
      <c r="T84" s="12"/>
      <c r="U84" s="12"/>
      <c r="V84" s="12"/>
    </row>
    <row r="85" spans="2:23" x14ac:dyDescent="0.25">
      <c r="E85" s="10" t="s">
        <v>21</v>
      </c>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5">
      <c r="E86" s="10"/>
      <c r="G86" s="36"/>
      <c r="H86" s="36"/>
      <c r="I86" s="36"/>
      <c r="J86" s="34"/>
      <c r="K86" s="34"/>
      <c r="L86" s="5"/>
      <c r="M86" s="33"/>
      <c r="N86" s="33"/>
      <c r="O86" s="33"/>
      <c r="P86" s="34"/>
      <c r="Q86" s="33"/>
      <c r="R86" s="33"/>
      <c r="S86" s="33"/>
      <c r="T86" s="33"/>
      <c r="U86" s="33"/>
      <c r="V86" s="33"/>
    </row>
    <row r="87" spans="2:23" x14ac:dyDescent="0.25">
      <c r="D87" s="15" t="s">
        <v>66</v>
      </c>
      <c r="E87" s="10" t="s">
        <v>20</v>
      </c>
      <c r="G87" s="12">
        <f>$G$103*K87</f>
        <v>5563.1285939417266</v>
      </c>
      <c r="H87" s="12">
        <f>$H$103*K87</f>
        <v>895.85090705675725</v>
      </c>
      <c r="I87" s="12">
        <f>$I$103*K87</f>
        <v>10576.020499001515</v>
      </c>
      <c r="J87" s="11">
        <v>0</v>
      </c>
      <c r="K87" s="11">
        <v>17035</v>
      </c>
      <c r="L87" s="5"/>
      <c r="M87" s="12">
        <f>G87</f>
        <v>5563.1285939417266</v>
      </c>
      <c r="N87" s="12">
        <f>H87</f>
        <v>895.85090705675725</v>
      </c>
      <c r="O87" s="12">
        <f>I87</f>
        <v>10576.020499001515</v>
      </c>
      <c r="P87" s="11">
        <f>J87</f>
        <v>0</v>
      </c>
      <c r="Q87" s="12">
        <f>K87</f>
        <v>17035</v>
      </c>
      <c r="R87" s="12"/>
      <c r="S87" s="12"/>
      <c r="T87" s="12"/>
      <c r="U87" s="12"/>
      <c r="V87" s="12"/>
    </row>
    <row r="88" spans="2:23" ht="13.8" thickBot="1" x14ac:dyDescent="0.3">
      <c r="D88" s="15"/>
      <c r="J88" s="15"/>
      <c r="L88" s="5"/>
      <c r="W88" s="38"/>
    </row>
    <row r="89" spans="2:23" ht="13.8" thickBot="1" x14ac:dyDescent="0.3">
      <c r="B89" s="2" t="s">
        <v>67</v>
      </c>
      <c r="E89" s="10" t="s">
        <v>20</v>
      </c>
      <c r="G89" s="31">
        <f>G60+G63+G66+G69+G72+G75+G78+G81+G84+G87</f>
        <v>46797.227143132113</v>
      </c>
      <c r="H89" s="31">
        <f>H60+H63+H66+H69+H72+H75+H78+H81+H84+H87</f>
        <v>7535.9283316892424</v>
      </c>
      <c r="I89" s="31">
        <f>I60+I63+I66+I69+I72+I75+I78+I81+I84+I87</f>
        <v>164797.84452517863</v>
      </c>
      <c r="J89" s="31">
        <f>J60+J63+J66+J69+J72+J75+J78+J81+J84+J87</f>
        <v>0</v>
      </c>
      <c r="K89" s="31">
        <f>SUM(G89:J89)</f>
        <v>219131</v>
      </c>
      <c r="L89" s="32"/>
      <c r="M89" s="31">
        <f>M60+M63+M66+M69+M72+M75+M78+M81+M84+M87</f>
        <v>34313.612298197913</v>
      </c>
      <c r="N89" s="31">
        <f>N60+N63+N66+N69+N72+N75+N78+N81+N84+N87</f>
        <v>5525.646258691625</v>
      </c>
      <c r="O89" s="31">
        <f>O60+O63+O66+O69+O72+O75+O78+O81+O84+O87</f>
        <v>141065.34144311046</v>
      </c>
      <c r="P89" s="31">
        <f>P60+P63+P66+P69+P72+P75+P78+P81+P84+P87</f>
        <v>0</v>
      </c>
      <c r="Q89" s="31">
        <f>SUM(M89:P89)</f>
        <v>180904.6</v>
      </c>
      <c r="R89" s="86"/>
      <c r="S89" s="86"/>
      <c r="T89" s="86"/>
      <c r="U89" s="86"/>
      <c r="V89" s="86"/>
      <c r="W89" s="40"/>
    </row>
    <row r="90" spans="2:23" x14ac:dyDescent="0.25">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5">
      <c r="K91" s="12"/>
      <c r="L91" s="5"/>
      <c r="W91" s="12"/>
    </row>
    <row r="92" spans="2:23" ht="13.8" thickBot="1" x14ac:dyDescent="0.3">
      <c r="L92" s="5"/>
    </row>
    <row r="93" spans="2:23" ht="14.4" thickBot="1" x14ac:dyDescent="0.3">
      <c r="B93" s="6" t="s">
        <v>68</v>
      </c>
      <c r="G93" s="45">
        <f t="shared" ref="G93:Q93" si="16">G56+G89</f>
        <v>119097.5546050369</v>
      </c>
      <c r="H93" s="45">
        <f t="shared" si="16"/>
        <v>55708.403787899078</v>
      </c>
      <c r="I93" s="45">
        <f t="shared" si="16"/>
        <v>269974.18286499975</v>
      </c>
      <c r="J93" s="45">
        <f t="shared" si="16"/>
        <v>0</v>
      </c>
      <c r="K93" s="45">
        <f t="shared" si="16"/>
        <v>444780.14125793579</v>
      </c>
      <c r="L93" s="46">
        <f t="shared" si="16"/>
        <v>0</v>
      </c>
      <c r="M93" s="45">
        <f t="shared" si="16"/>
        <v>87416.792483163052</v>
      </c>
      <c r="N93" s="45">
        <f t="shared" si="16"/>
        <v>29375.468983939816</v>
      </c>
      <c r="O93" s="79">
        <f t="shared" si="16"/>
        <v>182710.5309933965</v>
      </c>
      <c r="P93" s="45">
        <f t="shared" si="16"/>
        <v>0</v>
      </c>
      <c r="Q93" s="45">
        <f t="shared" si="16"/>
        <v>299502.79246049933</v>
      </c>
      <c r="R93" s="86"/>
      <c r="S93" s="86"/>
      <c r="T93" s="86"/>
      <c r="U93" s="86"/>
      <c r="V93" s="86"/>
    </row>
    <row r="94" spans="2:23" ht="13.8" thickTop="1" x14ac:dyDescent="0.25">
      <c r="I94" s="77"/>
      <c r="L94" s="5"/>
      <c r="O94" s="80"/>
    </row>
    <row r="95" spans="2:23" x14ac:dyDescent="0.25">
      <c r="I95" s="77"/>
      <c r="L95" s="5"/>
      <c r="O95" s="80"/>
    </row>
    <row r="96" spans="2:23" x14ac:dyDescent="0.25">
      <c r="I96" s="77"/>
      <c r="L96" s="5"/>
      <c r="O96" s="80"/>
    </row>
    <row r="97" spans="5:15" x14ac:dyDescent="0.25">
      <c r="I97" s="77"/>
      <c r="L97" s="5"/>
      <c r="O97" s="80"/>
    </row>
    <row r="98" spans="5:15" x14ac:dyDescent="0.25">
      <c r="I98" s="77"/>
      <c r="L98" s="5"/>
      <c r="O98" s="80"/>
    </row>
    <row r="99" spans="5:15" x14ac:dyDescent="0.25">
      <c r="I99" s="77"/>
      <c r="L99" s="5"/>
      <c r="O99" s="80"/>
    </row>
    <row r="100" spans="5:15" x14ac:dyDescent="0.25">
      <c r="I100" s="77"/>
      <c r="L100" s="5"/>
      <c r="O100" s="80"/>
    </row>
    <row r="101" spans="5:15" x14ac:dyDescent="0.25">
      <c r="I101" s="77"/>
      <c r="L101" s="5"/>
      <c r="O101" s="80"/>
    </row>
    <row r="102" spans="5:15" ht="13.8" thickBot="1" x14ac:dyDescent="0.3">
      <c r="L102" s="5"/>
    </row>
    <row r="103" spans="5:15" x14ac:dyDescent="0.25">
      <c r="E103" s="50"/>
      <c r="F103" s="51"/>
      <c r="G103" s="52">
        <f>G115</f>
        <v>0.32657050742246707</v>
      </c>
      <c r="H103" s="52">
        <f>H115</f>
        <v>5.2588841036498808E-2</v>
      </c>
      <c r="I103" s="52">
        <f>I115</f>
        <v>0.62084065154103407</v>
      </c>
      <c r="J103" s="51"/>
      <c r="K103" s="53"/>
      <c r="L103" s="5"/>
      <c r="M103" s="47"/>
      <c r="N103" s="47"/>
      <c r="O103" s="47"/>
    </row>
    <row r="104" spans="5:15" x14ac:dyDescent="0.25">
      <c r="E104" s="54"/>
      <c r="F104" s="38"/>
      <c r="G104" s="38"/>
      <c r="H104" s="38"/>
      <c r="I104" s="38"/>
      <c r="J104" s="38"/>
      <c r="K104" s="55"/>
      <c r="L104" s="5"/>
      <c r="M104" s="48"/>
    </row>
    <row r="105" spans="5:15" x14ac:dyDescent="0.25">
      <c r="E105" s="54" t="s">
        <v>69</v>
      </c>
      <c r="F105" s="38"/>
      <c r="G105" s="38"/>
      <c r="H105" s="38"/>
      <c r="I105" s="38"/>
      <c r="J105" s="38"/>
      <c r="K105" s="56">
        <v>408336</v>
      </c>
      <c r="L105" s="5"/>
      <c r="M105" s="49"/>
    </row>
    <row r="106" spans="5:15" x14ac:dyDescent="0.25">
      <c r="E106" s="54" t="s">
        <v>90</v>
      </c>
      <c r="F106" s="38"/>
      <c r="G106" s="38"/>
      <c r="H106" s="38"/>
      <c r="I106" s="38"/>
      <c r="J106" s="38"/>
      <c r="K106" s="56">
        <v>0</v>
      </c>
      <c r="L106" s="5"/>
      <c r="M106" s="49"/>
    </row>
    <row r="107" spans="5:15" x14ac:dyDescent="0.25">
      <c r="E107" s="54"/>
      <c r="F107" s="38"/>
      <c r="G107" s="38"/>
      <c r="H107" s="38"/>
      <c r="I107" s="38"/>
      <c r="J107" s="38"/>
      <c r="K107" s="56"/>
      <c r="L107" s="5"/>
      <c r="M107" s="49"/>
    </row>
    <row r="108" spans="5:15" x14ac:dyDescent="0.25">
      <c r="E108" s="54" t="s">
        <v>70</v>
      </c>
      <c r="F108" s="38"/>
      <c r="G108" s="38"/>
      <c r="H108" s="38"/>
      <c r="I108" s="38"/>
      <c r="J108" s="38"/>
      <c r="K108" s="72">
        <f>SUM(K105:K107)</f>
        <v>408336</v>
      </c>
      <c r="L108" s="5"/>
      <c r="M108" s="49"/>
    </row>
    <row r="109" spans="5:15" x14ac:dyDescent="0.25">
      <c r="E109" s="54" t="s">
        <v>71</v>
      </c>
      <c r="F109" s="38"/>
      <c r="G109" s="38"/>
      <c r="H109" s="38"/>
      <c r="I109" s="38"/>
      <c r="J109" s="38"/>
      <c r="K109" s="56">
        <f>-K60</f>
        <v>-75832</v>
      </c>
      <c r="L109" s="5"/>
      <c r="M109" s="49"/>
    </row>
    <row r="110" spans="5:15" ht="13.8" thickBot="1" x14ac:dyDescent="0.3">
      <c r="E110" s="54" t="s">
        <v>72</v>
      </c>
      <c r="F110" s="38"/>
      <c r="G110" s="38"/>
      <c r="H110" s="38"/>
      <c r="I110" s="38"/>
      <c r="J110" s="38"/>
      <c r="K110" s="73">
        <f>SUM(K108:K109)</f>
        <v>332504</v>
      </c>
      <c r="L110" s="5"/>
      <c r="M110" s="49"/>
    </row>
    <row r="111" spans="5:15" ht="13.8" thickTop="1" x14ac:dyDescent="0.25">
      <c r="E111" s="54"/>
      <c r="F111" s="38"/>
      <c r="G111" s="38"/>
      <c r="H111" s="38"/>
      <c r="I111" s="38"/>
      <c r="J111" s="94" t="s">
        <v>95</v>
      </c>
      <c r="K111" s="56"/>
      <c r="L111" s="5"/>
      <c r="M111" s="49"/>
    </row>
    <row r="112" spans="5:15" ht="13.8" thickBot="1" x14ac:dyDescent="0.3">
      <c r="E112" s="57" t="s">
        <v>73</v>
      </c>
      <c r="F112" s="38"/>
      <c r="G112" s="58">
        <v>94043</v>
      </c>
      <c r="H112" s="59">
        <v>17486</v>
      </c>
      <c r="I112" s="59">
        <v>282264</v>
      </c>
      <c r="J112" s="59">
        <v>14543</v>
      </c>
      <c r="K112" s="56"/>
      <c r="L112" s="5"/>
      <c r="M112" s="49"/>
    </row>
    <row r="113" spans="2:13" ht="13.8" thickTop="1" x14ac:dyDescent="0.25">
      <c r="E113" s="54" t="s">
        <v>74</v>
      </c>
      <c r="F113" s="38"/>
      <c r="G113" s="60"/>
      <c r="H113" s="61"/>
      <c r="I113" s="61">
        <f>-K60</f>
        <v>-75832</v>
      </c>
      <c r="K113" s="55"/>
      <c r="L113" s="5"/>
    </row>
    <row r="114" spans="2:13" ht="13.8" thickBot="1" x14ac:dyDescent="0.3">
      <c r="E114" s="54" t="s">
        <v>75</v>
      </c>
      <c r="F114" s="38"/>
      <c r="G114" s="63"/>
      <c r="H114" s="64">
        <f>SUM(H112:H113)</f>
        <v>17486</v>
      </c>
      <c r="I114" s="64">
        <f>SUM(I112:I113)</f>
        <v>206432</v>
      </c>
      <c r="J114" s="65"/>
      <c r="K114" s="56"/>
      <c r="L114" s="5"/>
    </row>
    <row r="115" spans="2:13" ht="14.4" thickTop="1" thickBot="1" x14ac:dyDescent="0.3">
      <c r="E115" s="54" t="s">
        <v>76</v>
      </c>
      <c r="F115" s="38"/>
      <c r="G115" s="66">
        <f>1-(H115+I115)</f>
        <v>0.32657050742246707</v>
      </c>
      <c r="H115" s="66">
        <f>H$114/$K$110</f>
        <v>5.2588841036498808E-2</v>
      </c>
      <c r="I115" s="66">
        <f>I$114/$K$110</f>
        <v>0.62084065154103407</v>
      </c>
      <c r="J115" s="49"/>
      <c r="K115" s="56"/>
      <c r="L115" s="5"/>
    </row>
    <row r="116" spans="2:13" ht="14.4" thickTop="1" thickBot="1" x14ac:dyDescent="0.3">
      <c r="E116" s="67"/>
      <c r="F116" s="68"/>
      <c r="G116" s="69" t="s">
        <v>77</v>
      </c>
      <c r="H116" s="69" t="s">
        <v>78</v>
      </c>
      <c r="I116" s="69" t="s">
        <v>79</v>
      </c>
      <c r="J116" s="68"/>
      <c r="K116" s="70"/>
      <c r="L116" s="5"/>
    </row>
    <row r="117" spans="2:13" x14ac:dyDescent="0.25">
      <c r="J117" s="51"/>
      <c r="K117" s="74"/>
      <c r="L117" s="15"/>
    </row>
    <row r="118" spans="2:13" x14ac:dyDescent="0.25">
      <c r="J118" s="38"/>
      <c r="K118" s="63"/>
      <c r="L118" s="15"/>
    </row>
    <row r="119" spans="2:13" x14ac:dyDescent="0.25">
      <c r="B119" s="2" t="s">
        <v>83</v>
      </c>
      <c r="C119" s="2"/>
      <c r="D119" s="2" t="s">
        <v>135</v>
      </c>
      <c r="E119" s="78"/>
      <c r="F119" s="71"/>
      <c r="G119" s="49"/>
      <c r="H119" s="49"/>
      <c r="I119" s="88"/>
      <c r="J119" s="89"/>
      <c r="K119" s="90"/>
      <c r="L119" s="15"/>
    </row>
    <row r="120" spans="2:13" x14ac:dyDescent="0.25">
      <c r="B120" s="2" t="s">
        <v>84</v>
      </c>
      <c r="C120" s="2"/>
      <c r="D120" s="2"/>
      <c r="E120" s="71"/>
      <c r="F120" s="71"/>
      <c r="G120" s="71"/>
      <c r="H120" s="71"/>
      <c r="I120" s="88"/>
      <c r="J120" s="89"/>
      <c r="K120" s="89"/>
      <c r="M120" s="62"/>
    </row>
    <row r="121" spans="2:13" x14ac:dyDescent="0.25">
      <c r="B121" s="2" t="s">
        <v>80</v>
      </c>
      <c r="C121" s="2"/>
      <c r="D121" s="139" t="s">
        <v>134</v>
      </c>
      <c r="E121" s="71"/>
      <c r="F121" s="71"/>
      <c r="G121" s="71"/>
      <c r="H121" s="49"/>
      <c r="I121" s="49"/>
      <c r="J121" s="38"/>
      <c r="K121" s="38"/>
    </row>
    <row r="122" spans="2:13" x14ac:dyDescent="0.25">
      <c r="B122" s="2" t="s">
        <v>82</v>
      </c>
      <c r="C122" s="2"/>
      <c r="D122" s="139"/>
      <c r="E122" s="71"/>
      <c r="F122" s="71"/>
      <c r="G122" s="75"/>
      <c r="H122" s="75"/>
      <c r="I122" s="75"/>
    </row>
    <row r="123" spans="2:13" x14ac:dyDescent="0.25">
      <c r="B123" s="2" t="s">
        <v>81</v>
      </c>
      <c r="C123" s="2"/>
      <c r="D123" s="139"/>
      <c r="E123" s="71"/>
      <c r="F123" s="71"/>
      <c r="G123" s="49"/>
      <c r="H123" s="49"/>
      <c r="I123" s="49"/>
    </row>
    <row r="124" spans="2:13" x14ac:dyDescent="0.25">
      <c r="E124" s="71"/>
      <c r="F124" s="71"/>
      <c r="G124" s="75"/>
      <c r="H124" s="75"/>
      <c r="I124" s="75"/>
    </row>
    <row r="125" spans="2:13" x14ac:dyDescent="0.25">
      <c r="B125" s="2" t="s">
        <v>91</v>
      </c>
      <c r="D125" s="2" t="s">
        <v>142</v>
      </c>
      <c r="E125" s="71"/>
      <c r="F125" s="71"/>
      <c r="G125" s="76"/>
      <c r="H125" s="76"/>
      <c r="I125" s="76"/>
      <c r="J125" s="38"/>
    </row>
    <row r="126" spans="2:13" x14ac:dyDescent="0.25">
      <c r="D126" s="92" t="s">
        <v>125</v>
      </c>
      <c r="G126" s="63"/>
      <c r="H126" s="63"/>
      <c r="I126" s="63"/>
      <c r="J126" s="38"/>
    </row>
    <row r="127" spans="2:13" x14ac:dyDescent="0.25">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127"/>
  <sheetViews>
    <sheetView topLeftCell="A72" zoomScaleNormal="100" workbookViewId="0">
      <selection activeCell="I93" sqref="G9:I93"/>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0" width="2.5546875" style="3" customWidth="1"/>
    <col min="11" max="16384" width="9.109375" style="3"/>
  </cols>
  <sheetData>
    <row r="1" spans="2:10" x14ac:dyDescent="0.25">
      <c r="E1" s="2"/>
      <c r="F1" s="2"/>
    </row>
    <row r="2" spans="2:10" ht="21" thickBot="1" x14ac:dyDescent="0.4">
      <c r="B2" s="1" t="s">
        <v>0</v>
      </c>
      <c r="C2" s="2"/>
      <c r="D2" s="2"/>
      <c r="E2" s="2"/>
      <c r="F2" s="2"/>
      <c r="G2" s="100"/>
      <c r="H2" s="134"/>
      <c r="I2" s="134"/>
      <c r="J2" s="83"/>
    </row>
    <row r="3" spans="2:10" ht="20.399999999999999" x14ac:dyDescent="0.35">
      <c r="B3" s="1" t="s">
        <v>1</v>
      </c>
      <c r="C3" s="2"/>
      <c r="D3" s="2"/>
    </row>
    <row r="4" spans="2:10" x14ac:dyDescent="0.25">
      <c r="B4" s="2" t="s">
        <v>131</v>
      </c>
      <c r="C4" s="2"/>
      <c r="D4" s="2"/>
      <c r="G4" s="7" t="s">
        <v>6</v>
      </c>
      <c r="H4" s="7" t="s">
        <v>6</v>
      </c>
      <c r="I4" s="7" t="s">
        <v>8</v>
      </c>
      <c r="J4" s="7"/>
    </row>
    <row r="5" spans="2:10" ht="15" x14ac:dyDescent="0.25">
      <c r="B5" s="4"/>
      <c r="C5" s="2"/>
      <c r="D5" s="4" t="s">
        <v>2</v>
      </c>
      <c r="G5" s="7" t="s">
        <v>12</v>
      </c>
      <c r="H5" s="7" t="s">
        <v>12</v>
      </c>
      <c r="I5" s="7" t="s">
        <v>13</v>
      </c>
      <c r="J5" s="7"/>
    </row>
    <row r="6" spans="2:10" x14ac:dyDescent="0.25">
      <c r="D6" s="81"/>
      <c r="E6" s="15"/>
      <c r="G6" s="7"/>
      <c r="H6" s="7"/>
      <c r="I6" s="7"/>
      <c r="J6" s="7"/>
    </row>
    <row r="7" spans="2:10" ht="13.8" thickBot="1" x14ac:dyDescent="0.3">
      <c r="B7" s="2"/>
      <c r="E7" s="15"/>
      <c r="G7" s="8" t="s">
        <v>17</v>
      </c>
      <c r="H7" s="8" t="s">
        <v>17</v>
      </c>
      <c r="I7" s="8" t="s">
        <v>18</v>
      </c>
      <c r="J7" s="84"/>
    </row>
    <row r="8" spans="2:10" ht="5.0999999999999996" customHeight="1" x14ac:dyDescent="0.25">
      <c r="B8" s="2"/>
      <c r="E8" s="15"/>
      <c r="G8" s="9"/>
      <c r="H8" s="9"/>
      <c r="I8" s="9"/>
      <c r="J8" s="87"/>
    </row>
    <row r="9" spans="2:10" ht="14.4" thickBot="1" x14ac:dyDescent="0.3">
      <c r="B9" s="6" t="s">
        <v>3</v>
      </c>
      <c r="D9" s="3" t="s">
        <v>19</v>
      </c>
      <c r="E9" s="18" t="s">
        <v>20</v>
      </c>
      <c r="G9" s="11">
        <v>30681</v>
      </c>
      <c r="H9" s="11">
        <v>0</v>
      </c>
      <c r="I9" s="11">
        <f>G9-H9</f>
        <v>30681</v>
      </c>
      <c r="J9" s="12"/>
    </row>
    <row r="10" spans="2:10" x14ac:dyDescent="0.25">
      <c r="B10" s="2" t="s">
        <v>9</v>
      </c>
      <c r="E10" s="18" t="s">
        <v>21</v>
      </c>
      <c r="G10" s="13">
        <v>675.8</v>
      </c>
      <c r="H10" s="13">
        <v>675.8</v>
      </c>
      <c r="I10" s="13">
        <f t="shared" ref="I10:I73" si="0">G10-H10</f>
        <v>0</v>
      </c>
      <c r="J10" s="85"/>
    </row>
    <row r="11" spans="2:10" x14ac:dyDescent="0.25">
      <c r="E11" s="18"/>
      <c r="G11" s="15"/>
      <c r="H11" s="15"/>
      <c r="I11" s="15"/>
    </row>
    <row r="12" spans="2:10" ht="13.8" thickBot="1" x14ac:dyDescent="0.3">
      <c r="D12" s="3" t="s">
        <v>22</v>
      </c>
      <c r="E12" s="18" t="s">
        <v>20</v>
      </c>
      <c r="G12" s="11">
        <v>33206</v>
      </c>
      <c r="H12" s="11">
        <v>33206</v>
      </c>
      <c r="I12" s="11">
        <f t="shared" si="0"/>
        <v>0</v>
      </c>
      <c r="J12" s="12"/>
    </row>
    <row r="13" spans="2:10" x14ac:dyDescent="0.25">
      <c r="E13" s="18" t="s">
        <v>21</v>
      </c>
      <c r="G13" s="13">
        <v>604.70000000000005</v>
      </c>
      <c r="H13" s="13">
        <v>604.70000000000005</v>
      </c>
      <c r="I13" s="13">
        <f t="shared" si="0"/>
        <v>0</v>
      </c>
      <c r="J13" s="85"/>
    </row>
    <row r="14" spans="2:10" x14ac:dyDescent="0.25">
      <c r="E14" s="15"/>
      <c r="G14" s="15"/>
      <c r="H14" s="15"/>
      <c r="I14" s="15"/>
    </row>
    <row r="15" spans="2:10" x14ac:dyDescent="0.25">
      <c r="D15" s="3" t="s">
        <v>23</v>
      </c>
      <c r="E15" s="18" t="s">
        <v>24</v>
      </c>
      <c r="G15" s="11">
        <v>7733.5052187430601</v>
      </c>
      <c r="H15" s="11">
        <v>0</v>
      </c>
      <c r="I15" s="11">
        <f t="shared" si="0"/>
        <v>7733.5052187430601</v>
      </c>
      <c r="J15" s="12"/>
    </row>
    <row r="16" spans="2:10" x14ac:dyDescent="0.25">
      <c r="D16" s="3" t="s">
        <v>25</v>
      </c>
      <c r="E16" s="18" t="s">
        <v>26</v>
      </c>
      <c r="G16" s="11">
        <v>2813.8836661292321</v>
      </c>
      <c r="H16" s="11">
        <v>2813.8836661292321</v>
      </c>
      <c r="I16" s="11">
        <f t="shared" si="0"/>
        <v>0</v>
      </c>
      <c r="J16" s="12"/>
    </row>
    <row r="17" spans="2:10" x14ac:dyDescent="0.25">
      <c r="E17" s="18" t="s">
        <v>27</v>
      </c>
      <c r="G17" s="11">
        <v>363.18809682433931</v>
      </c>
      <c r="H17" s="11">
        <v>0</v>
      </c>
      <c r="I17" s="11">
        <f t="shared" si="0"/>
        <v>363.18809682433931</v>
      </c>
      <c r="J17" s="12"/>
    </row>
    <row r="18" spans="2:10" x14ac:dyDescent="0.25">
      <c r="E18" s="18" t="s">
        <v>28</v>
      </c>
      <c r="G18" s="11">
        <v>5121</v>
      </c>
      <c r="H18" s="11">
        <v>0</v>
      </c>
      <c r="I18" s="11">
        <f t="shared" si="0"/>
        <v>5121</v>
      </c>
      <c r="J18" s="12"/>
    </row>
    <row r="19" spans="2:10" x14ac:dyDescent="0.25">
      <c r="E19" s="18" t="s">
        <v>29</v>
      </c>
      <c r="G19" s="11">
        <v>0</v>
      </c>
      <c r="H19" s="11">
        <v>0</v>
      </c>
      <c r="I19" s="11">
        <f t="shared" si="0"/>
        <v>0</v>
      </c>
      <c r="J19" s="12"/>
    </row>
    <row r="20" spans="2:10" x14ac:dyDescent="0.25">
      <c r="E20" s="18" t="s">
        <v>30</v>
      </c>
      <c r="G20" s="21">
        <v>-674</v>
      </c>
      <c r="H20" s="11">
        <v>0</v>
      </c>
      <c r="I20" s="11">
        <f t="shared" si="0"/>
        <v>-674</v>
      </c>
      <c r="J20" s="12"/>
    </row>
    <row r="21" spans="2:10" x14ac:dyDescent="0.25">
      <c r="D21" s="2" t="s">
        <v>31</v>
      </c>
      <c r="E21" s="18"/>
      <c r="G21" s="23">
        <v>79244.576981696635</v>
      </c>
      <c r="H21" s="25">
        <v>36019.88366612923</v>
      </c>
      <c r="I21" s="25">
        <f t="shared" si="0"/>
        <v>43224.693315567405</v>
      </c>
      <c r="J21" s="86"/>
    </row>
    <row r="22" spans="2:10" x14ac:dyDescent="0.25">
      <c r="E22" s="18"/>
      <c r="G22" s="11"/>
      <c r="H22" s="11"/>
      <c r="I22" s="11">
        <f t="shared" si="0"/>
        <v>0</v>
      </c>
      <c r="J22" s="12"/>
    </row>
    <row r="23" spans="2:10" x14ac:dyDescent="0.25">
      <c r="B23" s="2" t="s">
        <v>32</v>
      </c>
      <c r="E23" s="18" t="s">
        <v>33</v>
      </c>
      <c r="G23" s="21">
        <v>21326</v>
      </c>
      <c r="H23" s="21">
        <v>1366.5445260323127</v>
      </c>
      <c r="I23" s="21">
        <f t="shared" si="0"/>
        <v>19959.455473967686</v>
      </c>
      <c r="J23" s="29"/>
    </row>
    <row r="24" spans="2:10" x14ac:dyDescent="0.25">
      <c r="B24" s="2"/>
      <c r="D24" s="2" t="s">
        <v>34</v>
      </c>
      <c r="E24" s="18"/>
      <c r="G24" s="23">
        <v>21326</v>
      </c>
      <c r="H24" s="23">
        <v>1366.5445260323127</v>
      </c>
      <c r="I24" s="23">
        <f t="shared" si="0"/>
        <v>19959.455473967686</v>
      </c>
      <c r="J24" s="24"/>
    </row>
    <row r="25" spans="2:10" x14ac:dyDescent="0.25">
      <c r="B25" s="2"/>
      <c r="E25" s="15"/>
      <c r="G25" s="15"/>
      <c r="H25" s="15"/>
      <c r="I25" s="15"/>
    </row>
    <row r="26" spans="2:10" x14ac:dyDescent="0.25">
      <c r="B26" s="2" t="s">
        <v>35</v>
      </c>
      <c r="E26" s="18" t="s">
        <v>36</v>
      </c>
      <c r="F26" s="15"/>
      <c r="G26" s="11">
        <v>347</v>
      </c>
      <c r="H26" s="29">
        <v>0</v>
      </c>
      <c r="I26" s="29">
        <f t="shared" si="0"/>
        <v>347</v>
      </c>
      <c r="J26" s="12"/>
    </row>
    <row r="27" spans="2:10" x14ac:dyDescent="0.25">
      <c r="B27" s="2"/>
      <c r="E27" s="18" t="s">
        <v>37</v>
      </c>
      <c r="G27" s="11">
        <v>1277</v>
      </c>
      <c r="H27" s="11">
        <v>1277</v>
      </c>
      <c r="I27" s="11">
        <f t="shared" si="0"/>
        <v>0</v>
      </c>
      <c r="J27" s="12"/>
    </row>
    <row r="28" spans="2:10" x14ac:dyDescent="0.25">
      <c r="B28" s="2"/>
      <c r="E28" s="15" t="s">
        <v>38</v>
      </c>
      <c r="G28" s="11">
        <v>0</v>
      </c>
      <c r="H28" s="11">
        <v>0</v>
      </c>
      <c r="I28" s="11">
        <f t="shared" si="0"/>
        <v>0</v>
      </c>
      <c r="J28" s="12"/>
    </row>
    <row r="29" spans="2:10" x14ac:dyDescent="0.25">
      <c r="B29" s="2"/>
      <c r="E29" s="18" t="s">
        <v>39</v>
      </c>
      <c r="G29" s="11">
        <v>740</v>
      </c>
      <c r="H29" s="11">
        <v>740</v>
      </c>
      <c r="I29" s="11">
        <f t="shared" si="0"/>
        <v>0</v>
      </c>
      <c r="J29" s="12"/>
    </row>
    <row r="30" spans="2:10" x14ac:dyDescent="0.25">
      <c r="B30" s="2"/>
      <c r="E30" s="10" t="s">
        <v>40</v>
      </c>
      <c r="G30" s="21">
        <v>0</v>
      </c>
      <c r="H30" s="21">
        <v>0</v>
      </c>
      <c r="I30" s="21">
        <f t="shared" si="0"/>
        <v>0</v>
      </c>
      <c r="J30" s="82"/>
    </row>
    <row r="31" spans="2:10" x14ac:dyDescent="0.25">
      <c r="B31" s="2"/>
      <c r="D31" s="2" t="s">
        <v>41</v>
      </c>
      <c r="G31" s="24">
        <v>2364</v>
      </c>
      <c r="H31" s="23">
        <v>2017</v>
      </c>
      <c r="I31" s="23">
        <f t="shared" si="0"/>
        <v>347</v>
      </c>
      <c r="J31" s="24"/>
    </row>
    <row r="32" spans="2:10" x14ac:dyDescent="0.25">
      <c r="B32" s="2"/>
    </row>
    <row r="33" spans="2:10" x14ac:dyDescent="0.25">
      <c r="B33" s="2" t="s">
        <v>42</v>
      </c>
      <c r="D33" s="2" t="s">
        <v>43</v>
      </c>
      <c r="E33" s="3" t="s">
        <v>44</v>
      </c>
      <c r="G33" s="11">
        <v>0</v>
      </c>
      <c r="H33" s="12">
        <v>0</v>
      </c>
      <c r="I33" s="12">
        <f t="shared" si="0"/>
        <v>0</v>
      </c>
      <c r="J33" s="12"/>
    </row>
    <row r="34" spans="2:10" x14ac:dyDescent="0.25">
      <c r="B34" s="2" t="s">
        <v>45</v>
      </c>
      <c r="D34" s="2" t="s">
        <v>46</v>
      </c>
      <c r="E34" s="3" t="s">
        <v>47</v>
      </c>
      <c r="G34" s="11">
        <v>0</v>
      </c>
      <c r="H34" s="12">
        <v>0</v>
      </c>
      <c r="I34" s="12">
        <f t="shared" si="0"/>
        <v>0</v>
      </c>
      <c r="J34" s="12"/>
    </row>
    <row r="35" spans="2:10" x14ac:dyDescent="0.25">
      <c r="D35" s="2"/>
      <c r="G35" s="15"/>
      <c r="J35" s="12"/>
    </row>
    <row r="36" spans="2:10" x14ac:dyDescent="0.25">
      <c r="D36" s="2" t="s">
        <v>48</v>
      </c>
      <c r="E36" s="3" t="s">
        <v>49</v>
      </c>
      <c r="G36" s="11">
        <v>0</v>
      </c>
      <c r="H36" s="12">
        <v>0</v>
      </c>
      <c r="I36" s="12">
        <f t="shared" si="0"/>
        <v>0</v>
      </c>
      <c r="J36" s="12"/>
    </row>
    <row r="37" spans="2:10" x14ac:dyDescent="0.25">
      <c r="D37" s="2" t="s">
        <v>50</v>
      </c>
      <c r="E37" s="3" t="s">
        <v>51</v>
      </c>
      <c r="G37" s="11">
        <v>0</v>
      </c>
      <c r="H37" s="12">
        <v>0</v>
      </c>
      <c r="I37" s="12">
        <f t="shared" si="0"/>
        <v>0</v>
      </c>
      <c r="J37" s="12"/>
    </row>
    <row r="38" spans="2:10" x14ac:dyDescent="0.25">
      <c r="D38" s="2"/>
      <c r="E38" s="3" t="s">
        <v>52</v>
      </c>
      <c r="G38" s="11">
        <v>0</v>
      </c>
      <c r="H38" s="12">
        <v>0</v>
      </c>
      <c r="I38" s="12">
        <f t="shared" si="0"/>
        <v>0</v>
      </c>
      <c r="J38" s="12"/>
    </row>
    <row r="39" spans="2:10" x14ac:dyDescent="0.25">
      <c r="D39" s="2"/>
      <c r="E39" s="3" t="s">
        <v>53</v>
      </c>
      <c r="G39" s="11"/>
      <c r="H39" s="12">
        <v>0</v>
      </c>
      <c r="I39" s="12">
        <f t="shared" si="0"/>
        <v>0</v>
      </c>
      <c r="J39" s="12"/>
    </row>
    <row r="40" spans="2:10" x14ac:dyDescent="0.25">
      <c r="D40" s="2"/>
      <c r="G40" s="15"/>
      <c r="J40" s="12"/>
    </row>
    <row r="41" spans="2:10" x14ac:dyDescent="0.25">
      <c r="D41" s="2" t="s">
        <v>54</v>
      </c>
      <c r="G41" s="11">
        <v>0</v>
      </c>
      <c r="H41" s="12">
        <v>0</v>
      </c>
      <c r="I41" s="12">
        <f t="shared" si="0"/>
        <v>0</v>
      </c>
      <c r="J41" s="12"/>
    </row>
    <row r="42" spans="2:10" x14ac:dyDescent="0.25">
      <c r="D42" s="2"/>
      <c r="G42" s="15"/>
    </row>
    <row r="43" spans="2:10" x14ac:dyDescent="0.25">
      <c r="D43" s="2" t="s">
        <v>55</v>
      </c>
      <c r="G43" s="11">
        <v>0</v>
      </c>
      <c r="H43" s="12">
        <v>0</v>
      </c>
      <c r="I43" s="12">
        <f t="shared" si="0"/>
        <v>0</v>
      </c>
      <c r="J43" s="12"/>
    </row>
    <row r="44" spans="2:10" x14ac:dyDescent="0.25">
      <c r="D44" s="2"/>
      <c r="G44" s="15"/>
    </row>
    <row r="45" spans="2:10" x14ac:dyDescent="0.25">
      <c r="D45" s="2" t="s">
        <v>56</v>
      </c>
      <c r="G45" s="11">
        <v>0</v>
      </c>
      <c r="H45" s="12">
        <v>0</v>
      </c>
      <c r="I45" s="12">
        <f t="shared" si="0"/>
        <v>0</v>
      </c>
      <c r="J45" s="12"/>
    </row>
    <row r="46" spans="2:10" x14ac:dyDescent="0.25">
      <c r="D46" s="2"/>
      <c r="G46" s="15"/>
    </row>
    <row r="47" spans="2:10" x14ac:dyDescent="0.25">
      <c r="D47" s="2" t="s">
        <v>57</v>
      </c>
      <c r="G47" s="11">
        <v>0</v>
      </c>
      <c r="H47" s="12">
        <v>0</v>
      </c>
      <c r="I47" s="12">
        <f t="shared" si="0"/>
        <v>0</v>
      </c>
      <c r="J47" s="12"/>
    </row>
    <row r="48" spans="2:10" x14ac:dyDescent="0.25">
      <c r="D48" s="2" t="s">
        <v>58</v>
      </c>
      <c r="G48" s="15"/>
    </row>
    <row r="49" spans="2:10" x14ac:dyDescent="0.25">
      <c r="D49" s="2"/>
      <c r="G49" s="15"/>
    </row>
    <row r="50" spans="2:10" x14ac:dyDescent="0.25">
      <c r="B50" s="2"/>
      <c r="D50" s="2" t="s">
        <v>53</v>
      </c>
      <c r="G50" s="21">
        <v>2241.761358124495</v>
      </c>
      <c r="H50" s="22">
        <v>2241.761358124495</v>
      </c>
      <c r="I50" s="22">
        <f t="shared" si="0"/>
        <v>0</v>
      </c>
      <c r="J50" s="82"/>
    </row>
    <row r="51" spans="2:10" x14ac:dyDescent="0.25">
      <c r="D51" s="2" t="s">
        <v>59</v>
      </c>
      <c r="G51" s="24">
        <v>2241.761358124495</v>
      </c>
      <c r="H51" s="24">
        <v>2241.761358124495</v>
      </c>
      <c r="I51" s="24">
        <f t="shared" si="0"/>
        <v>0</v>
      </c>
      <c r="J51" s="24"/>
    </row>
    <row r="52" spans="2:10" x14ac:dyDescent="0.25">
      <c r="B52" s="2"/>
      <c r="E52" s="12"/>
    </row>
    <row r="53" spans="2:10" x14ac:dyDescent="0.25">
      <c r="B53" s="2" t="s">
        <v>60</v>
      </c>
      <c r="G53" s="12">
        <v>0</v>
      </c>
      <c r="H53" s="12">
        <v>0</v>
      </c>
      <c r="I53" s="12">
        <f t="shared" si="0"/>
        <v>0</v>
      </c>
      <c r="J53" s="12"/>
    </row>
    <row r="54" spans="2:10" x14ac:dyDescent="0.25">
      <c r="B54" s="2" t="s">
        <v>61</v>
      </c>
    </row>
    <row r="55" spans="2:10" ht="13.8" thickBot="1" x14ac:dyDescent="0.3">
      <c r="J55" s="40"/>
    </row>
    <row r="56" spans="2:10" x14ac:dyDescent="0.25">
      <c r="B56" s="2" t="s">
        <v>62</v>
      </c>
      <c r="G56" s="31">
        <v>105176.33833982113</v>
      </c>
      <c r="H56" s="31">
        <v>41645.189550286035</v>
      </c>
      <c r="I56" s="31">
        <f t="shared" si="0"/>
        <v>63531.148789535095</v>
      </c>
      <c r="J56" s="86"/>
    </row>
    <row r="59" spans="2:10" ht="13.8" x14ac:dyDescent="0.25">
      <c r="B59" s="6" t="s">
        <v>63</v>
      </c>
    </row>
    <row r="60" spans="2:10" x14ac:dyDescent="0.25">
      <c r="D60" s="15" t="s">
        <v>64</v>
      </c>
      <c r="E60" s="10" t="s">
        <v>20</v>
      </c>
      <c r="G60" s="12">
        <v>75832</v>
      </c>
      <c r="H60" s="12">
        <v>75832</v>
      </c>
      <c r="I60" s="12">
        <f t="shared" si="0"/>
        <v>0</v>
      </c>
      <c r="J60" s="11"/>
    </row>
    <row r="61" spans="2:10" x14ac:dyDescent="0.25">
      <c r="D61" s="15"/>
      <c r="E61" s="10" t="s">
        <v>21</v>
      </c>
      <c r="G61" s="33">
        <v>0</v>
      </c>
      <c r="H61" s="33">
        <v>0</v>
      </c>
      <c r="I61" s="33">
        <f t="shared" si="0"/>
        <v>0</v>
      </c>
      <c r="J61" s="33"/>
    </row>
    <row r="62" spans="2:10" x14ac:dyDescent="0.25">
      <c r="D62" s="15"/>
      <c r="E62" s="10"/>
    </row>
    <row r="63" spans="2:10" x14ac:dyDescent="0.25">
      <c r="D63" s="15" t="s">
        <v>94</v>
      </c>
      <c r="E63" s="10" t="s">
        <v>20</v>
      </c>
      <c r="G63" s="12">
        <v>69964.395544113751</v>
      </c>
      <c r="H63" s="12">
        <v>46231.892462045573</v>
      </c>
      <c r="I63" s="12">
        <f t="shared" si="0"/>
        <v>23732.503082068179</v>
      </c>
      <c r="J63" s="11"/>
    </row>
    <row r="64" spans="2:10" ht="12.75" customHeight="1" x14ac:dyDescent="0.25">
      <c r="D64" s="15"/>
      <c r="E64" s="10" t="s">
        <v>21</v>
      </c>
      <c r="G64" s="36">
        <v>0</v>
      </c>
      <c r="H64" s="33">
        <v>0</v>
      </c>
      <c r="I64" s="33">
        <f t="shared" si="0"/>
        <v>0</v>
      </c>
      <c r="J64" s="33"/>
    </row>
    <row r="65" spans="4:10" ht="12.75" customHeight="1" x14ac:dyDescent="0.25">
      <c r="D65" s="15"/>
      <c r="E65" s="10"/>
    </row>
    <row r="66" spans="4:10" x14ac:dyDescent="0.25">
      <c r="D66" s="15" t="s">
        <v>65</v>
      </c>
      <c r="E66" s="10" t="s">
        <v>20</v>
      </c>
      <c r="G66" s="12">
        <v>3248.8591295142314</v>
      </c>
      <c r="H66" s="12">
        <v>3248.8591295142314</v>
      </c>
      <c r="I66" s="12">
        <f t="shared" si="0"/>
        <v>0</v>
      </c>
      <c r="J66" s="11"/>
    </row>
    <row r="67" spans="4:10" x14ac:dyDescent="0.25">
      <c r="D67" s="15"/>
      <c r="E67" s="10" t="s">
        <v>21</v>
      </c>
      <c r="G67" s="36">
        <v>0</v>
      </c>
      <c r="H67" s="33">
        <v>0</v>
      </c>
      <c r="I67" s="33">
        <f t="shared" si="0"/>
        <v>0</v>
      </c>
      <c r="J67" s="33"/>
    </row>
    <row r="68" spans="4:10" x14ac:dyDescent="0.25">
      <c r="D68" s="15"/>
      <c r="E68" s="10"/>
      <c r="G68" s="33"/>
      <c r="H68" s="33"/>
      <c r="I68" s="33">
        <f t="shared" si="0"/>
        <v>0</v>
      </c>
      <c r="J68" s="34"/>
    </row>
    <row r="69" spans="4:10" x14ac:dyDescent="0.25">
      <c r="D69" s="93" t="s">
        <v>97</v>
      </c>
      <c r="E69" s="10" t="s">
        <v>20</v>
      </c>
      <c r="G69" s="12">
        <v>75.121718836465121</v>
      </c>
      <c r="H69" s="12">
        <v>75.121718836465121</v>
      </c>
      <c r="I69" s="12">
        <f t="shared" si="0"/>
        <v>0</v>
      </c>
      <c r="J69" s="11"/>
    </row>
    <row r="70" spans="4:10" x14ac:dyDescent="0.25">
      <c r="D70" s="15"/>
      <c r="E70" s="10" t="s">
        <v>21</v>
      </c>
      <c r="G70" s="36">
        <v>0</v>
      </c>
      <c r="H70" s="33">
        <v>0</v>
      </c>
      <c r="I70" s="33">
        <f t="shared" si="0"/>
        <v>0</v>
      </c>
      <c r="J70" s="33"/>
    </row>
    <row r="71" spans="4:10" x14ac:dyDescent="0.25">
      <c r="D71" s="15"/>
      <c r="E71" s="10"/>
      <c r="G71" s="36"/>
      <c r="H71" s="33"/>
      <c r="I71" s="33">
        <f t="shared" si="0"/>
        <v>0</v>
      </c>
      <c r="J71" s="33"/>
    </row>
    <row r="72" spans="4:10" x14ac:dyDescent="0.25">
      <c r="D72" s="15" t="s">
        <v>127</v>
      </c>
      <c r="E72" s="10" t="s">
        <v>20</v>
      </c>
      <c r="G72" s="12">
        <v>5101.4476337126771</v>
      </c>
      <c r="H72" s="12">
        <v>5101.4476337126771</v>
      </c>
      <c r="I72" s="12">
        <f t="shared" si="0"/>
        <v>0</v>
      </c>
      <c r="J72" s="33"/>
    </row>
    <row r="73" spans="4:10" x14ac:dyDescent="0.25">
      <c r="D73" s="15"/>
      <c r="E73" s="10" t="s">
        <v>21</v>
      </c>
      <c r="G73" s="36">
        <v>0</v>
      </c>
      <c r="H73" s="33">
        <v>0</v>
      </c>
      <c r="I73" s="33">
        <f t="shared" si="0"/>
        <v>0</v>
      </c>
      <c r="J73" s="33"/>
    </row>
    <row r="74" spans="4:10" x14ac:dyDescent="0.25">
      <c r="D74" s="15"/>
      <c r="E74" s="10"/>
    </row>
    <row r="75" spans="4:10" x14ac:dyDescent="0.25">
      <c r="D75" s="98" t="s">
        <v>130</v>
      </c>
      <c r="E75" s="10" t="s">
        <v>20</v>
      </c>
      <c r="G75" s="12">
        <v>0</v>
      </c>
      <c r="H75" s="12">
        <v>0</v>
      </c>
      <c r="I75" s="12">
        <f t="shared" ref="I75:I93" si="1">G75-H75</f>
        <v>0</v>
      </c>
    </row>
    <row r="76" spans="4:10" x14ac:dyDescent="0.25">
      <c r="D76" s="15"/>
      <c r="E76" s="10" t="s">
        <v>21</v>
      </c>
      <c r="G76" s="36">
        <v>0</v>
      </c>
      <c r="H76" s="33">
        <v>0</v>
      </c>
      <c r="I76" s="33">
        <f t="shared" si="1"/>
        <v>0</v>
      </c>
    </row>
    <row r="77" spans="4:10" x14ac:dyDescent="0.25">
      <c r="D77" s="15"/>
      <c r="E77" s="10"/>
    </row>
    <row r="78" spans="4:10" x14ac:dyDescent="0.25">
      <c r="D78" s="98" t="s">
        <v>129</v>
      </c>
      <c r="E78" s="10" t="s">
        <v>20</v>
      </c>
      <c r="G78" s="12">
        <v>0</v>
      </c>
      <c r="H78" s="12">
        <v>0</v>
      </c>
      <c r="I78" s="12">
        <f t="shared" si="1"/>
        <v>0</v>
      </c>
    </row>
    <row r="79" spans="4:10" x14ac:dyDescent="0.25">
      <c r="D79" s="15"/>
      <c r="E79" s="10" t="s">
        <v>21</v>
      </c>
      <c r="G79" s="36">
        <v>0</v>
      </c>
      <c r="H79" s="33">
        <v>0</v>
      </c>
      <c r="I79" s="33">
        <f t="shared" si="1"/>
        <v>0</v>
      </c>
    </row>
    <row r="80" spans="4:10" x14ac:dyDescent="0.25">
      <c r="D80" s="15"/>
      <c r="E80" s="10"/>
    </row>
    <row r="81" spans="2:10" x14ac:dyDescent="0.25">
      <c r="D81" s="98" t="s">
        <v>128</v>
      </c>
      <c r="E81" s="10" t="s">
        <v>20</v>
      </c>
      <c r="G81" s="12">
        <v>0</v>
      </c>
      <c r="H81" s="12">
        <v>0</v>
      </c>
      <c r="I81" s="12">
        <f t="shared" si="1"/>
        <v>0</v>
      </c>
    </row>
    <row r="82" spans="2:10" x14ac:dyDescent="0.25">
      <c r="D82" s="15"/>
      <c r="E82" s="10" t="s">
        <v>21</v>
      </c>
      <c r="G82" s="36">
        <v>0</v>
      </c>
      <c r="H82" s="33">
        <v>0</v>
      </c>
      <c r="I82" s="33">
        <f t="shared" si="1"/>
        <v>0</v>
      </c>
    </row>
    <row r="83" spans="2:10" x14ac:dyDescent="0.25">
      <c r="D83" s="15"/>
      <c r="E83" s="10"/>
    </row>
    <row r="84" spans="2:10" x14ac:dyDescent="0.25">
      <c r="D84" s="99" t="s">
        <v>126</v>
      </c>
      <c r="E84" s="10" t="s">
        <v>20</v>
      </c>
      <c r="G84" s="12">
        <v>0</v>
      </c>
      <c r="H84" s="12">
        <v>0</v>
      </c>
      <c r="I84" s="12">
        <f t="shared" si="1"/>
        <v>0</v>
      </c>
      <c r="J84" s="12"/>
    </row>
    <row r="85" spans="2:10" x14ac:dyDescent="0.25">
      <c r="E85" s="10" t="s">
        <v>21</v>
      </c>
      <c r="G85" s="36">
        <v>0</v>
      </c>
      <c r="H85" s="33">
        <v>0</v>
      </c>
      <c r="I85" s="33">
        <f t="shared" si="1"/>
        <v>0</v>
      </c>
      <c r="J85" s="33"/>
    </row>
    <row r="86" spans="2:10" x14ac:dyDescent="0.25">
      <c r="E86" s="10"/>
      <c r="G86" s="36"/>
      <c r="H86" s="33"/>
      <c r="I86" s="33">
        <f t="shared" si="1"/>
        <v>0</v>
      </c>
      <c r="J86" s="33"/>
    </row>
    <row r="87" spans="2:10" x14ac:dyDescent="0.25">
      <c r="D87" s="15" t="s">
        <v>66</v>
      </c>
      <c r="E87" s="10" t="s">
        <v>20</v>
      </c>
      <c r="G87" s="12">
        <v>10576.020499001515</v>
      </c>
      <c r="H87" s="12">
        <v>10576.020499001515</v>
      </c>
      <c r="I87" s="12">
        <f t="shared" si="1"/>
        <v>0</v>
      </c>
      <c r="J87" s="12"/>
    </row>
    <row r="88" spans="2:10" ht="13.8" thickBot="1" x14ac:dyDescent="0.3">
      <c r="D88" s="15"/>
    </row>
    <row r="89" spans="2:10" ht="13.8" thickBot="1" x14ac:dyDescent="0.3">
      <c r="B89" s="2" t="s">
        <v>67</v>
      </c>
      <c r="E89" s="10" t="s">
        <v>20</v>
      </c>
      <c r="G89" s="31">
        <v>164797.84452517863</v>
      </c>
      <c r="H89" s="31">
        <v>141065.34144311046</v>
      </c>
      <c r="I89" s="31">
        <f t="shared" si="1"/>
        <v>23732.503082068171</v>
      </c>
      <c r="J89" s="86"/>
    </row>
    <row r="90" spans="2:10" x14ac:dyDescent="0.25">
      <c r="B90" s="2"/>
      <c r="E90" s="10" t="s">
        <v>21</v>
      </c>
      <c r="G90" s="31">
        <v>0</v>
      </c>
      <c r="H90" s="31">
        <v>0</v>
      </c>
      <c r="I90" s="31">
        <f t="shared" si="1"/>
        <v>0</v>
      </c>
      <c r="J90" s="42"/>
    </row>
    <row r="92" spans="2:10" ht="13.8" thickBot="1" x14ac:dyDescent="0.3"/>
    <row r="93" spans="2:10" ht="14.4" thickBot="1" x14ac:dyDescent="0.3">
      <c r="B93" s="6" t="s">
        <v>68</v>
      </c>
      <c r="G93" s="45">
        <v>269974.18286499975</v>
      </c>
      <c r="H93" s="79">
        <v>182710.5309933965</v>
      </c>
      <c r="I93" s="79">
        <f t="shared" si="1"/>
        <v>87263.651871603244</v>
      </c>
      <c r="J93" s="86"/>
    </row>
    <row r="94" spans="2:10" ht="13.8" thickTop="1" x14ac:dyDescent="0.25">
      <c r="G94" s="77"/>
      <c r="H94" s="80"/>
    </row>
    <row r="95" spans="2:10" x14ac:dyDescent="0.25">
      <c r="G95" s="77"/>
      <c r="H95" s="80"/>
    </row>
    <row r="96" spans="2:10" x14ac:dyDescent="0.25">
      <c r="G96" s="77"/>
      <c r="H96" s="80"/>
    </row>
    <row r="97" spans="5:8" x14ac:dyDescent="0.25">
      <c r="G97" s="77"/>
      <c r="H97" s="80"/>
    </row>
    <row r="98" spans="5:8" x14ac:dyDescent="0.25">
      <c r="G98" s="77"/>
      <c r="H98" s="80"/>
    </row>
    <row r="99" spans="5:8" x14ac:dyDescent="0.25">
      <c r="G99" s="77"/>
      <c r="H99" s="80"/>
    </row>
    <row r="100" spans="5:8" x14ac:dyDescent="0.25">
      <c r="G100" s="77"/>
      <c r="H100" s="80"/>
    </row>
    <row r="101" spans="5:8" x14ac:dyDescent="0.25">
      <c r="G101" s="77"/>
      <c r="H101" s="80"/>
    </row>
    <row r="102" spans="5:8" ht="13.8" thickBot="1" x14ac:dyDescent="0.3"/>
    <row r="103" spans="5:8" x14ac:dyDescent="0.25">
      <c r="E103" s="50"/>
      <c r="F103" s="51"/>
      <c r="G103" s="52" t="e">
        <f>G115</f>
        <v>#REF!</v>
      </c>
      <c r="H103" s="47"/>
    </row>
    <row r="104" spans="5:8" x14ac:dyDescent="0.25">
      <c r="E104" s="54"/>
      <c r="F104" s="38"/>
      <c r="G104" s="38"/>
    </row>
    <row r="105" spans="5:8" x14ac:dyDescent="0.25">
      <c r="E105" s="54" t="s">
        <v>69</v>
      </c>
      <c r="F105" s="38"/>
      <c r="G105" s="38"/>
    </row>
    <row r="106" spans="5:8" x14ac:dyDescent="0.25">
      <c r="E106" s="54" t="s">
        <v>90</v>
      </c>
      <c r="F106" s="38"/>
      <c r="G106" s="38"/>
    </row>
    <row r="107" spans="5:8" x14ac:dyDescent="0.25">
      <c r="E107" s="54"/>
      <c r="F107" s="38"/>
      <c r="G107" s="38"/>
    </row>
    <row r="108" spans="5:8" x14ac:dyDescent="0.25">
      <c r="E108" s="54" t="s">
        <v>70</v>
      </c>
      <c r="F108" s="38"/>
      <c r="G108" s="38"/>
    </row>
    <row r="109" spans="5:8" x14ac:dyDescent="0.25">
      <c r="E109" s="54" t="s">
        <v>71</v>
      </c>
      <c r="F109" s="38"/>
      <c r="G109" s="38"/>
    </row>
    <row r="110" spans="5:8" x14ac:dyDescent="0.25">
      <c r="E110" s="54" t="s">
        <v>72</v>
      </c>
      <c r="F110" s="38"/>
      <c r="G110" s="38"/>
    </row>
    <row r="111" spans="5:8" x14ac:dyDescent="0.25">
      <c r="E111" s="54"/>
      <c r="F111" s="38"/>
      <c r="G111" s="38"/>
    </row>
    <row r="112" spans="5:8" x14ac:dyDescent="0.25">
      <c r="E112" s="57" t="s">
        <v>73</v>
      </c>
      <c r="F112" s="38"/>
      <c r="G112" s="59">
        <v>282264</v>
      </c>
    </row>
    <row r="113" spans="2:7" x14ac:dyDescent="0.25">
      <c r="E113" s="54" t="s">
        <v>74</v>
      </c>
      <c r="F113" s="38"/>
      <c r="G113" s="61" t="e">
        <f>-#REF!</f>
        <v>#REF!</v>
      </c>
    </row>
    <row r="114" spans="2:7" ht="13.8" thickBot="1" x14ac:dyDescent="0.3">
      <c r="E114" s="54" t="s">
        <v>75</v>
      </c>
      <c r="F114" s="38"/>
      <c r="G114" s="64" t="e">
        <f>SUM(G112:G113)</f>
        <v>#REF!</v>
      </c>
    </row>
    <row r="115" spans="2:7" ht="14.4" thickTop="1" thickBot="1" x14ac:dyDescent="0.3">
      <c r="E115" s="54" t="s">
        <v>76</v>
      </c>
      <c r="F115" s="38"/>
      <c r="G115" s="66" t="e">
        <f>G$114/#REF!</f>
        <v>#REF!</v>
      </c>
    </row>
    <row r="116" spans="2:7" ht="14.4" thickTop="1" thickBot="1" x14ac:dyDescent="0.3">
      <c r="E116" s="67"/>
      <c r="F116" s="68"/>
      <c r="G116" s="69" t="s">
        <v>79</v>
      </c>
    </row>
    <row r="119" spans="2:7" x14ac:dyDescent="0.25">
      <c r="B119" s="2" t="s">
        <v>83</v>
      </c>
      <c r="C119" s="2"/>
      <c r="D119" s="2" t="s">
        <v>135</v>
      </c>
      <c r="E119" s="78"/>
      <c r="F119" s="71"/>
      <c r="G119" s="88"/>
    </row>
    <row r="120" spans="2:7" x14ac:dyDescent="0.25">
      <c r="B120" s="2" t="s">
        <v>84</v>
      </c>
      <c r="C120" s="2"/>
      <c r="D120" s="2"/>
      <c r="E120" s="71"/>
      <c r="F120" s="71"/>
      <c r="G120" s="88"/>
    </row>
    <row r="121" spans="2:7" x14ac:dyDescent="0.25">
      <c r="B121" s="2" t="s">
        <v>80</v>
      </c>
      <c r="C121" s="2"/>
      <c r="D121" s="139" t="s">
        <v>134</v>
      </c>
      <c r="E121" s="71"/>
      <c r="F121" s="71"/>
      <c r="G121" s="49"/>
    </row>
    <row r="122" spans="2:7" x14ac:dyDescent="0.25">
      <c r="B122" s="2" t="s">
        <v>82</v>
      </c>
      <c r="C122" s="2"/>
      <c r="D122" s="139"/>
      <c r="E122" s="71"/>
      <c r="F122" s="71"/>
      <c r="G122" s="75"/>
    </row>
    <row r="123" spans="2:7" x14ac:dyDescent="0.25">
      <c r="B123" s="2" t="s">
        <v>81</v>
      </c>
      <c r="C123" s="2"/>
      <c r="D123" s="139"/>
      <c r="E123" s="71"/>
      <c r="F123" s="71"/>
      <c r="G123" s="49"/>
    </row>
    <row r="124" spans="2:7" x14ac:dyDescent="0.25">
      <c r="E124" s="71"/>
      <c r="F124" s="71"/>
      <c r="G124" s="75"/>
    </row>
    <row r="125" spans="2:7" x14ac:dyDescent="0.25">
      <c r="B125" s="2" t="s">
        <v>91</v>
      </c>
      <c r="D125" s="2" t="s">
        <v>124</v>
      </c>
      <c r="E125" s="71"/>
      <c r="F125" s="71"/>
      <c r="G125" s="76"/>
    </row>
    <row r="126" spans="2:7" x14ac:dyDescent="0.25">
      <c r="D126" s="92" t="s">
        <v>125</v>
      </c>
      <c r="G126" s="63"/>
    </row>
    <row r="127" spans="2:7" x14ac:dyDescent="0.25">
      <c r="G127" s="38"/>
    </row>
  </sheetData>
  <mergeCells count="2">
    <mergeCell ref="H2:I2"/>
    <mergeCell ref="D121:D123"/>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B1:X164"/>
  <sheetViews>
    <sheetView zoomScaleNormal="100" workbookViewId="0">
      <selection activeCell="Q64" sqref="Q64"/>
    </sheetView>
  </sheetViews>
  <sheetFormatPr defaultColWidth="9.109375" defaultRowHeight="13.2" x14ac:dyDescent="0.25"/>
  <cols>
    <col min="1" max="1" width="0.88671875" style="3" customWidth="1"/>
    <col min="2" max="2" width="22.109375" style="3" customWidth="1"/>
    <col min="3" max="3" width="0.88671875" style="3" customWidth="1"/>
    <col min="4" max="4" width="29.44140625" style="3" customWidth="1"/>
    <col min="5" max="5" width="22" style="3" bestFit="1" customWidth="1"/>
    <col min="6" max="6" width="0.8867187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x14ac:dyDescent="0.25">
      <c r="E2" s="2"/>
      <c r="F2" s="2"/>
    </row>
    <row r="3" spans="2:24" ht="21" thickBot="1" x14ac:dyDescent="0.4">
      <c r="B3" s="1" t="s">
        <v>0</v>
      </c>
      <c r="C3" s="2"/>
      <c r="D3" s="2"/>
      <c r="E3" s="2"/>
      <c r="F3" s="2"/>
      <c r="G3" s="134" t="s">
        <v>100</v>
      </c>
      <c r="H3" s="134"/>
      <c r="I3" s="134"/>
      <c r="J3" s="134"/>
      <c r="K3" s="134"/>
      <c r="L3" s="5"/>
      <c r="M3" s="134" t="s">
        <v>101</v>
      </c>
      <c r="N3" s="134"/>
      <c r="O3" s="134"/>
      <c r="P3" s="134"/>
      <c r="Q3" s="134"/>
      <c r="R3" s="83"/>
      <c r="S3" s="83"/>
      <c r="T3" s="83"/>
      <c r="U3" s="83"/>
      <c r="V3" s="83"/>
    </row>
    <row r="4" spans="2:24" ht="20.399999999999999" x14ac:dyDescent="0.35">
      <c r="B4" s="1" t="s">
        <v>1</v>
      </c>
      <c r="C4" s="2"/>
      <c r="D4" s="2"/>
      <c r="L4" s="5"/>
    </row>
    <row r="5" spans="2:24" x14ac:dyDescent="0.25">
      <c r="B5" s="2" t="s">
        <v>99</v>
      </c>
      <c r="C5" s="2"/>
      <c r="D5" s="2"/>
      <c r="G5" s="7" t="s">
        <v>4</v>
      </c>
      <c r="H5" s="7" t="s">
        <v>5</v>
      </c>
      <c r="I5" s="7" t="s">
        <v>6</v>
      </c>
      <c r="J5" s="7" t="s">
        <v>7</v>
      </c>
      <c r="K5" s="7" t="s">
        <v>8</v>
      </c>
      <c r="L5" s="5"/>
      <c r="M5" s="7" t="s">
        <v>4</v>
      </c>
      <c r="N5" s="7" t="s">
        <v>5</v>
      </c>
      <c r="O5" s="7" t="s">
        <v>6</v>
      </c>
      <c r="P5" s="7" t="s">
        <v>7</v>
      </c>
      <c r="Q5" s="7" t="s">
        <v>8</v>
      </c>
      <c r="R5" s="7"/>
      <c r="S5" s="7"/>
      <c r="T5" s="7"/>
      <c r="U5" s="7"/>
      <c r="V5" s="7"/>
    </row>
    <row r="6" spans="2:24" ht="15" x14ac:dyDescent="0.25">
      <c r="B6" s="4"/>
      <c r="C6" s="2"/>
      <c r="D6" s="4" t="s">
        <v>2</v>
      </c>
      <c r="G6" s="7" t="s">
        <v>10</v>
      </c>
      <c r="H6" s="7" t="s">
        <v>11</v>
      </c>
      <c r="I6" s="7" t="s">
        <v>12</v>
      </c>
      <c r="J6" s="7" t="s">
        <v>93</v>
      </c>
      <c r="K6" s="7" t="s">
        <v>13</v>
      </c>
      <c r="L6" s="5"/>
      <c r="M6" s="7" t="s">
        <v>10</v>
      </c>
      <c r="N6" s="7" t="s">
        <v>11</v>
      </c>
      <c r="O6" s="7" t="s">
        <v>12</v>
      </c>
      <c r="P6" s="7" t="s">
        <v>93</v>
      </c>
      <c r="Q6" s="7" t="s">
        <v>13</v>
      </c>
      <c r="R6" s="7"/>
      <c r="S6" s="7"/>
      <c r="T6" s="7"/>
      <c r="U6" s="7"/>
      <c r="V6" s="7"/>
    </row>
    <row r="7" spans="2:24" x14ac:dyDescent="0.25">
      <c r="D7" s="81"/>
      <c r="E7" s="15"/>
      <c r="G7" s="7"/>
      <c r="H7" s="7" t="s">
        <v>14</v>
      </c>
      <c r="I7" s="7"/>
      <c r="J7" s="7"/>
      <c r="K7" s="7"/>
      <c r="L7" s="5"/>
      <c r="M7" s="7"/>
      <c r="N7" s="7" t="s">
        <v>14</v>
      </c>
      <c r="O7" s="7"/>
      <c r="P7" s="7"/>
      <c r="Q7" s="7"/>
      <c r="R7" s="7"/>
      <c r="S7" s="7"/>
      <c r="T7" s="7"/>
      <c r="U7" s="7"/>
      <c r="V7" s="7"/>
    </row>
    <row r="8" spans="2:24" ht="13.8" thickBot="1" x14ac:dyDescent="0.3">
      <c r="B8" s="2"/>
      <c r="E8" s="15"/>
      <c r="G8" s="8" t="s">
        <v>15</v>
      </c>
      <c r="H8" s="8" t="s">
        <v>16</v>
      </c>
      <c r="I8" s="8" t="s">
        <v>17</v>
      </c>
      <c r="J8" s="8"/>
      <c r="K8" s="8" t="s">
        <v>18</v>
      </c>
      <c r="L8" s="5"/>
      <c r="M8" s="8" t="s">
        <v>15</v>
      </c>
      <c r="N8" s="8" t="s">
        <v>16</v>
      </c>
      <c r="O8" s="8" t="s">
        <v>17</v>
      </c>
      <c r="P8" s="8"/>
      <c r="Q8" s="8" t="s">
        <v>18</v>
      </c>
      <c r="R8" s="84"/>
      <c r="S8" s="84"/>
      <c r="T8" s="84"/>
      <c r="U8" s="84"/>
      <c r="V8" s="84"/>
    </row>
    <row r="9" spans="2:24" ht="5.0999999999999996" customHeight="1" x14ac:dyDescent="0.25">
      <c r="B9" s="2"/>
      <c r="E9" s="15"/>
      <c r="G9" s="9"/>
      <c r="H9" s="9"/>
      <c r="I9" s="9"/>
      <c r="J9" s="9"/>
      <c r="K9" s="9"/>
      <c r="L9" s="5"/>
      <c r="M9" s="9"/>
      <c r="N9" s="9"/>
      <c r="O9" s="9"/>
      <c r="P9" s="9"/>
      <c r="Q9" s="9"/>
      <c r="R9" s="87"/>
      <c r="S9" s="87"/>
      <c r="T9" s="87"/>
      <c r="U9" s="87"/>
      <c r="V9" s="87"/>
    </row>
    <row r="10" spans="2:24" ht="14.4" thickBot="1" x14ac:dyDescent="0.3">
      <c r="B10" s="6" t="s">
        <v>3</v>
      </c>
      <c r="D10" s="3" t="s">
        <v>19</v>
      </c>
      <c r="E10" s="18" t="s">
        <v>20</v>
      </c>
      <c r="G10" s="11">
        <v>9243</v>
      </c>
      <c r="H10" s="11">
        <v>1321</v>
      </c>
      <c r="I10" s="11">
        <v>121481</v>
      </c>
      <c r="J10" s="12">
        <v>0</v>
      </c>
      <c r="K10" s="11">
        <f>SUM(G10:J10)</f>
        <v>132045</v>
      </c>
      <c r="L10" s="5"/>
      <c r="M10" s="11">
        <v>0</v>
      </c>
      <c r="N10" s="11">
        <v>0</v>
      </c>
      <c r="O10" s="11">
        <v>0</v>
      </c>
      <c r="P10" s="12">
        <v>0</v>
      </c>
      <c r="Q10" s="12">
        <f>SUM(M10:P10)</f>
        <v>0</v>
      </c>
      <c r="R10" s="12"/>
      <c r="S10" s="12"/>
      <c r="T10" s="12"/>
      <c r="U10" s="12"/>
      <c r="V10" s="12"/>
    </row>
    <row r="11" spans="2:24" x14ac:dyDescent="0.25">
      <c r="B11" s="2" t="s">
        <v>9</v>
      </c>
      <c r="E11" s="18" t="s">
        <v>21</v>
      </c>
      <c r="G11" s="13">
        <v>242.8</v>
      </c>
      <c r="H11" s="13">
        <v>35.1</v>
      </c>
      <c r="I11" s="13">
        <v>3186</v>
      </c>
      <c r="J11" s="14">
        <v>0</v>
      </c>
      <c r="K11" s="13">
        <f>SUM(G11:J11)</f>
        <v>3463.9</v>
      </c>
      <c r="L11" s="5"/>
      <c r="M11" s="13">
        <f>G11</f>
        <v>242.8</v>
      </c>
      <c r="N11" s="13">
        <f>H11</f>
        <v>35.1</v>
      </c>
      <c r="O11" s="13">
        <f>I11</f>
        <v>3186</v>
      </c>
      <c r="P11" s="14">
        <v>0</v>
      </c>
      <c r="Q11" s="14">
        <f>SUM(M11:P11)</f>
        <v>3463.9</v>
      </c>
      <c r="R11" s="85"/>
      <c r="S11" s="85"/>
      <c r="T11" s="85"/>
      <c r="U11" s="85"/>
      <c r="V11" s="85"/>
    </row>
    <row r="12" spans="2:24" x14ac:dyDescent="0.25">
      <c r="E12" s="18"/>
      <c r="G12" s="15"/>
      <c r="H12" s="15"/>
      <c r="I12" s="15"/>
      <c r="K12" s="15"/>
      <c r="L12" s="5"/>
      <c r="M12" s="15"/>
      <c r="N12" s="15"/>
      <c r="O12" s="15"/>
    </row>
    <row r="13" spans="2:24" ht="13.8" thickBot="1" x14ac:dyDescent="0.3">
      <c r="D13" s="3" t="s">
        <v>22</v>
      </c>
      <c r="E13" s="18" t="s">
        <v>20</v>
      </c>
      <c r="G13" s="11">
        <v>45310</v>
      </c>
      <c r="H13" s="11">
        <v>6473</v>
      </c>
      <c r="I13" s="11">
        <v>595504</v>
      </c>
      <c r="J13" s="12"/>
      <c r="K13" s="11">
        <f>SUM(G13:J13)</f>
        <v>647287</v>
      </c>
      <c r="L13" s="5"/>
      <c r="M13" s="11">
        <f t="shared" ref="M13:P14" si="0">G13</f>
        <v>45310</v>
      </c>
      <c r="N13" s="11">
        <f t="shared" si="0"/>
        <v>6473</v>
      </c>
      <c r="O13" s="11">
        <f t="shared" si="0"/>
        <v>595504</v>
      </c>
      <c r="P13" s="11">
        <f t="shared" si="0"/>
        <v>0</v>
      </c>
      <c r="Q13" s="12">
        <f>SUM(M13:P13)</f>
        <v>647287</v>
      </c>
      <c r="R13" s="12"/>
      <c r="S13" s="12"/>
      <c r="T13" s="12"/>
      <c r="U13" s="12"/>
      <c r="V13" s="12"/>
    </row>
    <row r="14" spans="2:24" ht="13.8" thickBot="1" x14ac:dyDescent="0.3">
      <c r="E14" s="18" t="s">
        <v>21</v>
      </c>
      <c r="G14" s="13">
        <v>953.9</v>
      </c>
      <c r="H14" s="13">
        <v>136.19999999999999</v>
      </c>
      <c r="I14" s="13">
        <v>12526.6</v>
      </c>
      <c r="J14" s="14">
        <v>0</v>
      </c>
      <c r="K14" s="13">
        <f>SUM(G14:J14)</f>
        <v>13616.7</v>
      </c>
      <c r="L14" s="5"/>
      <c r="M14" s="13">
        <f t="shared" si="0"/>
        <v>953.9</v>
      </c>
      <c r="N14" s="13">
        <f t="shared" si="0"/>
        <v>136.19999999999999</v>
      </c>
      <c r="O14" s="13">
        <f t="shared" si="0"/>
        <v>12526.6</v>
      </c>
      <c r="P14" s="14">
        <v>0</v>
      </c>
      <c r="Q14" s="14">
        <f>SUM(M14:P14)</f>
        <v>13616.7</v>
      </c>
      <c r="R14" s="85"/>
      <c r="S14" s="85"/>
      <c r="T14" s="85"/>
      <c r="U14" s="85"/>
      <c r="V14" s="85"/>
    </row>
    <row r="15" spans="2:24" x14ac:dyDescent="0.25">
      <c r="E15" s="15"/>
      <c r="G15" s="15"/>
      <c r="H15" s="15"/>
      <c r="I15" s="15"/>
      <c r="K15" s="15"/>
      <c r="L15" s="5"/>
      <c r="M15" s="15"/>
      <c r="N15" s="15"/>
      <c r="O15" s="15"/>
      <c r="X15" s="16" t="s">
        <v>86</v>
      </c>
    </row>
    <row r="16" spans="2:24" x14ac:dyDescent="0.25">
      <c r="D16" s="3" t="s">
        <v>23</v>
      </c>
      <c r="E16" s="18" t="s">
        <v>24</v>
      </c>
      <c r="G16" s="11">
        <v>3231</v>
      </c>
      <c r="H16" s="11">
        <v>462</v>
      </c>
      <c r="I16" s="11">
        <v>1212</v>
      </c>
      <c r="J16" s="12">
        <v>0</v>
      </c>
      <c r="K16" s="11">
        <f t="shared" ref="K16:K22" si="1">SUM(G16:J16)</f>
        <v>4905</v>
      </c>
      <c r="L16" s="5"/>
      <c r="M16" s="11">
        <v>0</v>
      </c>
      <c r="N16" s="11">
        <v>0</v>
      </c>
      <c r="O16" s="11">
        <v>0</v>
      </c>
      <c r="P16" s="12">
        <v>0</v>
      </c>
      <c r="Q16" s="12">
        <f t="shared" ref="Q16:Q21" si="2">SUM(M16:P16)</f>
        <v>0</v>
      </c>
      <c r="R16" s="12"/>
      <c r="S16" s="12"/>
      <c r="T16" s="12"/>
      <c r="U16" s="12"/>
      <c r="V16" s="12"/>
      <c r="X16" s="17"/>
    </row>
    <row r="17" spans="2:24" x14ac:dyDescent="0.25">
      <c r="D17" s="3" t="s">
        <v>25</v>
      </c>
      <c r="E17" s="18" t="s">
        <v>26</v>
      </c>
      <c r="G17" s="11">
        <v>5120</v>
      </c>
      <c r="H17" s="11">
        <v>732</v>
      </c>
      <c r="I17" s="11">
        <v>20536</v>
      </c>
      <c r="J17" s="12">
        <v>0</v>
      </c>
      <c r="K17" s="11">
        <f t="shared" si="1"/>
        <v>26388</v>
      </c>
      <c r="L17" s="5"/>
      <c r="M17" s="11">
        <f>G17</f>
        <v>5120</v>
      </c>
      <c r="N17" s="11">
        <f>H17</f>
        <v>732</v>
      </c>
      <c r="O17" s="11">
        <f>I17</f>
        <v>20536</v>
      </c>
      <c r="P17" s="11">
        <f>J17</f>
        <v>0</v>
      </c>
      <c r="Q17" s="12">
        <f t="shared" si="2"/>
        <v>26388</v>
      </c>
      <c r="R17" s="12"/>
      <c r="S17" s="12"/>
      <c r="T17" s="12"/>
      <c r="U17" s="12"/>
      <c r="V17" s="12"/>
      <c r="X17" s="17" t="s">
        <v>87</v>
      </c>
    </row>
    <row r="18" spans="2:24" x14ac:dyDescent="0.25">
      <c r="E18" s="18" t="s">
        <v>27</v>
      </c>
      <c r="G18" s="11">
        <v>752</v>
      </c>
      <c r="H18" s="11">
        <v>108</v>
      </c>
      <c r="I18" s="11">
        <v>3120</v>
      </c>
      <c r="J18" s="12">
        <v>0</v>
      </c>
      <c r="K18" s="11">
        <f t="shared" si="1"/>
        <v>3980</v>
      </c>
      <c r="L18" s="5"/>
      <c r="M18" s="11">
        <v>0</v>
      </c>
      <c r="N18" s="11">
        <v>0</v>
      </c>
      <c r="O18" s="11">
        <v>0</v>
      </c>
      <c r="P18" s="12">
        <v>0</v>
      </c>
      <c r="Q18" s="12">
        <f t="shared" si="2"/>
        <v>0</v>
      </c>
      <c r="R18" s="12"/>
      <c r="S18" s="12"/>
      <c r="T18" s="12"/>
      <c r="U18" s="12"/>
      <c r="V18" s="12"/>
      <c r="X18" s="19">
        <f>395196+21379</f>
        <v>416575</v>
      </c>
    </row>
    <row r="19" spans="2:24" x14ac:dyDescent="0.25">
      <c r="E19" s="18" t="s">
        <v>28</v>
      </c>
      <c r="G19" s="20">
        <v>7793</v>
      </c>
      <c r="H19" s="11">
        <v>1093</v>
      </c>
      <c r="I19" s="11">
        <v>103144</v>
      </c>
      <c r="J19" s="12">
        <v>0</v>
      </c>
      <c r="K19" s="11">
        <f t="shared" si="1"/>
        <v>112030</v>
      </c>
      <c r="L19" s="5"/>
      <c r="M19" s="11">
        <v>0</v>
      </c>
      <c r="N19" s="11">
        <v>0</v>
      </c>
      <c r="O19" s="11">
        <v>0</v>
      </c>
      <c r="P19" s="12">
        <v>0</v>
      </c>
      <c r="Q19" s="12">
        <f t="shared" si="2"/>
        <v>0</v>
      </c>
      <c r="R19" s="12"/>
      <c r="S19" s="12"/>
      <c r="T19" s="12"/>
      <c r="U19" s="12"/>
      <c r="V19" s="12"/>
      <c r="X19" s="17"/>
    </row>
    <row r="20" spans="2:24" x14ac:dyDescent="0.25">
      <c r="E20" s="18" t="s">
        <v>29</v>
      </c>
      <c r="G20" s="11">
        <v>160409</v>
      </c>
      <c r="H20" s="11">
        <v>15852</v>
      </c>
      <c r="I20" s="11">
        <v>0</v>
      </c>
      <c r="J20" s="12">
        <v>0</v>
      </c>
      <c r="K20" s="11">
        <f t="shared" si="1"/>
        <v>176261</v>
      </c>
      <c r="L20" s="5"/>
      <c r="M20" s="11">
        <f>G20</f>
        <v>160409</v>
      </c>
      <c r="N20" s="11">
        <f>H20</f>
        <v>15852</v>
      </c>
      <c r="O20" s="11">
        <f>I20</f>
        <v>0</v>
      </c>
      <c r="P20" s="11">
        <f>J20</f>
        <v>0</v>
      </c>
      <c r="Q20" s="12">
        <f t="shared" si="2"/>
        <v>176261</v>
      </c>
      <c r="R20" s="12"/>
      <c r="S20" s="12"/>
      <c r="T20" s="12"/>
      <c r="U20" s="12"/>
      <c r="V20" s="12"/>
      <c r="X20" s="17" t="s">
        <v>88</v>
      </c>
    </row>
    <row r="21" spans="2:24" x14ac:dyDescent="0.25">
      <c r="E21" s="18" t="s">
        <v>30</v>
      </c>
      <c r="G21" s="21">
        <v>2609</v>
      </c>
      <c r="H21" s="21">
        <v>333</v>
      </c>
      <c r="I21" s="21">
        <v>37223</v>
      </c>
      <c r="J21" s="22">
        <v>0</v>
      </c>
      <c r="K21" s="21">
        <f t="shared" si="1"/>
        <v>40165</v>
      </c>
      <c r="L21" s="5"/>
      <c r="M21" s="11">
        <v>0</v>
      </c>
      <c r="N21" s="11">
        <v>0</v>
      </c>
      <c r="O21" s="11">
        <v>0</v>
      </c>
      <c r="P21" s="12">
        <v>0</v>
      </c>
      <c r="Q21" s="12">
        <f t="shared" si="2"/>
        <v>0</v>
      </c>
      <c r="R21" s="12"/>
      <c r="S21" s="12"/>
      <c r="T21" s="12"/>
      <c r="U21" s="12"/>
      <c r="V21" s="12"/>
      <c r="X21" s="19">
        <f>31030+1679</f>
        <v>32709</v>
      </c>
    </row>
    <row r="22" spans="2:24" x14ac:dyDescent="0.25">
      <c r="D22" s="2" t="s">
        <v>31</v>
      </c>
      <c r="E22" s="18"/>
      <c r="G22" s="23">
        <f>G10+G13+SUM(G16:G21)</f>
        <v>234467</v>
      </c>
      <c r="H22" s="23">
        <f>H10+H13+SUM(H16:H21)</f>
        <v>26374</v>
      </c>
      <c r="I22" s="23">
        <f>I10+I13+SUM(I16:I21)</f>
        <v>882220</v>
      </c>
      <c r="J22" s="24">
        <f>J10+J13+SUM(J16:J21)</f>
        <v>0</v>
      </c>
      <c r="K22" s="23">
        <f t="shared" si="1"/>
        <v>1143061</v>
      </c>
      <c r="L22" s="5"/>
      <c r="M22" s="25">
        <f>M10+M13+SUM(M16:M21)</f>
        <v>210839</v>
      </c>
      <c r="N22" s="25">
        <f>N10+N13+SUM(N16:N21)</f>
        <v>23057</v>
      </c>
      <c r="O22" s="25">
        <f>O10+O13+SUM(O16:O21)</f>
        <v>616040</v>
      </c>
      <c r="P22" s="26">
        <f>P10+P13+SUM(P16:P21)</f>
        <v>0</v>
      </c>
      <c r="Q22" s="26">
        <f>Q10+Q13+SUM(Q16:Q21)</f>
        <v>849936</v>
      </c>
      <c r="R22" s="86"/>
      <c r="S22" s="86"/>
      <c r="T22" s="86"/>
      <c r="U22" s="86"/>
      <c r="V22" s="86"/>
      <c r="X22" s="17"/>
    </row>
    <row r="23" spans="2:24" x14ac:dyDescent="0.25">
      <c r="E23" s="18"/>
      <c r="G23" s="11"/>
      <c r="H23" s="11"/>
      <c r="I23" s="11"/>
      <c r="J23" s="12"/>
      <c r="K23" s="11"/>
      <c r="L23" s="5"/>
      <c r="M23" s="27"/>
      <c r="N23" s="11"/>
      <c r="O23" s="11"/>
      <c r="P23" s="12"/>
      <c r="Q23" s="12"/>
      <c r="R23" s="12"/>
      <c r="S23" s="12"/>
      <c r="T23" s="12"/>
      <c r="U23" s="12"/>
      <c r="V23" s="12"/>
      <c r="X23" s="17" t="s">
        <v>89</v>
      </c>
    </row>
    <row r="24" spans="2:24" ht="13.8" thickBot="1" x14ac:dyDescent="0.3">
      <c r="B24" s="2" t="s">
        <v>32</v>
      </c>
      <c r="E24" s="18" t="s">
        <v>33</v>
      </c>
      <c r="G24" s="21">
        <v>13951</v>
      </c>
      <c r="H24" s="21">
        <v>988</v>
      </c>
      <c r="I24" s="21">
        <v>197752</v>
      </c>
      <c r="J24" s="22">
        <v>0</v>
      </c>
      <c r="K24" s="21">
        <f>SUM(G24:J24)</f>
        <v>212691</v>
      </c>
      <c r="L24" s="5"/>
      <c r="M24" s="21">
        <f>$Q$24*G$152</f>
        <v>4010.171455139443</v>
      </c>
      <c r="N24" s="21">
        <f>$Q$24*H$152</f>
        <v>165.27230379027276</v>
      </c>
      <c r="O24" s="21">
        <f>$Q$24*I$152</f>
        <v>12524.814103399995</v>
      </c>
      <c r="P24" s="21">
        <v>0</v>
      </c>
      <c r="Q24" s="21">
        <f>K24*X24</f>
        <v>16700.257862329712</v>
      </c>
      <c r="R24" s="29"/>
      <c r="S24" s="29"/>
      <c r="T24" s="29"/>
      <c r="U24" s="29"/>
      <c r="V24" s="29"/>
      <c r="X24" s="28">
        <f>X21/X18</f>
        <v>7.8518874152313511E-2</v>
      </c>
    </row>
    <row r="25" spans="2:24" x14ac:dyDescent="0.25">
      <c r="B25" s="2"/>
      <c r="D25" s="2" t="s">
        <v>34</v>
      </c>
      <c r="E25" s="18"/>
      <c r="G25" s="23">
        <f>SUM(G24)</f>
        <v>13951</v>
      </c>
      <c r="H25" s="23">
        <f>SUM(H24)</f>
        <v>988</v>
      </c>
      <c r="I25" s="23">
        <f>SUM(I24)</f>
        <v>197752</v>
      </c>
      <c r="J25" s="24">
        <f>SUM(J24)</f>
        <v>0</v>
      </c>
      <c r="K25" s="23">
        <f>SUM(G25:J25)</f>
        <v>212691</v>
      </c>
      <c r="L25" s="5"/>
      <c r="M25" s="23">
        <f>SUM(M24)</f>
        <v>4010.171455139443</v>
      </c>
      <c r="N25" s="23">
        <f>SUM(N24)</f>
        <v>165.27230379027276</v>
      </c>
      <c r="O25" s="23">
        <f>SUM(O24)</f>
        <v>12524.814103399995</v>
      </c>
      <c r="P25" s="24">
        <f>SUM(P24)</f>
        <v>0</v>
      </c>
      <c r="Q25" s="24">
        <f>SUM(M25:P25)</f>
        <v>16700.257862329709</v>
      </c>
      <c r="R25" s="24"/>
      <c r="S25" s="24"/>
      <c r="T25" s="24"/>
      <c r="U25" s="24"/>
      <c r="V25" s="24"/>
    </row>
    <row r="26" spans="2:24" x14ac:dyDescent="0.25">
      <c r="B26" s="2"/>
      <c r="E26" s="15"/>
      <c r="G26" s="15"/>
      <c r="H26" s="15"/>
      <c r="I26" s="15"/>
      <c r="K26" s="15"/>
      <c r="L26" s="5"/>
      <c r="M26" s="15"/>
      <c r="N26" s="15"/>
      <c r="O26" s="15"/>
    </row>
    <row r="27" spans="2:24" x14ac:dyDescent="0.25">
      <c r="B27" s="2" t="s">
        <v>35</v>
      </c>
      <c r="E27" s="18" t="s">
        <v>36</v>
      </c>
      <c r="F27" s="15"/>
      <c r="G27" s="11">
        <v>411</v>
      </c>
      <c r="H27" s="11">
        <v>21</v>
      </c>
      <c r="I27" s="11">
        <v>6006</v>
      </c>
      <c r="J27" s="12">
        <v>0</v>
      </c>
      <c r="K27" s="11">
        <f t="shared" ref="K27:K32" si="3">SUM(G27:J27)</f>
        <v>6438</v>
      </c>
      <c r="L27" s="5"/>
      <c r="M27" s="29">
        <v>0</v>
      </c>
      <c r="N27" s="29">
        <v>0</v>
      </c>
      <c r="O27" s="29">
        <v>0</v>
      </c>
      <c r="P27" s="12">
        <v>0</v>
      </c>
      <c r="Q27" s="12">
        <f t="shared" ref="Q27:Q32" si="4">SUM(M27:P27)</f>
        <v>0</v>
      </c>
      <c r="R27" s="12"/>
      <c r="S27" s="12"/>
      <c r="T27" s="12"/>
      <c r="U27" s="12"/>
      <c r="V27" s="12"/>
    </row>
    <row r="28" spans="2:24" x14ac:dyDescent="0.25">
      <c r="B28" s="2"/>
      <c r="E28" s="18" t="s">
        <v>37</v>
      </c>
      <c r="G28" s="11">
        <v>947</v>
      </c>
      <c r="H28" s="11">
        <v>135</v>
      </c>
      <c r="I28" s="11">
        <v>12459</v>
      </c>
      <c r="J28" s="12">
        <v>0</v>
      </c>
      <c r="K28" s="11">
        <f t="shared" si="3"/>
        <v>13541</v>
      </c>
      <c r="L28" s="5"/>
      <c r="M28" s="11">
        <f>G28</f>
        <v>947</v>
      </c>
      <c r="N28" s="11">
        <f>H28</f>
        <v>135</v>
      </c>
      <c r="O28" s="11">
        <f>I28</f>
        <v>12459</v>
      </c>
      <c r="P28" s="11">
        <f>J28</f>
        <v>0</v>
      </c>
      <c r="Q28" s="12">
        <f>SUM(M28:P28)</f>
        <v>13541</v>
      </c>
      <c r="R28" s="12"/>
      <c r="S28" s="12"/>
      <c r="T28" s="12"/>
      <c r="U28" s="12"/>
      <c r="V28" s="12"/>
    </row>
    <row r="29" spans="2:24" x14ac:dyDescent="0.25">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row>
    <row r="30" spans="2:24" x14ac:dyDescent="0.25">
      <c r="B30" s="2"/>
      <c r="E30" s="18" t="s">
        <v>39</v>
      </c>
      <c r="G30" s="11">
        <v>8547</v>
      </c>
      <c r="H30" s="11">
        <v>1201</v>
      </c>
      <c r="I30" s="11">
        <v>110533</v>
      </c>
      <c r="J30" s="12">
        <v>0</v>
      </c>
      <c r="K30" s="11">
        <f t="shared" si="3"/>
        <v>120281</v>
      </c>
      <c r="L30" s="5"/>
      <c r="M30" s="11">
        <f t="shared" ref="M30:P31" si="5">G30</f>
        <v>8547</v>
      </c>
      <c r="N30" s="11">
        <f t="shared" si="5"/>
        <v>1201</v>
      </c>
      <c r="O30" s="11">
        <f t="shared" si="5"/>
        <v>110533</v>
      </c>
      <c r="P30" s="11">
        <f t="shared" si="5"/>
        <v>0</v>
      </c>
      <c r="Q30" s="12">
        <f t="shared" si="4"/>
        <v>120281</v>
      </c>
      <c r="R30" s="12"/>
      <c r="S30" s="12"/>
      <c r="T30" s="12"/>
      <c r="U30" s="12"/>
      <c r="V30" s="12"/>
    </row>
    <row r="31" spans="2:24" x14ac:dyDescent="0.25">
      <c r="B31" s="2"/>
      <c r="E31" s="10" t="s">
        <v>40</v>
      </c>
      <c r="G31" s="21">
        <v>28</v>
      </c>
      <c r="H31" s="21">
        <v>4</v>
      </c>
      <c r="I31" s="21">
        <v>2200</v>
      </c>
      <c r="J31" s="22">
        <v>0</v>
      </c>
      <c r="K31" s="21">
        <f t="shared" si="3"/>
        <v>2232</v>
      </c>
      <c r="L31" s="5"/>
      <c r="M31" s="21">
        <f t="shared" si="5"/>
        <v>28</v>
      </c>
      <c r="N31" s="21">
        <f t="shared" si="5"/>
        <v>4</v>
      </c>
      <c r="O31" s="21">
        <f>I31</f>
        <v>2200</v>
      </c>
      <c r="P31" s="21">
        <f>J31</f>
        <v>0</v>
      </c>
      <c r="Q31" s="22">
        <f t="shared" si="4"/>
        <v>2232</v>
      </c>
      <c r="R31" s="82"/>
      <c r="S31" s="82"/>
      <c r="T31" s="82"/>
      <c r="U31" s="82"/>
      <c r="V31" s="82"/>
    </row>
    <row r="32" spans="2:24" x14ac:dyDescent="0.25">
      <c r="B32" s="2"/>
      <c r="D32" s="2" t="s">
        <v>41</v>
      </c>
      <c r="G32" s="24">
        <f>SUM(G27:G31)</f>
        <v>9933</v>
      </c>
      <c r="H32" s="24">
        <f>SUM(H27:H31)</f>
        <v>1361</v>
      </c>
      <c r="I32" s="24">
        <f>SUM(I27:I31)</f>
        <v>131198</v>
      </c>
      <c r="J32" s="24">
        <f>SUM(J27:J31)</f>
        <v>0</v>
      </c>
      <c r="K32" s="23">
        <f t="shared" si="3"/>
        <v>142492</v>
      </c>
      <c r="L32" s="5"/>
      <c r="M32" s="23">
        <f>SUM(M27:M31)</f>
        <v>9522</v>
      </c>
      <c r="N32" s="23">
        <f>SUM(N27:N31)</f>
        <v>1340</v>
      </c>
      <c r="O32" s="23">
        <f>SUM(O27:O31)</f>
        <v>125192</v>
      </c>
      <c r="P32" s="24">
        <f>SUM(P27:P31)</f>
        <v>0</v>
      </c>
      <c r="Q32" s="24">
        <f t="shared" si="4"/>
        <v>136054</v>
      </c>
      <c r="R32" s="24"/>
      <c r="S32" s="24"/>
      <c r="T32" s="24"/>
      <c r="U32" s="24"/>
      <c r="V32" s="24"/>
    </row>
    <row r="33" spans="2:22" x14ac:dyDescent="0.25">
      <c r="B33" s="2"/>
      <c r="K33" s="15"/>
      <c r="L33" s="5"/>
    </row>
    <row r="34" spans="2:22" x14ac:dyDescent="0.25">
      <c r="B34" s="2" t="s">
        <v>42</v>
      </c>
      <c r="D34" s="2" t="s">
        <v>43</v>
      </c>
      <c r="E34" s="3" t="s">
        <v>44</v>
      </c>
      <c r="G34" s="11">
        <v>30728</v>
      </c>
      <c r="H34" s="11">
        <v>0</v>
      </c>
      <c r="I34" s="11">
        <v>0</v>
      </c>
      <c r="J34" s="11">
        <v>0</v>
      </c>
      <c r="K34" s="11">
        <f>SUM(G34:J34)</f>
        <v>30728</v>
      </c>
      <c r="L34" s="5"/>
      <c r="M34" s="12">
        <f t="shared" ref="M34:P35" si="6">G34</f>
        <v>30728</v>
      </c>
      <c r="N34" s="12">
        <f t="shared" si="6"/>
        <v>0</v>
      </c>
      <c r="O34" s="12">
        <f t="shared" si="6"/>
        <v>0</v>
      </c>
      <c r="P34" s="12">
        <f t="shared" si="6"/>
        <v>0</v>
      </c>
      <c r="Q34" s="12">
        <f>SUM(M34:P34)</f>
        <v>30728</v>
      </c>
      <c r="R34" s="12"/>
      <c r="S34" s="12"/>
      <c r="T34" s="12"/>
      <c r="U34" s="12"/>
      <c r="V34" s="12"/>
    </row>
    <row r="35" spans="2:22" x14ac:dyDescent="0.25">
      <c r="B35" s="2" t="s">
        <v>45</v>
      </c>
      <c r="D35" s="2" t="s">
        <v>46</v>
      </c>
      <c r="E35" s="3" t="s">
        <v>47</v>
      </c>
      <c r="G35" s="11">
        <v>5536</v>
      </c>
      <c r="H35" s="11">
        <v>0</v>
      </c>
      <c r="I35" s="11">
        <v>0</v>
      </c>
      <c r="J35" s="11">
        <v>0</v>
      </c>
      <c r="K35" s="11">
        <f>SUM(G35:J35)</f>
        <v>5536</v>
      </c>
      <c r="L35" s="5"/>
      <c r="M35" s="12">
        <f t="shared" si="6"/>
        <v>5536</v>
      </c>
      <c r="N35" s="12">
        <f t="shared" si="6"/>
        <v>0</v>
      </c>
      <c r="O35" s="12">
        <f t="shared" si="6"/>
        <v>0</v>
      </c>
      <c r="P35" s="12">
        <f t="shared" si="6"/>
        <v>0</v>
      </c>
      <c r="Q35" s="12">
        <f>SUM(M35:P35)</f>
        <v>5536</v>
      </c>
      <c r="R35" s="12"/>
      <c r="S35" s="12"/>
      <c r="T35" s="12"/>
      <c r="U35" s="12"/>
      <c r="V35" s="12"/>
    </row>
    <row r="36" spans="2:22" x14ac:dyDescent="0.25">
      <c r="D36" s="2"/>
      <c r="G36" s="15"/>
      <c r="H36" s="15"/>
      <c r="I36" s="15"/>
      <c r="J36" s="15"/>
      <c r="K36" s="15"/>
      <c r="L36" s="5"/>
      <c r="Q36" s="12"/>
      <c r="R36" s="12"/>
      <c r="S36" s="12"/>
      <c r="T36" s="12"/>
      <c r="U36" s="12"/>
      <c r="V36" s="12"/>
    </row>
    <row r="37" spans="2:22" x14ac:dyDescent="0.25">
      <c r="D37" s="2" t="s">
        <v>48</v>
      </c>
      <c r="E37" s="3" t="s">
        <v>49</v>
      </c>
      <c r="G37" s="11">
        <v>40258</v>
      </c>
      <c r="H37" s="11"/>
      <c r="I37" s="11">
        <v>0</v>
      </c>
      <c r="J37" s="11">
        <v>0</v>
      </c>
      <c r="K37" s="11">
        <f>SUM(G37:J37)</f>
        <v>40258</v>
      </c>
      <c r="L37" s="5"/>
      <c r="M37" s="12">
        <f t="shared" ref="M37:P40" si="7">G37</f>
        <v>40258</v>
      </c>
      <c r="N37" s="12">
        <f t="shared" si="7"/>
        <v>0</v>
      </c>
      <c r="O37" s="12">
        <f t="shared" si="7"/>
        <v>0</v>
      </c>
      <c r="P37" s="12">
        <f t="shared" si="7"/>
        <v>0</v>
      </c>
      <c r="Q37" s="12">
        <f>SUM(M37:P37)</f>
        <v>40258</v>
      </c>
      <c r="R37" s="12"/>
      <c r="S37" s="12"/>
      <c r="T37" s="12"/>
      <c r="U37" s="12"/>
      <c r="V37" s="12"/>
    </row>
    <row r="38" spans="2:22" x14ac:dyDescent="0.25">
      <c r="D38" s="2" t="s">
        <v>50</v>
      </c>
      <c r="E38" s="3" t="s">
        <v>51</v>
      </c>
      <c r="G38" s="11">
        <v>14449</v>
      </c>
      <c r="H38" s="11">
        <v>0</v>
      </c>
      <c r="I38" s="11">
        <v>0</v>
      </c>
      <c r="J38" s="11">
        <v>0</v>
      </c>
      <c r="K38" s="11">
        <f>SUM(G38:J38)</f>
        <v>14449</v>
      </c>
      <c r="L38" s="5"/>
      <c r="M38" s="12">
        <f t="shared" si="7"/>
        <v>14449</v>
      </c>
      <c r="N38" s="12">
        <f t="shared" si="7"/>
        <v>0</v>
      </c>
      <c r="O38" s="12">
        <f t="shared" si="7"/>
        <v>0</v>
      </c>
      <c r="P38" s="12">
        <f t="shared" si="7"/>
        <v>0</v>
      </c>
      <c r="Q38" s="12">
        <f>SUM(M38:P38)</f>
        <v>14449</v>
      </c>
      <c r="R38" s="12"/>
      <c r="S38" s="12"/>
      <c r="T38" s="12"/>
      <c r="U38" s="12"/>
      <c r="V38" s="12"/>
    </row>
    <row r="39" spans="2:22" x14ac:dyDescent="0.25">
      <c r="D39" s="2"/>
      <c r="E39" s="3" t="s">
        <v>52</v>
      </c>
      <c r="G39" s="11">
        <v>14015</v>
      </c>
      <c r="H39" s="11">
        <v>0</v>
      </c>
      <c r="I39" s="11">
        <v>0</v>
      </c>
      <c r="J39" s="11">
        <v>0</v>
      </c>
      <c r="K39" s="11">
        <f>SUM(G39:J39)</f>
        <v>14015</v>
      </c>
      <c r="L39" s="5"/>
      <c r="M39" s="12">
        <f t="shared" si="7"/>
        <v>14015</v>
      </c>
      <c r="N39" s="12">
        <f t="shared" si="7"/>
        <v>0</v>
      </c>
      <c r="O39" s="12">
        <f t="shared" si="7"/>
        <v>0</v>
      </c>
      <c r="P39" s="12">
        <f t="shared" si="7"/>
        <v>0</v>
      </c>
      <c r="Q39" s="12">
        <f>SUM(M39:P39)</f>
        <v>14015</v>
      </c>
      <c r="R39" s="12"/>
      <c r="S39" s="12"/>
      <c r="T39" s="12"/>
      <c r="U39" s="12"/>
      <c r="V39" s="12"/>
    </row>
    <row r="40" spans="2:22" x14ac:dyDescent="0.25">
      <c r="D40" s="2"/>
      <c r="E40" s="3" t="s">
        <v>53</v>
      </c>
      <c r="G40" s="11">
        <v>55070</v>
      </c>
      <c r="H40" s="11">
        <v>0</v>
      </c>
      <c r="I40" s="11"/>
      <c r="J40" s="11">
        <v>0</v>
      </c>
      <c r="K40" s="11">
        <f>SUM(G40:J40)</f>
        <v>55070</v>
      </c>
      <c r="L40" s="5"/>
      <c r="M40" s="12">
        <f t="shared" si="7"/>
        <v>55070</v>
      </c>
      <c r="N40" s="12">
        <f t="shared" si="7"/>
        <v>0</v>
      </c>
      <c r="O40" s="12">
        <f t="shared" si="7"/>
        <v>0</v>
      </c>
      <c r="P40" s="12">
        <f t="shared" si="7"/>
        <v>0</v>
      </c>
      <c r="Q40" s="12">
        <f>SUM(M40:P40)</f>
        <v>55070</v>
      </c>
      <c r="R40" s="12"/>
      <c r="S40" s="12"/>
      <c r="T40" s="12"/>
      <c r="U40" s="12"/>
      <c r="V40" s="12"/>
    </row>
    <row r="41" spans="2:22" x14ac:dyDescent="0.25">
      <c r="D41" s="2"/>
      <c r="G41" s="15"/>
      <c r="H41" s="15"/>
      <c r="I41" s="15"/>
      <c r="J41" s="15"/>
      <c r="K41" s="15"/>
      <c r="L41" s="5"/>
      <c r="Q41" s="12"/>
      <c r="R41" s="12"/>
      <c r="S41" s="12"/>
      <c r="T41" s="12"/>
      <c r="U41" s="12"/>
      <c r="V41" s="12"/>
    </row>
    <row r="42" spans="2:22" x14ac:dyDescent="0.25">
      <c r="D42" s="2" t="s">
        <v>54</v>
      </c>
      <c r="G42" s="11">
        <v>60737</v>
      </c>
      <c r="H42" s="11"/>
      <c r="I42" s="11">
        <v>0</v>
      </c>
      <c r="J42" s="11">
        <v>0</v>
      </c>
      <c r="K42" s="11">
        <f>SUM(G42:J42)</f>
        <v>60737</v>
      </c>
      <c r="L42" s="5"/>
      <c r="M42" s="12">
        <f>G42</f>
        <v>60737</v>
      </c>
      <c r="N42" s="12">
        <f>H42</f>
        <v>0</v>
      </c>
      <c r="O42" s="12">
        <f>I42</f>
        <v>0</v>
      </c>
      <c r="P42" s="12">
        <f>J42</f>
        <v>0</v>
      </c>
      <c r="Q42" s="12">
        <f>SUM(M42:P42)</f>
        <v>60737</v>
      </c>
      <c r="R42" s="12"/>
      <c r="S42" s="12"/>
      <c r="T42" s="12"/>
      <c r="U42" s="12"/>
      <c r="V42" s="12"/>
    </row>
    <row r="43" spans="2:22" x14ac:dyDescent="0.25">
      <c r="D43" s="2"/>
      <c r="G43" s="15"/>
      <c r="H43" s="15"/>
      <c r="I43" s="15"/>
      <c r="J43" s="15"/>
      <c r="L43" s="5"/>
    </row>
    <row r="44" spans="2:22" x14ac:dyDescent="0.25">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row>
    <row r="45" spans="2:22" x14ac:dyDescent="0.25">
      <c r="D45" s="2"/>
      <c r="G45" s="15"/>
      <c r="H45" s="15"/>
      <c r="I45" s="15"/>
      <c r="J45" s="15"/>
      <c r="L45" s="5"/>
    </row>
    <row r="46" spans="2:22" x14ac:dyDescent="0.25">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row>
    <row r="47" spans="2:22" x14ac:dyDescent="0.25">
      <c r="D47" s="2"/>
      <c r="G47" s="15"/>
      <c r="H47" s="15"/>
      <c r="I47" s="15"/>
      <c r="J47" s="15"/>
      <c r="L47" s="5"/>
    </row>
    <row r="48" spans="2:22" x14ac:dyDescent="0.25">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row>
    <row r="49" spans="2:24" x14ac:dyDescent="0.25">
      <c r="D49" s="2" t="s">
        <v>58</v>
      </c>
      <c r="G49" s="15"/>
      <c r="H49" s="15"/>
      <c r="I49" s="15"/>
      <c r="J49" s="15"/>
      <c r="L49" s="5"/>
    </row>
    <row r="50" spans="2:24" x14ac:dyDescent="0.25">
      <c r="D50" s="2"/>
      <c r="G50" s="15"/>
      <c r="H50" s="15"/>
      <c r="I50" s="15"/>
      <c r="J50" s="15"/>
      <c r="L50" s="5"/>
    </row>
    <row r="51" spans="2:24" x14ac:dyDescent="0.25">
      <c r="B51" s="2"/>
      <c r="D51" s="2" t="s">
        <v>53</v>
      </c>
      <c r="G51" s="21">
        <v>57280</v>
      </c>
      <c r="H51" s="21">
        <v>3</v>
      </c>
      <c r="I51" s="21">
        <v>71847</v>
      </c>
      <c r="J51" s="21">
        <v>0</v>
      </c>
      <c r="K51" s="21">
        <f>SUM(G51:J51)</f>
        <v>129130</v>
      </c>
      <c r="L51" s="5"/>
      <c r="M51" s="22">
        <f>G51</f>
        <v>57280</v>
      </c>
      <c r="N51" s="22">
        <f>H51</f>
        <v>3</v>
      </c>
      <c r="O51" s="22">
        <f>I51</f>
        <v>71847</v>
      </c>
      <c r="P51" s="22">
        <f>J51</f>
        <v>0</v>
      </c>
      <c r="Q51" s="22">
        <f>SUM(M51:P51)</f>
        <v>129130</v>
      </c>
      <c r="R51" s="82"/>
      <c r="S51" s="82"/>
      <c r="T51" s="82"/>
      <c r="U51" s="82"/>
      <c r="V51" s="82"/>
    </row>
    <row r="52" spans="2:24" x14ac:dyDescent="0.25">
      <c r="D52" s="2" t="s">
        <v>59</v>
      </c>
      <c r="G52" s="24">
        <f>SUM(G34:G51)</f>
        <v>278073</v>
      </c>
      <c r="H52" s="24">
        <f>SUM(H34:H51)</f>
        <v>3</v>
      </c>
      <c r="I52" s="24">
        <f>SUM(I34:I51)</f>
        <v>71847</v>
      </c>
      <c r="J52" s="24">
        <f>SUM(J34:J51)</f>
        <v>0</v>
      </c>
      <c r="K52" s="24">
        <f>SUM(G52:J52)</f>
        <v>349923</v>
      </c>
      <c r="L52" s="5"/>
      <c r="M52" s="24">
        <f>SUM(M34:M51)</f>
        <v>278073</v>
      </c>
      <c r="N52" s="24">
        <f>SUM(N34:N51)</f>
        <v>3</v>
      </c>
      <c r="O52" s="24">
        <f>SUM(O34:O51)</f>
        <v>71847</v>
      </c>
      <c r="P52" s="24">
        <f>SUM(P34:P51)</f>
        <v>0</v>
      </c>
      <c r="Q52" s="24">
        <f>SUM(M52:P52)</f>
        <v>349923</v>
      </c>
      <c r="R52" s="24"/>
      <c r="S52" s="24"/>
      <c r="T52" s="24"/>
      <c r="U52" s="24"/>
      <c r="V52" s="24"/>
    </row>
    <row r="53" spans="2:24" x14ac:dyDescent="0.25">
      <c r="B53" s="2"/>
      <c r="L53" s="5"/>
    </row>
    <row r="54" spans="2:24" x14ac:dyDescent="0.25">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row>
    <row r="55" spans="2:24" x14ac:dyDescent="0.25">
      <c r="B55" s="2" t="s">
        <v>61</v>
      </c>
      <c r="L55" s="5"/>
    </row>
    <row r="56" spans="2:24" ht="13.8" thickBot="1" x14ac:dyDescent="0.3">
      <c r="K56" s="12"/>
      <c r="L56" s="5"/>
      <c r="Q56" s="30"/>
      <c r="R56" s="40"/>
      <c r="S56" s="40"/>
      <c r="T56" s="40"/>
      <c r="U56" s="40"/>
      <c r="V56" s="40"/>
    </row>
    <row r="57" spans="2:24" x14ac:dyDescent="0.25">
      <c r="B57" s="2" t="s">
        <v>62</v>
      </c>
      <c r="G57" s="31">
        <f>G22+G25+G32+G52+G54</f>
        <v>536424</v>
      </c>
      <c r="H57" s="31">
        <f>H22+H25+H32+H52+H54</f>
        <v>28726</v>
      </c>
      <c r="I57" s="31">
        <f>I22+I25+I32+I52+I54</f>
        <v>1283017</v>
      </c>
      <c r="J57" s="31">
        <f>J22+J25+J32+J52+J54</f>
        <v>0</v>
      </c>
      <c r="K57" s="31">
        <f>SUM(G57:J57)</f>
        <v>1848167</v>
      </c>
      <c r="L57" s="32"/>
      <c r="M57" s="31">
        <f>M22+M25+M32+M52+M54</f>
        <v>502444.17145513941</v>
      </c>
      <c r="N57" s="31">
        <f>N22+N25+N32+N52+N54</f>
        <v>24565.272303790272</v>
      </c>
      <c r="O57" s="31">
        <f>O22+O25+O32+O52+O54</f>
        <v>825603.81410339999</v>
      </c>
      <c r="P57" s="31">
        <f>P22+P25+P32+P52+P54</f>
        <v>0</v>
      </c>
      <c r="Q57" s="31">
        <f>SUM(M57:P57)</f>
        <v>1352613.2578623297</v>
      </c>
      <c r="R57" s="86"/>
      <c r="S57" s="86"/>
      <c r="T57" s="86"/>
      <c r="U57" s="86"/>
      <c r="V57" s="86"/>
    </row>
    <row r="58" spans="2:24" x14ac:dyDescent="0.25">
      <c r="L58" s="5"/>
    </row>
    <row r="59" spans="2:24" x14ac:dyDescent="0.25">
      <c r="L59" s="5"/>
    </row>
    <row r="60" spans="2:24" ht="13.8" x14ac:dyDescent="0.25">
      <c r="B60" s="6" t="s">
        <v>63</v>
      </c>
      <c r="K60" s="15"/>
      <c r="L60" s="5"/>
    </row>
    <row r="61" spans="2:24" x14ac:dyDescent="0.25">
      <c r="D61" s="15" t="s">
        <v>64</v>
      </c>
      <c r="E61" s="10" t="s">
        <v>20</v>
      </c>
      <c r="G61" s="12">
        <v>0</v>
      </c>
      <c r="H61" s="12">
        <v>0</v>
      </c>
      <c r="I61" s="12">
        <f>K61</f>
        <v>750586</v>
      </c>
      <c r="J61" s="11">
        <v>0</v>
      </c>
      <c r="K61" s="11">
        <v>750586</v>
      </c>
      <c r="L61" s="5"/>
      <c r="M61" s="12">
        <f>G61</f>
        <v>0</v>
      </c>
      <c r="N61" s="12">
        <f>H61</f>
        <v>0</v>
      </c>
      <c r="O61" s="12">
        <f>Q61</f>
        <v>750586</v>
      </c>
      <c r="P61" s="11">
        <f>J61</f>
        <v>0</v>
      </c>
      <c r="Q61" s="11">
        <f>$K$61</f>
        <v>750586</v>
      </c>
      <c r="R61" s="11"/>
      <c r="S61" s="11"/>
      <c r="T61" s="11"/>
      <c r="U61" s="11"/>
      <c r="V61" s="11"/>
      <c r="X61" s="3" t="s">
        <v>92</v>
      </c>
    </row>
    <row r="62" spans="2:24" x14ac:dyDescent="0.25">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t="s">
        <v>107</v>
      </c>
      <c r="U62" s="33"/>
      <c r="V62" s="33"/>
      <c r="X62" s="35">
        <f>$K$61-(1081*25.09*8)</f>
        <v>533607.67999999993</v>
      </c>
    </row>
    <row r="63" spans="2:24" x14ac:dyDescent="0.25">
      <c r="D63" s="15"/>
      <c r="E63" s="10"/>
      <c r="J63" s="15"/>
      <c r="K63" s="15"/>
      <c r="L63" s="5"/>
      <c r="P63" s="15"/>
      <c r="T63" s="3" t="s">
        <v>106</v>
      </c>
    </row>
    <row r="64" spans="2:24" x14ac:dyDescent="0.25">
      <c r="D64" s="15" t="s">
        <v>94</v>
      </c>
      <c r="E64" s="10" t="s">
        <v>20</v>
      </c>
      <c r="G64" s="12">
        <f>$G$140*K64</f>
        <v>178302.1966480327</v>
      </c>
      <c r="H64" s="12">
        <f>$H$140*K64</f>
        <v>7348.4176775334217</v>
      </c>
      <c r="I64" s="12">
        <f>$I$140*K64</f>
        <v>556884.3856744339</v>
      </c>
      <c r="J64" s="11">
        <v>0</v>
      </c>
      <c r="K64" s="11">
        <f>742373+157+5</f>
        <v>742535</v>
      </c>
      <c r="L64" s="5"/>
      <c r="M64" s="12">
        <f>$G$140*Q64</f>
        <v>150376.85039786942</v>
      </c>
      <c r="N64" s="12">
        <f>$H$140*Q64</f>
        <v>6197.5226695430338</v>
      </c>
      <c r="O64" s="12">
        <f>$I$140*Q64</f>
        <v>469666.22693258745</v>
      </c>
      <c r="P64" s="11">
        <f t="shared" ref="M64:Q65" si="8">J64</f>
        <v>0</v>
      </c>
      <c r="Q64" s="11">
        <f>K64-(216*67.3*8)</f>
        <v>626240.6</v>
      </c>
      <c r="R64" s="11"/>
      <c r="S64" s="11"/>
      <c r="T64" s="11">
        <v>116294</v>
      </c>
      <c r="U64" s="11"/>
      <c r="V64" s="11"/>
    </row>
    <row r="65" spans="4:22" x14ac:dyDescent="0.25">
      <c r="D65" s="15"/>
      <c r="E65" s="10" t="s">
        <v>21</v>
      </c>
      <c r="G65" s="36">
        <f>$G$140*K65</f>
        <v>0</v>
      </c>
      <c r="H65" s="36">
        <f>$H$140*K65</f>
        <v>0</v>
      </c>
      <c r="I65" s="36">
        <f>$I$140*K65</f>
        <v>0</v>
      </c>
      <c r="J65" s="37">
        <v>0</v>
      </c>
      <c r="K65" s="34">
        <v>0</v>
      </c>
      <c r="L65" s="5"/>
      <c r="M65" s="33">
        <f t="shared" si="8"/>
        <v>0</v>
      </c>
      <c r="N65" s="33">
        <f t="shared" si="8"/>
        <v>0</v>
      </c>
      <c r="O65" s="33">
        <f t="shared" si="8"/>
        <v>0</v>
      </c>
      <c r="P65" s="34">
        <f t="shared" si="8"/>
        <v>0</v>
      </c>
      <c r="Q65" s="33">
        <f t="shared" si="8"/>
        <v>0</v>
      </c>
      <c r="R65" s="33"/>
      <c r="S65" s="33"/>
      <c r="T65" s="33"/>
      <c r="U65" s="33"/>
      <c r="V65" s="33"/>
    </row>
    <row r="66" spans="4:22" x14ac:dyDescent="0.25">
      <c r="D66" s="15"/>
      <c r="E66" s="10"/>
      <c r="J66" s="15"/>
      <c r="K66" s="15"/>
      <c r="L66" s="5"/>
      <c r="P66" s="15"/>
    </row>
    <row r="67" spans="4:22" x14ac:dyDescent="0.25">
      <c r="D67" s="15" t="s">
        <v>97</v>
      </c>
      <c r="E67" s="10" t="s">
        <v>20</v>
      </c>
      <c r="G67" s="12">
        <f>$G$140*K67</f>
        <v>1430.4324852462587</v>
      </c>
      <c r="H67" s="12">
        <f>$H$140*K67</f>
        <v>58.952809099997431</v>
      </c>
      <c r="I67" s="12">
        <f>$I$140*K67</f>
        <v>4467.6147056537438</v>
      </c>
      <c r="J67" s="11">
        <v>0</v>
      </c>
      <c r="K67" s="11">
        <v>5957</v>
      </c>
      <c r="L67" s="5"/>
      <c r="M67" s="12">
        <f>G67</f>
        <v>1430.4324852462587</v>
      </c>
      <c r="N67" s="12">
        <f t="shared" ref="M67:Q68" si="9">H67</f>
        <v>58.952809099997431</v>
      </c>
      <c r="O67" s="12">
        <f>I67</f>
        <v>4467.6147056537438</v>
      </c>
      <c r="P67" s="11">
        <f t="shared" si="9"/>
        <v>0</v>
      </c>
      <c r="Q67" s="12">
        <f>K67</f>
        <v>5957</v>
      </c>
      <c r="R67" s="12"/>
      <c r="S67" s="12"/>
      <c r="T67" s="12"/>
      <c r="U67" s="12"/>
      <c r="V67" s="12"/>
    </row>
    <row r="68" spans="4:22" x14ac:dyDescent="0.25">
      <c r="D68" s="15"/>
      <c r="E68" s="10" t="s">
        <v>21</v>
      </c>
      <c r="G68" s="36">
        <f>$G$140*K68</f>
        <v>0</v>
      </c>
      <c r="H68" s="36">
        <f>$H$140*K68</f>
        <v>0</v>
      </c>
      <c r="I68" s="36">
        <f>$I$140*K68</f>
        <v>0</v>
      </c>
      <c r="J68" s="34">
        <v>0</v>
      </c>
      <c r="K68" s="34">
        <v>0</v>
      </c>
      <c r="L68" s="5"/>
      <c r="M68" s="33">
        <f t="shared" si="9"/>
        <v>0</v>
      </c>
      <c r="N68" s="33">
        <f t="shared" si="9"/>
        <v>0</v>
      </c>
      <c r="O68" s="33">
        <f t="shared" si="9"/>
        <v>0</v>
      </c>
      <c r="P68" s="34">
        <f t="shared" si="9"/>
        <v>0</v>
      </c>
      <c r="Q68" s="33">
        <f t="shared" si="9"/>
        <v>0</v>
      </c>
      <c r="R68" s="33"/>
      <c r="S68" s="33"/>
      <c r="T68" s="33"/>
      <c r="U68" s="33"/>
      <c r="V68" s="33"/>
    </row>
    <row r="69" spans="4:22" x14ac:dyDescent="0.25">
      <c r="D69" s="15"/>
      <c r="E69" s="10"/>
      <c r="J69" s="15"/>
      <c r="K69" s="15"/>
      <c r="L69" s="5"/>
      <c r="P69" s="15"/>
    </row>
    <row r="70" spans="4:22" x14ac:dyDescent="0.25">
      <c r="D70" s="15" t="s">
        <v>65</v>
      </c>
      <c r="E70" s="10" t="s">
        <v>20</v>
      </c>
      <c r="G70" s="12">
        <f>$G$140*K70</f>
        <v>17888.450297281397</v>
      </c>
      <c r="H70" s="12">
        <f>$H$140*K70</f>
        <v>737.24164289296777</v>
      </c>
      <c r="I70" s="12">
        <f>$I$140*K70</f>
        <v>55870.308059825627</v>
      </c>
      <c r="J70" s="11">
        <v>0</v>
      </c>
      <c r="K70" s="11">
        <v>74496</v>
      </c>
      <c r="L70" s="5"/>
      <c r="M70" s="12">
        <f>G70</f>
        <v>17888.450297281397</v>
      </c>
      <c r="N70" s="12">
        <f t="shared" ref="N70:N71" si="10">H70</f>
        <v>737.24164289296777</v>
      </c>
      <c r="O70" s="12">
        <f>I70</f>
        <v>55870.308059825627</v>
      </c>
      <c r="P70" s="11">
        <f t="shared" ref="P70:P71" si="11">J70</f>
        <v>0</v>
      </c>
      <c r="Q70" s="12">
        <f>K70</f>
        <v>74496</v>
      </c>
      <c r="R70" s="11"/>
      <c r="S70" s="11"/>
      <c r="T70" s="11"/>
      <c r="U70" s="11"/>
      <c r="V70" s="11"/>
    </row>
    <row r="71" spans="4:22" x14ac:dyDescent="0.25">
      <c r="D71" s="15"/>
      <c r="E71" s="10" t="s">
        <v>21</v>
      </c>
      <c r="G71" s="36">
        <f>$G$140*K71</f>
        <v>0</v>
      </c>
      <c r="H71" s="36">
        <f>$H$140*K71</f>
        <v>0</v>
      </c>
      <c r="I71" s="36">
        <f>$I$140*K71</f>
        <v>0</v>
      </c>
      <c r="J71" s="34">
        <v>0</v>
      </c>
      <c r="K71" s="34">
        <v>0</v>
      </c>
      <c r="L71" s="5"/>
      <c r="M71" s="33">
        <f t="shared" ref="M71" si="12">G71</f>
        <v>0</v>
      </c>
      <c r="N71" s="33">
        <f t="shared" si="10"/>
        <v>0</v>
      </c>
      <c r="O71" s="33">
        <f t="shared" ref="O71" si="13">I71</f>
        <v>0</v>
      </c>
      <c r="P71" s="34">
        <f t="shared" si="11"/>
        <v>0</v>
      </c>
      <c r="Q71" s="33">
        <f t="shared" ref="Q71" si="14">K71</f>
        <v>0</v>
      </c>
      <c r="R71" s="33"/>
      <c r="S71" s="33"/>
      <c r="T71" s="33"/>
      <c r="U71" s="33"/>
      <c r="V71" s="33"/>
    </row>
    <row r="72" spans="4:22" x14ac:dyDescent="0.25">
      <c r="D72" s="15"/>
      <c r="E72" s="10"/>
      <c r="G72" s="33"/>
      <c r="H72" s="33"/>
      <c r="I72" s="33"/>
      <c r="J72" s="34"/>
      <c r="K72" s="34"/>
      <c r="L72" s="5"/>
      <c r="M72" s="33"/>
      <c r="N72" s="33"/>
      <c r="O72" s="33"/>
      <c r="P72" s="34"/>
      <c r="Q72" s="34"/>
      <c r="R72" s="34"/>
      <c r="S72" s="34"/>
      <c r="T72" s="34"/>
      <c r="U72" s="34"/>
      <c r="V72" s="34"/>
    </row>
    <row r="73" spans="4:22" x14ac:dyDescent="0.25">
      <c r="D73" s="15" t="s">
        <v>119</v>
      </c>
      <c r="E73" s="10" t="s">
        <v>20</v>
      </c>
      <c r="G73" s="12">
        <f>$G$140*K73</f>
        <v>53558.254553348335</v>
      </c>
      <c r="H73" s="12">
        <f>$H$140*K73</f>
        <v>2207.3111377004579</v>
      </c>
      <c r="I73" s="12">
        <f>$I$140*K73</f>
        <v>167276.4343089512</v>
      </c>
      <c r="J73" s="11">
        <v>0</v>
      </c>
      <c r="K73" s="11">
        <v>223042</v>
      </c>
      <c r="L73" s="5"/>
      <c r="M73" s="12">
        <f t="shared" ref="M73:Q74" si="15">G73</f>
        <v>53558.254553348335</v>
      </c>
      <c r="N73" s="12">
        <f t="shared" si="15"/>
        <v>2207.3111377004579</v>
      </c>
      <c r="O73" s="12">
        <f t="shared" si="15"/>
        <v>167276.4343089512</v>
      </c>
      <c r="P73" s="11">
        <f t="shared" si="15"/>
        <v>0</v>
      </c>
      <c r="Q73" s="11">
        <f>K73</f>
        <v>223042</v>
      </c>
      <c r="R73" s="11"/>
      <c r="S73" s="11"/>
      <c r="T73" s="11"/>
      <c r="U73" s="11"/>
      <c r="V73" s="11"/>
    </row>
    <row r="74" spans="4:22" x14ac:dyDescent="0.25">
      <c r="D74" s="15"/>
      <c r="E74" s="10" t="s">
        <v>21</v>
      </c>
      <c r="G74" s="36">
        <f>$G$140*K74</f>
        <v>0</v>
      </c>
      <c r="H74" s="36">
        <f>$H$140*K74</f>
        <v>0</v>
      </c>
      <c r="I74" s="36">
        <f>$I$140*K74</f>
        <v>0</v>
      </c>
      <c r="J74" s="34">
        <v>0</v>
      </c>
      <c r="K74" s="34">
        <v>0</v>
      </c>
      <c r="L74" s="5"/>
      <c r="M74" s="33">
        <f t="shared" si="15"/>
        <v>0</v>
      </c>
      <c r="N74" s="33">
        <f t="shared" si="15"/>
        <v>0</v>
      </c>
      <c r="O74" s="33">
        <f t="shared" si="15"/>
        <v>0</v>
      </c>
      <c r="P74" s="34">
        <f t="shared" si="15"/>
        <v>0</v>
      </c>
      <c r="Q74" s="33">
        <f t="shared" si="15"/>
        <v>0</v>
      </c>
      <c r="R74" s="33"/>
      <c r="S74" s="33"/>
      <c r="T74" s="33"/>
      <c r="U74" s="33"/>
      <c r="V74" s="33"/>
    </row>
    <row r="75" spans="4:22" x14ac:dyDescent="0.25">
      <c r="D75" s="15"/>
      <c r="E75" s="10"/>
      <c r="G75" s="36"/>
      <c r="H75" s="36"/>
      <c r="I75" s="36"/>
      <c r="J75" s="34"/>
      <c r="K75" s="34"/>
      <c r="L75" s="5"/>
      <c r="M75" s="33"/>
      <c r="N75" s="33"/>
      <c r="O75" s="33"/>
      <c r="P75" s="34"/>
      <c r="Q75" s="33"/>
      <c r="R75" s="33"/>
      <c r="S75" s="33"/>
      <c r="T75" s="33"/>
      <c r="U75" s="33"/>
      <c r="V75" s="33"/>
    </row>
    <row r="76" spans="4:22" x14ac:dyDescent="0.25">
      <c r="D76" s="15" t="s">
        <v>120</v>
      </c>
      <c r="E76" s="10" t="s">
        <v>20</v>
      </c>
      <c r="G76" s="12">
        <f>$G$140*K76</f>
        <v>145915.63955845428</v>
      </c>
      <c r="H76" s="12">
        <f>$H$140*K76</f>
        <v>6013.6615550314991</v>
      </c>
      <c r="I76" s="12">
        <f>$I$140*K76</f>
        <v>455732.69888651418</v>
      </c>
      <c r="J76" s="11">
        <v>0</v>
      </c>
      <c r="K76" s="11">
        <v>607662</v>
      </c>
      <c r="L76" s="5"/>
      <c r="M76" s="12">
        <f>G76</f>
        <v>145915.63955845428</v>
      </c>
      <c r="N76" s="12">
        <f t="shared" ref="N76:N77" si="16">H76</f>
        <v>6013.6615550314991</v>
      </c>
      <c r="O76" s="12">
        <f>I76</f>
        <v>455732.69888651418</v>
      </c>
      <c r="P76" s="11">
        <f t="shared" ref="P76:P77" si="17">J76</f>
        <v>0</v>
      </c>
      <c r="Q76" s="12">
        <f>K76</f>
        <v>607662</v>
      </c>
    </row>
    <row r="77" spans="4:22" x14ac:dyDescent="0.25">
      <c r="D77" s="15"/>
      <c r="E77" s="10" t="s">
        <v>21</v>
      </c>
      <c r="G77" s="36">
        <f>$G$140*K77</f>
        <v>0</v>
      </c>
      <c r="H77" s="36">
        <f>$H$140*K77</f>
        <v>0</v>
      </c>
      <c r="I77" s="36">
        <f>$I$140*K77</f>
        <v>0</v>
      </c>
      <c r="J77" s="34">
        <v>0</v>
      </c>
      <c r="K77" s="34">
        <v>0</v>
      </c>
      <c r="L77" s="5"/>
      <c r="M77" s="33">
        <f t="shared" ref="M77" si="18">G77</f>
        <v>0</v>
      </c>
      <c r="N77" s="33">
        <f t="shared" si="16"/>
        <v>0</v>
      </c>
      <c r="O77" s="33">
        <f t="shared" ref="O77" si="19">I77</f>
        <v>0</v>
      </c>
      <c r="P77" s="34">
        <f t="shared" si="17"/>
        <v>0</v>
      </c>
      <c r="Q77" s="33">
        <f t="shared" ref="Q77" si="20">K77</f>
        <v>0</v>
      </c>
    </row>
    <row r="78" spans="4:22" x14ac:dyDescent="0.25">
      <c r="D78" s="15"/>
      <c r="E78" s="10"/>
      <c r="J78" s="15"/>
      <c r="K78" s="15"/>
      <c r="L78" s="5"/>
      <c r="P78" s="15"/>
    </row>
    <row r="79" spans="4:22" x14ac:dyDescent="0.25">
      <c r="D79" s="93" t="s">
        <v>116</v>
      </c>
      <c r="E79" s="10" t="s">
        <v>20</v>
      </c>
      <c r="G79" s="12">
        <f>$G$140*K79</f>
        <v>32045.09746325306</v>
      </c>
      <c r="H79" s="12">
        <f>$H$140*K79</f>
        <v>1320.6834526110051</v>
      </c>
      <c r="I79" s="12">
        <f>$I$140*K79</f>
        <v>100085.21908413593</v>
      </c>
      <c r="J79" s="11">
        <v>0</v>
      </c>
      <c r="K79" s="11">
        <v>133451</v>
      </c>
      <c r="L79" s="5"/>
      <c r="M79" s="12">
        <f t="shared" ref="M79:M80" si="21">G79</f>
        <v>32045.09746325306</v>
      </c>
      <c r="N79" s="12">
        <f t="shared" ref="N79:N80" si="22">H79</f>
        <v>1320.6834526110051</v>
      </c>
      <c r="O79" s="12">
        <f t="shared" ref="O79:O80" si="23">I79</f>
        <v>100085.21908413593</v>
      </c>
      <c r="P79" s="11">
        <f t="shared" ref="P79:P80" si="24">J79</f>
        <v>0</v>
      </c>
      <c r="Q79" s="11">
        <f>K79</f>
        <v>133451</v>
      </c>
    </row>
    <row r="80" spans="4:22" x14ac:dyDescent="0.25">
      <c r="D80" s="15"/>
      <c r="E80" s="10" t="s">
        <v>21</v>
      </c>
      <c r="G80" s="36">
        <f>$G$140*K80</f>
        <v>0</v>
      </c>
      <c r="H80" s="36">
        <f>$H$140*K80</f>
        <v>0</v>
      </c>
      <c r="I80" s="36">
        <f>$I$140*K80</f>
        <v>0</v>
      </c>
      <c r="J80" s="34">
        <v>0</v>
      </c>
      <c r="K80" s="34">
        <v>0</v>
      </c>
      <c r="L80" s="5"/>
      <c r="M80" s="33">
        <f t="shared" si="21"/>
        <v>0</v>
      </c>
      <c r="N80" s="33">
        <f t="shared" si="22"/>
        <v>0</v>
      </c>
      <c r="O80" s="33">
        <f t="shared" si="23"/>
        <v>0</v>
      </c>
      <c r="P80" s="34">
        <f t="shared" si="24"/>
        <v>0</v>
      </c>
      <c r="Q80" s="33">
        <f t="shared" ref="Q80" si="25">K80</f>
        <v>0</v>
      </c>
    </row>
    <row r="81" spans="4:17" x14ac:dyDescent="0.25">
      <c r="D81" s="15"/>
      <c r="E81" s="10"/>
      <c r="J81" s="15"/>
      <c r="K81" s="15"/>
      <c r="L81" s="5"/>
      <c r="P81" s="15"/>
    </row>
    <row r="82" spans="4:17" x14ac:dyDescent="0.25">
      <c r="D82" s="15" t="s">
        <v>98</v>
      </c>
      <c r="E82" s="10" t="s">
        <v>20</v>
      </c>
      <c r="G82" s="12">
        <f>$G$140*K82</f>
        <v>36077.77887289309</v>
      </c>
      <c r="H82" s="12">
        <f>$H$140*K82</f>
        <v>1486.8834653733616</v>
      </c>
      <c r="I82" s="12">
        <f>$I$140*K82</f>
        <v>112680.33766173355</v>
      </c>
      <c r="J82" s="11">
        <v>0</v>
      </c>
      <c r="K82" s="11">
        <v>150245</v>
      </c>
      <c r="L82" s="5"/>
      <c r="M82" s="12">
        <f>G82</f>
        <v>36077.77887289309</v>
      </c>
      <c r="N82" s="12">
        <f>H82</f>
        <v>1486.8834653733616</v>
      </c>
      <c r="O82" s="12">
        <f>I82</f>
        <v>112680.33766173355</v>
      </c>
      <c r="P82" s="11">
        <f>J82</f>
        <v>0</v>
      </c>
      <c r="Q82" s="11">
        <f>K82</f>
        <v>150245</v>
      </c>
    </row>
    <row r="83" spans="4:17" x14ac:dyDescent="0.25">
      <c r="D83" s="15"/>
      <c r="E83" s="10" t="s">
        <v>21</v>
      </c>
      <c r="G83" s="36">
        <f>$G$140*K83</f>
        <v>0</v>
      </c>
      <c r="H83" s="36">
        <f>$H$140*K83</f>
        <v>0</v>
      </c>
      <c r="I83" s="36">
        <f>$I$140*K83</f>
        <v>0</v>
      </c>
      <c r="J83" s="34">
        <v>0</v>
      </c>
      <c r="K83" s="34">
        <v>0</v>
      </c>
      <c r="L83" s="5"/>
      <c r="M83" s="33">
        <f>G83</f>
        <v>0</v>
      </c>
      <c r="N83" s="33">
        <f>H83</f>
        <v>0</v>
      </c>
      <c r="O83" s="33">
        <f>I83</f>
        <v>0</v>
      </c>
      <c r="P83" s="34">
        <f>J83</f>
        <v>0</v>
      </c>
      <c r="Q83" s="33">
        <f t="shared" ref="Q83" si="26">K83</f>
        <v>0</v>
      </c>
    </row>
    <row r="84" spans="4:17" x14ac:dyDescent="0.25">
      <c r="D84" s="15"/>
      <c r="E84" s="10"/>
      <c r="J84" s="15"/>
      <c r="K84" s="15"/>
      <c r="L84" s="5"/>
      <c r="P84" s="15"/>
    </row>
    <row r="85" spans="4:17" x14ac:dyDescent="0.25">
      <c r="D85" s="15" t="s">
        <v>110</v>
      </c>
      <c r="E85" s="10" t="s">
        <v>20</v>
      </c>
      <c r="G85" s="12">
        <f>$G$140*K85</f>
        <v>32513.343786273072</v>
      </c>
      <c r="H85" s="12">
        <f>$H$140*K85</f>
        <v>1339.981417651293</v>
      </c>
      <c r="I85" s="12">
        <f>$I$140*K85</f>
        <v>101547.67479607563</v>
      </c>
      <c r="J85" s="11">
        <v>0</v>
      </c>
      <c r="K85" s="11">
        <v>135401</v>
      </c>
      <c r="L85" s="5"/>
      <c r="M85" s="12">
        <f>G85</f>
        <v>32513.343786273072</v>
      </c>
      <c r="N85" s="12">
        <f>H85</f>
        <v>1339.981417651293</v>
      </c>
      <c r="O85" s="12">
        <f>I85</f>
        <v>101547.67479607563</v>
      </c>
      <c r="P85" s="11">
        <f>J85</f>
        <v>0</v>
      </c>
      <c r="Q85" s="11">
        <f>K85</f>
        <v>135401</v>
      </c>
    </row>
    <row r="86" spans="4:17" x14ac:dyDescent="0.25">
      <c r="D86" s="15"/>
      <c r="E86" s="10" t="s">
        <v>21</v>
      </c>
      <c r="G86" s="36">
        <f>$G$140*K86</f>
        <v>0</v>
      </c>
      <c r="H86" s="36">
        <f>$H$140*K86</f>
        <v>0</v>
      </c>
      <c r="I86" s="36">
        <f>$I$140*K86</f>
        <v>0</v>
      </c>
      <c r="J86" s="34">
        <v>0</v>
      </c>
      <c r="K86" s="34">
        <v>0</v>
      </c>
      <c r="L86" s="5"/>
      <c r="M86" s="33">
        <f>G86</f>
        <v>0</v>
      </c>
      <c r="N86" s="33">
        <f>H86</f>
        <v>0</v>
      </c>
      <c r="O86" s="33">
        <f>I86</f>
        <v>0</v>
      </c>
      <c r="P86" s="34">
        <f>J86</f>
        <v>0</v>
      </c>
      <c r="Q86" s="33">
        <f t="shared" ref="Q86" si="27">K86</f>
        <v>0</v>
      </c>
    </row>
    <row r="87" spans="4:17" x14ac:dyDescent="0.25">
      <c r="D87" s="15"/>
      <c r="E87" s="10"/>
      <c r="J87" s="15"/>
      <c r="K87" s="15"/>
      <c r="L87" s="5"/>
      <c r="P87" s="15"/>
    </row>
    <row r="88" spans="4:17" x14ac:dyDescent="0.25">
      <c r="D88" s="15" t="s">
        <v>117</v>
      </c>
      <c r="E88" s="10" t="s">
        <v>20</v>
      </c>
      <c r="G88" s="12">
        <f>$G$140*K88</f>
        <v>28788.744444548254</v>
      </c>
      <c r="H88" s="12">
        <f>$H$140*K88</f>
        <v>1186.4784762462132</v>
      </c>
      <c r="I88" s="12">
        <f>$I$140*K88</f>
        <v>89914.777079205523</v>
      </c>
      <c r="J88" s="11">
        <v>0</v>
      </c>
      <c r="K88" s="11">
        <v>119890</v>
      </c>
      <c r="L88" s="5"/>
      <c r="M88" s="12">
        <f t="shared" ref="M88:M89" si="28">G88</f>
        <v>28788.744444548254</v>
      </c>
      <c r="N88" s="12">
        <f t="shared" ref="N88:N89" si="29">H88</f>
        <v>1186.4784762462132</v>
      </c>
      <c r="O88" s="12">
        <f t="shared" ref="O88:O89" si="30">I88</f>
        <v>89914.777079205523</v>
      </c>
      <c r="P88" s="11">
        <f t="shared" ref="P88:P89" si="31">J88</f>
        <v>0</v>
      </c>
      <c r="Q88" s="11">
        <f>K88</f>
        <v>119890</v>
      </c>
    </row>
    <row r="89" spans="4:17" x14ac:dyDescent="0.25">
      <c r="D89" s="15"/>
      <c r="E89" s="10" t="s">
        <v>21</v>
      </c>
      <c r="G89" s="36">
        <f>$G$140*K89</f>
        <v>0</v>
      </c>
      <c r="H89" s="36">
        <f>$H$140*K89</f>
        <v>0</v>
      </c>
      <c r="I89" s="36">
        <f>$I$140*K89</f>
        <v>0</v>
      </c>
      <c r="J89" s="34">
        <v>0</v>
      </c>
      <c r="K89" s="34">
        <v>0</v>
      </c>
      <c r="L89" s="5"/>
      <c r="M89" s="33">
        <f t="shared" si="28"/>
        <v>0</v>
      </c>
      <c r="N89" s="33">
        <f t="shared" si="29"/>
        <v>0</v>
      </c>
      <c r="O89" s="33">
        <f t="shared" si="30"/>
        <v>0</v>
      </c>
      <c r="P89" s="34">
        <f t="shared" si="31"/>
        <v>0</v>
      </c>
      <c r="Q89" s="33">
        <f t="shared" ref="Q89" si="32">K89</f>
        <v>0</v>
      </c>
    </row>
    <row r="90" spans="4:17" x14ac:dyDescent="0.25">
      <c r="D90" s="15"/>
      <c r="E90" s="10"/>
      <c r="J90" s="15"/>
      <c r="K90" s="15"/>
      <c r="L90" s="5"/>
      <c r="P90" s="15"/>
    </row>
    <row r="91" spans="4:17" x14ac:dyDescent="0.25">
      <c r="D91" s="15" t="s">
        <v>109</v>
      </c>
      <c r="E91" s="10" t="s">
        <v>20</v>
      </c>
      <c r="G91" s="12">
        <f>$G$140*K91</f>
        <v>75306.495310231607</v>
      </c>
      <c r="H91" s="12">
        <f>$H$140*K91</f>
        <v>3103.6273908793682</v>
      </c>
      <c r="I91" s="12">
        <f>$I$140*K91</f>
        <v>235201.87729888901</v>
      </c>
      <c r="J91" s="11">
        <v>0</v>
      </c>
      <c r="K91" s="11">
        <v>313612</v>
      </c>
      <c r="L91" s="5"/>
      <c r="M91" s="12">
        <f t="shared" ref="M91:M92" si="33">G91</f>
        <v>75306.495310231607</v>
      </c>
      <c r="N91" s="12">
        <f t="shared" ref="N91:N92" si="34">H91</f>
        <v>3103.6273908793682</v>
      </c>
      <c r="O91" s="12">
        <f t="shared" ref="O91:O92" si="35">I91</f>
        <v>235201.87729888901</v>
      </c>
      <c r="P91" s="11">
        <f t="shared" ref="P91:P92" si="36">J91</f>
        <v>0</v>
      </c>
      <c r="Q91" s="11">
        <f>K91</f>
        <v>313612</v>
      </c>
    </row>
    <row r="92" spans="4:17" x14ac:dyDescent="0.25">
      <c r="D92" s="15"/>
      <c r="E92" s="10" t="s">
        <v>21</v>
      </c>
      <c r="G92" s="36">
        <f>$G$140*K92</f>
        <v>0</v>
      </c>
      <c r="H92" s="36">
        <f>$H$140*K92</f>
        <v>0</v>
      </c>
      <c r="I92" s="36">
        <f>$I$140*K92</f>
        <v>0</v>
      </c>
      <c r="J92" s="34">
        <v>0</v>
      </c>
      <c r="K92" s="34">
        <v>0</v>
      </c>
      <c r="L92" s="5"/>
      <c r="M92" s="33">
        <f t="shared" si="33"/>
        <v>0</v>
      </c>
      <c r="N92" s="33">
        <f t="shared" si="34"/>
        <v>0</v>
      </c>
      <c r="O92" s="33">
        <f t="shared" si="35"/>
        <v>0</v>
      </c>
      <c r="P92" s="34">
        <f t="shared" si="36"/>
        <v>0</v>
      </c>
      <c r="Q92" s="33">
        <f t="shared" ref="Q92" si="37">K92</f>
        <v>0</v>
      </c>
    </row>
    <row r="93" spans="4:17" x14ac:dyDescent="0.25">
      <c r="D93" s="15"/>
      <c r="E93" s="10"/>
      <c r="J93" s="15"/>
      <c r="K93" s="15"/>
      <c r="L93" s="5"/>
      <c r="P93" s="15"/>
    </row>
    <row r="94" spans="4:17" x14ac:dyDescent="0.25">
      <c r="D94" s="93" t="s">
        <v>85</v>
      </c>
      <c r="E94" s="10" t="s">
        <v>20</v>
      </c>
      <c r="G94" s="12">
        <f>$G$140*K94</f>
        <v>24164.631909986027</v>
      </c>
      <c r="H94" s="12">
        <f>$H$140*K94</f>
        <v>995.90364917912405</v>
      </c>
      <c r="I94" s="12">
        <f>$I$140*K94</f>
        <v>75472.464440834839</v>
      </c>
      <c r="J94" s="11">
        <v>0</v>
      </c>
      <c r="K94" s="11">
        <v>100633</v>
      </c>
      <c r="L94" s="5"/>
      <c r="M94" s="12">
        <f t="shared" ref="M94:M95" si="38">G94</f>
        <v>24164.631909986027</v>
      </c>
      <c r="N94" s="12">
        <f t="shared" ref="N94:N95" si="39">H94</f>
        <v>995.90364917912405</v>
      </c>
      <c r="O94" s="12">
        <f t="shared" ref="O94:O95" si="40">I94</f>
        <v>75472.464440834839</v>
      </c>
      <c r="P94" s="11">
        <f t="shared" ref="P94:P95" si="41">J94</f>
        <v>0</v>
      </c>
      <c r="Q94" s="11">
        <f>K94</f>
        <v>100633</v>
      </c>
    </row>
    <row r="95" spans="4:17" x14ac:dyDescent="0.25">
      <c r="D95" s="15"/>
      <c r="E95" s="10" t="s">
        <v>21</v>
      </c>
      <c r="G95" s="36">
        <f>$G$140*K95</f>
        <v>0</v>
      </c>
      <c r="H95" s="36">
        <f>$H$140*K95</f>
        <v>0</v>
      </c>
      <c r="I95" s="36">
        <f>$I$140*K95</f>
        <v>0</v>
      </c>
      <c r="J95" s="34">
        <v>0</v>
      </c>
      <c r="K95" s="34">
        <v>0</v>
      </c>
      <c r="L95" s="5"/>
      <c r="M95" s="33">
        <f t="shared" si="38"/>
        <v>0</v>
      </c>
      <c r="N95" s="33">
        <f t="shared" si="39"/>
        <v>0</v>
      </c>
      <c r="O95" s="33">
        <f t="shared" si="40"/>
        <v>0</v>
      </c>
      <c r="P95" s="34">
        <f t="shared" si="41"/>
        <v>0</v>
      </c>
      <c r="Q95" s="33">
        <f t="shared" ref="Q95" si="42">K95</f>
        <v>0</v>
      </c>
    </row>
    <row r="96" spans="4:17" x14ac:dyDescent="0.25">
      <c r="D96" s="15"/>
      <c r="E96" s="10"/>
      <c r="J96" s="15"/>
      <c r="K96" s="15"/>
      <c r="L96" s="5"/>
      <c r="P96" s="15"/>
    </row>
    <row r="97" spans="4:22" x14ac:dyDescent="0.25">
      <c r="D97" s="93" t="s">
        <v>118</v>
      </c>
      <c r="E97" s="10" t="s">
        <v>20</v>
      </c>
      <c r="G97" s="12">
        <f>$G$140*K97</f>
        <v>80274.948986953168</v>
      </c>
      <c r="H97" s="12">
        <f>$H$140*K97</f>
        <v>3308.3936445453151</v>
      </c>
      <c r="I97" s="12">
        <f>$I$140*K97</f>
        <v>250719.6573685015</v>
      </c>
      <c r="J97" s="11">
        <v>0</v>
      </c>
      <c r="K97" s="11">
        <v>334303</v>
      </c>
      <c r="L97" s="5"/>
      <c r="M97" s="12">
        <f t="shared" ref="M97:M98" si="43">G97</f>
        <v>80274.948986953168</v>
      </c>
      <c r="N97" s="12">
        <f t="shared" ref="N97:N98" si="44">H97</f>
        <v>3308.3936445453151</v>
      </c>
      <c r="O97" s="12">
        <f t="shared" ref="O97:O98" si="45">I97</f>
        <v>250719.6573685015</v>
      </c>
      <c r="P97" s="11">
        <f t="shared" ref="P97:P98" si="46">J97</f>
        <v>0</v>
      </c>
      <c r="Q97" s="12">
        <f>K97</f>
        <v>334303</v>
      </c>
      <c r="R97" s="33"/>
      <c r="S97" s="33"/>
      <c r="T97" s="33"/>
      <c r="U97" s="33"/>
      <c r="V97" s="33"/>
    </row>
    <row r="98" spans="4:22" x14ac:dyDescent="0.25">
      <c r="E98" s="10" t="s">
        <v>21</v>
      </c>
      <c r="G98" s="36">
        <f>$G$140*K98</f>
        <v>0</v>
      </c>
      <c r="H98" s="36">
        <f>$H$140*K98</f>
        <v>0</v>
      </c>
      <c r="I98" s="36">
        <f>$I$140*K98</f>
        <v>0</v>
      </c>
      <c r="J98" s="34">
        <v>0</v>
      </c>
      <c r="K98" s="34">
        <v>0</v>
      </c>
      <c r="L98" s="5"/>
      <c r="M98" s="33">
        <f t="shared" si="43"/>
        <v>0</v>
      </c>
      <c r="N98" s="33">
        <f t="shared" si="44"/>
        <v>0</v>
      </c>
      <c r="O98" s="33">
        <f t="shared" si="45"/>
        <v>0</v>
      </c>
      <c r="P98" s="34">
        <f t="shared" si="46"/>
        <v>0</v>
      </c>
      <c r="Q98" s="33">
        <f t="shared" ref="Q98" si="47">K98</f>
        <v>0</v>
      </c>
      <c r="R98" s="33"/>
      <c r="S98" s="33"/>
      <c r="T98" s="33"/>
      <c r="U98" s="33"/>
      <c r="V98" s="33"/>
    </row>
    <row r="99" spans="4:22" x14ac:dyDescent="0.25">
      <c r="E99" s="10"/>
      <c r="G99" s="36"/>
      <c r="H99" s="36"/>
      <c r="I99" s="36"/>
      <c r="J99" s="34"/>
      <c r="K99" s="34"/>
      <c r="L99" s="5"/>
      <c r="M99" s="33"/>
      <c r="N99" s="33"/>
      <c r="O99" s="33"/>
      <c r="P99" s="34"/>
      <c r="Q99" s="33"/>
      <c r="R99" s="33"/>
      <c r="S99" s="33"/>
      <c r="T99" s="33"/>
      <c r="U99" s="33"/>
      <c r="V99" s="33"/>
    </row>
    <row r="100" spans="4:22" x14ac:dyDescent="0.25">
      <c r="D100" s="91" t="s">
        <v>114</v>
      </c>
      <c r="E100" s="10" t="s">
        <v>20</v>
      </c>
      <c r="G100" s="12">
        <f>$G$140*K100</f>
        <v>81898.443033075368</v>
      </c>
      <c r="H100" s="12">
        <f>$H$140*K100</f>
        <v>3375.3031530773083</v>
      </c>
      <c r="I100" s="12">
        <f>$I$140*K100</f>
        <v>255790.25381384729</v>
      </c>
      <c r="J100" s="11">
        <v>0</v>
      </c>
      <c r="K100" s="11">
        <v>341064</v>
      </c>
      <c r="L100" s="5"/>
      <c r="M100" s="12">
        <f t="shared" ref="M100:Q101" si="48">G100</f>
        <v>81898.443033075368</v>
      </c>
      <c r="N100" s="12">
        <f t="shared" si="48"/>
        <v>3375.3031530773083</v>
      </c>
      <c r="O100" s="12">
        <f t="shared" si="48"/>
        <v>255790.25381384729</v>
      </c>
      <c r="P100" s="11">
        <f t="shared" si="48"/>
        <v>0</v>
      </c>
      <c r="Q100" s="12">
        <f>K100</f>
        <v>341064</v>
      </c>
      <c r="R100" s="12"/>
      <c r="S100" s="12"/>
      <c r="T100" s="12"/>
      <c r="U100" s="12"/>
      <c r="V100" s="12"/>
    </row>
    <row r="101" spans="4:22" x14ac:dyDescent="0.25">
      <c r="E101" s="10" t="s">
        <v>21</v>
      </c>
      <c r="G101" s="36">
        <f>$G$140*K101</f>
        <v>0</v>
      </c>
      <c r="H101" s="36">
        <f>$H$140*K101</f>
        <v>0</v>
      </c>
      <c r="I101" s="36">
        <f>$I$140*K101</f>
        <v>0</v>
      </c>
      <c r="J101" s="34">
        <v>0</v>
      </c>
      <c r="K101" s="34">
        <v>0</v>
      </c>
      <c r="L101" s="5"/>
      <c r="M101" s="33">
        <f t="shared" si="48"/>
        <v>0</v>
      </c>
      <c r="N101" s="33">
        <f t="shared" si="48"/>
        <v>0</v>
      </c>
      <c r="O101" s="33">
        <f t="shared" si="48"/>
        <v>0</v>
      </c>
      <c r="P101" s="34">
        <f t="shared" si="48"/>
        <v>0</v>
      </c>
      <c r="Q101" s="33">
        <f t="shared" si="48"/>
        <v>0</v>
      </c>
      <c r="R101" s="33"/>
      <c r="S101" s="33"/>
      <c r="T101" s="33"/>
      <c r="U101" s="33"/>
      <c r="V101" s="33"/>
    </row>
    <row r="102" spans="4:22" x14ac:dyDescent="0.25">
      <c r="E102" s="10"/>
      <c r="J102" s="15"/>
      <c r="K102" s="15"/>
      <c r="L102" s="5"/>
      <c r="P102" s="15"/>
    </row>
    <row r="103" spans="4:22" x14ac:dyDescent="0.25">
      <c r="D103" s="3" t="s">
        <v>111</v>
      </c>
      <c r="E103" s="10" t="s">
        <v>20</v>
      </c>
      <c r="G103" s="12">
        <f>$G$140*K103</f>
        <v>146282.79270096586</v>
      </c>
      <c r="H103" s="12">
        <f>$H$140*K103</f>
        <v>6028.7931389015503</v>
      </c>
      <c r="I103" s="12">
        <f>$I$140*K103</f>
        <v>456879.41416013258</v>
      </c>
      <c r="J103" s="11">
        <v>0</v>
      </c>
      <c r="K103" s="11">
        <v>609191</v>
      </c>
      <c r="L103" s="5"/>
      <c r="M103" s="12">
        <f t="shared" ref="M103:Q104" si="49">G103</f>
        <v>146282.79270096586</v>
      </c>
      <c r="N103" s="12">
        <f t="shared" si="49"/>
        <v>6028.7931389015503</v>
      </c>
      <c r="O103" s="12">
        <f t="shared" si="49"/>
        <v>456879.41416013258</v>
      </c>
      <c r="P103" s="11">
        <f t="shared" si="49"/>
        <v>0</v>
      </c>
      <c r="Q103" s="12">
        <f>K103</f>
        <v>609191</v>
      </c>
      <c r="R103" s="12"/>
      <c r="S103" s="12"/>
      <c r="T103" s="12"/>
      <c r="U103" s="12"/>
      <c r="V103" s="12"/>
    </row>
    <row r="104" spans="4:22" x14ac:dyDescent="0.25">
      <c r="E104" s="10" t="s">
        <v>21</v>
      </c>
      <c r="G104" s="36">
        <f>$G$140*K104</f>
        <v>0</v>
      </c>
      <c r="H104" s="36">
        <f>$H$140*K104</f>
        <v>0</v>
      </c>
      <c r="I104" s="36">
        <f>$I$140*K104</f>
        <v>0</v>
      </c>
      <c r="J104" s="34">
        <v>0</v>
      </c>
      <c r="K104" s="34">
        <v>0</v>
      </c>
      <c r="L104" s="5"/>
      <c r="M104" s="33">
        <f t="shared" si="49"/>
        <v>0</v>
      </c>
      <c r="N104" s="33">
        <f t="shared" si="49"/>
        <v>0</v>
      </c>
      <c r="O104" s="33">
        <f t="shared" si="49"/>
        <v>0</v>
      </c>
      <c r="P104" s="34">
        <f t="shared" si="49"/>
        <v>0</v>
      </c>
      <c r="Q104" s="33">
        <f t="shared" si="49"/>
        <v>0</v>
      </c>
      <c r="R104" s="33"/>
      <c r="S104" s="33"/>
      <c r="T104" s="33"/>
      <c r="U104" s="33"/>
      <c r="V104" s="33"/>
    </row>
    <row r="105" spans="4:22" x14ac:dyDescent="0.25">
      <c r="E105" s="10"/>
      <c r="J105" s="15"/>
      <c r="K105" s="15"/>
      <c r="L105" s="5"/>
      <c r="P105" s="15"/>
    </row>
    <row r="106" spans="4:22" x14ac:dyDescent="0.25">
      <c r="D106" s="3" t="s">
        <v>115</v>
      </c>
      <c r="E106" s="10" t="s">
        <v>20</v>
      </c>
      <c r="G106" s="12">
        <f>$G$140*K106</f>
        <v>70754.420671518616</v>
      </c>
      <c r="H106" s="12">
        <f>$H$140*K106</f>
        <v>2916.0214815107847</v>
      </c>
      <c r="I106" s="12">
        <f>$I$140*K106</f>
        <v>220984.55784697059</v>
      </c>
      <c r="J106" s="11">
        <v>0</v>
      </c>
      <c r="K106" s="11">
        <v>294655</v>
      </c>
      <c r="L106" s="5"/>
      <c r="M106" s="12">
        <f t="shared" ref="M106:M107" si="50">G106</f>
        <v>70754.420671518616</v>
      </c>
      <c r="N106" s="12">
        <f t="shared" ref="N106:N107" si="51">H106</f>
        <v>2916.0214815107847</v>
      </c>
      <c r="O106" s="12">
        <f t="shared" ref="O106:O107" si="52">I106</f>
        <v>220984.55784697059</v>
      </c>
      <c r="P106" s="11">
        <f t="shared" ref="P106:P107" si="53">J106</f>
        <v>0</v>
      </c>
      <c r="Q106" s="12">
        <f>K106</f>
        <v>294655</v>
      </c>
    </row>
    <row r="107" spans="4:22" x14ac:dyDescent="0.25">
      <c r="E107" s="10" t="s">
        <v>21</v>
      </c>
      <c r="G107" s="36">
        <f>$G$140*K107</f>
        <v>0</v>
      </c>
      <c r="H107" s="36">
        <f>$H$140*K107</f>
        <v>0</v>
      </c>
      <c r="I107" s="36">
        <f>$I$140*K107</f>
        <v>0</v>
      </c>
      <c r="J107" s="34">
        <v>0</v>
      </c>
      <c r="K107" s="34">
        <v>0</v>
      </c>
      <c r="L107" s="5"/>
      <c r="M107" s="33">
        <f t="shared" si="50"/>
        <v>0</v>
      </c>
      <c r="N107" s="33">
        <f t="shared" si="51"/>
        <v>0</v>
      </c>
      <c r="O107" s="33">
        <f t="shared" si="52"/>
        <v>0</v>
      </c>
      <c r="P107" s="34">
        <f t="shared" si="53"/>
        <v>0</v>
      </c>
      <c r="Q107" s="33">
        <f t="shared" ref="Q107" si="54">K107</f>
        <v>0</v>
      </c>
    </row>
    <row r="108" spans="4:22" x14ac:dyDescent="0.25">
      <c r="E108" s="10"/>
      <c r="J108" s="15"/>
      <c r="K108" s="15"/>
      <c r="L108" s="5"/>
      <c r="P108" s="15"/>
    </row>
    <row r="109" spans="4:22" x14ac:dyDescent="0.25">
      <c r="D109" s="3" t="s">
        <v>96</v>
      </c>
      <c r="E109" s="10" t="s">
        <v>20</v>
      </c>
      <c r="G109" s="12">
        <f>$G$140*K109</f>
        <v>47746.957495190756</v>
      </c>
      <c r="H109" s="12">
        <f>$H$140*K109</f>
        <v>1967.8085469619925</v>
      </c>
      <c r="I109" s="12">
        <f>$I$140*K109</f>
        <v>149126.23395784723</v>
      </c>
      <c r="J109" s="11">
        <v>0</v>
      </c>
      <c r="K109" s="11">
        <v>198841</v>
      </c>
      <c r="L109" s="5"/>
      <c r="M109" s="12">
        <f t="shared" ref="M109:M110" si="55">G109</f>
        <v>47746.957495190756</v>
      </c>
      <c r="N109" s="12">
        <f t="shared" ref="N109:N110" si="56">H109</f>
        <v>1967.8085469619925</v>
      </c>
      <c r="O109" s="12">
        <f t="shared" ref="O109:O110" si="57">I109</f>
        <v>149126.23395784723</v>
      </c>
      <c r="P109" s="11">
        <f t="shared" ref="P109:P110" si="58">J109</f>
        <v>0</v>
      </c>
      <c r="Q109" s="12">
        <f>K109</f>
        <v>198841</v>
      </c>
    </row>
    <row r="110" spans="4:22" x14ac:dyDescent="0.25">
      <c r="E110" s="10" t="s">
        <v>21</v>
      </c>
      <c r="G110" s="36">
        <f>$G$140*K110</f>
        <v>0</v>
      </c>
      <c r="H110" s="36">
        <f>$H$140*K110</f>
        <v>0</v>
      </c>
      <c r="I110" s="36">
        <f>$I$140*K110</f>
        <v>0</v>
      </c>
      <c r="J110" s="34">
        <v>0</v>
      </c>
      <c r="K110" s="34">
        <v>0</v>
      </c>
      <c r="L110" s="5"/>
      <c r="M110" s="33">
        <f t="shared" si="55"/>
        <v>0</v>
      </c>
      <c r="N110" s="33">
        <f t="shared" si="56"/>
        <v>0</v>
      </c>
      <c r="O110" s="33">
        <f t="shared" si="57"/>
        <v>0</v>
      </c>
      <c r="P110" s="34">
        <f t="shared" si="58"/>
        <v>0</v>
      </c>
      <c r="Q110" s="33">
        <f t="shared" ref="Q110" si="59">K110</f>
        <v>0</v>
      </c>
    </row>
    <row r="111" spans="4:22" x14ac:dyDescent="0.25">
      <c r="E111" s="10"/>
      <c r="G111" s="36"/>
      <c r="H111" s="36"/>
      <c r="I111" s="36"/>
      <c r="J111" s="34"/>
      <c r="K111" s="34"/>
      <c r="L111" s="5"/>
      <c r="M111" s="33"/>
      <c r="N111" s="33"/>
      <c r="O111" s="33"/>
      <c r="P111" s="34"/>
      <c r="Q111" s="33"/>
    </row>
    <row r="112" spans="4:22" x14ac:dyDescent="0.25">
      <c r="D112" s="15" t="s">
        <v>121</v>
      </c>
      <c r="E112" s="10" t="s">
        <v>20</v>
      </c>
      <c r="G112" s="12">
        <f>$G$140*K112</f>
        <v>21045.63114603376</v>
      </c>
      <c r="H112" s="12">
        <f>$H$140*K112</f>
        <v>867.35940922614998</v>
      </c>
      <c r="I112" s="12">
        <f>$I$140*K112</f>
        <v>65731.009444740092</v>
      </c>
      <c r="J112" s="11">
        <v>0</v>
      </c>
      <c r="K112" s="11">
        <v>87644</v>
      </c>
      <c r="L112" s="5"/>
      <c r="M112" s="12">
        <f t="shared" ref="M112:M113" si="60">G112</f>
        <v>21045.63114603376</v>
      </c>
      <c r="N112" s="12">
        <f t="shared" ref="N112:N113" si="61">H112</f>
        <v>867.35940922614998</v>
      </c>
      <c r="O112" s="12">
        <f t="shared" ref="O112:O113" si="62">I112</f>
        <v>65731.009444740092</v>
      </c>
      <c r="P112" s="11">
        <f t="shared" ref="P112:P113" si="63">J112</f>
        <v>0</v>
      </c>
      <c r="Q112" s="12">
        <f>K112</f>
        <v>87644</v>
      </c>
    </row>
    <row r="113" spans="2:23" x14ac:dyDescent="0.25">
      <c r="E113" s="10" t="s">
        <v>21</v>
      </c>
      <c r="G113" s="36">
        <f>$G$140*K113</f>
        <v>0</v>
      </c>
      <c r="H113" s="36">
        <f>$H$140*K113</f>
        <v>0</v>
      </c>
      <c r="I113" s="36">
        <f>$I$140*K113</f>
        <v>0</v>
      </c>
      <c r="J113" s="34">
        <v>0</v>
      </c>
      <c r="K113" s="34">
        <v>0</v>
      </c>
      <c r="L113" s="5"/>
      <c r="M113" s="33">
        <f t="shared" si="60"/>
        <v>0</v>
      </c>
      <c r="N113" s="33">
        <f t="shared" si="61"/>
        <v>0</v>
      </c>
      <c r="O113" s="33">
        <f t="shared" si="62"/>
        <v>0</v>
      </c>
      <c r="P113" s="34">
        <f t="shared" si="63"/>
        <v>0</v>
      </c>
      <c r="Q113" s="33">
        <f t="shared" ref="Q113" si="64">K113</f>
        <v>0</v>
      </c>
    </row>
    <row r="114" spans="2:23" x14ac:dyDescent="0.25">
      <c r="E114" s="10"/>
      <c r="G114" s="36"/>
      <c r="H114" s="36"/>
      <c r="I114" s="36"/>
      <c r="J114" s="34"/>
      <c r="K114" s="34"/>
      <c r="L114" s="5"/>
      <c r="M114" s="33"/>
      <c r="N114" s="33"/>
      <c r="O114" s="33"/>
      <c r="P114" s="34"/>
      <c r="Q114" s="33"/>
    </row>
    <row r="115" spans="2:23" x14ac:dyDescent="0.25">
      <c r="D115" s="3" t="s">
        <v>112</v>
      </c>
      <c r="E115" s="10" t="s">
        <v>20</v>
      </c>
      <c r="G115" s="12">
        <f>$G$140*K115</f>
        <v>21815.476126342557</v>
      </c>
      <c r="H115" s="12">
        <f>$H$140*K115</f>
        <v>899.08724303084887</v>
      </c>
      <c r="I115" s="12">
        <f>$I$140*K115</f>
        <v>68135.436630626587</v>
      </c>
      <c r="J115" s="11">
        <v>0</v>
      </c>
      <c r="K115" s="11">
        <v>90850</v>
      </c>
      <c r="L115" s="5"/>
      <c r="M115" s="12">
        <f t="shared" ref="M115:M116" si="65">G115</f>
        <v>21815.476126342557</v>
      </c>
      <c r="N115" s="12">
        <f t="shared" ref="N115:N116" si="66">H115</f>
        <v>899.08724303084887</v>
      </c>
      <c r="O115" s="12">
        <f t="shared" ref="O115:O116" si="67">I115</f>
        <v>68135.436630626587</v>
      </c>
      <c r="P115" s="11">
        <f t="shared" ref="P115:P116" si="68">J115</f>
        <v>0</v>
      </c>
      <c r="Q115" s="12">
        <f>K115</f>
        <v>90850</v>
      </c>
    </row>
    <row r="116" spans="2:23" x14ac:dyDescent="0.25">
      <c r="E116" s="10" t="s">
        <v>21</v>
      </c>
      <c r="G116" s="36">
        <f>$G$140*K116</f>
        <v>0</v>
      </c>
      <c r="H116" s="36">
        <f>$H$140*K116</f>
        <v>0</v>
      </c>
      <c r="I116" s="36">
        <f>$I$140*K116</f>
        <v>0</v>
      </c>
      <c r="J116" s="34">
        <v>0</v>
      </c>
      <c r="K116" s="34">
        <v>0</v>
      </c>
      <c r="L116" s="5"/>
      <c r="M116" s="33">
        <f t="shared" si="65"/>
        <v>0</v>
      </c>
      <c r="N116" s="33">
        <f t="shared" si="66"/>
        <v>0</v>
      </c>
      <c r="O116" s="33">
        <f t="shared" si="67"/>
        <v>0</v>
      </c>
      <c r="P116" s="34">
        <f t="shared" si="68"/>
        <v>0</v>
      </c>
      <c r="Q116" s="33">
        <f t="shared" ref="Q116" si="69">K116</f>
        <v>0</v>
      </c>
    </row>
    <row r="117" spans="2:23" x14ac:dyDescent="0.25">
      <c r="E117" s="10"/>
      <c r="G117" s="36"/>
      <c r="H117" s="36"/>
      <c r="I117" s="36"/>
      <c r="J117" s="34"/>
      <c r="K117" s="34"/>
      <c r="L117" s="5"/>
      <c r="M117" s="33"/>
      <c r="N117" s="33"/>
      <c r="O117" s="33"/>
      <c r="P117" s="34"/>
      <c r="Q117" s="33"/>
    </row>
    <row r="118" spans="2:23" x14ac:dyDescent="0.25">
      <c r="D118" s="3" t="s">
        <v>113</v>
      </c>
      <c r="E118" s="10" t="s">
        <v>20</v>
      </c>
      <c r="G118" s="12">
        <f>$G$140*K118</f>
        <v>81790.386189301527</v>
      </c>
      <c r="H118" s="12">
        <f>$H$140*K118</f>
        <v>3370.8497765295497</v>
      </c>
      <c r="I118" s="12">
        <f>$I$140*K118</f>
        <v>255452.76403416891</v>
      </c>
      <c r="J118" s="11">
        <v>0</v>
      </c>
      <c r="K118" s="11">
        <v>340614</v>
      </c>
      <c r="L118" s="5"/>
      <c r="M118" s="12">
        <f t="shared" ref="M118:M119" si="70">G118</f>
        <v>81790.386189301527</v>
      </c>
      <c r="N118" s="12">
        <f t="shared" ref="N118:N119" si="71">H118</f>
        <v>3370.8497765295497</v>
      </c>
      <c r="O118" s="12">
        <f t="shared" ref="O118:O119" si="72">I118</f>
        <v>255452.76403416891</v>
      </c>
      <c r="P118" s="11">
        <f t="shared" ref="P118:P119" si="73">J118</f>
        <v>0</v>
      </c>
      <c r="Q118" s="12">
        <f>K118</f>
        <v>340614</v>
      </c>
    </row>
    <row r="119" spans="2:23" x14ac:dyDescent="0.25">
      <c r="E119" s="10" t="s">
        <v>21</v>
      </c>
      <c r="G119" s="36">
        <f>$G$140*K119</f>
        <v>0</v>
      </c>
      <c r="H119" s="36">
        <f>$H$140*K119</f>
        <v>0</v>
      </c>
      <c r="I119" s="36">
        <f>$I$140*K119</f>
        <v>0</v>
      </c>
      <c r="J119" s="34">
        <v>0</v>
      </c>
      <c r="K119" s="34">
        <v>0</v>
      </c>
      <c r="L119" s="5"/>
      <c r="M119" s="33">
        <f t="shared" si="70"/>
        <v>0</v>
      </c>
      <c r="N119" s="33">
        <f t="shared" si="71"/>
        <v>0</v>
      </c>
      <c r="O119" s="33">
        <f t="shared" si="72"/>
        <v>0</v>
      </c>
      <c r="P119" s="34">
        <f t="shared" si="73"/>
        <v>0</v>
      </c>
      <c r="Q119" s="33">
        <f t="shared" ref="Q119" si="74">K119</f>
        <v>0</v>
      </c>
    </row>
    <row r="120" spans="2:23" x14ac:dyDescent="0.25">
      <c r="E120" s="10"/>
      <c r="G120" s="36"/>
      <c r="H120" s="36"/>
      <c r="I120" s="36"/>
      <c r="J120" s="34"/>
      <c r="K120" s="34"/>
      <c r="L120" s="5"/>
      <c r="M120" s="33"/>
      <c r="N120" s="33"/>
      <c r="O120" s="33"/>
      <c r="P120" s="34"/>
      <c r="Q120" s="33"/>
    </row>
    <row r="121" spans="2:23" x14ac:dyDescent="0.25">
      <c r="D121" s="3" t="s">
        <v>108</v>
      </c>
      <c r="E121" s="10" t="s">
        <v>20</v>
      </c>
      <c r="G121" s="12">
        <f>$G$140*K121</f>
        <v>7554.8542640285032</v>
      </c>
      <c r="H121" s="12">
        <f>$H$140*K121</f>
        <v>311.36029543463474</v>
      </c>
      <c r="I121" s="12">
        <f>$I$140*K121</f>
        <v>23595.78544053686</v>
      </c>
      <c r="J121" s="11">
        <v>0</v>
      </c>
      <c r="K121" s="11">
        <v>31462</v>
      </c>
      <c r="L121" s="5"/>
      <c r="M121" s="12">
        <f t="shared" ref="M121:M122" si="75">G121</f>
        <v>7554.8542640285032</v>
      </c>
      <c r="N121" s="12">
        <f t="shared" ref="N121:N122" si="76">H121</f>
        <v>311.36029543463474</v>
      </c>
      <c r="O121" s="12">
        <f t="shared" ref="O121:O122" si="77">I121</f>
        <v>23595.78544053686</v>
      </c>
      <c r="P121" s="11">
        <f t="shared" ref="P121:P122" si="78">J121</f>
        <v>0</v>
      </c>
      <c r="Q121" s="12">
        <f>K121</f>
        <v>31462</v>
      </c>
    </row>
    <row r="122" spans="2:23" x14ac:dyDescent="0.25">
      <c r="E122" s="10" t="s">
        <v>21</v>
      </c>
      <c r="G122" s="36">
        <f>$G$140*K122</f>
        <v>0</v>
      </c>
      <c r="H122" s="36">
        <f>$H$140*K122</f>
        <v>0</v>
      </c>
      <c r="I122" s="36">
        <f>$I$140*K122</f>
        <v>0</v>
      </c>
      <c r="J122" s="34">
        <v>0</v>
      </c>
      <c r="K122" s="34">
        <v>0</v>
      </c>
      <c r="L122" s="5"/>
      <c r="M122" s="33">
        <f t="shared" si="75"/>
        <v>0</v>
      </c>
      <c r="N122" s="33">
        <f t="shared" si="76"/>
        <v>0</v>
      </c>
      <c r="O122" s="33">
        <f t="shared" si="77"/>
        <v>0</v>
      </c>
      <c r="P122" s="34">
        <f t="shared" si="78"/>
        <v>0</v>
      </c>
      <c r="Q122" s="33">
        <f>K122</f>
        <v>0</v>
      </c>
    </row>
    <row r="123" spans="2:23" x14ac:dyDescent="0.25">
      <c r="E123" s="10"/>
      <c r="J123" s="15"/>
      <c r="K123" s="15"/>
      <c r="L123" s="5"/>
      <c r="P123" s="15"/>
    </row>
    <row r="124" spans="2:23" x14ac:dyDescent="0.25">
      <c r="D124" s="15" t="s">
        <v>66</v>
      </c>
      <c r="E124" s="10" t="s">
        <v>20</v>
      </c>
      <c r="G124" s="12">
        <f>$G$140*K124</f>
        <v>22781.024057041766</v>
      </c>
      <c r="H124" s="12">
        <f>$H$140*K124</f>
        <v>938.88063658315536</v>
      </c>
      <c r="I124" s="12">
        <f>$I$140*K124</f>
        <v>71151.095306375079</v>
      </c>
      <c r="J124" s="11">
        <v>0</v>
      </c>
      <c r="K124" s="11">
        <v>94871</v>
      </c>
      <c r="L124" s="5"/>
      <c r="M124" s="12">
        <f>G124</f>
        <v>22781.024057041766</v>
      </c>
      <c r="N124" s="12">
        <f>H124</f>
        <v>938.88063658315536</v>
      </c>
      <c r="O124" s="12">
        <f>I124</f>
        <v>71151.095306375079</v>
      </c>
      <c r="P124" s="11">
        <f>J124</f>
        <v>0</v>
      </c>
      <c r="Q124" s="12">
        <f>K124</f>
        <v>94871</v>
      </c>
      <c r="R124" s="12"/>
      <c r="S124" s="12"/>
      <c r="T124" s="12"/>
      <c r="U124" s="12"/>
      <c r="V124" s="12"/>
    </row>
    <row r="125" spans="2:23" ht="13.8" thickBot="1" x14ac:dyDescent="0.3">
      <c r="D125" s="15"/>
      <c r="J125" s="15"/>
      <c r="L125" s="5"/>
      <c r="W125" s="38"/>
    </row>
    <row r="126" spans="2:23" ht="13.8" thickBot="1" x14ac:dyDescent="0.3">
      <c r="B126" s="2" t="s">
        <v>67</v>
      </c>
      <c r="E126" s="10" t="s">
        <v>20</v>
      </c>
      <c r="G126" s="31">
        <f>G61+G64+G67+G70+G73+G76+G79+G82+G85+G88+G91+G94+G97+G100+G103+G106+G109+G112+G115+G118+G121+G124</f>
        <v>1207936</v>
      </c>
      <c r="H126" s="31">
        <f>H61+H64+H67+H70+H73+H76+H79+H82+H85+H88+H91+H94+H97+H100+H103+H106+H109+H112+H115+H118+H121+H124</f>
        <v>49782.999999999993</v>
      </c>
      <c r="I126" s="31">
        <f>I61+I64+I67+I70+I73+I76+I79+I82+I85+I88+I91+I94+I97+I100+I103+I106+I109+I112+I115+I118+I121+I124</f>
        <v>4523286</v>
      </c>
      <c r="J126" s="31">
        <f>J61+J64+J67+J70+J73+J76+J79+J82+J85+J88+J91+J94+J97+J100+J103+J106+J109+J112+J115+J118+J121+J124</f>
        <v>0</v>
      </c>
      <c r="K126" s="39">
        <f>SUM(G126:J126)</f>
        <v>5781005</v>
      </c>
      <c r="L126" s="32"/>
      <c r="M126" s="31">
        <f>M61+M64+M67+M70+M73+M76+M79+M82+M85+M88+M91+M94+M97+M100+M103+M106+M109+M112+M115+M118+M121+M124</f>
        <v>1180010.6537498371</v>
      </c>
      <c r="N126" s="31">
        <f>N61+N64+N67+N70+N73+N76+N79+N82+N85+N88+N91+N94+N97+N100+N103+N106+N109+N112+N115+N118+N121+N124</f>
        <v>48632.104992009605</v>
      </c>
      <c r="O126" s="31">
        <f>O61+O64+O67+O70+O73+O76+O79+O82+O85+O88+O91+O94+O97+O100+O103+O106+O109+O112+O115+O118+O121+O124</f>
        <v>4436067.8412581533</v>
      </c>
      <c r="P126" s="31">
        <f>P61+P64+P67+P70+P73+P76+P79+P82+P85+P88+P91+P94+P97+P100+P103+P106+P109+P112+P115+P118+P121+P124</f>
        <v>0</v>
      </c>
      <c r="Q126" s="31">
        <f>SUM(M126:P126)</f>
        <v>5664710.5999999996</v>
      </c>
      <c r="R126" s="86"/>
      <c r="S126" s="86"/>
      <c r="T126" s="86"/>
      <c r="U126" s="86"/>
      <c r="V126" s="86"/>
      <c r="W126" s="40"/>
    </row>
    <row r="127" spans="2:23" x14ac:dyDescent="0.25">
      <c r="B127" s="2"/>
      <c r="E127" s="10" t="s">
        <v>21</v>
      </c>
      <c r="G127" s="41">
        <f>G62+G65+G68+G71+G74+G77+G80+G83+G86+G89+G92+G95+G98+G101+G104+G107+G110+G113+G116+G119+G122</f>
        <v>0</v>
      </c>
      <c r="H127" s="41">
        <f>H62+H65+H68+H71+H74+H77+H80+H83+H86+H89+H92+H95+H98+H101+H104+H107+H110+H113+H116+H119+H122</f>
        <v>0</v>
      </c>
      <c r="I127" s="41">
        <f>I62+I65+I68+I71+I74+I77+I80+I83+I86+I89+I92+I95+I98+I101+I104+I107+I110+I113+I116+I119+I122</f>
        <v>0</v>
      </c>
      <c r="J127" s="41">
        <f>J62+J65+J68+J71+J74+J77+J80+J83+J86+J89+J92+J95+J98+J101+J104+J107+J110+J113+J116+J119+J122</f>
        <v>0</v>
      </c>
      <c r="K127" s="42">
        <f>SUM(G127:J127)</f>
        <v>0</v>
      </c>
      <c r="L127" s="43"/>
      <c r="M127" s="41">
        <f>M62+M65+M68+M71+M74+M77+M80+M83+M86+M89+M92+M95+M98+M101+M104+M107+M110+M113+M116+M119+M122</f>
        <v>0</v>
      </c>
      <c r="N127" s="41">
        <f>N62+N65+N68+N71+N74+N77+N80+N83+N86+N89+N92+N95+N98+N101+N104+N107+N110+N113+N116+N119+N122</f>
        <v>0</v>
      </c>
      <c r="O127" s="41">
        <f>O62+O65+O68+O71+O74+O77+O80+O83+O86+O89+O92+O95+O98+O101+O104+O107+O110+O113+O116+O119+O122</f>
        <v>0</v>
      </c>
      <c r="P127" s="41">
        <f>P62+P65+P68+P71+P74+P77+P80+P83+P86+P89+P92+P95+P98+P101+P104+P107+P110+P113+P116+P119+P122</f>
        <v>0</v>
      </c>
      <c r="Q127" s="44">
        <f>SUM(M127:P127)</f>
        <v>0</v>
      </c>
      <c r="R127" s="42"/>
      <c r="S127" s="42"/>
      <c r="T127" s="42"/>
      <c r="U127" s="42"/>
      <c r="V127" s="42"/>
    </row>
    <row r="128" spans="2:23" x14ac:dyDescent="0.25">
      <c r="K128" s="12"/>
      <c r="L128" s="5"/>
      <c r="W128" s="12"/>
    </row>
    <row r="129" spans="2:22" ht="13.8" thickBot="1" x14ac:dyDescent="0.3">
      <c r="L129" s="5"/>
    </row>
    <row r="130" spans="2:22" ht="14.4" thickBot="1" x14ac:dyDescent="0.3">
      <c r="B130" s="6" t="s">
        <v>68</v>
      </c>
      <c r="G130" s="45">
        <f t="shared" ref="G130:Q130" si="79">G57+G126</f>
        <v>1744360</v>
      </c>
      <c r="H130" s="45">
        <f t="shared" si="79"/>
        <v>78509</v>
      </c>
      <c r="I130" s="45">
        <f t="shared" si="79"/>
        <v>5806303</v>
      </c>
      <c r="J130" s="45">
        <f t="shared" si="79"/>
        <v>0</v>
      </c>
      <c r="K130" s="45">
        <f t="shared" si="79"/>
        <v>7629172</v>
      </c>
      <c r="L130" s="46">
        <f t="shared" si="79"/>
        <v>0</v>
      </c>
      <c r="M130" s="45">
        <f t="shared" si="79"/>
        <v>1682454.8252049764</v>
      </c>
      <c r="N130" s="45">
        <f t="shared" si="79"/>
        <v>73197.377295799874</v>
      </c>
      <c r="O130" s="79">
        <f t="shared" si="79"/>
        <v>5261671.6553615537</v>
      </c>
      <c r="P130" s="45">
        <f t="shared" si="79"/>
        <v>0</v>
      </c>
      <c r="Q130" s="45">
        <f t="shared" si="79"/>
        <v>7017323.8578623291</v>
      </c>
      <c r="R130" s="86"/>
      <c r="S130" s="86"/>
      <c r="T130" s="86"/>
      <c r="U130" s="86"/>
      <c r="V130" s="86"/>
    </row>
    <row r="131" spans="2:22" ht="13.8" thickTop="1" x14ac:dyDescent="0.25">
      <c r="I131" s="77"/>
      <c r="L131" s="5"/>
      <c r="O131" s="80"/>
    </row>
    <row r="132" spans="2:22" x14ac:dyDescent="0.25">
      <c r="I132" s="77"/>
      <c r="L132" s="5"/>
      <c r="O132" s="80"/>
    </row>
    <row r="133" spans="2:22" x14ac:dyDescent="0.25">
      <c r="I133" s="77"/>
      <c r="L133" s="5"/>
      <c r="O133" s="80"/>
    </row>
    <row r="134" spans="2:22" x14ac:dyDescent="0.25">
      <c r="I134" s="77"/>
      <c r="L134" s="5"/>
      <c r="O134" s="80"/>
    </row>
    <row r="135" spans="2:22" x14ac:dyDescent="0.25">
      <c r="I135" s="77"/>
      <c r="L135" s="5"/>
      <c r="O135" s="80"/>
    </row>
    <row r="136" spans="2:22" x14ac:dyDescent="0.25">
      <c r="I136" s="77"/>
      <c r="L136" s="5"/>
      <c r="O136" s="80"/>
    </row>
    <row r="137" spans="2:22" x14ac:dyDescent="0.25">
      <c r="I137" s="77"/>
      <c r="L137" s="5"/>
      <c r="O137" s="80"/>
    </row>
    <row r="138" spans="2:22" x14ac:dyDescent="0.25">
      <c r="I138" s="77"/>
      <c r="L138" s="5"/>
      <c r="O138" s="80"/>
    </row>
    <row r="139" spans="2:22" ht="13.8" thickBot="1" x14ac:dyDescent="0.3">
      <c r="L139" s="5"/>
    </row>
    <row r="140" spans="2:22" x14ac:dyDescent="0.25">
      <c r="E140" s="50"/>
      <c r="F140" s="51"/>
      <c r="G140" s="52">
        <f>G152</f>
        <v>0.24012631949744145</v>
      </c>
      <c r="H140" s="52">
        <f>H152</f>
        <v>9.8963923283527672E-3</v>
      </c>
      <c r="I140" s="52">
        <f>I152</f>
        <v>0.74997728817420573</v>
      </c>
      <c r="J140" s="51"/>
      <c r="K140" s="53"/>
      <c r="L140" s="5"/>
      <c r="M140" s="47"/>
      <c r="N140" s="47"/>
      <c r="O140" s="47"/>
    </row>
    <row r="141" spans="2:22" x14ac:dyDescent="0.25">
      <c r="E141" s="54"/>
      <c r="F141" s="38"/>
      <c r="G141" s="38"/>
      <c r="H141" s="38"/>
      <c r="I141" s="38"/>
      <c r="J141" s="38"/>
      <c r="K141" s="55"/>
      <c r="L141" s="5"/>
      <c r="M141" s="48"/>
    </row>
    <row r="142" spans="2:22" x14ac:dyDescent="0.25">
      <c r="E142" s="54" t="s">
        <v>69</v>
      </c>
      <c r="F142" s="38"/>
      <c r="G142" s="38"/>
      <c r="H142" s="38"/>
      <c r="I142" s="38"/>
      <c r="J142" s="38"/>
      <c r="K142" s="56">
        <v>5781005</v>
      </c>
      <c r="L142" s="5"/>
      <c r="M142" s="49"/>
    </row>
    <row r="143" spans="2:22" x14ac:dyDescent="0.25">
      <c r="E143" s="54" t="s">
        <v>90</v>
      </c>
      <c r="F143" s="38"/>
      <c r="G143" s="38"/>
      <c r="H143" s="38"/>
      <c r="I143" s="38"/>
      <c r="J143" s="38"/>
      <c r="K143" s="56">
        <v>0</v>
      </c>
      <c r="L143" s="5"/>
      <c r="M143" s="49"/>
    </row>
    <row r="144" spans="2:22" x14ac:dyDescent="0.25">
      <c r="E144" s="54"/>
      <c r="F144" s="38"/>
      <c r="G144" s="38"/>
      <c r="H144" s="38"/>
      <c r="I144" s="38"/>
      <c r="J144" s="38"/>
      <c r="K144" s="56"/>
      <c r="L144" s="5"/>
      <c r="M144" s="49"/>
    </row>
    <row r="145" spans="2:13" x14ac:dyDescent="0.25">
      <c r="E145" s="54" t="s">
        <v>70</v>
      </c>
      <c r="F145" s="38"/>
      <c r="G145" s="38"/>
      <c r="H145" s="38"/>
      <c r="I145" s="38"/>
      <c r="J145" s="38"/>
      <c r="K145" s="72">
        <f>SUM(K142:K144)</f>
        <v>5781005</v>
      </c>
      <c r="L145" s="5"/>
      <c r="M145" s="49"/>
    </row>
    <row r="146" spans="2:13" x14ac:dyDescent="0.25">
      <c r="E146" s="54" t="s">
        <v>71</v>
      </c>
      <c r="F146" s="38"/>
      <c r="G146" s="38"/>
      <c r="H146" s="38"/>
      <c r="I146" s="38"/>
      <c r="J146" s="38"/>
      <c r="K146" s="56">
        <f>-K61</f>
        <v>-750586</v>
      </c>
      <c r="L146" s="5"/>
      <c r="M146" s="49"/>
    </row>
    <row r="147" spans="2:13" ht="13.8" thickBot="1" x14ac:dyDescent="0.3">
      <c r="E147" s="54" t="s">
        <v>72</v>
      </c>
      <c r="F147" s="38"/>
      <c r="G147" s="38"/>
      <c r="H147" s="38"/>
      <c r="I147" s="38"/>
      <c r="J147" s="38"/>
      <c r="K147" s="73">
        <f>SUM(K145:K146)</f>
        <v>5030419</v>
      </c>
      <c r="L147" s="5"/>
      <c r="M147" s="49"/>
    </row>
    <row r="148" spans="2:13" ht="13.8" thickTop="1" x14ac:dyDescent="0.25">
      <c r="E148" s="54"/>
      <c r="F148" s="38"/>
      <c r="G148" s="38"/>
      <c r="H148" s="38"/>
      <c r="I148" s="38"/>
      <c r="J148" s="94" t="s">
        <v>95</v>
      </c>
      <c r="K148" s="56"/>
      <c r="L148" s="5"/>
      <c r="M148" s="49"/>
    </row>
    <row r="149" spans="2:13" ht="13.8" thickBot="1" x14ac:dyDescent="0.3">
      <c r="E149" s="57" t="s">
        <v>73</v>
      </c>
      <c r="F149" s="38"/>
      <c r="G149" s="58">
        <v>1207935</v>
      </c>
      <c r="H149" s="59">
        <v>49783</v>
      </c>
      <c r="I149" s="59">
        <v>4523286</v>
      </c>
      <c r="J149" s="59">
        <v>0</v>
      </c>
      <c r="K149" s="56"/>
      <c r="L149" s="5"/>
      <c r="M149" s="49"/>
    </row>
    <row r="150" spans="2:13" ht="13.8" thickTop="1" x14ac:dyDescent="0.25">
      <c r="E150" s="54" t="s">
        <v>74</v>
      </c>
      <c r="F150" s="38"/>
      <c r="G150" s="60"/>
      <c r="H150" s="61"/>
      <c r="I150" s="61">
        <f>-K61</f>
        <v>-750586</v>
      </c>
      <c r="K150" s="55"/>
      <c r="L150" s="5"/>
    </row>
    <row r="151" spans="2:13" ht="13.8" thickBot="1" x14ac:dyDescent="0.3">
      <c r="E151" s="54" t="s">
        <v>75</v>
      </c>
      <c r="F151" s="38"/>
      <c r="G151" s="63"/>
      <c r="H151" s="64">
        <f>SUM(H149:H150)</f>
        <v>49783</v>
      </c>
      <c r="I151" s="64">
        <f>SUM(I149:I150)</f>
        <v>3772700</v>
      </c>
      <c r="J151" s="65"/>
      <c r="K151" s="56"/>
      <c r="L151" s="5"/>
    </row>
    <row r="152" spans="2:13" ht="14.4" thickTop="1" thickBot="1" x14ac:dyDescent="0.3">
      <c r="E152" s="54" t="s">
        <v>76</v>
      </c>
      <c r="F152" s="38"/>
      <c r="G152" s="66">
        <f>1-(H152+I152)</f>
        <v>0.24012631949744145</v>
      </c>
      <c r="H152" s="66">
        <f>H$151/$K$147</f>
        <v>9.8963923283527672E-3</v>
      </c>
      <c r="I152" s="66">
        <f>I$151/$K$147</f>
        <v>0.74997728817420573</v>
      </c>
      <c r="J152" s="49"/>
      <c r="K152" s="56"/>
      <c r="L152" s="5"/>
    </row>
    <row r="153" spans="2:13" ht="14.4" thickTop="1" thickBot="1" x14ac:dyDescent="0.3">
      <c r="E153" s="67"/>
      <c r="F153" s="68"/>
      <c r="G153" s="69" t="s">
        <v>77</v>
      </c>
      <c r="H153" s="69" t="s">
        <v>78</v>
      </c>
      <c r="I153" s="69" t="s">
        <v>79</v>
      </c>
      <c r="J153" s="68"/>
      <c r="K153" s="70"/>
      <c r="L153" s="5"/>
    </row>
    <row r="154" spans="2:13" x14ac:dyDescent="0.25">
      <c r="J154" s="51"/>
      <c r="K154" s="74"/>
      <c r="L154" s="15"/>
    </row>
    <row r="155" spans="2:13" x14ac:dyDescent="0.25">
      <c r="J155" s="38"/>
      <c r="K155" s="63"/>
      <c r="L155" s="15"/>
    </row>
    <row r="156" spans="2:13" x14ac:dyDescent="0.25">
      <c r="B156" s="2" t="s">
        <v>83</v>
      </c>
      <c r="C156" s="2"/>
      <c r="D156" s="2" t="s">
        <v>104</v>
      </c>
      <c r="E156" s="78"/>
      <c r="F156" s="71"/>
      <c r="G156" s="49">
        <v>354362</v>
      </c>
      <c r="H156" s="49"/>
      <c r="I156" s="95">
        <v>5376859</v>
      </c>
      <c r="J156" s="89"/>
      <c r="K156" s="90"/>
      <c r="L156" s="15"/>
    </row>
    <row r="157" spans="2:13" x14ac:dyDescent="0.25">
      <c r="B157" s="2" t="s">
        <v>84</v>
      </c>
      <c r="C157" s="2"/>
      <c r="D157" s="2"/>
      <c r="E157" s="71"/>
      <c r="F157" s="71"/>
      <c r="G157" s="71">
        <v>853573</v>
      </c>
      <c r="H157" s="71"/>
      <c r="I157" s="95">
        <v>-853753</v>
      </c>
      <c r="J157" s="96" t="s">
        <v>123</v>
      </c>
      <c r="K157" s="89"/>
      <c r="M157" s="62"/>
    </row>
    <row r="158" spans="2:13" x14ac:dyDescent="0.25">
      <c r="B158" s="2" t="s">
        <v>80</v>
      </c>
      <c r="C158" s="2"/>
      <c r="D158" s="139" t="s">
        <v>105</v>
      </c>
      <c r="E158" s="71"/>
      <c r="F158" s="71"/>
      <c r="G158" s="49">
        <f>SUM(G156:G157)</f>
        <v>1207935</v>
      </c>
      <c r="H158" s="49"/>
      <c r="I158" s="49">
        <f>SUM(I156:I157)</f>
        <v>4523106</v>
      </c>
      <c r="J158" s="96" t="s">
        <v>122</v>
      </c>
      <c r="K158" s="38"/>
    </row>
    <row r="159" spans="2:13" x14ac:dyDescent="0.25">
      <c r="B159" s="2" t="s">
        <v>82</v>
      </c>
      <c r="C159" s="2"/>
      <c r="D159" s="139"/>
      <c r="E159" s="71"/>
      <c r="F159" s="71"/>
      <c r="G159" s="75"/>
      <c r="H159" s="75"/>
      <c r="I159" s="75"/>
    </row>
    <row r="160" spans="2:13" x14ac:dyDescent="0.25">
      <c r="B160" s="2" t="s">
        <v>81</v>
      </c>
      <c r="C160" s="2"/>
      <c r="D160" s="139"/>
      <c r="E160" s="71"/>
      <c r="F160" s="71"/>
      <c r="G160" s="49"/>
      <c r="H160" s="49"/>
      <c r="I160" s="49"/>
    </row>
    <row r="161" spans="2:10" x14ac:dyDescent="0.25">
      <c r="E161" s="71"/>
      <c r="F161" s="71"/>
      <c r="G161" s="75"/>
      <c r="H161" s="75"/>
      <c r="I161" s="75"/>
    </row>
    <row r="162" spans="2:10" x14ac:dyDescent="0.25">
      <c r="B162" s="2" t="s">
        <v>91</v>
      </c>
      <c r="D162" s="2" t="s">
        <v>103</v>
      </c>
      <c r="E162" s="71"/>
      <c r="F162" s="71"/>
      <c r="G162" s="76"/>
      <c r="H162" s="76"/>
      <c r="I162" s="76"/>
      <c r="J162" s="38"/>
    </row>
    <row r="163" spans="2:10" x14ac:dyDescent="0.25">
      <c r="D163" s="92" t="s">
        <v>102</v>
      </c>
      <c r="G163" s="63"/>
      <c r="H163" s="63"/>
      <c r="I163" s="63"/>
      <c r="J163" s="38"/>
    </row>
    <row r="164" spans="2:10" x14ac:dyDescent="0.25">
      <c r="G164" s="38"/>
      <c r="H164" s="38"/>
      <c r="I164" s="38"/>
      <c r="J164" s="38"/>
    </row>
  </sheetData>
  <mergeCells count="3">
    <mergeCell ref="G3:K3"/>
    <mergeCell ref="M3:Q3"/>
    <mergeCell ref="D158:D160"/>
  </mergeCells>
  <printOptions horizontalCentered="1"/>
  <pageMargins left="0.25" right="0.25" top="0.5" bottom="0.25" header="0.25" footer="0"/>
  <pageSetup scale="58" fitToHeight="0" orientation="landscape" copies="2" r:id="rId1"/>
  <headerFooter alignWithMargins="0"/>
  <rowBreaks count="1" manualBreakCount="1">
    <brk id="58"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workbookViewId="0">
      <selection activeCell="B38" sqref="B38"/>
    </sheetView>
  </sheetViews>
  <sheetFormatPr defaultColWidth="9.109375" defaultRowHeight="13.2" x14ac:dyDescent="0.25"/>
  <cols>
    <col min="1" max="1" width="9.109375" style="101"/>
    <col min="2" max="2" width="31.5546875" style="101" bestFit="1" customWidth="1"/>
    <col min="3" max="3" width="7.109375" style="101" customWidth="1"/>
    <col min="4" max="4" width="31.5546875" style="101" customWidth="1"/>
    <col min="5" max="5" width="7.109375" style="101" customWidth="1"/>
    <col min="6" max="6" width="26.33203125" style="101" customWidth="1"/>
    <col min="7" max="7" width="9.109375" style="101"/>
    <col min="8" max="8" width="16.109375" style="101" customWidth="1"/>
    <col min="9" max="16384" width="9.109375" style="101"/>
  </cols>
  <sheetData>
    <row r="1" spans="2:14" x14ac:dyDescent="0.25">
      <c r="B1" s="135" t="s">
        <v>177</v>
      </c>
      <c r="C1" s="135"/>
      <c r="D1" s="135"/>
      <c r="E1" s="135"/>
      <c r="F1" s="135"/>
      <c r="G1" s="135"/>
      <c r="H1" s="135"/>
    </row>
    <row r="2" spans="2:14" x14ac:dyDescent="0.25">
      <c r="B2" s="135" t="s">
        <v>178</v>
      </c>
      <c r="C2" s="135"/>
      <c r="D2" s="135"/>
      <c r="E2" s="135"/>
      <c r="F2" s="135"/>
      <c r="G2" s="135"/>
      <c r="H2" s="135"/>
    </row>
    <row r="3" spans="2:14" hidden="1" x14ac:dyDescent="0.25">
      <c r="B3" s="135" t="s">
        <v>179</v>
      </c>
      <c r="C3" s="135"/>
      <c r="D3" s="135"/>
      <c r="E3" s="135"/>
      <c r="F3" s="135"/>
      <c r="G3" s="135"/>
      <c r="H3" s="135"/>
    </row>
    <row r="4" spans="2:14" x14ac:dyDescent="0.25">
      <c r="B4" s="135" t="s">
        <v>180</v>
      </c>
      <c r="C4" s="135"/>
      <c r="D4" s="135"/>
      <c r="E4" s="135"/>
      <c r="F4" s="135"/>
      <c r="G4" s="135"/>
      <c r="H4" s="135"/>
    </row>
    <row r="5" spans="2:14" x14ac:dyDescent="0.25">
      <c r="B5" s="102"/>
      <c r="C5" s="102"/>
      <c r="D5" s="102"/>
      <c r="E5" s="102"/>
      <c r="F5" s="102"/>
      <c r="G5" s="102"/>
      <c r="H5" s="102"/>
    </row>
    <row r="7" spans="2:14" x14ac:dyDescent="0.25">
      <c r="H7" s="102" t="s">
        <v>175</v>
      </c>
    </row>
    <row r="8" spans="2:14" x14ac:dyDescent="0.25">
      <c r="B8" s="103" t="s">
        <v>181</v>
      </c>
      <c r="C8" s="103"/>
      <c r="D8" s="103" t="s">
        <v>182</v>
      </c>
      <c r="E8" s="103"/>
      <c r="F8" s="103" t="s">
        <v>183</v>
      </c>
      <c r="H8" s="103" t="s">
        <v>79</v>
      </c>
    </row>
    <row r="11" spans="2:14" x14ac:dyDescent="0.25">
      <c r="B11" s="104" t="s">
        <v>184</v>
      </c>
      <c r="C11" s="104"/>
      <c r="D11" s="105">
        <v>43841</v>
      </c>
      <c r="E11" s="104"/>
      <c r="F11" s="104" t="s">
        <v>199</v>
      </c>
      <c r="H11" s="106">
        <f>'2020 Wind Storm #1'!O93</f>
        <v>501248.07188077748</v>
      </c>
    </row>
    <row r="13" spans="2:14" x14ac:dyDescent="0.25">
      <c r="B13" s="104" t="s">
        <v>185</v>
      </c>
      <c r="C13" s="104"/>
      <c r="D13" s="105">
        <v>43520</v>
      </c>
      <c r="E13" s="104"/>
      <c r="F13" s="104" t="s">
        <v>200</v>
      </c>
      <c r="H13" s="106">
        <f>'2019 Wind Storm #1'!O93</f>
        <v>799603.11709926371</v>
      </c>
    </row>
    <row r="15" spans="2:14" x14ac:dyDescent="0.25">
      <c r="B15" s="104" t="s">
        <v>186</v>
      </c>
      <c r="D15" s="107">
        <v>43301</v>
      </c>
      <c r="F15" s="104" t="s">
        <v>201</v>
      </c>
      <c r="H15" s="106">
        <f>'2018 Wind Storm #5'!O93</f>
        <v>407424.5981392028</v>
      </c>
      <c r="N15" s="108"/>
    </row>
    <row r="17" spans="2:8" x14ac:dyDescent="0.25">
      <c r="B17" s="104" t="s">
        <v>187</v>
      </c>
      <c r="C17" s="104"/>
      <c r="D17" s="109">
        <v>43194</v>
      </c>
      <c r="E17" s="104"/>
      <c r="F17" s="104" t="s">
        <v>202</v>
      </c>
      <c r="H17" s="106">
        <f>'2018 Wind Storm #3'!O93</f>
        <v>588594.57913970214</v>
      </c>
    </row>
    <row r="19" spans="2:8" x14ac:dyDescent="0.25">
      <c r="B19" s="104" t="s">
        <v>188</v>
      </c>
      <c r="C19" s="104"/>
      <c r="D19" s="105">
        <v>43171</v>
      </c>
      <c r="E19" s="104"/>
      <c r="F19" s="104" t="s">
        <v>203</v>
      </c>
      <c r="H19" s="106">
        <f>'2018 Snow Storm #1'!O93</f>
        <v>226952.51530417675</v>
      </c>
    </row>
    <row r="21" spans="2:8" x14ac:dyDescent="0.25">
      <c r="B21" s="104" t="s">
        <v>189</v>
      </c>
      <c r="C21" s="104"/>
      <c r="D21" s="105">
        <v>42909</v>
      </c>
      <c r="E21" s="104"/>
      <c r="F21" s="104" t="s">
        <v>204</v>
      </c>
      <c r="H21" s="110">
        <f>'2017 Thunderstorm #3'!O93</f>
        <v>297011.15281190735</v>
      </c>
    </row>
    <row r="23" spans="2:8" x14ac:dyDescent="0.25">
      <c r="B23" s="104" t="s">
        <v>190</v>
      </c>
      <c r="C23" s="104"/>
      <c r="D23" s="109">
        <v>42856</v>
      </c>
      <c r="E23" s="104"/>
      <c r="F23" s="104" t="s">
        <v>205</v>
      </c>
      <c r="H23" s="110">
        <f>'2017 Wind Storm #2'!O93</f>
        <v>182710.5309933965</v>
      </c>
    </row>
    <row r="25" spans="2:8" x14ac:dyDescent="0.25">
      <c r="H25" s="106"/>
    </row>
    <row r="31" spans="2:8" x14ac:dyDescent="0.25">
      <c r="B31" s="104" t="s">
        <v>191</v>
      </c>
      <c r="C31" s="104"/>
      <c r="D31" s="104"/>
      <c r="E31" s="104"/>
      <c r="H31" s="106">
        <f>SUM(H11:H23)</f>
        <v>3003544.565368426</v>
      </c>
    </row>
    <row r="33" spans="2:8" hidden="1" x14ac:dyDescent="0.25">
      <c r="B33" s="101" t="s">
        <v>192</v>
      </c>
      <c r="H33" s="111">
        <v>2116867</v>
      </c>
    </row>
    <row r="34" spans="2:8" hidden="1" x14ac:dyDescent="0.25"/>
    <row r="35" spans="2:8" ht="13.8" hidden="1" thickBot="1" x14ac:dyDescent="0.3">
      <c r="B35" s="101" t="s">
        <v>193</v>
      </c>
      <c r="H35" s="112">
        <f>+H31-H33</f>
        <v>886677.56536842603</v>
      </c>
    </row>
    <row r="36" spans="2:8" ht="13.8" thickBot="1" x14ac:dyDescent="0.3"/>
    <row r="37" spans="2:8" ht="24" customHeight="1" x14ac:dyDescent="0.25">
      <c r="F37" s="136" t="s">
        <v>194</v>
      </c>
      <c r="G37" s="137"/>
      <c r="H37" s="138"/>
    </row>
    <row r="38" spans="2:8" ht="15" x14ac:dyDescent="0.25">
      <c r="F38" s="113"/>
      <c r="G38" s="114"/>
      <c r="H38" s="115"/>
    </row>
    <row r="39" spans="2:8" x14ac:dyDescent="0.25">
      <c r="F39" s="116"/>
      <c r="G39" s="117"/>
      <c r="H39" s="118" t="s">
        <v>195</v>
      </c>
    </row>
    <row r="40" spans="2:8" x14ac:dyDescent="0.25">
      <c r="F40" s="116"/>
      <c r="G40" s="117"/>
      <c r="H40" s="119"/>
    </row>
    <row r="41" spans="2:8" x14ac:dyDescent="0.25">
      <c r="F41" s="120" t="s">
        <v>196</v>
      </c>
      <c r="G41" s="117"/>
      <c r="H41" s="121">
        <f>H11</f>
        <v>501248.07188077748</v>
      </c>
    </row>
    <row r="42" spans="2:8" x14ac:dyDescent="0.25">
      <c r="F42" s="116"/>
      <c r="G42" s="117"/>
      <c r="H42" s="119"/>
    </row>
    <row r="43" spans="2:8" x14ac:dyDescent="0.25">
      <c r="F43" s="120" t="s">
        <v>197</v>
      </c>
      <c r="G43" s="117"/>
      <c r="H43" s="121">
        <f>H13+H17+H15</f>
        <v>1795622.2943781684</v>
      </c>
    </row>
    <row r="44" spans="2:8" x14ac:dyDescent="0.25">
      <c r="F44" s="116"/>
      <c r="G44" s="117"/>
      <c r="H44" s="119"/>
    </row>
    <row r="45" spans="2:8" x14ac:dyDescent="0.25">
      <c r="F45" s="120" t="s">
        <v>198</v>
      </c>
      <c r="G45" s="117"/>
      <c r="H45" s="121">
        <f>H19+H21+H23</f>
        <v>706674.1991094806</v>
      </c>
    </row>
    <row r="46" spans="2:8" x14ac:dyDescent="0.25">
      <c r="F46" s="116"/>
      <c r="G46" s="117"/>
      <c r="H46" s="119"/>
    </row>
    <row r="47" spans="2:8" x14ac:dyDescent="0.25">
      <c r="F47" s="116"/>
      <c r="G47" s="117"/>
      <c r="H47" s="119"/>
    </row>
    <row r="48" spans="2:8" ht="13.8" thickBot="1" x14ac:dyDescent="0.3">
      <c r="F48" s="122"/>
      <c r="G48" s="123"/>
      <c r="H48" s="124">
        <f>SUM(H41:H45)</f>
        <v>3003544.5653684265</v>
      </c>
    </row>
  </sheetData>
  <mergeCells count="5">
    <mergeCell ref="B1:H1"/>
    <mergeCell ref="B2:H2"/>
    <mergeCell ref="B3:H3"/>
    <mergeCell ref="B4:H4"/>
    <mergeCell ref="F37:H37"/>
  </mergeCells>
  <pageMargins left="1" right="1" top="1" bottom="1" header="0.5" footer="0.5"/>
  <pageSetup scale="57"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tabSelected="1" topLeftCell="A76" zoomScaleNormal="100" workbookViewId="0">
      <selection activeCell="D92" sqref="D92"/>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1.3320312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ht="21" thickBot="1" x14ac:dyDescent="0.4">
      <c r="B2" s="1" t="s">
        <v>0</v>
      </c>
      <c r="C2" s="2"/>
      <c r="D2" s="2"/>
      <c r="E2" s="2"/>
      <c r="F2" s="2"/>
      <c r="G2" s="134" t="s">
        <v>159</v>
      </c>
      <c r="H2" s="134"/>
      <c r="I2" s="134"/>
      <c r="J2" s="134"/>
      <c r="K2" s="134"/>
      <c r="L2" s="5"/>
      <c r="M2" s="134" t="s">
        <v>160</v>
      </c>
      <c r="N2" s="134"/>
      <c r="O2" s="134"/>
      <c r="P2" s="134"/>
      <c r="Q2" s="134"/>
      <c r="R2" s="83"/>
      <c r="S2" s="83"/>
      <c r="T2" s="83"/>
      <c r="U2" s="83"/>
      <c r="V2" s="83"/>
    </row>
    <row r="3" spans="2:24" ht="20.399999999999999" x14ac:dyDescent="0.35">
      <c r="B3" s="1" t="s">
        <v>1</v>
      </c>
      <c r="C3" s="2"/>
      <c r="D3" s="2"/>
      <c r="L3" s="5"/>
    </row>
    <row r="4" spans="2:24" x14ac:dyDescent="0.25">
      <c r="B4" s="2" t="s">
        <v>161</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5">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5">
      <c r="D6" s="81"/>
      <c r="E6" s="15"/>
      <c r="G6" s="7"/>
      <c r="H6" s="7" t="s">
        <v>14</v>
      </c>
      <c r="I6" s="7"/>
      <c r="J6" s="7"/>
      <c r="K6" s="7"/>
      <c r="L6" s="5"/>
      <c r="M6" s="7"/>
      <c r="N6" s="7" t="s">
        <v>14</v>
      </c>
      <c r="O6" s="7"/>
      <c r="P6" s="7"/>
      <c r="Q6" s="7"/>
      <c r="R6" s="7"/>
      <c r="S6" s="7"/>
      <c r="T6" s="7"/>
      <c r="U6" s="7"/>
      <c r="V6" s="7"/>
    </row>
    <row r="7" spans="2:24" ht="13.8" thickBot="1" x14ac:dyDescent="0.3">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5">
      <c r="B8" s="2"/>
      <c r="E8" s="15"/>
      <c r="G8" s="9"/>
      <c r="H8" s="9"/>
      <c r="I8" s="9"/>
      <c r="J8" s="9"/>
      <c r="K8" s="9"/>
      <c r="L8" s="5"/>
      <c r="M8" s="9"/>
      <c r="N8" s="9"/>
      <c r="O8" s="9"/>
      <c r="P8" s="9"/>
      <c r="Q8" s="9"/>
      <c r="R8" s="87"/>
      <c r="S8" s="87"/>
      <c r="T8" s="87"/>
      <c r="U8" s="87"/>
      <c r="V8" s="87"/>
    </row>
    <row r="9" spans="2:24" ht="14.4" thickBot="1" x14ac:dyDescent="0.3">
      <c r="B9" s="6" t="s">
        <v>3</v>
      </c>
      <c r="D9" s="3" t="s">
        <v>19</v>
      </c>
      <c r="E9" s="18" t="s">
        <v>20</v>
      </c>
      <c r="G9" s="11">
        <v>6767</v>
      </c>
      <c r="H9" s="11">
        <v>1310</v>
      </c>
      <c r="I9" s="11">
        <v>13752</v>
      </c>
      <c r="J9" s="12">
        <v>0</v>
      </c>
      <c r="K9" s="11">
        <v>21829</v>
      </c>
      <c r="L9" s="5"/>
      <c r="M9" s="11">
        <v>0</v>
      </c>
      <c r="N9" s="11">
        <v>0</v>
      </c>
      <c r="O9" s="11">
        <v>0</v>
      </c>
      <c r="P9" s="12">
        <v>0</v>
      </c>
      <c r="Q9" s="12">
        <f>SUM(M9:P9)</f>
        <v>0</v>
      </c>
      <c r="R9" s="12"/>
      <c r="S9" s="12"/>
      <c r="T9" s="12"/>
      <c r="U9" s="12"/>
      <c r="V9" s="12"/>
    </row>
    <row r="10" spans="2:24" x14ac:dyDescent="0.25">
      <c r="B10" s="2" t="s">
        <v>9</v>
      </c>
      <c r="E10" s="18" t="s">
        <v>21</v>
      </c>
      <c r="G10" s="13">
        <v>151.5</v>
      </c>
      <c r="H10" s="13">
        <v>29.3</v>
      </c>
      <c r="I10" s="13">
        <v>307.8</v>
      </c>
      <c r="J10" s="14">
        <v>0</v>
      </c>
      <c r="K10" s="13">
        <v>488.6</v>
      </c>
      <c r="L10" s="5"/>
      <c r="M10" s="13">
        <f>G10</f>
        <v>151.5</v>
      </c>
      <c r="N10" s="13">
        <f>H10</f>
        <v>29.3</v>
      </c>
      <c r="O10" s="13">
        <f>I10</f>
        <v>307.8</v>
      </c>
      <c r="P10" s="14">
        <v>0</v>
      </c>
      <c r="Q10" s="14">
        <f>SUM(M10:P10)</f>
        <v>488.6</v>
      </c>
      <c r="R10" s="85"/>
      <c r="S10" s="85"/>
      <c r="T10" s="85"/>
      <c r="U10" s="85"/>
      <c r="V10" s="85"/>
    </row>
    <row r="11" spans="2:24" x14ac:dyDescent="0.25">
      <c r="E11" s="18"/>
      <c r="G11" s="15"/>
      <c r="H11" s="15"/>
      <c r="I11" s="15"/>
      <c r="K11" s="15"/>
      <c r="L11" s="5"/>
      <c r="M11" s="15"/>
      <c r="N11" s="15"/>
      <c r="O11" s="15"/>
    </row>
    <row r="12" spans="2:24" ht="13.8" thickBot="1" x14ac:dyDescent="0.3">
      <c r="D12" s="3" t="s">
        <v>22</v>
      </c>
      <c r="E12" s="18" t="s">
        <v>20</v>
      </c>
      <c r="G12" s="11">
        <v>55330</v>
      </c>
      <c r="H12" s="11">
        <v>10709</v>
      </c>
      <c r="I12" s="11">
        <v>112923</v>
      </c>
      <c r="J12" s="12">
        <v>0</v>
      </c>
      <c r="K12" s="11">
        <v>178962</v>
      </c>
      <c r="L12" s="5"/>
      <c r="M12" s="11">
        <f t="shared" ref="M12:P13" si="0">G12</f>
        <v>55330</v>
      </c>
      <c r="N12" s="11">
        <f t="shared" si="0"/>
        <v>10709</v>
      </c>
      <c r="O12" s="11">
        <f t="shared" si="0"/>
        <v>112923</v>
      </c>
      <c r="P12" s="11">
        <f t="shared" si="0"/>
        <v>0</v>
      </c>
      <c r="Q12" s="12">
        <f>SUM(M12:P12)</f>
        <v>178962</v>
      </c>
      <c r="R12" s="12"/>
      <c r="S12" s="12"/>
      <c r="T12" s="12"/>
      <c r="U12" s="12"/>
      <c r="V12" s="12"/>
    </row>
    <row r="13" spans="2:24" ht="13.8" thickBot="1" x14ac:dyDescent="0.3">
      <c r="E13" s="18" t="s">
        <v>21</v>
      </c>
      <c r="G13" s="13">
        <v>901.3</v>
      </c>
      <c r="H13" s="13">
        <v>174.5</v>
      </c>
      <c r="I13" s="13">
        <v>1830.2</v>
      </c>
      <c r="J13" s="14">
        <v>0</v>
      </c>
      <c r="K13" s="13">
        <v>2906</v>
      </c>
      <c r="L13" s="5"/>
      <c r="M13" s="13">
        <f t="shared" si="0"/>
        <v>901.3</v>
      </c>
      <c r="N13" s="13">
        <f t="shared" si="0"/>
        <v>174.5</v>
      </c>
      <c r="O13" s="13">
        <f t="shared" si="0"/>
        <v>1830.2</v>
      </c>
      <c r="P13" s="14">
        <v>0</v>
      </c>
      <c r="Q13" s="14">
        <f>SUM(M13:P13)</f>
        <v>2906</v>
      </c>
      <c r="R13" s="85"/>
      <c r="S13" s="85"/>
      <c r="T13" s="85"/>
      <c r="U13" s="85"/>
      <c r="V13" s="85"/>
    </row>
    <row r="14" spans="2:24" x14ac:dyDescent="0.25">
      <c r="E14" s="15"/>
      <c r="G14" s="15"/>
      <c r="H14" s="15"/>
      <c r="I14" s="15"/>
      <c r="K14" s="15"/>
      <c r="L14" s="5"/>
      <c r="M14" s="15"/>
      <c r="N14" s="15"/>
      <c r="O14" s="15"/>
      <c r="X14" s="16" t="s">
        <v>86</v>
      </c>
    </row>
    <row r="15" spans="2:24" x14ac:dyDescent="0.25">
      <c r="D15" s="3" t="s">
        <v>23</v>
      </c>
      <c r="E15" s="18" t="s">
        <v>24</v>
      </c>
      <c r="G15" s="11">
        <v>4172.9819893573476</v>
      </c>
      <c r="H15" s="11">
        <v>807.9496520671305</v>
      </c>
      <c r="I15" s="11">
        <v>3277.0683585755219</v>
      </c>
      <c r="J15" s="12"/>
      <c r="K15" s="11">
        <v>8258</v>
      </c>
      <c r="L15" s="5"/>
      <c r="M15" s="11">
        <v>0</v>
      </c>
      <c r="N15" s="11">
        <v>0</v>
      </c>
      <c r="O15" s="11">
        <v>0</v>
      </c>
      <c r="P15" s="12">
        <v>0</v>
      </c>
      <c r="Q15" s="12">
        <f t="shared" ref="Q15:Q20" si="1">SUM(M15:P15)</f>
        <v>0</v>
      </c>
      <c r="R15" s="12"/>
      <c r="S15" s="12"/>
      <c r="T15" s="12"/>
      <c r="U15" s="12"/>
      <c r="V15" s="12"/>
      <c r="X15" s="17"/>
    </row>
    <row r="16" spans="2:24" x14ac:dyDescent="0.25">
      <c r="D16" s="3" t="s">
        <v>25</v>
      </c>
      <c r="E16" s="18" t="s">
        <v>26</v>
      </c>
      <c r="G16" s="11">
        <v>10181.61837577426</v>
      </c>
      <c r="H16" s="11">
        <v>1970.8103922918099</v>
      </c>
      <c r="I16" s="11">
        <v>7979.57123193393</v>
      </c>
      <c r="J16" s="12"/>
      <c r="K16" s="11">
        <v>20132</v>
      </c>
      <c r="L16" s="5"/>
      <c r="M16" s="11">
        <f>G16</f>
        <v>10181.61837577426</v>
      </c>
      <c r="N16" s="11">
        <f>H16</f>
        <v>1970.8103922918099</v>
      </c>
      <c r="O16" s="11">
        <f>I16</f>
        <v>7979.57123193393</v>
      </c>
      <c r="P16" s="11">
        <f>J16</f>
        <v>0</v>
      </c>
      <c r="Q16" s="12">
        <f t="shared" si="1"/>
        <v>20132</v>
      </c>
      <c r="R16" s="12"/>
      <c r="S16" s="12"/>
      <c r="T16" s="12"/>
      <c r="U16" s="12"/>
      <c r="V16" s="12"/>
      <c r="X16" s="17" t="s">
        <v>87</v>
      </c>
    </row>
    <row r="17" spans="2:24" x14ac:dyDescent="0.25">
      <c r="E17" s="18" t="s">
        <v>27</v>
      </c>
      <c r="G17" s="11">
        <v>2538.0601719197707</v>
      </c>
      <c r="H17" s="11">
        <v>490.73638968481373</v>
      </c>
      <c r="I17" s="11">
        <v>1993.2034383954153</v>
      </c>
      <c r="J17" s="12"/>
      <c r="K17" s="11">
        <v>5022</v>
      </c>
      <c r="L17" s="5"/>
      <c r="M17" s="11">
        <v>0</v>
      </c>
      <c r="N17" s="11">
        <v>0</v>
      </c>
      <c r="O17" s="11">
        <v>0</v>
      </c>
      <c r="P17" s="12">
        <v>0</v>
      </c>
      <c r="Q17" s="12">
        <f t="shared" si="1"/>
        <v>0</v>
      </c>
      <c r="R17" s="12"/>
      <c r="S17" s="12"/>
      <c r="T17" s="12"/>
      <c r="U17" s="12"/>
      <c r="V17" s="12"/>
      <c r="X17" s="19">
        <f>395196+21379</f>
        <v>416575</v>
      </c>
    </row>
    <row r="18" spans="2:24" x14ac:dyDescent="0.25">
      <c r="E18" s="18" t="s">
        <v>28</v>
      </c>
      <c r="G18" s="20">
        <v>14401</v>
      </c>
      <c r="H18" s="11">
        <v>2773</v>
      </c>
      <c r="I18" s="11">
        <v>29294</v>
      </c>
      <c r="J18" s="12">
        <v>0</v>
      </c>
      <c r="K18" s="11">
        <v>46468</v>
      </c>
      <c r="L18" s="5"/>
      <c r="M18" s="11">
        <v>0</v>
      </c>
      <c r="N18" s="11">
        <v>0</v>
      </c>
      <c r="O18" s="11">
        <v>0</v>
      </c>
      <c r="P18" s="12">
        <v>0</v>
      </c>
      <c r="Q18" s="12">
        <f t="shared" si="1"/>
        <v>0</v>
      </c>
      <c r="R18" s="12"/>
      <c r="S18" s="12"/>
      <c r="T18" s="12"/>
      <c r="U18" s="12"/>
      <c r="V18" s="12"/>
      <c r="X18" s="17"/>
    </row>
    <row r="19" spans="2:24" x14ac:dyDescent="0.25">
      <c r="E19" s="18" t="s">
        <v>29</v>
      </c>
      <c r="G19" s="11">
        <v>80774</v>
      </c>
      <c r="H19" s="11">
        <v>12209</v>
      </c>
      <c r="I19" s="11">
        <v>0</v>
      </c>
      <c r="J19" s="12">
        <v>0</v>
      </c>
      <c r="K19" s="11">
        <v>92983</v>
      </c>
      <c r="L19" s="5"/>
      <c r="M19" s="11">
        <f>G19</f>
        <v>80774</v>
      </c>
      <c r="N19" s="11">
        <f>H19</f>
        <v>12209</v>
      </c>
      <c r="O19" s="11">
        <f>I19</f>
        <v>0</v>
      </c>
      <c r="P19" s="11">
        <f>J19</f>
        <v>0</v>
      </c>
      <c r="Q19" s="12">
        <f t="shared" si="1"/>
        <v>92983</v>
      </c>
      <c r="R19" s="12"/>
      <c r="S19" s="12"/>
      <c r="T19" s="12"/>
      <c r="U19" s="12"/>
      <c r="V19" s="12"/>
      <c r="X19" s="17" t="s">
        <v>88</v>
      </c>
    </row>
    <row r="20" spans="2:24" x14ac:dyDescent="0.25">
      <c r="E20" s="18" t="s">
        <v>30</v>
      </c>
      <c r="G20" s="21">
        <v>1360</v>
      </c>
      <c r="H20" s="21">
        <v>241</v>
      </c>
      <c r="I20" s="21">
        <v>2622</v>
      </c>
      <c r="J20" s="22">
        <v>0</v>
      </c>
      <c r="K20" s="21">
        <v>4223</v>
      </c>
      <c r="L20" s="5"/>
      <c r="M20" s="11">
        <v>0</v>
      </c>
      <c r="N20" s="11">
        <v>0</v>
      </c>
      <c r="O20" s="11">
        <v>0</v>
      </c>
      <c r="P20" s="12">
        <v>0</v>
      </c>
      <c r="Q20" s="12">
        <f t="shared" si="1"/>
        <v>0</v>
      </c>
      <c r="R20" s="12"/>
      <c r="S20" s="12"/>
      <c r="T20" s="12"/>
      <c r="U20" s="12"/>
      <c r="V20" s="12"/>
      <c r="X20" s="19">
        <f>31030+1679</f>
        <v>32709</v>
      </c>
    </row>
    <row r="21" spans="2:24" x14ac:dyDescent="0.25">
      <c r="D21" s="2" t="s">
        <v>31</v>
      </c>
      <c r="E21" s="18"/>
      <c r="G21" s="23">
        <f>G9+G12+SUM(G15:G20)</f>
        <v>175524.66053705139</v>
      </c>
      <c r="H21" s="23">
        <f>SUM(H15:H20)+H12+H9</f>
        <v>30511.496434043755</v>
      </c>
      <c r="I21" s="23">
        <f>SUM(I15:I20)+I9+I12</f>
        <v>171840.84302890487</v>
      </c>
      <c r="J21" s="24">
        <f>J9+J12+SUM(J15:J20)</f>
        <v>0</v>
      </c>
      <c r="K21" s="23">
        <f>SUM(G21:J21)</f>
        <v>377877</v>
      </c>
      <c r="L21" s="5"/>
      <c r="M21" s="25">
        <f>M9+M12+SUM(M15:M20)</f>
        <v>146285.61837577424</v>
      </c>
      <c r="N21" s="25">
        <f>N9+N12+SUM(N15:N20)</f>
        <v>24888.810392291809</v>
      </c>
      <c r="O21" s="25">
        <f>O9+O12+SUM(O15:O20)</f>
        <v>120902.57123193394</v>
      </c>
      <c r="P21" s="26">
        <f>P9+P12+SUM(P15:P20)</f>
        <v>0</v>
      </c>
      <c r="Q21" s="26">
        <f>Q9+Q12+SUM(Q15:Q20)</f>
        <v>292077</v>
      </c>
      <c r="R21" s="86"/>
      <c r="S21" s="86"/>
      <c r="T21" s="86"/>
      <c r="U21" s="86"/>
      <c r="V21" s="86"/>
      <c r="X21" s="17"/>
    </row>
    <row r="22" spans="2:24" x14ac:dyDescent="0.25">
      <c r="E22" s="18"/>
      <c r="G22" s="11"/>
      <c r="H22" s="11"/>
      <c r="I22" s="11"/>
      <c r="J22" s="12"/>
      <c r="K22" s="11"/>
      <c r="L22" s="5"/>
      <c r="M22" s="27"/>
      <c r="N22" s="11"/>
      <c r="O22" s="11"/>
      <c r="P22" s="12"/>
      <c r="Q22" s="12"/>
      <c r="R22" s="12"/>
      <c r="S22" s="12"/>
      <c r="T22" s="12"/>
      <c r="U22" s="12"/>
      <c r="V22" s="12"/>
      <c r="X22" s="17" t="s">
        <v>89</v>
      </c>
    </row>
    <row r="23" spans="2:24" ht="13.8" thickBot="1" x14ac:dyDescent="0.3">
      <c r="B23" s="2" t="s">
        <v>32</v>
      </c>
      <c r="E23" s="18" t="s">
        <v>33</v>
      </c>
      <c r="G23" s="21">
        <v>21498</v>
      </c>
      <c r="H23" s="21">
        <v>3816</v>
      </c>
      <c r="I23" s="21">
        <v>43736</v>
      </c>
      <c r="J23" s="22">
        <v>0</v>
      </c>
      <c r="K23" s="21">
        <v>69050</v>
      </c>
      <c r="L23" s="5"/>
      <c r="M23" s="21">
        <f>$Q$23*G$115</f>
        <v>2294.258114153256</v>
      </c>
      <c r="N23" s="21">
        <f>$Q$23*H$115</f>
        <v>348.30833765045656</v>
      </c>
      <c r="O23" s="21">
        <f>$Q$23*I$115</f>
        <v>2779.1618084135353</v>
      </c>
      <c r="P23" s="21">
        <v>0</v>
      </c>
      <c r="Q23" s="21">
        <f>K23*X23</f>
        <v>5421.7282602172481</v>
      </c>
      <c r="R23" s="29"/>
      <c r="S23" s="29"/>
      <c r="T23" s="29"/>
      <c r="U23" s="29"/>
      <c r="V23" s="29"/>
      <c r="X23" s="28">
        <f>X20/X17</f>
        <v>7.8518874152313511E-2</v>
      </c>
    </row>
    <row r="24" spans="2:24" x14ac:dyDescent="0.25">
      <c r="B24" s="2"/>
      <c r="D24" s="2" t="s">
        <v>34</v>
      </c>
      <c r="E24" s="18"/>
      <c r="G24" s="23">
        <f>SUM(G23)</f>
        <v>21498</v>
      </c>
      <c r="H24" s="23">
        <f>SUM(H23)</f>
        <v>3816</v>
      </c>
      <c r="I24" s="23">
        <f>SUM(I23)</f>
        <v>43736</v>
      </c>
      <c r="J24" s="24">
        <f>SUM(J23)</f>
        <v>0</v>
      </c>
      <c r="K24" s="23">
        <f>SUM(G24:J24)</f>
        <v>69050</v>
      </c>
      <c r="L24" s="5"/>
      <c r="M24" s="23">
        <f>SUM(M23)</f>
        <v>2294.258114153256</v>
      </c>
      <c r="N24" s="23">
        <f>SUM(N23)</f>
        <v>348.30833765045656</v>
      </c>
      <c r="O24" s="23">
        <f>SUM(O23)</f>
        <v>2779.1618084135353</v>
      </c>
      <c r="P24" s="24">
        <f>SUM(P23)</f>
        <v>0</v>
      </c>
      <c r="Q24" s="24">
        <f>SUM(M24:P24)</f>
        <v>5421.7282602172472</v>
      </c>
      <c r="R24" s="24"/>
      <c r="S24" s="24"/>
      <c r="T24" s="24"/>
      <c r="U24" s="24"/>
      <c r="V24" s="24"/>
    </row>
    <row r="25" spans="2:24" x14ac:dyDescent="0.25">
      <c r="B25" s="2"/>
      <c r="E25" s="15"/>
      <c r="G25" s="15"/>
      <c r="H25" s="15"/>
      <c r="I25" s="15"/>
      <c r="K25" s="15"/>
      <c r="L25" s="5"/>
      <c r="M25" s="15"/>
      <c r="N25" s="15"/>
      <c r="O25" s="15"/>
    </row>
    <row r="26" spans="2:24" x14ac:dyDescent="0.25">
      <c r="B26" s="2" t="s">
        <v>35</v>
      </c>
      <c r="E26" s="18" t="s">
        <v>36</v>
      </c>
      <c r="F26" s="15"/>
      <c r="G26" s="11">
        <v>728</v>
      </c>
      <c r="H26" s="11">
        <v>120</v>
      </c>
      <c r="I26" s="11">
        <v>1484</v>
      </c>
      <c r="J26" s="12">
        <v>0</v>
      </c>
      <c r="K26" s="11">
        <f t="shared" ref="K26:K31" si="2">SUM(G26:J26)</f>
        <v>2332</v>
      </c>
      <c r="L26" s="5"/>
      <c r="M26" s="29">
        <v>0</v>
      </c>
      <c r="N26" s="29">
        <v>0</v>
      </c>
      <c r="O26" s="29">
        <v>0</v>
      </c>
      <c r="P26" s="12">
        <v>0</v>
      </c>
      <c r="Q26" s="12">
        <f t="shared" ref="Q26:Q31" si="3">SUM(M26:P26)</f>
        <v>0</v>
      </c>
      <c r="R26" s="12"/>
      <c r="S26" s="12"/>
      <c r="T26" s="12"/>
      <c r="U26" s="12"/>
      <c r="V26" s="12"/>
    </row>
    <row r="27" spans="2:24" x14ac:dyDescent="0.25">
      <c r="B27" s="2"/>
      <c r="E27" s="18" t="s">
        <v>37</v>
      </c>
      <c r="G27" s="11">
        <v>1104</v>
      </c>
      <c r="H27" s="11">
        <v>214</v>
      </c>
      <c r="I27" s="11">
        <v>2243</v>
      </c>
      <c r="J27" s="12">
        <v>0</v>
      </c>
      <c r="K27" s="11">
        <f t="shared" si="2"/>
        <v>3561</v>
      </c>
      <c r="L27" s="5"/>
      <c r="M27" s="11">
        <f>G27</f>
        <v>1104</v>
      </c>
      <c r="N27" s="11">
        <f>H27</f>
        <v>214</v>
      </c>
      <c r="O27" s="11">
        <f>I27</f>
        <v>2243</v>
      </c>
      <c r="P27" s="11">
        <f>J27</f>
        <v>0</v>
      </c>
      <c r="Q27" s="12">
        <f>SUM(M27:P27)</f>
        <v>3561</v>
      </c>
      <c r="R27" s="12"/>
      <c r="S27" s="12"/>
      <c r="T27" s="12"/>
      <c r="U27" s="12"/>
      <c r="V27" s="12"/>
    </row>
    <row r="28" spans="2:24" x14ac:dyDescent="0.25">
      <c r="B28" s="2"/>
      <c r="E28" s="15" t="s">
        <v>38</v>
      </c>
      <c r="G28" s="11"/>
      <c r="H28" s="11">
        <v>0</v>
      </c>
      <c r="I28" s="11">
        <v>0</v>
      </c>
      <c r="J28" s="12">
        <v>0</v>
      </c>
      <c r="K28" s="11">
        <f t="shared" si="2"/>
        <v>0</v>
      </c>
      <c r="L28" s="5"/>
      <c r="M28" s="11">
        <v>0</v>
      </c>
      <c r="N28" s="11">
        <v>0</v>
      </c>
      <c r="O28" s="11">
        <v>0</v>
      </c>
      <c r="P28" s="12">
        <v>0</v>
      </c>
      <c r="Q28" s="12">
        <f t="shared" si="3"/>
        <v>0</v>
      </c>
      <c r="R28" s="12"/>
      <c r="S28" s="12"/>
      <c r="T28" s="12"/>
      <c r="U28" s="12"/>
      <c r="V28" s="12"/>
    </row>
    <row r="29" spans="2:24" x14ac:dyDescent="0.25">
      <c r="B29" s="2"/>
      <c r="E29" s="18" t="s">
        <v>39</v>
      </c>
      <c r="G29" s="11">
        <v>796</v>
      </c>
      <c r="H29" s="11">
        <v>154</v>
      </c>
      <c r="I29" s="11">
        <v>1617</v>
      </c>
      <c r="J29" s="12">
        <v>0</v>
      </c>
      <c r="K29" s="11">
        <f t="shared" si="2"/>
        <v>2567</v>
      </c>
      <c r="L29" s="5"/>
      <c r="M29" s="11">
        <f t="shared" ref="M29:P30" si="4">G29</f>
        <v>796</v>
      </c>
      <c r="N29" s="11">
        <f t="shared" si="4"/>
        <v>154</v>
      </c>
      <c r="O29" s="11">
        <f t="shared" si="4"/>
        <v>1617</v>
      </c>
      <c r="P29" s="11">
        <f t="shared" si="4"/>
        <v>0</v>
      </c>
      <c r="Q29" s="12">
        <f t="shared" si="3"/>
        <v>2567</v>
      </c>
      <c r="R29" s="12"/>
      <c r="S29" s="12"/>
      <c r="T29" s="12"/>
      <c r="U29" s="12"/>
      <c r="V29" s="12"/>
    </row>
    <row r="30" spans="2:24" x14ac:dyDescent="0.25">
      <c r="B30" s="2"/>
      <c r="E30" s="10" t="s">
        <v>40</v>
      </c>
      <c r="G30" s="21">
        <v>10</v>
      </c>
      <c r="H30" s="21">
        <v>2</v>
      </c>
      <c r="I30" s="21">
        <v>20</v>
      </c>
      <c r="J30" s="22">
        <v>0</v>
      </c>
      <c r="K30" s="21">
        <f t="shared" si="2"/>
        <v>32</v>
      </c>
      <c r="L30" s="5"/>
      <c r="M30" s="21">
        <f t="shared" si="4"/>
        <v>10</v>
      </c>
      <c r="N30" s="21">
        <f t="shared" si="4"/>
        <v>2</v>
      </c>
      <c r="O30" s="21">
        <f>I30</f>
        <v>20</v>
      </c>
      <c r="P30" s="21">
        <f>J30</f>
        <v>0</v>
      </c>
      <c r="Q30" s="22">
        <f t="shared" si="3"/>
        <v>32</v>
      </c>
      <c r="R30" s="82"/>
      <c r="S30" s="82"/>
      <c r="T30" s="82"/>
      <c r="U30" s="82"/>
      <c r="V30" s="82"/>
    </row>
    <row r="31" spans="2:24" x14ac:dyDescent="0.25">
      <c r="B31" s="2"/>
      <c r="D31" s="2" t="s">
        <v>41</v>
      </c>
      <c r="G31" s="24">
        <f>SUM(G26:G30)</f>
        <v>2638</v>
      </c>
      <c r="H31" s="24">
        <f>SUM(H11:H23)</f>
        <v>63703.492868087509</v>
      </c>
      <c r="I31" s="24">
        <f>SUM(I26:I30)</f>
        <v>5364</v>
      </c>
      <c r="J31" s="24">
        <f>SUM(J26:J30)</f>
        <v>0</v>
      </c>
      <c r="K31" s="23">
        <f t="shared" si="2"/>
        <v>71705.492868087516</v>
      </c>
      <c r="L31" s="5"/>
      <c r="M31" s="23">
        <f>SUM(M26:M30)</f>
        <v>1910</v>
      </c>
      <c r="N31" s="23">
        <f>SUM(N26:N30)</f>
        <v>370</v>
      </c>
      <c r="O31" s="23">
        <f>SUM(O26:O30)</f>
        <v>3880</v>
      </c>
      <c r="P31" s="24">
        <f>SUM(P26:P30)</f>
        <v>0</v>
      </c>
      <c r="Q31" s="24">
        <f t="shared" si="3"/>
        <v>6160</v>
      </c>
      <c r="R31" s="24"/>
      <c r="S31" s="24"/>
      <c r="T31" s="24"/>
      <c r="U31" s="24"/>
      <c r="V31" s="24"/>
    </row>
    <row r="32" spans="2:24" x14ac:dyDescent="0.25">
      <c r="B32" s="2"/>
      <c r="K32" s="15"/>
      <c r="L32" s="5"/>
    </row>
    <row r="33" spans="2:22" x14ac:dyDescent="0.25">
      <c r="B33" s="2" t="s">
        <v>42</v>
      </c>
      <c r="D33" s="2" t="s">
        <v>43</v>
      </c>
      <c r="E33" s="3" t="s">
        <v>44</v>
      </c>
      <c r="G33" s="11">
        <v>5093</v>
      </c>
      <c r="H33" s="11">
        <v>0</v>
      </c>
      <c r="I33" s="11">
        <v>0</v>
      </c>
      <c r="J33" s="11">
        <v>0</v>
      </c>
      <c r="K33" s="11">
        <f>SUM(G33:J33)</f>
        <v>5093</v>
      </c>
      <c r="L33" s="5"/>
      <c r="M33" s="12">
        <f t="shared" ref="M33:P34" si="5">G33</f>
        <v>5093</v>
      </c>
      <c r="N33" s="12">
        <f t="shared" si="5"/>
        <v>0</v>
      </c>
      <c r="O33" s="12">
        <f t="shared" si="5"/>
        <v>0</v>
      </c>
      <c r="P33" s="12">
        <f t="shared" si="5"/>
        <v>0</v>
      </c>
      <c r="Q33" s="12">
        <f>SUM(M33:P33)</f>
        <v>5093</v>
      </c>
      <c r="R33" s="12"/>
      <c r="S33" s="12"/>
      <c r="T33" s="12"/>
      <c r="U33" s="12"/>
      <c r="V33" s="12"/>
    </row>
    <row r="34" spans="2:22" x14ac:dyDescent="0.25">
      <c r="B34" s="2" t="s">
        <v>45</v>
      </c>
      <c r="D34" s="2" t="s">
        <v>46</v>
      </c>
      <c r="E34" s="3" t="s">
        <v>47</v>
      </c>
      <c r="G34" s="11"/>
      <c r="H34" s="11">
        <v>0</v>
      </c>
      <c r="I34" s="11">
        <v>0</v>
      </c>
      <c r="J34" s="11">
        <v>0</v>
      </c>
      <c r="K34" s="11">
        <f>SUM(G34:J34)</f>
        <v>0</v>
      </c>
      <c r="L34" s="5"/>
      <c r="M34" s="12">
        <f t="shared" si="5"/>
        <v>0</v>
      </c>
      <c r="N34" s="12">
        <f t="shared" si="5"/>
        <v>0</v>
      </c>
      <c r="O34" s="12">
        <f t="shared" si="5"/>
        <v>0</v>
      </c>
      <c r="P34" s="12">
        <f t="shared" si="5"/>
        <v>0</v>
      </c>
      <c r="Q34" s="12">
        <f>SUM(M34:P34)</f>
        <v>0</v>
      </c>
      <c r="R34" s="12"/>
      <c r="S34" s="12"/>
      <c r="T34" s="12"/>
      <c r="U34" s="12"/>
      <c r="V34" s="12"/>
    </row>
    <row r="35" spans="2:22" x14ac:dyDescent="0.25">
      <c r="D35" s="2"/>
      <c r="G35" s="15"/>
      <c r="H35" s="15"/>
      <c r="I35" s="15"/>
      <c r="J35" s="15"/>
      <c r="K35" s="15"/>
      <c r="L35" s="5"/>
      <c r="Q35" s="12"/>
      <c r="R35" s="12"/>
      <c r="S35" s="12"/>
      <c r="T35" s="12"/>
      <c r="U35" s="12"/>
      <c r="V35" s="12"/>
    </row>
    <row r="36" spans="2:22" x14ac:dyDescent="0.25">
      <c r="D36" s="2" t="s">
        <v>48</v>
      </c>
      <c r="E36" s="3" t="s">
        <v>49</v>
      </c>
      <c r="G36" s="11">
        <v>3160</v>
      </c>
      <c r="H36" s="11"/>
      <c r="I36" s="11">
        <v>0</v>
      </c>
      <c r="J36" s="11">
        <v>0</v>
      </c>
      <c r="K36" s="11">
        <f>SUM(G36:J36)</f>
        <v>3160</v>
      </c>
      <c r="L36" s="5"/>
      <c r="M36" s="12">
        <f t="shared" ref="M36:P39" si="6">G36</f>
        <v>3160</v>
      </c>
      <c r="N36" s="12">
        <f t="shared" si="6"/>
        <v>0</v>
      </c>
      <c r="O36" s="12">
        <f t="shared" si="6"/>
        <v>0</v>
      </c>
      <c r="P36" s="12">
        <f t="shared" si="6"/>
        <v>0</v>
      </c>
      <c r="Q36" s="12">
        <f>SUM(M36:P36)</f>
        <v>3160</v>
      </c>
      <c r="R36" s="12"/>
      <c r="S36" s="12"/>
      <c r="T36" s="12"/>
      <c r="U36" s="12"/>
      <c r="V36" s="12"/>
    </row>
    <row r="37" spans="2:22" x14ac:dyDescent="0.25">
      <c r="D37" s="2" t="s">
        <v>50</v>
      </c>
      <c r="E37" s="3" t="s">
        <v>51</v>
      </c>
      <c r="G37" s="11">
        <v>4068</v>
      </c>
      <c r="H37" s="11">
        <v>0</v>
      </c>
      <c r="I37" s="11">
        <v>0</v>
      </c>
      <c r="J37" s="11">
        <v>0</v>
      </c>
      <c r="K37" s="11">
        <f>SUM(G37:J37)</f>
        <v>4068</v>
      </c>
      <c r="L37" s="5"/>
      <c r="M37" s="12">
        <f t="shared" si="6"/>
        <v>4068</v>
      </c>
      <c r="N37" s="12">
        <f t="shared" si="6"/>
        <v>0</v>
      </c>
      <c r="O37" s="12">
        <f t="shared" si="6"/>
        <v>0</v>
      </c>
      <c r="P37" s="12">
        <f t="shared" si="6"/>
        <v>0</v>
      </c>
      <c r="Q37" s="12">
        <f>SUM(M37:P37)</f>
        <v>4068</v>
      </c>
      <c r="R37" s="12"/>
      <c r="S37" s="12"/>
      <c r="T37" s="12"/>
      <c r="U37" s="12"/>
      <c r="V37" s="12"/>
    </row>
    <row r="38" spans="2:22" x14ac:dyDescent="0.25">
      <c r="D38" s="2"/>
      <c r="E38" s="3" t="s">
        <v>52</v>
      </c>
      <c r="G38" s="11">
        <v>305</v>
      </c>
      <c r="H38" s="11">
        <v>0</v>
      </c>
      <c r="I38" s="11">
        <v>0</v>
      </c>
      <c r="J38" s="11">
        <v>0</v>
      </c>
      <c r="K38" s="11">
        <f>SUM(G38:J38)</f>
        <v>305</v>
      </c>
      <c r="L38" s="5"/>
      <c r="M38" s="12">
        <f t="shared" si="6"/>
        <v>305</v>
      </c>
      <c r="N38" s="12">
        <f t="shared" si="6"/>
        <v>0</v>
      </c>
      <c r="O38" s="12">
        <f t="shared" si="6"/>
        <v>0</v>
      </c>
      <c r="P38" s="12">
        <f t="shared" si="6"/>
        <v>0</v>
      </c>
      <c r="Q38" s="12">
        <f>SUM(M38:P38)</f>
        <v>305</v>
      </c>
      <c r="R38" s="12"/>
      <c r="S38" s="12"/>
      <c r="T38" s="12"/>
      <c r="U38" s="12"/>
      <c r="V38" s="12"/>
    </row>
    <row r="39" spans="2:22" x14ac:dyDescent="0.25">
      <c r="D39" s="2"/>
      <c r="E39" s="3" t="s">
        <v>53</v>
      </c>
      <c r="G39" s="11">
        <f>12448+462+1770</f>
        <v>14680</v>
      </c>
      <c r="H39" s="11">
        <v>0</v>
      </c>
      <c r="I39" s="11"/>
      <c r="J39" s="11">
        <v>0</v>
      </c>
      <c r="K39" s="11">
        <f>SUM(G39:J39)</f>
        <v>14680</v>
      </c>
      <c r="L39" s="5"/>
      <c r="M39" s="12">
        <f t="shared" si="6"/>
        <v>14680</v>
      </c>
      <c r="N39" s="12">
        <f t="shared" si="6"/>
        <v>0</v>
      </c>
      <c r="O39" s="12">
        <f t="shared" si="6"/>
        <v>0</v>
      </c>
      <c r="P39" s="12">
        <f t="shared" si="6"/>
        <v>0</v>
      </c>
      <c r="Q39" s="12">
        <f>SUM(M39:P39)</f>
        <v>14680</v>
      </c>
      <c r="R39" s="12"/>
      <c r="S39" s="12"/>
      <c r="T39" s="12"/>
      <c r="U39" s="12"/>
      <c r="V39" s="12"/>
    </row>
    <row r="40" spans="2:22" x14ac:dyDescent="0.25">
      <c r="D40" s="2"/>
      <c r="G40" s="15"/>
      <c r="H40" s="15"/>
      <c r="I40" s="15"/>
      <c r="J40" s="15"/>
      <c r="K40" s="15"/>
      <c r="L40" s="5"/>
      <c r="Q40" s="12"/>
      <c r="R40" s="12"/>
      <c r="S40" s="12"/>
      <c r="T40" s="12"/>
      <c r="U40" s="12"/>
      <c r="V40" s="12"/>
    </row>
    <row r="41" spans="2:22" x14ac:dyDescent="0.25">
      <c r="D41" s="2" t="s">
        <v>54</v>
      </c>
      <c r="G41" s="11"/>
      <c r="H41" s="11">
        <f>H11</f>
        <v>0</v>
      </c>
      <c r="I41" s="11">
        <v>0</v>
      </c>
      <c r="J41" s="11">
        <v>0</v>
      </c>
      <c r="K41" s="11">
        <f>SUM(G41:J41)</f>
        <v>0</v>
      </c>
      <c r="L41" s="5"/>
      <c r="M41" s="12">
        <f>G41</f>
        <v>0</v>
      </c>
      <c r="N41" s="12">
        <f>H41</f>
        <v>0</v>
      </c>
      <c r="O41" s="12">
        <f>I41</f>
        <v>0</v>
      </c>
      <c r="P41" s="12">
        <f>J41</f>
        <v>0</v>
      </c>
      <c r="Q41" s="12">
        <f>SUM(M41:P41)</f>
        <v>0</v>
      </c>
      <c r="R41" s="12"/>
      <c r="S41" s="12"/>
      <c r="T41" s="12"/>
      <c r="U41" s="12"/>
      <c r="V41" s="12"/>
    </row>
    <row r="42" spans="2:22" x14ac:dyDescent="0.25">
      <c r="D42" s="2"/>
      <c r="G42" s="15"/>
      <c r="H42" s="15"/>
      <c r="I42" s="15"/>
      <c r="J42" s="15"/>
      <c r="L42" s="5"/>
    </row>
    <row r="43" spans="2:22" x14ac:dyDescent="0.25">
      <c r="D43" s="2" t="s">
        <v>55</v>
      </c>
      <c r="G43" s="11"/>
      <c r="H43" s="11">
        <f>H13+H17+H15</f>
        <v>1473.1860417519442</v>
      </c>
      <c r="I43" s="11">
        <v>0</v>
      </c>
      <c r="J43" s="11">
        <v>0</v>
      </c>
      <c r="K43" s="12">
        <f>SUM(G43:J43)</f>
        <v>1473.1860417519442</v>
      </c>
      <c r="L43" s="5"/>
      <c r="M43" s="12">
        <f>G43</f>
        <v>0</v>
      </c>
      <c r="N43" s="12">
        <f>H43</f>
        <v>1473.1860417519442</v>
      </c>
      <c r="O43" s="12">
        <f>I43</f>
        <v>0</v>
      </c>
      <c r="P43" s="12">
        <f>J43</f>
        <v>0</v>
      </c>
      <c r="Q43" s="12">
        <f>SUM(M43:P43)</f>
        <v>1473.1860417519442</v>
      </c>
      <c r="R43" s="12"/>
      <c r="S43" s="12"/>
      <c r="T43" s="12"/>
      <c r="U43" s="12"/>
      <c r="V43" s="12"/>
    </row>
    <row r="44" spans="2:22" x14ac:dyDescent="0.25">
      <c r="D44" s="2"/>
      <c r="G44" s="15"/>
      <c r="H44" s="15"/>
      <c r="I44" s="15"/>
      <c r="J44" s="15"/>
      <c r="L44" s="5"/>
    </row>
    <row r="45" spans="2:22" x14ac:dyDescent="0.25">
      <c r="D45" s="2" t="s">
        <v>56</v>
      </c>
      <c r="G45" s="11"/>
      <c r="H45" s="11">
        <f>H19+H21+H23</f>
        <v>46536.496434043758</v>
      </c>
      <c r="I45" s="11">
        <v>0</v>
      </c>
      <c r="J45" s="11">
        <v>0</v>
      </c>
      <c r="K45" s="12">
        <f>SUM(G45:J45)</f>
        <v>46536.496434043758</v>
      </c>
      <c r="L45" s="5"/>
      <c r="M45" s="12">
        <f>G45</f>
        <v>0</v>
      </c>
      <c r="N45" s="12">
        <f>H45</f>
        <v>46536.496434043758</v>
      </c>
      <c r="O45" s="12">
        <f>I45</f>
        <v>0</v>
      </c>
      <c r="P45" s="12">
        <f>J45</f>
        <v>0</v>
      </c>
      <c r="Q45" s="12">
        <f>SUM(M45:P45)</f>
        <v>46536.496434043758</v>
      </c>
      <c r="R45" s="12"/>
      <c r="S45" s="12"/>
      <c r="T45" s="12"/>
      <c r="U45" s="12"/>
      <c r="V45" s="12"/>
    </row>
    <row r="46" spans="2:22" x14ac:dyDescent="0.25">
      <c r="D46" s="2"/>
      <c r="G46" s="15"/>
      <c r="H46" s="15"/>
      <c r="I46" s="15"/>
      <c r="J46" s="15"/>
      <c r="L46" s="5"/>
    </row>
    <row r="47" spans="2:22" x14ac:dyDescent="0.25">
      <c r="D47" s="2" t="s">
        <v>57</v>
      </c>
      <c r="G47" s="11"/>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5">
      <c r="D48" s="2" t="s">
        <v>58</v>
      </c>
      <c r="G48" s="15"/>
      <c r="H48" s="15"/>
      <c r="I48" s="15"/>
      <c r="J48" s="15"/>
      <c r="L48" s="5"/>
    </row>
    <row r="49" spans="2:24" x14ac:dyDescent="0.25">
      <c r="D49" s="2"/>
      <c r="G49" s="15"/>
      <c r="H49" s="15"/>
      <c r="I49" s="15"/>
      <c r="J49" s="15"/>
      <c r="L49" s="5"/>
    </row>
    <row r="50" spans="2:24" x14ac:dyDescent="0.25">
      <c r="B50" s="2"/>
      <c r="D50" s="2" t="s">
        <v>53</v>
      </c>
      <c r="G50" s="21">
        <v>5588</v>
      </c>
      <c r="H50" s="21">
        <v>0</v>
      </c>
      <c r="I50" s="21">
        <v>0</v>
      </c>
      <c r="J50" s="21">
        <v>0</v>
      </c>
      <c r="K50" s="21">
        <f>SUM(G50:J50)</f>
        <v>5588</v>
      </c>
      <c r="L50" s="5"/>
      <c r="M50" s="22">
        <f>G50</f>
        <v>5588</v>
      </c>
      <c r="N50" s="22">
        <f>H50</f>
        <v>0</v>
      </c>
      <c r="O50" s="22">
        <f>I50</f>
        <v>0</v>
      </c>
      <c r="P50" s="22">
        <f>J50</f>
        <v>0</v>
      </c>
      <c r="Q50" s="22">
        <f>SUM(M50:P50)</f>
        <v>5588</v>
      </c>
      <c r="R50" s="82"/>
      <c r="S50" s="82"/>
      <c r="T50" s="82"/>
      <c r="U50" s="82"/>
      <c r="V50" s="82"/>
    </row>
    <row r="51" spans="2:24" x14ac:dyDescent="0.25">
      <c r="D51" s="2" t="s">
        <v>59</v>
      </c>
      <c r="G51" s="24">
        <f>SUM(G33:G50)</f>
        <v>32894</v>
      </c>
      <c r="H51" s="24">
        <f>SUM(H33:H50)</f>
        <v>48009.6824757957</v>
      </c>
      <c r="I51" s="24">
        <f>SUM(I33:I50)</f>
        <v>0</v>
      </c>
      <c r="J51" s="24">
        <f>SUM(J33:J50)</f>
        <v>0</v>
      </c>
      <c r="K51" s="24">
        <f>SUM(G51:J51)</f>
        <v>80903.682475795707</v>
      </c>
      <c r="L51" s="5"/>
      <c r="M51" s="24">
        <f>SUM(M33:M50)</f>
        <v>32894</v>
      </c>
      <c r="N51" s="24">
        <f>SUM(N33:N50)</f>
        <v>48009.6824757957</v>
      </c>
      <c r="O51" s="24">
        <f>SUM(O33:O50)</f>
        <v>0</v>
      </c>
      <c r="P51" s="24">
        <f>SUM(P33:P50)</f>
        <v>0</v>
      </c>
      <c r="Q51" s="24">
        <f>SUM(M51:P51)</f>
        <v>80903.682475795707</v>
      </c>
      <c r="R51" s="24"/>
      <c r="S51" s="24"/>
      <c r="T51" s="24"/>
      <c r="U51" s="24"/>
      <c r="V51" s="24"/>
    </row>
    <row r="52" spans="2:24" x14ac:dyDescent="0.25">
      <c r="B52" s="2"/>
      <c r="L52" s="5"/>
    </row>
    <row r="53" spans="2:24" x14ac:dyDescent="0.25">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5">
      <c r="B54" s="2" t="s">
        <v>61</v>
      </c>
      <c r="L54" s="5"/>
    </row>
    <row r="55" spans="2:24" ht="13.8" thickBot="1" x14ac:dyDescent="0.3">
      <c r="K55" s="12"/>
      <c r="L55" s="5"/>
      <c r="Q55" s="30"/>
      <c r="R55" s="40"/>
      <c r="S55" s="40"/>
      <c r="T55" s="40"/>
      <c r="U55" s="40"/>
      <c r="V55" s="40"/>
    </row>
    <row r="56" spans="2:24" x14ac:dyDescent="0.25">
      <c r="B56" s="2" t="s">
        <v>62</v>
      </c>
      <c r="G56" s="31">
        <f>G21+G24+G31+G51+G53</f>
        <v>232554.66053705139</v>
      </c>
      <c r="H56" s="31">
        <f>H21+H24+H31+H51+H53</f>
        <v>146040.67177792697</v>
      </c>
      <c r="I56" s="31">
        <f>I21+I24+I31+I51+I53</f>
        <v>220940.84302890487</v>
      </c>
      <c r="J56" s="31">
        <f>J21+J24+J31+J51+J53</f>
        <v>0</v>
      </c>
      <c r="K56" s="31">
        <f>SUM(G56:J56)</f>
        <v>599536.17534388322</v>
      </c>
      <c r="L56" s="32"/>
      <c r="M56" s="31">
        <f>M21+M24+M31+M51+M53</f>
        <v>183383.8764899275</v>
      </c>
      <c r="N56" s="31">
        <f>N21+N24+N31+N51+N53</f>
        <v>73616.801205737967</v>
      </c>
      <c r="O56" s="31">
        <f>O21+O24+O31+O51+O53</f>
        <v>127561.73304034748</v>
      </c>
      <c r="P56" s="31">
        <f>P21+P24+P31+P51+P53</f>
        <v>0</v>
      </c>
      <c r="Q56" s="31">
        <f>SUM(M56:P56)</f>
        <v>384562.41073601291</v>
      </c>
      <c r="R56" s="86"/>
      <c r="S56" s="86"/>
      <c r="T56" s="86"/>
      <c r="U56" s="86"/>
      <c r="V56" s="86"/>
    </row>
    <row r="57" spans="2:24" x14ac:dyDescent="0.25">
      <c r="L57" s="5"/>
    </row>
    <row r="58" spans="2:24" x14ac:dyDescent="0.25">
      <c r="L58" s="5"/>
    </row>
    <row r="59" spans="2:24" ht="13.8" x14ac:dyDescent="0.25">
      <c r="B59" s="6" t="s">
        <v>63</v>
      </c>
      <c r="K59" s="15"/>
      <c r="L59" s="5"/>
    </row>
    <row r="60" spans="2:24" x14ac:dyDescent="0.25">
      <c r="D60" s="15" t="s">
        <v>64</v>
      </c>
      <c r="E60" s="10" t="s">
        <v>20</v>
      </c>
      <c r="G60" s="12">
        <v>0</v>
      </c>
      <c r="H60" s="12">
        <v>0</v>
      </c>
      <c r="I60" s="12">
        <f>K60</f>
        <v>171149</v>
      </c>
      <c r="J60" s="11">
        <v>0</v>
      </c>
      <c r="K60" s="11">
        <v>171149</v>
      </c>
      <c r="L60" s="5"/>
      <c r="M60" s="12">
        <f>G60</f>
        <v>0</v>
      </c>
      <c r="N60" s="12">
        <f>H60</f>
        <v>0</v>
      </c>
      <c r="O60" s="12">
        <f>Q60</f>
        <v>171149</v>
      </c>
      <c r="P60" s="11">
        <f>J60</f>
        <v>0</v>
      </c>
      <c r="Q60" s="11">
        <f>$K$60</f>
        <v>171149</v>
      </c>
      <c r="R60" s="11"/>
      <c r="S60" s="11"/>
      <c r="T60" s="11"/>
      <c r="U60" s="11"/>
      <c r="V60" s="11"/>
      <c r="X60" s="3" t="s">
        <v>92</v>
      </c>
    </row>
    <row r="61" spans="2:24" x14ac:dyDescent="0.25">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105513.56</v>
      </c>
    </row>
    <row r="62" spans="2:24" x14ac:dyDescent="0.25">
      <c r="D62" s="15"/>
      <c r="E62" s="10"/>
      <c r="J62" s="15"/>
      <c r="K62" s="15"/>
      <c r="L62" s="5"/>
      <c r="P62" s="15"/>
    </row>
    <row r="63" spans="2:24" x14ac:dyDescent="0.25">
      <c r="D63" s="15" t="s">
        <v>94</v>
      </c>
      <c r="E63" s="10" t="s">
        <v>20</v>
      </c>
      <c r="G63" s="12">
        <f>$G$103*K63</f>
        <v>116491.69525511083</v>
      </c>
      <c r="H63" s="12">
        <f>$H$103*K63</f>
        <v>17685.468114543986</v>
      </c>
      <c r="I63" s="12">
        <f>$I$103*K63</f>
        <v>141112.83663034518</v>
      </c>
      <c r="J63" s="11">
        <v>0</v>
      </c>
      <c r="K63" s="11">
        <v>275290</v>
      </c>
      <c r="L63" s="5"/>
      <c r="M63" s="12">
        <f>$G$103*Q63</f>
        <v>116491.69525511083</v>
      </c>
      <c r="N63" s="12">
        <f>$H$103*Q63</f>
        <v>17685.468114543986</v>
      </c>
      <c r="O63" s="12">
        <f>$I$103*Q63</f>
        <v>141112.83663034518</v>
      </c>
      <c r="P63" s="11">
        <f t="shared" ref="M63:Q64" si="7">J63</f>
        <v>0</v>
      </c>
      <c r="Q63" s="11">
        <f>K63-(0*67.3*8)</f>
        <v>275290</v>
      </c>
      <c r="R63" s="11"/>
      <c r="S63" s="11"/>
      <c r="T63" s="11"/>
      <c r="U63" s="11"/>
      <c r="V63" s="11"/>
    </row>
    <row r="64" spans="2:24" ht="12.75" customHeight="1" x14ac:dyDescent="0.25">
      <c r="D64" s="15"/>
      <c r="E64" s="10" t="s">
        <v>21</v>
      </c>
      <c r="G64" s="36">
        <f>$G$103*K64</f>
        <v>0</v>
      </c>
      <c r="H64" s="36">
        <f>$H$103*K64</f>
        <v>0</v>
      </c>
      <c r="I64" s="36">
        <f>$I$103*K64</f>
        <v>0</v>
      </c>
      <c r="J64" s="37">
        <v>0</v>
      </c>
      <c r="K64" s="34">
        <v>0</v>
      </c>
      <c r="L64" s="5"/>
      <c r="M64" s="33">
        <f t="shared" si="7"/>
        <v>0</v>
      </c>
      <c r="N64" s="33">
        <f t="shared" si="7"/>
        <v>0</v>
      </c>
      <c r="O64" s="33">
        <f t="shared" si="7"/>
        <v>0</v>
      </c>
      <c r="P64" s="34">
        <f t="shared" si="7"/>
        <v>0</v>
      </c>
      <c r="Q64" s="33">
        <f t="shared" si="7"/>
        <v>0</v>
      </c>
      <c r="R64" s="33"/>
      <c r="S64" s="33"/>
      <c r="T64" s="33"/>
      <c r="U64" s="33"/>
      <c r="V64" s="33"/>
    </row>
    <row r="65" spans="4:22" ht="12.75" customHeight="1" x14ac:dyDescent="0.25">
      <c r="D65" s="15"/>
      <c r="E65" s="10"/>
      <c r="J65" s="15"/>
      <c r="K65" s="15"/>
      <c r="L65" s="5"/>
      <c r="P65" s="15"/>
    </row>
    <row r="66" spans="4:22" x14ac:dyDescent="0.25">
      <c r="D66" s="15" t="s">
        <v>65</v>
      </c>
      <c r="E66" s="10" t="s">
        <v>20</v>
      </c>
      <c r="G66" s="12">
        <f>$G$103*K66</f>
        <v>1786.158035787071</v>
      </c>
      <c r="H66" s="12">
        <f>$H$103*K66</f>
        <v>271.16989687780222</v>
      </c>
      <c r="I66" s="12">
        <f>$I$103*K66</f>
        <v>2163.6720673351265</v>
      </c>
      <c r="J66" s="11">
        <v>0</v>
      </c>
      <c r="K66" s="11">
        <v>4221</v>
      </c>
      <c r="L66" s="5"/>
      <c r="M66" s="12">
        <f>$G$103*Q$66</f>
        <v>1786.158035787071</v>
      </c>
      <c r="N66" s="12">
        <f>$H$103*Q$66</f>
        <v>271.16989687780222</v>
      </c>
      <c r="O66" s="12">
        <f>$I$103*Q$66</f>
        <v>2163.6720673351265</v>
      </c>
      <c r="P66" s="11">
        <f>J66</f>
        <v>0</v>
      </c>
      <c r="Q66" s="11">
        <f>K66</f>
        <v>4221</v>
      </c>
      <c r="R66" s="11"/>
      <c r="S66" s="11"/>
      <c r="T66" s="11"/>
      <c r="U66" s="11"/>
      <c r="V66" s="11"/>
    </row>
    <row r="67" spans="4:22" x14ac:dyDescent="0.25">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5">
      <c r="D68" s="15"/>
      <c r="E68" s="10"/>
      <c r="G68" s="33"/>
      <c r="H68" s="33"/>
      <c r="I68" s="33"/>
      <c r="J68" s="34"/>
      <c r="K68" s="34"/>
      <c r="L68" s="5"/>
      <c r="M68" s="33"/>
      <c r="N68" s="33"/>
      <c r="O68" s="33"/>
      <c r="P68" s="34"/>
      <c r="Q68" s="34"/>
      <c r="R68" s="34"/>
      <c r="S68" s="34"/>
      <c r="T68" s="34"/>
      <c r="U68" s="34"/>
      <c r="V68" s="34"/>
    </row>
    <row r="69" spans="4:22" x14ac:dyDescent="0.25">
      <c r="D69" s="99" t="s">
        <v>143</v>
      </c>
      <c r="E69" s="10" t="s">
        <v>20</v>
      </c>
      <c r="G69" s="12">
        <f>$G$103*K69</f>
        <v>613.58188862621489</v>
      </c>
      <c r="H69" s="12">
        <f>$H$103*K69</f>
        <v>93.152416600998151</v>
      </c>
      <c r="I69" s="12">
        <f>$I$103*K69</f>
        <v>743.2656947727869</v>
      </c>
      <c r="J69" s="11">
        <v>0</v>
      </c>
      <c r="K69" s="11">
        <v>1450</v>
      </c>
      <c r="L69" s="5"/>
      <c r="M69" s="12">
        <f t="shared" ref="M69:Q70" si="8">G69</f>
        <v>613.58188862621489</v>
      </c>
      <c r="N69" s="12">
        <f t="shared" si="8"/>
        <v>93.152416600998151</v>
      </c>
      <c r="O69" s="12">
        <f t="shared" si="8"/>
        <v>743.2656947727869</v>
      </c>
      <c r="P69" s="11">
        <f t="shared" si="8"/>
        <v>0</v>
      </c>
      <c r="Q69" s="11">
        <f>K69</f>
        <v>1450</v>
      </c>
      <c r="R69" s="11"/>
      <c r="S69" s="11"/>
      <c r="T69" s="11"/>
      <c r="U69" s="11"/>
      <c r="V69" s="11"/>
    </row>
    <row r="70" spans="4:22" x14ac:dyDescent="0.25">
      <c r="D70" s="15"/>
      <c r="E70" s="10" t="s">
        <v>21</v>
      </c>
      <c r="G70" s="36">
        <f>$G$103*K70</f>
        <v>0</v>
      </c>
      <c r="H70" s="36">
        <f>$H$103*K70</f>
        <v>0</v>
      </c>
      <c r="I70" s="36">
        <f>$I$103*K70</f>
        <v>0</v>
      </c>
      <c r="J70" s="34">
        <v>0</v>
      </c>
      <c r="K70" s="34">
        <v>0</v>
      </c>
      <c r="L70" s="5"/>
      <c r="M70" s="33">
        <f t="shared" si="8"/>
        <v>0</v>
      </c>
      <c r="N70" s="33">
        <f t="shared" si="8"/>
        <v>0</v>
      </c>
      <c r="O70" s="33">
        <f t="shared" si="8"/>
        <v>0</v>
      </c>
      <c r="P70" s="34">
        <f t="shared" si="8"/>
        <v>0</v>
      </c>
      <c r="Q70" s="33">
        <f t="shared" si="8"/>
        <v>0</v>
      </c>
      <c r="R70" s="33"/>
      <c r="S70" s="33"/>
      <c r="T70" s="33"/>
      <c r="U70" s="33"/>
      <c r="V70" s="33"/>
    </row>
    <row r="71" spans="4:22" x14ac:dyDescent="0.25">
      <c r="D71" s="15"/>
      <c r="E71" s="10"/>
      <c r="G71" s="36"/>
      <c r="H71" s="36"/>
      <c r="I71" s="36"/>
      <c r="J71" s="34"/>
      <c r="K71" s="34"/>
      <c r="L71" s="5"/>
      <c r="M71" s="33"/>
      <c r="N71" s="33"/>
      <c r="O71" s="33"/>
      <c r="P71" s="34"/>
      <c r="Q71" s="33"/>
      <c r="R71" s="33"/>
      <c r="S71" s="33"/>
      <c r="T71" s="33"/>
      <c r="U71" s="33"/>
      <c r="V71" s="33"/>
    </row>
    <row r="72" spans="4:22" x14ac:dyDescent="0.25">
      <c r="D72" s="15" t="s">
        <v>127</v>
      </c>
      <c r="E72" s="10" t="s">
        <v>20</v>
      </c>
      <c r="G72" s="12">
        <f>$G$103*K72</f>
        <v>13054.483630426708</v>
      </c>
      <c r="H72" s="12">
        <f>$H$103*K72</f>
        <v>1981.8979669936505</v>
      </c>
      <c r="I72" s="12">
        <f>$I$103*K72</f>
        <v>15813.618402579639</v>
      </c>
      <c r="J72" s="11">
        <v>0</v>
      </c>
      <c r="K72" s="11">
        <v>30850</v>
      </c>
      <c r="L72" s="5"/>
      <c r="M72" s="12">
        <f t="shared" ref="M72:Q73" si="9">G72</f>
        <v>13054.483630426708</v>
      </c>
      <c r="N72" s="12">
        <f t="shared" si="9"/>
        <v>1981.8979669936505</v>
      </c>
      <c r="O72" s="12">
        <f t="shared" si="9"/>
        <v>15813.618402579639</v>
      </c>
      <c r="P72" s="11">
        <f t="shared" si="9"/>
        <v>0</v>
      </c>
      <c r="Q72" s="11">
        <f>K72</f>
        <v>30850</v>
      </c>
      <c r="R72" s="33"/>
      <c r="S72" s="33"/>
      <c r="T72" s="33"/>
      <c r="U72" s="33"/>
      <c r="V72" s="33"/>
    </row>
    <row r="73" spans="4:22" x14ac:dyDescent="0.25">
      <c r="D73" s="15"/>
      <c r="E73" s="10" t="s">
        <v>21</v>
      </c>
      <c r="G73" s="36">
        <f>$G$103*K73</f>
        <v>0</v>
      </c>
      <c r="H73" s="36">
        <f>$H$103*K73</f>
        <v>0</v>
      </c>
      <c r="I73" s="36">
        <f>$I$103*K73</f>
        <v>0</v>
      </c>
      <c r="J73" s="34">
        <v>0</v>
      </c>
      <c r="K73" s="34">
        <v>0</v>
      </c>
      <c r="L73" s="5"/>
      <c r="M73" s="33">
        <f t="shared" si="9"/>
        <v>0</v>
      </c>
      <c r="N73" s="33">
        <f t="shared" si="9"/>
        <v>0</v>
      </c>
      <c r="O73" s="33">
        <f t="shared" si="9"/>
        <v>0</v>
      </c>
      <c r="P73" s="34">
        <f t="shared" si="9"/>
        <v>0</v>
      </c>
      <c r="Q73" s="33">
        <f t="shared" si="9"/>
        <v>0</v>
      </c>
      <c r="R73" s="33"/>
      <c r="S73" s="33"/>
      <c r="T73" s="33"/>
      <c r="U73" s="33"/>
      <c r="V73" s="33"/>
    </row>
    <row r="74" spans="4:22" x14ac:dyDescent="0.25">
      <c r="D74" s="15"/>
      <c r="E74" s="10"/>
      <c r="J74" s="15"/>
      <c r="K74" s="15"/>
      <c r="L74" s="5"/>
      <c r="P74" s="15"/>
    </row>
    <row r="75" spans="4:22" x14ac:dyDescent="0.25">
      <c r="D75" s="99" t="s">
        <v>108</v>
      </c>
      <c r="E75" s="10" t="s">
        <v>20</v>
      </c>
      <c r="G75" s="12">
        <f>$G$103*K75</f>
        <v>0</v>
      </c>
      <c r="H75" s="12">
        <f>$H$103*K75</f>
        <v>0</v>
      </c>
      <c r="I75" s="12">
        <f>$I$103*K75</f>
        <v>0</v>
      </c>
      <c r="J75" s="11">
        <v>0</v>
      </c>
      <c r="K75" s="11">
        <v>0</v>
      </c>
      <c r="L75" s="5"/>
      <c r="M75" s="12">
        <f t="shared" ref="M75:Q76" si="10">G75</f>
        <v>0</v>
      </c>
      <c r="N75" s="12">
        <f t="shared" si="10"/>
        <v>0</v>
      </c>
      <c r="O75" s="12">
        <f t="shared" si="10"/>
        <v>0</v>
      </c>
      <c r="P75" s="11">
        <f t="shared" si="10"/>
        <v>0</v>
      </c>
      <c r="Q75" s="11">
        <f>K75</f>
        <v>0</v>
      </c>
    </row>
    <row r="76" spans="4:22" x14ac:dyDescent="0.25">
      <c r="D76" s="15"/>
      <c r="E76" s="10" t="s">
        <v>21</v>
      </c>
      <c r="G76" s="36">
        <f>$G$103*K76</f>
        <v>0</v>
      </c>
      <c r="H76" s="36">
        <f>$H$103*K76</f>
        <v>0</v>
      </c>
      <c r="I76" s="36">
        <f>$I$103*K76</f>
        <v>0</v>
      </c>
      <c r="J76" s="34">
        <v>0</v>
      </c>
      <c r="K76" s="34">
        <v>0</v>
      </c>
      <c r="L76" s="5"/>
      <c r="M76" s="33">
        <f t="shared" si="10"/>
        <v>0</v>
      </c>
      <c r="N76" s="33">
        <f t="shared" si="10"/>
        <v>0</v>
      </c>
      <c r="O76" s="33">
        <f t="shared" si="10"/>
        <v>0</v>
      </c>
      <c r="P76" s="34">
        <f t="shared" si="10"/>
        <v>0</v>
      </c>
      <c r="Q76" s="33">
        <f t="shared" si="10"/>
        <v>0</v>
      </c>
    </row>
    <row r="77" spans="4:22" x14ac:dyDescent="0.25">
      <c r="D77" s="15"/>
      <c r="E77" s="10"/>
      <c r="J77" s="15"/>
      <c r="K77" s="15"/>
      <c r="L77" s="5"/>
      <c r="P77" s="15"/>
    </row>
    <row r="78" spans="4:22" x14ac:dyDescent="0.25">
      <c r="D78" s="99" t="s">
        <v>144</v>
      </c>
      <c r="E78" s="10" t="s">
        <v>20</v>
      </c>
      <c r="G78" s="12">
        <f>$G$103*K78</f>
        <v>0</v>
      </c>
      <c r="H78" s="12">
        <f>$H$103*K78</f>
        <v>0</v>
      </c>
      <c r="I78" s="12">
        <f>$I$103*K78</f>
        <v>0</v>
      </c>
      <c r="J78" s="11">
        <v>0</v>
      </c>
      <c r="K78" s="11">
        <v>0</v>
      </c>
      <c r="L78" s="5"/>
      <c r="M78" s="12">
        <f t="shared" ref="M78:Q79" si="11">G78</f>
        <v>0</v>
      </c>
      <c r="N78" s="12">
        <f t="shared" si="11"/>
        <v>0</v>
      </c>
      <c r="O78" s="12">
        <f t="shared" si="11"/>
        <v>0</v>
      </c>
      <c r="P78" s="11">
        <f t="shared" si="11"/>
        <v>0</v>
      </c>
      <c r="Q78" s="11">
        <f>K78</f>
        <v>0</v>
      </c>
    </row>
    <row r="79" spans="4:22" x14ac:dyDescent="0.25">
      <c r="D79" s="15"/>
      <c r="E79" s="10" t="s">
        <v>21</v>
      </c>
      <c r="G79" s="36">
        <f>$G$103*K79</f>
        <v>0</v>
      </c>
      <c r="H79" s="36">
        <f>$H$103*K79</f>
        <v>0</v>
      </c>
      <c r="I79" s="36">
        <f>$I$103*K79</f>
        <v>0</v>
      </c>
      <c r="J79" s="34">
        <v>0</v>
      </c>
      <c r="K79" s="34">
        <v>0</v>
      </c>
      <c r="L79" s="5"/>
      <c r="M79" s="33">
        <f t="shared" si="11"/>
        <v>0</v>
      </c>
      <c r="N79" s="33">
        <f t="shared" si="11"/>
        <v>0</v>
      </c>
      <c r="O79" s="33">
        <f t="shared" si="11"/>
        <v>0</v>
      </c>
      <c r="P79" s="34">
        <f t="shared" si="11"/>
        <v>0</v>
      </c>
      <c r="Q79" s="33">
        <f t="shared" si="11"/>
        <v>0</v>
      </c>
    </row>
    <row r="80" spans="4:22" x14ac:dyDescent="0.25">
      <c r="D80" s="15"/>
      <c r="E80" s="10"/>
      <c r="J80" s="15"/>
      <c r="K80" s="15"/>
      <c r="L80" s="5"/>
      <c r="P80" s="15"/>
    </row>
    <row r="81" spans="2:23" x14ac:dyDescent="0.25">
      <c r="D81" s="99" t="s">
        <v>145</v>
      </c>
      <c r="E81" s="10" t="s">
        <v>20</v>
      </c>
      <c r="G81" s="12">
        <f>$G$103*K81</f>
        <v>32006.970270282509</v>
      </c>
      <c r="H81" s="12">
        <f>$H$103*K81</f>
        <v>4859.2155081836536</v>
      </c>
      <c r="I81" s="12">
        <f>$I$103*K81</f>
        <v>38771.81422153383</v>
      </c>
      <c r="J81" s="11">
        <v>0</v>
      </c>
      <c r="K81" s="11">
        <v>75638</v>
      </c>
      <c r="L81" s="5"/>
      <c r="M81" s="12">
        <f t="shared" ref="M81:Q82" si="12">G81</f>
        <v>32006.970270282509</v>
      </c>
      <c r="N81" s="12">
        <f t="shared" si="12"/>
        <v>4859.2155081836536</v>
      </c>
      <c r="O81" s="12">
        <f t="shared" si="12"/>
        <v>38771.81422153383</v>
      </c>
      <c r="P81" s="11">
        <f t="shared" si="12"/>
        <v>0</v>
      </c>
      <c r="Q81" s="11">
        <f>K81</f>
        <v>75638</v>
      </c>
    </row>
    <row r="82" spans="2:23" x14ac:dyDescent="0.25">
      <c r="D82" s="15"/>
      <c r="E82" s="10" t="s">
        <v>21</v>
      </c>
      <c r="G82" s="36"/>
      <c r="H82" s="36"/>
      <c r="I82" s="36">
        <f>$I$103*K82</f>
        <v>0</v>
      </c>
      <c r="J82" s="34">
        <v>0</v>
      </c>
      <c r="K82" s="34"/>
      <c r="L82" s="5"/>
      <c r="M82" s="33">
        <f t="shared" si="12"/>
        <v>0</v>
      </c>
      <c r="N82" s="33">
        <f t="shared" si="12"/>
        <v>0</v>
      </c>
      <c r="O82" s="33">
        <f t="shared" si="12"/>
        <v>0</v>
      </c>
      <c r="P82" s="34">
        <f t="shared" si="12"/>
        <v>0</v>
      </c>
      <c r="Q82" s="33">
        <f t="shared" si="12"/>
        <v>0</v>
      </c>
    </row>
    <row r="83" spans="2:23" x14ac:dyDescent="0.25">
      <c r="D83" s="15"/>
      <c r="E83" s="10"/>
      <c r="J83" s="15"/>
      <c r="K83" s="15"/>
      <c r="L83" s="5"/>
      <c r="P83" s="15"/>
    </row>
    <row r="84" spans="2:23" x14ac:dyDescent="0.25">
      <c r="D84" s="99" t="s">
        <v>156</v>
      </c>
      <c r="E84" s="10" t="s">
        <v>20</v>
      </c>
      <c r="G84" s="12">
        <f>$G$103*K84</f>
        <v>3246.059770794272</v>
      </c>
      <c r="H84" s="12">
        <f>$H$103*K84</f>
        <v>492.80840534224609</v>
      </c>
      <c r="I84" s="12">
        <f>$I$103*K84</f>
        <v>3932.1318238634817</v>
      </c>
      <c r="J84" s="11">
        <v>0</v>
      </c>
      <c r="K84" s="11">
        <v>7671</v>
      </c>
      <c r="L84" s="5"/>
      <c r="M84" s="12">
        <f t="shared" ref="M84:Q85" si="13">G84</f>
        <v>3246.059770794272</v>
      </c>
      <c r="N84" s="12">
        <f t="shared" si="13"/>
        <v>492.80840534224609</v>
      </c>
      <c r="O84" s="12">
        <f t="shared" si="13"/>
        <v>3932.1318238634817</v>
      </c>
      <c r="P84" s="11">
        <f t="shared" si="13"/>
        <v>0</v>
      </c>
      <c r="Q84" s="12">
        <f>K84</f>
        <v>7671</v>
      </c>
      <c r="R84" s="12"/>
      <c r="S84" s="12"/>
      <c r="T84" s="12"/>
      <c r="U84" s="12"/>
      <c r="V84" s="12"/>
    </row>
    <row r="85" spans="2:23" x14ac:dyDescent="0.25">
      <c r="E85" s="10" t="s">
        <v>21</v>
      </c>
      <c r="G85" s="36">
        <f>$G$103*K85</f>
        <v>0</v>
      </c>
      <c r="H85" s="36">
        <f>$H$103*K85</f>
        <v>0</v>
      </c>
      <c r="I85" s="36">
        <f>$I$103*K85</f>
        <v>0</v>
      </c>
      <c r="J85" s="34">
        <v>0</v>
      </c>
      <c r="K85" s="34">
        <v>0</v>
      </c>
      <c r="L85" s="5"/>
      <c r="M85" s="33">
        <f t="shared" si="13"/>
        <v>0</v>
      </c>
      <c r="N85" s="33">
        <f t="shared" si="13"/>
        <v>0</v>
      </c>
      <c r="O85" s="33">
        <f t="shared" si="13"/>
        <v>0</v>
      </c>
      <c r="P85" s="34">
        <f t="shared" si="13"/>
        <v>0</v>
      </c>
      <c r="Q85" s="33">
        <f t="shared" si="13"/>
        <v>0</v>
      </c>
      <c r="R85" s="33"/>
      <c r="S85" s="33"/>
      <c r="T85" s="33"/>
      <c r="U85" s="33"/>
      <c r="V85" s="33"/>
    </row>
    <row r="86" spans="2:23" x14ac:dyDescent="0.25">
      <c r="E86" s="10"/>
      <c r="G86" s="36"/>
      <c r="H86" s="36"/>
      <c r="I86" s="36"/>
      <c r="J86" s="34"/>
      <c r="K86" s="34"/>
      <c r="L86" s="5"/>
      <c r="M86" s="33"/>
      <c r="N86" s="33"/>
      <c r="O86" s="33"/>
      <c r="P86" s="34"/>
      <c r="Q86" s="33"/>
      <c r="R86" s="33"/>
      <c r="S86" s="33"/>
      <c r="T86" s="33"/>
      <c r="U86" s="33"/>
      <c r="V86" s="33"/>
    </row>
    <row r="87" spans="2:23" x14ac:dyDescent="0.25">
      <c r="D87" s="15" t="s">
        <v>66</v>
      </c>
      <c r="E87" s="10" t="s">
        <v>20</v>
      </c>
      <c r="G87" s="12">
        <f>$G$103*K87</f>
        <v>0</v>
      </c>
      <c r="H87" s="12">
        <f>$H$103*K87</f>
        <v>0</v>
      </c>
      <c r="I87" s="12">
        <f>$I$103*K87</f>
        <v>0</v>
      </c>
      <c r="J87" s="11">
        <v>0</v>
      </c>
      <c r="K87" s="11">
        <v>0</v>
      </c>
      <c r="L87" s="5"/>
      <c r="M87" s="12">
        <f>G87</f>
        <v>0</v>
      </c>
      <c r="N87" s="12">
        <f>H87</f>
        <v>0</v>
      </c>
      <c r="O87" s="12">
        <f>I87</f>
        <v>0</v>
      </c>
      <c r="P87" s="11">
        <f>J87</f>
        <v>0</v>
      </c>
      <c r="Q87" s="12">
        <f>K87</f>
        <v>0</v>
      </c>
      <c r="R87" s="12"/>
      <c r="S87" s="12"/>
      <c r="T87" s="12"/>
      <c r="U87" s="12"/>
      <c r="V87" s="12"/>
    </row>
    <row r="88" spans="2:23" ht="13.8" thickBot="1" x14ac:dyDescent="0.3">
      <c r="D88" s="15"/>
      <c r="J88" s="15"/>
      <c r="L88" s="5"/>
      <c r="W88" s="38"/>
    </row>
    <row r="89" spans="2:23" ht="13.8" thickBot="1" x14ac:dyDescent="0.3">
      <c r="B89" s="2" t="s">
        <v>67</v>
      </c>
      <c r="E89" s="10" t="s">
        <v>20</v>
      </c>
      <c r="G89" s="31">
        <f>G60+G63+G66+G69+G72+G75+G78+G81+G84+G87</f>
        <v>167198.94885102758</v>
      </c>
      <c r="H89" s="31">
        <f t="shared" ref="H89:K89" si="14">H60+H63+H66+H69+H72+H75+H78+H81+H84+H87</f>
        <v>25383.712308542337</v>
      </c>
      <c r="I89" s="31">
        <f t="shared" si="14"/>
        <v>373686.33884043002</v>
      </c>
      <c r="J89" s="31">
        <f t="shared" si="14"/>
        <v>0</v>
      </c>
      <c r="K89" s="31">
        <f t="shared" si="14"/>
        <v>566269</v>
      </c>
      <c r="L89" s="32"/>
      <c r="M89" s="31">
        <f>M60+M63+M66+M69+M72+M75+M78+M81+M84+M87</f>
        <v>167198.94885102758</v>
      </c>
      <c r="N89" s="31">
        <f>N60+N63+N66+N69+N72+N75+N78+N81+N84+N87</f>
        <v>25383.712308542337</v>
      </c>
      <c r="O89" s="31">
        <f>O60+O63+O66+O69+O72+O75+O78+O81+O84+O87</f>
        <v>373686.33884043002</v>
      </c>
      <c r="P89" s="31">
        <f>P60+P63+P66+P69+P72+P75+P78+P81+P84+P87</f>
        <v>0</v>
      </c>
      <c r="Q89" s="31">
        <f>SUM(M89:P89)</f>
        <v>566269</v>
      </c>
      <c r="R89" s="86"/>
      <c r="S89" s="86"/>
      <c r="T89" s="86"/>
      <c r="U89" s="86"/>
      <c r="V89" s="86"/>
      <c r="W89" s="40"/>
    </row>
    <row r="90" spans="2:23" x14ac:dyDescent="0.25">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5">
      <c r="K91" s="12"/>
      <c r="L91" s="5"/>
      <c r="W91" s="12"/>
    </row>
    <row r="92" spans="2:23" ht="13.8" thickBot="1" x14ac:dyDescent="0.3">
      <c r="L92" s="5"/>
    </row>
    <row r="93" spans="2:23" ht="14.4" thickBot="1" x14ac:dyDescent="0.3">
      <c r="B93" s="6" t="s">
        <v>68</v>
      </c>
      <c r="G93" s="45">
        <f>G56+G89</f>
        <v>399753.60938807897</v>
      </c>
      <c r="H93" s="45">
        <f t="shared" ref="H93:K93" si="15">H56+H89</f>
        <v>171424.3840864693</v>
      </c>
      <c r="I93" s="45">
        <f t="shared" si="15"/>
        <v>594627.18186933489</v>
      </c>
      <c r="J93" s="45">
        <f t="shared" si="15"/>
        <v>0</v>
      </c>
      <c r="K93" s="45">
        <f t="shared" si="15"/>
        <v>1165805.1753438832</v>
      </c>
      <c r="L93" s="46">
        <f t="shared" ref="L93:Q93" si="16">L56+L89</f>
        <v>0</v>
      </c>
      <c r="M93" s="45">
        <f t="shared" si="16"/>
        <v>350582.82534095505</v>
      </c>
      <c r="N93" s="45">
        <f t="shared" si="16"/>
        <v>99000.513514280305</v>
      </c>
      <c r="O93" s="79">
        <f t="shared" si="16"/>
        <v>501248.07188077748</v>
      </c>
      <c r="P93" s="45">
        <f t="shared" si="16"/>
        <v>0</v>
      </c>
      <c r="Q93" s="45">
        <f t="shared" si="16"/>
        <v>950831.41073601297</v>
      </c>
      <c r="R93" s="86"/>
      <c r="S93" s="86"/>
      <c r="T93" s="86"/>
      <c r="U93" s="86"/>
      <c r="V93" s="86"/>
    </row>
    <row r="94" spans="2:23" ht="13.8" thickTop="1" x14ac:dyDescent="0.25">
      <c r="I94" s="77"/>
      <c r="L94" s="5"/>
      <c r="O94" s="80"/>
    </row>
    <row r="95" spans="2:23" x14ac:dyDescent="0.25">
      <c r="I95" s="77"/>
      <c r="K95" s="12"/>
      <c r="L95" s="5"/>
      <c r="O95" s="80"/>
    </row>
    <row r="96" spans="2:23" x14ac:dyDescent="0.25">
      <c r="I96" s="77"/>
      <c r="L96" s="5"/>
      <c r="O96" s="80"/>
    </row>
    <row r="97" spans="5:15" x14ac:dyDescent="0.25">
      <c r="I97" s="77"/>
      <c r="L97" s="5"/>
      <c r="O97" s="80"/>
    </row>
    <row r="98" spans="5:15" x14ac:dyDescent="0.25">
      <c r="I98" s="77"/>
      <c r="L98" s="5"/>
      <c r="O98" s="80"/>
    </row>
    <row r="99" spans="5:15" x14ac:dyDescent="0.25">
      <c r="I99" s="77"/>
      <c r="L99" s="5"/>
      <c r="O99" s="80"/>
    </row>
    <row r="100" spans="5:15" x14ac:dyDescent="0.25">
      <c r="I100" s="77"/>
      <c r="L100" s="5"/>
      <c r="O100" s="80"/>
    </row>
    <row r="101" spans="5:15" x14ac:dyDescent="0.25">
      <c r="I101" s="77"/>
      <c r="L101" s="5"/>
      <c r="O101" s="80"/>
    </row>
    <row r="102" spans="5:15" ht="13.8" thickBot="1" x14ac:dyDescent="0.3">
      <c r="L102" s="5"/>
    </row>
    <row r="103" spans="5:15" x14ac:dyDescent="0.25">
      <c r="E103" s="50"/>
      <c r="F103" s="51"/>
      <c r="G103" s="52">
        <f>G115</f>
        <v>0.423159923190493</v>
      </c>
      <c r="H103" s="52">
        <f>H115</f>
        <v>6.4243045931722864E-2</v>
      </c>
      <c r="I103" s="52">
        <f>I115</f>
        <v>0.51259703087778408</v>
      </c>
      <c r="J103" s="51"/>
      <c r="K103" s="53"/>
      <c r="L103" s="5"/>
      <c r="M103" s="47"/>
      <c r="N103" s="47"/>
      <c r="O103" s="47"/>
    </row>
    <row r="104" spans="5:15" x14ac:dyDescent="0.25">
      <c r="E104" s="54"/>
      <c r="F104" s="38"/>
      <c r="G104" s="38"/>
      <c r="H104" s="38"/>
      <c r="I104" s="38"/>
      <c r="J104" s="38"/>
      <c r="K104" s="55"/>
      <c r="L104" s="5"/>
      <c r="M104" s="48"/>
    </row>
    <row r="105" spans="5:15" x14ac:dyDescent="0.25">
      <c r="E105" s="54" t="s">
        <v>69</v>
      </c>
      <c r="F105" s="38"/>
      <c r="G105" s="38"/>
      <c r="H105" s="38"/>
      <c r="I105" s="38"/>
      <c r="J105" s="38"/>
      <c r="K105" s="56">
        <v>1054373</v>
      </c>
      <c r="L105" s="5"/>
      <c r="M105" s="49"/>
    </row>
    <row r="106" spans="5:15" x14ac:dyDescent="0.25">
      <c r="E106" s="54" t="s">
        <v>90</v>
      </c>
      <c r="F106" s="38"/>
      <c r="G106" s="38"/>
      <c r="H106" s="38"/>
      <c r="I106" s="38"/>
      <c r="J106" s="38"/>
      <c r="K106" s="56">
        <v>0</v>
      </c>
      <c r="L106" s="5"/>
      <c r="M106" s="49"/>
    </row>
    <row r="107" spans="5:15" x14ac:dyDescent="0.25">
      <c r="E107" s="54"/>
      <c r="F107" s="38"/>
      <c r="G107" s="38"/>
      <c r="H107" s="38"/>
      <c r="I107" s="38"/>
      <c r="J107" s="38"/>
      <c r="K107" s="56"/>
      <c r="L107" s="5"/>
      <c r="M107" s="49"/>
    </row>
    <row r="108" spans="5:15" x14ac:dyDescent="0.25">
      <c r="E108" s="54" t="s">
        <v>70</v>
      </c>
      <c r="F108" s="38"/>
      <c r="G108" s="38"/>
      <c r="H108" s="38"/>
      <c r="I108" s="38"/>
      <c r="J108" s="38"/>
      <c r="K108" s="72">
        <f>SUM(K105:K107)</f>
        <v>1054373</v>
      </c>
      <c r="L108" s="5"/>
      <c r="M108" s="49"/>
    </row>
    <row r="109" spans="5:15" x14ac:dyDescent="0.25">
      <c r="E109" s="54" t="s">
        <v>71</v>
      </c>
      <c r="F109" s="38"/>
      <c r="G109" s="38"/>
      <c r="H109" s="38"/>
      <c r="I109" s="38"/>
      <c r="J109" s="38"/>
      <c r="K109" s="56">
        <f>-K60</f>
        <v>-171149</v>
      </c>
      <c r="L109" s="5"/>
      <c r="M109" s="49"/>
    </row>
    <row r="110" spans="5:15" ht="13.8" thickBot="1" x14ac:dyDescent="0.3">
      <c r="E110" s="54" t="s">
        <v>72</v>
      </c>
      <c r="F110" s="38"/>
      <c r="G110" s="38"/>
      <c r="H110" s="38"/>
      <c r="I110" s="38"/>
      <c r="J110" s="38"/>
      <c r="K110" s="73">
        <f>SUM(K108:K109)</f>
        <v>883224</v>
      </c>
      <c r="L110" s="5"/>
      <c r="M110" s="49"/>
    </row>
    <row r="111" spans="5:15" ht="13.8" thickTop="1" x14ac:dyDescent="0.25">
      <c r="E111" s="54"/>
      <c r="F111" s="38"/>
      <c r="G111" s="38"/>
      <c r="H111" s="38"/>
      <c r="I111" s="38"/>
      <c r="J111" s="94" t="s">
        <v>95</v>
      </c>
      <c r="K111" s="56"/>
      <c r="L111" s="5"/>
      <c r="M111" s="49"/>
    </row>
    <row r="112" spans="5:15" x14ac:dyDescent="0.25">
      <c r="E112" s="57" t="s">
        <v>73</v>
      </c>
      <c r="F112" s="38"/>
      <c r="G112" s="59">
        <v>344250</v>
      </c>
      <c r="H112" s="59">
        <v>56741</v>
      </c>
      <c r="I112" s="59">
        <v>623887</v>
      </c>
      <c r="J112" s="59">
        <v>21127</v>
      </c>
      <c r="K112" s="56"/>
      <c r="L112" s="5"/>
      <c r="M112" s="49"/>
    </row>
    <row r="113" spans="2:13" x14ac:dyDescent="0.25">
      <c r="E113" s="54" t="s">
        <v>74</v>
      </c>
      <c r="F113" s="38"/>
      <c r="G113" s="63"/>
      <c r="H113" s="61"/>
      <c r="I113" s="61">
        <f>-K60</f>
        <v>-171149</v>
      </c>
      <c r="K113" s="55"/>
      <c r="L113" s="5"/>
    </row>
    <row r="114" spans="2:13" ht="13.8" thickBot="1" x14ac:dyDescent="0.3">
      <c r="E114" s="54" t="s">
        <v>75</v>
      </c>
      <c r="F114" s="38"/>
      <c r="G114" s="64">
        <f>G112</f>
        <v>344250</v>
      </c>
      <c r="H114" s="64">
        <f>SUM(H112:H113)</f>
        <v>56741</v>
      </c>
      <c r="I114" s="64">
        <f>SUM(I112:I113)</f>
        <v>452738</v>
      </c>
      <c r="J114" s="65"/>
      <c r="K114" s="56"/>
      <c r="L114" s="5"/>
    </row>
    <row r="115" spans="2:13" ht="14.4" thickTop="1" thickBot="1" x14ac:dyDescent="0.3">
      <c r="E115" s="54" t="s">
        <v>76</v>
      </c>
      <c r="F115" s="38"/>
      <c r="G115" s="66">
        <f>1-(H115+I115)</f>
        <v>0.423159923190493</v>
      </c>
      <c r="H115" s="66">
        <f>H$114/$K$110</f>
        <v>6.4243045931722864E-2</v>
      </c>
      <c r="I115" s="66">
        <f>I$114/$K$110</f>
        <v>0.51259703087778408</v>
      </c>
      <c r="J115" s="49"/>
      <c r="K115" s="56"/>
      <c r="L115" s="5"/>
    </row>
    <row r="116" spans="2:13" ht="14.4" thickTop="1" thickBot="1" x14ac:dyDescent="0.3">
      <c r="E116" s="67"/>
      <c r="F116" s="68"/>
      <c r="G116" s="69" t="s">
        <v>77</v>
      </c>
      <c r="H116" s="69" t="s">
        <v>78</v>
      </c>
      <c r="I116" s="69" t="s">
        <v>79</v>
      </c>
      <c r="J116" s="68"/>
      <c r="K116" s="70"/>
      <c r="L116" s="5"/>
    </row>
    <row r="117" spans="2:13" x14ac:dyDescent="0.25">
      <c r="J117" s="51"/>
      <c r="K117" s="74"/>
      <c r="L117" s="15"/>
    </row>
    <row r="118" spans="2:13" x14ac:dyDescent="0.25">
      <c r="J118" s="38"/>
      <c r="K118" s="63"/>
      <c r="L118" s="15"/>
    </row>
    <row r="119" spans="2:13" x14ac:dyDescent="0.25">
      <c r="B119" s="2" t="s">
        <v>83</v>
      </c>
      <c r="C119" s="2"/>
      <c r="D119" s="2" t="s">
        <v>151</v>
      </c>
      <c r="E119" s="78"/>
      <c r="F119" s="71"/>
      <c r="G119" s="49"/>
      <c r="H119" s="49"/>
      <c r="I119" s="88"/>
      <c r="J119" s="89"/>
      <c r="K119" s="90"/>
      <c r="L119" s="15"/>
    </row>
    <row r="120" spans="2:13" x14ac:dyDescent="0.25">
      <c r="B120" s="2" t="s">
        <v>84</v>
      </c>
      <c r="C120" s="2"/>
      <c r="D120" s="2"/>
      <c r="E120" s="71"/>
      <c r="F120" s="71"/>
      <c r="G120" s="71"/>
      <c r="H120" s="71"/>
      <c r="I120" s="88"/>
      <c r="J120" s="89"/>
      <c r="K120" s="89"/>
      <c r="M120" s="62"/>
    </row>
    <row r="121" spans="2:13" x14ac:dyDescent="0.25">
      <c r="B121" s="2" t="s">
        <v>80</v>
      </c>
      <c r="C121" s="2"/>
      <c r="D121" s="139" t="s">
        <v>154</v>
      </c>
      <c r="E121" s="71"/>
      <c r="F121" s="71"/>
      <c r="G121" s="71"/>
      <c r="H121" s="49"/>
      <c r="I121" s="49"/>
      <c r="J121" s="38"/>
      <c r="K121" s="38"/>
    </row>
    <row r="122" spans="2:13" x14ac:dyDescent="0.25">
      <c r="B122" s="2" t="s">
        <v>82</v>
      </c>
      <c r="C122" s="2"/>
      <c r="D122" s="139"/>
      <c r="E122" s="71"/>
      <c r="F122" s="71"/>
      <c r="G122" s="75"/>
      <c r="H122" s="75"/>
      <c r="I122" s="75"/>
    </row>
    <row r="123" spans="2:13" x14ac:dyDescent="0.25">
      <c r="B123" s="2" t="s">
        <v>81</v>
      </c>
      <c r="C123" s="2"/>
      <c r="D123" s="139"/>
      <c r="E123" s="71"/>
      <c r="F123" s="71"/>
      <c r="G123" s="49"/>
      <c r="H123" s="49"/>
      <c r="I123" s="49"/>
    </row>
    <row r="124" spans="2:13" x14ac:dyDescent="0.25">
      <c r="E124" s="71"/>
      <c r="F124" s="71"/>
      <c r="G124" s="75"/>
      <c r="H124" s="75"/>
      <c r="I124" s="75"/>
    </row>
    <row r="125" spans="2:13" x14ac:dyDescent="0.25">
      <c r="B125" s="2" t="s">
        <v>91</v>
      </c>
      <c r="D125" s="2" t="s">
        <v>142</v>
      </c>
      <c r="E125" s="71"/>
      <c r="F125" s="71"/>
      <c r="G125" s="76"/>
      <c r="H125" s="76"/>
      <c r="I125" s="76"/>
      <c r="J125" s="38"/>
    </row>
    <row r="126" spans="2:13" x14ac:dyDescent="0.25">
      <c r="D126" s="92" t="s">
        <v>125</v>
      </c>
      <c r="G126" s="63"/>
      <c r="H126" s="63"/>
      <c r="I126" s="63"/>
      <c r="J126" s="38"/>
    </row>
    <row r="127" spans="2:13" x14ac:dyDescent="0.25">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H22" sqref="H22"/>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2.4414062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ht="21" thickBot="1" x14ac:dyDescent="0.4">
      <c r="B2" s="1" t="s">
        <v>0</v>
      </c>
      <c r="C2" s="2"/>
      <c r="D2" s="2"/>
      <c r="E2" s="2"/>
      <c r="F2" s="2"/>
      <c r="G2" s="134" t="s">
        <v>163</v>
      </c>
      <c r="H2" s="134"/>
      <c r="I2" s="134"/>
      <c r="J2" s="134"/>
      <c r="K2" s="134"/>
      <c r="L2" s="5"/>
      <c r="M2" s="134" t="s">
        <v>164</v>
      </c>
      <c r="N2" s="134"/>
      <c r="O2" s="134"/>
      <c r="P2" s="134"/>
      <c r="Q2" s="134"/>
      <c r="R2" s="83"/>
      <c r="S2" s="83"/>
      <c r="T2" s="83"/>
      <c r="U2" s="83"/>
      <c r="V2" s="83"/>
    </row>
    <row r="3" spans="2:24" ht="20.399999999999999" x14ac:dyDescent="0.35">
      <c r="B3" s="1" t="s">
        <v>1</v>
      </c>
      <c r="C3" s="2"/>
      <c r="D3" s="2"/>
      <c r="L3" s="5"/>
    </row>
    <row r="4" spans="2:24" x14ac:dyDescent="0.25">
      <c r="B4" s="2" t="s">
        <v>162</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5">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5">
      <c r="D6" s="81"/>
      <c r="E6" s="15"/>
      <c r="F6" s="15"/>
      <c r="G6" s="7"/>
      <c r="H6" s="7" t="s">
        <v>14</v>
      </c>
      <c r="I6" s="7"/>
      <c r="J6" s="7"/>
      <c r="K6" s="7"/>
      <c r="L6" s="5"/>
      <c r="M6" s="7"/>
      <c r="N6" s="7" t="s">
        <v>14</v>
      </c>
      <c r="O6" s="7"/>
      <c r="P6" s="7"/>
      <c r="Q6" s="7"/>
      <c r="R6" s="7"/>
      <c r="S6" s="7"/>
      <c r="T6" s="7"/>
      <c r="U6" s="7"/>
      <c r="V6" s="7"/>
    </row>
    <row r="7" spans="2:24" ht="13.8" thickBot="1" x14ac:dyDescent="0.3">
      <c r="B7" s="2"/>
      <c r="E7" s="15"/>
      <c r="F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5">
      <c r="B8" s="2"/>
      <c r="E8" s="15"/>
      <c r="F8" s="15"/>
      <c r="G8" s="9"/>
      <c r="H8" s="9"/>
      <c r="I8" s="9"/>
      <c r="J8" s="9"/>
      <c r="K8" s="9"/>
      <c r="L8" s="5"/>
      <c r="M8" s="9"/>
      <c r="N8" s="9"/>
      <c r="O8" s="9"/>
      <c r="P8" s="9"/>
      <c r="Q8" s="9"/>
      <c r="R8" s="87"/>
      <c r="S8" s="87"/>
      <c r="T8" s="87"/>
      <c r="U8" s="87"/>
      <c r="V8" s="87"/>
    </row>
    <row r="9" spans="2:24" ht="14.4" thickBot="1" x14ac:dyDescent="0.3">
      <c r="B9" s="6" t="s">
        <v>3</v>
      </c>
      <c r="D9" s="3" t="s">
        <v>19</v>
      </c>
      <c r="E9" s="18" t="s">
        <v>20</v>
      </c>
      <c r="F9" s="18"/>
      <c r="G9" s="11">
        <v>15379</v>
      </c>
      <c r="H9" s="11">
        <v>2977</v>
      </c>
      <c r="I9" s="11">
        <v>31253</v>
      </c>
      <c r="J9" s="12">
        <v>0</v>
      </c>
      <c r="K9" s="11">
        <v>49609</v>
      </c>
      <c r="L9" s="5"/>
      <c r="M9" s="11">
        <v>0</v>
      </c>
      <c r="N9" s="11">
        <v>0</v>
      </c>
      <c r="O9" s="11">
        <v>0</v>
      </c>
      <c r="P9" s="12">
        <v>0</v>
      </c>
      <c r="Q9" s="12">
        <f>SUM(M9:P9)</f>
        <v>0</v>
      </c>
      <c r="R9" s="12"/>
      <c r="S9" s="12"/>
      <c r="T9" s="12"/>
      <c r="U9" s="12"/>
      <c r="V9" s="12"/>
    </row>
    <row r="10" spans="2:24" x14ac:dyDescent="0.25">
      <c r="B10" s="2" t="s">
        <v>9</v>
      </c>
      <c r="E10" s="18" t="s">
        <v>21</v>
      </c>
      <c r="F10" s="18"/>
      <c r="G10" s="13">
        <v>323.7</v>
      </c>
      <c r="H10" s="13">
        <v>62.7</v>
      </c>
      <c r="I10" s="13">
        <v>657.9</v>
      </c>
      <c r="J10" s="14">
        <v>0</v>
      </c>
      <c r="K10" s="13">
        <v>1044.3</v>
      </c>
      <c r="L10" s="5"/>
      <c r="M10" s="13">
        <f>G10</f>
        <v>323.7</v>
      </c>
      <c r="N10" s="13">
        <f>H10</f>
        <v>62.7</v>
      </c>
      <c r="O10" s="13">
        <f>I10</f>
        <v>657.9</v>
      </c>
      <c r="P10" s="14">
        <v>0</v>
      </c>
      <c r="Q10" s="14">
        <f>SUM(M10:P10)</f>
        <v>1044.3</v>
      </c>
      <c r="R10" s="85"/>
      <c r="S10" s="85"/>
      <c r="T10" s="85"/>
      <c r="U10" s="85"/>
      <c r="V10" s="85"/>
    </row>
    <row r="11" spans="2:24" x14ac:dyDescent="0.25">
      <c r="E11" s="18"/>
      <c r="F11" s="18"/>
      <c r="G11" s="15"/>
      <c r="H11" s="11"/>
      <c r="I11" s="15"/>
      <c r="K11" s="15"/>
      <c r="L11" s="5"/>
      <c r="M11" s="15"/>
      <c r="N11" s="15"/>
      <c r="O11" s="15"/>
    </row>
    <row r="12" spans="2:24" ht="13.8" thickBot="1" x14ac:dyDescent="0.3">
      <c r="D12" s="3" t="s">
        <v>22</v>
      </c>
      <c r="E12" s="18" t="s">
        <v>20</v>
      </c>
      <c r="F12" s="18"/>
      <c r="G12" s="11">
        <v>67827</v>
      </c>
      <c r="H12" s="11">
        <v>13128</v>
      </c>
      <c r="I12" s="11">
        <v>137843</v>
      </c>
      <c r="J12" s="12">
        <v>0</v>
      </c>
      <c r="K12" s="11">
        <v>218798</v>
      </c>
      <c r="L12" s="5"/>
      <c r="M12" s="11">
        <f t="shared" ref="M12:P13" si="0">G12</f>
        <v>67827</v>
      </c>
      <c r="N12" s="11">
        <f t="shared" si="0"/>
        <v>13128</v>
      </c>
      <c r="O12" s="11">
        <f t="shared" si="0"/>
        <v>137843</v>
      </c>
      <c r="P12" s="11">
        <f t="shared" si="0"/>
        <v>0</v>
      </c>
      <c r="Q12" s="12">
        <f>SUM(M12:P12)</f>
        <v>218798</v>
      </c>
      <c r="R12" s="12"/>
      <c r="S12" s="12"/>
      <c r="T12" s="12"/>
      <c r="U12" s="12"/>
      <c r="V12" s="12"/>
    </row>
    <row r="13" spans="2:24" ht="13.8" thickBot="1" x14ac:dyDescent="0.3">
      <c r="E13" s="18" t="s">
        <v>21</v>
      </c>
      <c r="F13" s="18"/>
      <c r="G13" s="13">
        <v>1153.4000000000001</v>
      </c>
      <c r="H13" s="13">
        <v>223.6</v>
      </c>
      <c r="I13" s="13">
        <v>2345.8000000000002</v>
      </c>
      <c r="J13" s="14">
        <v>0</v>
      </c>
      <c r="K13" s="13">
        <v>3722.8</v>
      </c>
      <c r="L13" s="5"/>
      <c r="M13" s="13">
        <f t="shared" si="0"/>
        <v>1153.4000000000001</v>
      </c>
      <c r="N13" s="13">
        <f t="shared" si="0"/>
        <v>223.6</v>
      </c>
      <c r="O13" s="13">
        <f t="shared" si="0"/>
        <v>2345.8000000000002</v>
      </c>
      <c r="P13" s="14">
        <v>0</v>
      </c>
      <c r="Q13" s="14">
        <f>SUM(M13:P13)</f>
        <v>3722.8</v>
      </c>
      <c r="R13" s="85"/>
      <c r="S13" s="85"/>
      <c r="T13" s="85"/>
      <c r="U13" s="85"/>
      <c r="V13" s="85"/>
    </row>
    <row r="14" spans="2:24" x14ac:dyDescent="0.25">
      <c r="E14" s="15"/>
      <c r="F14" s="15"/>
      <c r="G14" s="15"/>
      <c r="H14" s="15"/>
      <c r="I14" s="15"/>
      <c r="K14" s="15"/>
      <c r="L14" s="5"/>
      <c r="M14" s="15"/>
      <c r="N14" s="15"/>
      <c r="O14" s="15"/>
      <c r="X14" s="16" t="s">
        <v>86</v>
      </c>
    </row>
    <row r="15" spans="2:24" x14ac:dyDescent="0.25">
      <c r="D15" s="3" t="s">
        <v>23</v>
      </c>
      <c r="E15" s="18" t="s">
        <v>24</v>
      </c>
      <c r="F15" s="18"/>
      <c r="G15" s="11">
        <f>5538+(11087*(G10/K10))</f>
        <v>8974.6196495259974</v>
      </c>
      <c r="H15" s="11">
        <f>1073+(11087*(H10/K10))</f>
        <v>1738.6659006032751</v>
      </c>
      <c r="I15" s="11">
        <f>11087*(I10/K10)</f>
        <v>6984.7144498707266</v>
      </c>
      <c r="J15" s="12"/>
      <c r="K15" s="11">
        <f t="shared" ref="K15:K20" si="1">SUM(G15:J15)</f>
        <v>17698</v>
      </c>
      <c r="L15" s="5"/>
      <c r="M15" s="11">
        <v>0</v>
      </c>
      <c r="N15" s="11">
        <v>0</v>
      </c>
      <c r="O15" s="11">
        <v>0</v>
      </c>
      <c r="P15" s="12">
        <v>0</v>
      </c>
      <c r="Q15" s="12">
        <f t="shared" ref="Q15:Q20" si="2">SUM(M15:P15)</f>
        <v>0</v>
      </c>
      <c r="R15" s="12"/>
      <c r="S15" s="12"/>
      <c r="T15" s="12"/>
      <c r="U15" s="12"/>
      <c r="V15" s="12"/>
      <c r="X15" s="17"/>
    </row>
    <row r="16" spans="2:24" x14ac:dyDescent="0.25">
      <c r="D16" s="3" t="s">
        <v>25</v>
      </c>
      <c r="E16" s="18" t="s">
        <v>26</v>
      </c>
      <c r="F16" s="18"/>
      <c r="G16" s="11">
        <f>7664+(15576*(G13/K13))</f>
        <v>12489.76512302568</v>
      </c>
      <c r="H16" s="11">
        <f>1483+(15576*(H13/K13))</f>
        <v>2418.5306758353927</v>
      </c>
      <c r="I16" s="11">
        <f>15576*(I13/K13)</f>
        <v>9814.7042011389294</v>
      </c>
      <c r="J16" s="12"/>
      <c r="K16" s="11">
        <f t="shared" si="1"/>
        <v>24723</v>
      </c>
      <c r="L16" s="5"/>
      <c r="M16" s="11">
        <f>G16</f>
        <v>12489.76512302568</v>
      </c>
      <c r="N16" s="11">
        <f>H16</f>
        <v>2418.5306758353927</v>
      </c>
      <c r="O16" s="11">
        <f>I16</f>
        <v>9814.7042011389294</v>
      </c>
      <c r="P16" s="11">
        <f>J16</f>
        <v>0</v>
      </c>
      <c r="Q16" s="12">
        <f t="shared" si="2"/>
        <v>24723</v>
      </c>
      <c r="R16" s="12"/>
      <c r="S16" s="12"/>
      <c r="T16" s="12"/>
      <c r="U16" s="12"/>
      <c r="V16" s="12"/>
      <c r="X16" s="17" t="s">
        <v>87</v>
      </c>
    </row>
    <row r="17" spans="2:24" x14ac:dyDescent="0.25">
      <c r="E17" s="18" t="s">
        <v>27</v>
      </c>
      <c r="F17" s="18"/>
      <c r="G17" s="11">
        <f>590+(1199*(G10/K10))</f>
        <v>961.6521114622235</v>
      </c>
      <c r="H17" s="11">
        <f>114+(1199*(H10/K10))</f>
        <v>185.98822177535192</v>
      </c>
      <c r="I17" s="11">
        <f>1199*(I10/K10)</f>
        <v>755.35966676242458</v>
      </c>
      <c r="J17" s="12"/>
      <c r="K17" s="11">
        <f t="shared" si="1"/>
        <v>1903</v>
      </c>
      <c r="L17" s="5"/>
      <c r="M17" s="11">
        <v>0</v>
      </c>
      <c r="N17" s="11">
        <v>0</v>
      </c>
      <c r="O17" s="11">
        <v>0</v>
      </c>
      <c r="P17" s="12">
        <v>0</v>
      </c>
      <c r="Q17" s="12">
        <f t="shared" si="2"/>
        <v>0</v>
      </c>
      <c r="R17" s="12"/>
      <c r="S17" s="12"/>
      <c r="T17" s="12"/>
      <c r="U17" s="12"/>
      <c r="V17" s="12"/>
      <c r="X17" s="19">
        <f>395196+21379</f>
        <v>416575</v>
      </c>
    </row>
    <row r="18" spans="2:24" x14ac:dyDescent="0.25">
      <c r="E18" s="18" t="s">
        <v>28</v>
      </c>
      <c r="F18" s="18"/>
      <c r="G18" s="20">
        <v>5779</v>
      </c>
      <c r="H18" s="11">
        <v>1118</v>
      </c>
      <c r="I18" s="11">
        <v>11747</v>
      </c>
      <c r="J18" s="12">
        <v>0</v>
      </c>
      <c r="K18" s="11">
        <f t="shared" si="1"/>
        <v>18644</v>
      </c>
      <c r="L18" s="5"/>
      <c r="M18" s="11">
        <v>0</v>
      </c>
      <c r="N18" s="11">
        <v>0</v>
      </c>
      <c r="O18" s="11">
        <v>0</v>
      </c>
      <c r="P18" s="12">
        <v>0</v>
      </c>
      <c r="Q18" s="12">
        <f t="shared" si="2"/>
        <v>0</v>
      </c>
      <c r="R18" s="12"/>
      <c r="S18" s="12"/>
      <c r="T18" s="12"/>
      <c r="U18" s="12"/>
      <c r="V18" s="12"/>
      <c r="X18" s="17"/>
    </row>
    <row r="19" spans="2:24" x14ac:dyDescent="0.25">
      <c r="E19" s="18" t="s">
        <v>29</v>
      </c>
      <c r="F19" s="18"/>
      <c r="G19" s="11">
        <v>121711</v>
      </c>
      <c r="H19" s="11">
        <v>20349</v>
      </c>
      <c r="I19" s="11">
        <v>0</v>
      </c>
      <c r="J19" s="12">
        <v>0</v>
      </c>
      <c r="K19" s="11">
        <f t="shared" si="1"/>
        <v>142060</v>
      </c>
      <c r="L19" s="5"/>
      <c r="M19" s="11">
        <f>G19</f>
        <v>121711</v>
      </c>
      <c r="N19" s="11">
        <f>H19</f>
        <v>20349</v>
      </c>
      <c r="O19" s="11">
        <f>I19</f>
        <v>0</v>
      </c>
      <c r="P19" s="11">
        <f>J19</f>
        <v>0</v>
      </c>
      <c r="Q19" s="12">
        <f t="shared" si="2"/>
        <v>142060</v>
      </c>
      <c r="R19" s="12"/>
      <c r="S19" s="12"/>
      <c r="T19" s="12"/>
      <c r="U19" s="12"/>
      <c r="V19" s="12"/>
      <c r="X19" s="17" t="s">
        <v>88</v>
      </c>
    </row>
    <row r="20" spans="2:24" x14ac:dyDescent="0.25">
      <c r="E20" s="18" t="s">
        <v>30</v>
      </c>
      <c r="F20" s="18"/>
      <c r="G20" s="21">
        <v>3138</v>
      </c>
      <c r="H20" s="21">
        <v>92</v>
      </c>
      <c r="I20" s="21">
        <v>3887</v>
      </c>
      <c r="J20" s="22">
        <v>0</v>
      </c>
      <c r="K20" s="21">
        <f t="shared" si="1"/>
        <v>7117</v>
      </c>
      <c r="L20" s="5"/>
      <c r="M20" s="11">
        <v>0</v>
      </c>
      <c r="N20" s="11">
        <v>0</v>
      </c>
      <c r="O20" s="11">
        <v>0</v>
      </c>
      <c r="P20" s="12">
        <v>0</v>
      </c>
      <c r="Q20" s="12">
        <f t="shared" si="2"/>
        <v>0</v>
      </c>
      <c r="R20" s="12"/>
      <c r="S20" s="12"/>
      <c r="T20" s="12"/>
      <c r="U20" s="12"/>
      <c r="V20" s="12"/>
      <c r="X20" s="19">
        <f>31030+1679</f>
        <v>32709</v>
      </c>
    </row>
    <row r="21" spans="2:24" x14ac:dyDescent="0.25">
      <c r="D21" s="2" t="s">
        <v>31</v>
      </c>
      <c r="E21" s="18"/>
      <c r="F21" s="18"/>
      <c r="G21" s="23">
        <f>G9+G12+SUM(G15:G20)</f>
        <v>236260.03688401391</v>
      </c>
      <c r="H21" s="23">
        <f>H9+H12+SUM(H15:H20)</f>
        <v>42007.184798214017</v>
      </c>
      <c r="I21" s="23">
        <f>I9+I12+SUM(I15:I20)</f>
        <v>202284.77831777208</v>
      </c>
      <c r="J21" s="23">
        <f t="shared" ref="J21:K21" si="3">J9+J12+SUM(J15:J20)</f>
        <v>0</v>
      </c>
      <c r="K21" s="23">
        <f t="shared" si="3"/>
        <v>480552</v>
      </c>
      <c r="L21" s="5"/>
      <c r="M21" s="25">
        <f>M9+M12+SUM(M15:M20)</f>
        <v>202027.76512302569</v>
      </c>
      <c r="N21" s="25">
        <f>N9+N12+SUM(N15:N20)</f>
        <v>35895.530675835391</v>
      </c>
      <c r="O21" s="25">
        <f>O9+O12+SUM(O15:O20)</f>
        <v>147657.70420113893</v>
      </c>
      <c r="P21" s="26">
        <f>P9+P12+SUM(P15:P20)</f>
        <v>0</v>
      </c>
      <c r="Q21" s="26">
        <f>Q9+Q12+SUM(Q15:Q20)</f>
        <v>385581</v>
      </c>
      <c r="R21" s="86"/>
      <c r="S21" s="86"/>
      <c r="T21" s="86"/>
      <c r="U21" s="86"/>
      <c r="V21" s="86"/>
      <c r="X21" s="17"/>
    </row>
    <row r="22" spans="2:24" x14ac:dyDescent="0.25">
      <c r="E22" s="18"/>
      <c r="F22" s="18"/>
      <c r="G22" s="11"/>
      <c r="H22" s="11"/>
      <c r="I22" s="11"/>
      <c r="J22" s="12"/>
      <c r="K22" s="11"/>
      <c r="L22" s="5"/>
      <c r="M22" s="27"/>
      <c r="N22" s="11"/>
      <c r="O22" s="11"/>
      <c r="P22" s="12"/>
      <c r="Q22" s="12"/>
      <c r="R22" s="12"/>
      <c r="S22" s="12"/>
      <c r="T22" s="12"/>
      <c r="U22" s="12"/>
      <c r="V22" s="12"/>
      <c r="X22" s="17" t="s">
        <v>89</v>
      </c>
    </row>
    <row r="23" spans="2:24" ht="13.8" thickBot="1" x14ac:dyDescent="0.3">
      <c r="B23" s="2" t="s">
        <v>32</v>
      </c>
      <c r="E23" s="18" t="s">
        <v>33</v>
      </c>
      <c r="F23" s="18"/>
      <c r="G23" s="21">
        <v>23462</v>
      </c>
      <c r="H23" s="21">
        <v>4159</v>
      </c>
      <c r="I23" s="21">
        <v>47739</v>
      </c>
      <c r="J23" s="22">
        <v>0</v>
      </c>
      <c r="K23" s="21">
        <v>75360</v>
      </c>
      <c r="L23" s="5"/>
      <c r="M23" s="21">
        <f>$Q$23*G$115</f>
        <v>2398.6130916189895</v>
      </c>
      <c r="N23" s="21">
        <f>$Q$23*H$115</f>
        <v>377.24520883168162</v>
      </c>
      <c r="O23" s="21">
        <f>$Q$23*I$115</f>
        <v>3141.3240556676751</v>
      </c>
      <c r="P23" s="21">
        <v>0</v>
      </c>
      <c r="Q23" s="21">
        <f>K23*X23</f>
        <v>5917.1823561183464</v>
      </c>
      <c r="R23" s="29"/>
      <c r="S23" s="29"/>
      <c r="T23" s="29"/>
      <c r="U23" s="29"/>
      <c r="V23" s="29"/>
      <c r="X23" s="28">
        <f>X20/X17</f>
        <v>7.8518874152313511E-2</v>
      </c>
    </row>
    <row r="24" spans="2:24" x14ac:dyDescent="0.25">
      <c r="B24" s="2"/>
      <c r="D24" s="2" t="s">
        <v>34</v>
      </c>
      <c r="E24" s="18"/>
      <c r="F24" s="18"/>
      <c r="G24" s="23">
        <v>23462</v>
      </c>
      <c r="H24" s="23">
        <v>4159</v>
      </c>
      <c r="I24" s="23">
        <v>47739</v>
      </c>
      <c r="J24" s="24">
        <v>0</v>
      </c>
      <c r="K24" s="23">
        <v>75360</v>
      </c>
      <c r="L24" s="5"/>
      <c r="M24" s="23">
        <f>SUM(M23)</f>
        <v>2398.6130916189895</v>
      </c>
      <c r="N24" s="23">
        <f>SUM(N23)</f>
        <v>377.24520883168162</v>
      </c>
      <c r="O24" s="23">
        <f>SUM(O23)</f>
        <v>3141.3240556676751</v>
      </c>
      <c r="P24" s="24">
        <f>SUM(P23)</f>
        <v>0</v>
      </c>
      <c r="Q24" s="24">
        <f>SUM(M24:P24)</f>
        <v>5917.1823561183464</v>
      </c>
      <c r="R24" s="24"/>
      <c r="S24" s="24"/>
      <c r="T24" s="24"/>
      <c r="U24" s="24"/>
      <c r="V24" s="24"/>
    </row>
    <row r="25" spans="2:24" x14ac:dyDescent="0.25">
      <c r="B25" s="2"/>
      <c r="E25" s="15"/>
      <c r="F25" s="15"/>
      <c r="G25" s="15"/>
      <c r="H25" s="15"/>
      <c r="I25" s="15"/>
      <c r="K25" s="15"/>
      <c r="L25" s="5"/>
      <c r="M25" s="15"/>
      <c r="N25" s="15"/>
      <c r="O25" s="15"/>
    </row>
    <row r="26" spans="2:24" x14ac:dyDescent="0.25">
      <c r="B26" s="2" t="s">
        <v>35</v>
      </c>
      <c r="E26" s="18" t="s">
        <v>36</v>
      </c>
      <c r="F26" s="18"/>
      <c r="G26" s="11">
        <v>389</v>
      </c>
      <c r="H26" s="11">
        <v>67</v>
      </c>
      <c r="I26" s="11">
        <v>795</v>
      </c>
      <c r="J26" s="12">
        <v>0</v>
      </c>
      <c r="K26" s="11">
        <f t="shared" ref="K26:K31" si="4">SUM(G26:J26)</f>
        <v>1251</v>
      </c>
      <c r="L26" s="5"/>
      <c r="M26" s="29">
        <v>0</v>
      </c>
      <c r="N26" s="29">
        <v>0</v>
      </c>
      <c r="O26" s="29">
        <v>0</v>
      </c>
      <c r="P26" s="12">
        <v>0</v>
      </c>
      <c r="Q26" s="12">
        <f t="shared" ref="Q26:Q31" si="5">SUM(M26:P26)</f>
        <v>0</v>
      </c>
      <c r="R26" s="12"/>
      <c r="S26" s="12"/>
      <c r="T26" s="12"/>
      <c r="U26" s="12"/>
      <c r="V26" s="12"/>
    </row>
    <row r="27" spans="2:24" x14ac:dyDescent="0.25">
      <c r="B27" s="2"/>
      <c r="E27" s="18" t="s">
        <v>37</v>
      </c>
      <c r="F27" s="18"/>
      <c r="G27" s="11">
        <v>1378</v>
      </c>
      <c r="H27" s="11">
        <v>266</v>
      </c>
      <c r="I27" s="11">
        <v>2801</v>
      </c>
      <c r="J27" s="12">
        <v>0</v>
      </c>
      <c r="K27" s="11">
        <f t="shared" si="4"/>
        <v>4445</v>
      </c>
      <c r="L27" s="5"/>
      <c r="M27" s="11">
        <f>G27</f>
        <v>1378</v>
      </c>
      <c r="N27" s="11">
        <f>H27</f>
        <v>266</v>
      </c>
      <c r="O27" s="11">
        <f>I27</f>
        <v>2801</v>
      </c>
      <c r="P27" s="11">
        <f>J27</f>
        <v>0</v>
      </c>
      <c r="Q27" s="12">
        <f>SUM(M27:P27)</f>
        <v>4445</v>
      </c>
      <c r="R27" s="12"/>
      <c r="S27" s="12"/>
      <c r="T27" s="12"/>
      <c r="U27" s="12"/>
      <c r="V27" s="12"/>
    </row>
    <row r="28" spans="2:24" x14ac:dyDescent="0.25">
      <c r="B28" s="2"/>
      <c r="E28" s="15" t="s">
        <v>38</v>
      </c>
      <c r="F28" s="15"/>
      <c r="G28" s="11"/>
      <c r="H28" s="11">
        <v>0</v>
      </c>
      <c r="I28" s="11">
        <v>0</v>
      </c>
      <c r="J28" s="12">
        <v>0</v>
      </c>
      <c r="K28" s="11">
        <f t="shared" si="4"/>
        <v>0</v>
      </c>
      <c r="L28" s="5"/>
      <c r="M28" s="11">
        <v>0</v>
      </c>
      <c r="N28" s="11">
        <v>0</v>
      </c>
      <c r="O28" s="11">
        <v>0</v>
      </c>
      <c r="P28" s="12">
        <v>0</v>
      </c>
      <c r="Q28" s="12">
        <f t="shared" si="5"/>
        <v>0</v>
      </c>
      <c r="R28" s="12"/>
      <c r="S28" s="12"/>
      <c r="T28" s="12"/>
      <c r="U28" s="12"/>
      <c r="V28" s="12"/>
    </row>
    <row r="29" spans="2:24" x14ac:dyDescent="0.25">
      <c r="B29" s="2"/>
      <c r="E29" s="18" t="s">
        <v>39</v>
      </c>
      <c r="F29" s="18"/>
      <c r="G29" s="11">
        <v>1169</v>
      </c>
      <c r="H29" s="11">
        <v>226</v>
      </c>
      <c r="I29" s="11">
        <v>2377</v>
      </c>
      <c r="J29" s="12">
        <v>0</v>
      </c>
      <c r="K29" s="11">
        <f t="shared" si="4"/>
        <v>3772</v>
      </c>
      <c r="L29" s="5"/>
      <c r="M29" s="11">
        <f t="shared" ref="M29:P30" si="6">G29</f>
        <v>1169</v>
      </c>
      <c r="N29" s="11">
        <f t="shared" si="6"/>
        <v>226</v>
      </c>
      <c r="O29" s="11">
        <f t="shared" si="6"/>
        <v>2377</v>
      </c>
      <c r="P29" s="11">
        <f t="shared" si="6"/>
        <v>0</v>
      </c>
      <c r="Q29" s="12">
        <f t="shared" si="5"/>
        <v>3772</v>
      </c>
      <c r="R29" s="12"/>
      <c r="S29" s="12"/>
      <c r="T29" s="12"/>
      <c r="U29" s="12"/>
      <c r="V29" s="12"/>
    </row>
    <row r="30" spans="2:24" x14ac:dyDescent="0.25">
      <c r="B30" s="2"/>
      <c r="E30" s="10" t="s">
        <v>40</v>
      </c>
      <c r="F30" s="10"/>
      <c r="G30" s="21">
        <v>0</v>
      </c>
      <c r="H30" s="21">
        <v>0</v>
      </c>
      <c r="I30" s="21">
        <v>0</v>
      </c>
      <c r="J30" s="22">
        <v>0</v>
      </c>
      <c r="K30" s="21">
        <f t="shared" si="4"/>
        <v>0</v>
      </c>
      <c r="L30" s="5"/>
      <c r="M30" s="21">
        <f t="shared" si="6"/>
        <v>0</v>
      </c>
      <c r="N30" s="21">
        <f t="shared" si="6"/>
        <v>0</v>
      </c>
      <c r="O30" s="21">
        <f>I30</f>
        <v>0</v>
      </c>
      <c r="P30" s="21">
        <f>J30</f>
        <v>0</v>
      </c>
      <c r="Q30" s="22">
        <f t="shared" si="5"/>
        <v>0</v>
      </c>
      <c r="R30" s="82"/>
      <c r="S30" s="82"/>
      <c r="T30" s="82"/>
      <c r="U30" s="82"/>
      <c r="V30" s="82"/>
    </row>
    <row r="31" spans="2:24" x14ac:dyDescent="0.25">
      <c r="B31" s="2"/>
      <c r="D31" s="2" t="s">
        <v>41</v>
      </c>
      <c r="G31" s="24">
        <f>SUM(G26:G30)</f>
        <v>2936</v>
      </c>
      <c r="H31" s="24">
        <f>SUM(H26:H30)</f>
        <v>559</v>
      </c>
      <c r="I31" s="24">
        <f>SUM(I26:I30)</f>
        <v>5973</v>
      </c>
      <c r="J31" s="24">
        <f>SUM(J26:J30)</f>
        <v>0</v>
      </c>
      <c r="K31" s="23">
        <f t="shared" si="4"/>
        <v>9468</v>
      </c>
      <c r="L31" s="5"/>
      <c r="M31" s="23">
        <f>SUM(M26:M30)</f>
        <v>2547</v>
      </c>
      <c r="N31" s="23">
        <f>SUM(N26:N30)</f>
        <v>492</v>
      </c>
      <c r="O31" s="23">
        <f>SUM(O26:O30)</f>
        <v>5178</v>
      </c>
      <c r="P31" s="24">
        <f>SUM(P26:P30)</f>
        <v>0</v>
      </c>
      <c r="Q31" s="24">
        <f t="shared" si="5"/>
        <v>8217</v>
      </c>
      <c r="R31" s="24"/>
      <c r="S31" s="24"/>
      <c r="T31" s="24"/>
      <c r="U31" s="24"/>
      <c r="V31" s="24"/>
    </row>
    <row r="32" spans="2:24" x14ac:dyDescent="0.25">
      <c r="B32" s="2"/>
      <c r="K32" s="15"/>
      <c r="L32" s="5"/>
    </row>
    <row r="33" spans="2:22" x14ac:dyDescent="0.25">
      <c r="B33" s="2" t="s">
        <v>42</v>
      </c>
      <c r="D33" s="2" t="s">
        <v>43</v>
      </c>
      <c r="E33" s="3" t="s">
        <v>44</v>
      </c>
      <c r="G33" s="11">
        <v>10920</v>
      </c>
      <c r="H33" s="11">
        <v>0</v>
      </c>
      <c r="I33" s="11">
        <v>0</v>
      </c>
      <c r="J33" s="11">
        <v>0</v>
      </c>
      <c r="K33" s="11">
        <f>SUM(G33:J33)</f>
        <v>10920</v>
      </c>
      <c r="L33" s="5"/>
      <c r="M33" s="12">
        <f t="shared" ref="M33:P34" si="7">G33</f>
        <v>10920</v>
      </c>
      <c r="N33" s="12">
        <f t="shared" si="7"/>
        <v>0</v>
      </c>
      <c r="O33" s="12">
        <f t="shared" si="7"/>
        <v>0</v>
      </c>
      <c r="P33" s="12">
        <f t="shared" si="7"/>
        <v>0</v>
      </c>
      <c r="Q33" s="12">
        <f>SUM(M33:P33)</f>
        <v>10920</v>
      </c>
      <c r="R33" s="12"/>
      <c r="S33" s="12"/>
      <c r="T33" s="12"/>
      <c r="U33" s="12"/>
      <c r="V33" s="12"/>
    </row>
    <row r="34" spans="2:22" x14ac:dyDescent="0.25">
      <c r="B34" s="2" t="s">
        <v>45</v>
      </c>
      <c r="D34" s="2" t="s">
        <v>46</v>
      </c>
      <c r="E34" s="3" t="s">
        <v>47</v>
      </c>
      <c r="G34" s="11">
        <v>3094</v>
      </c>
      <c r="H34" s="11">
        <v>0</v>
      </c>
      <c r="I34" s="11">
        <v>0</v>
      </c>
      <c r="J34" s="11">
        <v>0</v>
      </c>
      <c r="K34" s="11">
        <f>SUM(G34:J34)</f>
        <v>3094</v>
      </c>
      <c r="L34" s="5"/>
      <c r="M34" s="12">
        <f t="shared" si="7"/>
        <v>3094</v>
      </c>
      <c r="N34" s="12">
        <f t="shared" si="7"/>
        <v>0</v>
      </c>
      <c r="O34" s="12">
        <f t="shared" si="7"/>
        <v>0</v>
      </c>
      <c r="P34" s="12">
        <f t="shared" si="7"/>
        <v>0</v>
      </c>
      <c r="Q34" s="12">
        <f>SUM(M34:P34)</f>
        <v>3094</v>
      </c>
      <c r="R34" s="12"/>
      <c r="S34" s="12"/>
      <c r="T34" s="12"/>
      <c r="U34" s="12"/>
      <c r="V34" s="12"/>
    </row>
    <row r="35" spans="2:22" x14ac:dyDescent="0.25">
      <c r="D35" s="2"/>
      <c r="G35" s="15"/>
      <c r="H35" s="15"/>
      <c r="I35" s="15"/>
      <c r="J35" s="15"/>
      <c r="K35" s="15"/>
      <c r="L35" s="5"/>
      <c r="Q35" s="12"/>
      <c r="R35" s="12"/>
      <c r="S35" s="12"/>
      <c r="T35" s="12"/>
      <c r="U35" s="12"/>
      <c r="V35" s="12"/>
    </row>
    <row r="36" spans="2:22" x14ac:dyDescent="0.25">
      <c r="D36" s="2" t="s">
        <v>48</v>
      </c>
      <c r="E36" s="3" t="s">
        <v>49</v>
      </c>
      <c r="G36" s="11">
        <v>10493</v>
      </c>
      <c r="H36" s="11"/>
      <c r="I36" s="11">
        <v>0</v>
      </c>
      <c r="J36" s="11">
        <v>0</v>
      </c>
      <c r="K36" s="11">
        <f>SUM(G36:J36)</f>
        <v>10493</v>
      </c>
      <c r="L36" s="5"/>
      <c r="M36" s="12">
        <f t="shared" ref="M36:P39" si="8">G36</f>
        <v>10493</v>
      </c>
      <c r="N36" s="12">
        <f t="shared" si="8"/>
        <v>0</v>
      </c>
      <c r="O36" s="12">
        <f t="shared" si="8"/>
        <v>0</v>
      </c>
      <c r="P36" s="12">
        <f t="shared" si="8"/>
        <v>0</v>
      </c>
      <c r="Q36" s="12">
        <f>SUM(M36:P36)</f>
        <v>10493</v>
      </c>
      <c r="R36" s="12"/>
      <c r="S36" s="12"/>
      <c r="T36" s="12"/>
      <c r="U36" s="12"/>
      <c r="V36" s="12"/>
    </row>
    <row r="37" spans="2:22" x14ac:dyDescent="0.25">
      <c r="D37" s="2" t="s">
        <v>50</v>
      </c>
      <c r="E37" s="3" t="s">
        <v>51</v>
      </c>
      <c r="G37" s="11">
        <v>5608</v>
      </c>
      <c r="H37" s="11">
        <v>0</v>
      </c>
      <c r="I37" s="11">
        <v>0</v>
      </c>
      <c r="J37" s="11">
        <v>0</v>
      </c>
      <c r="K37" s="11">
        <f>SUM(G37:J37)</f>
        <v>5608</v>
      </c>
      <c r="L37" s="5"/>
      <c r="M37" s="12">
        <f t="shared" si="8"/>
        <v>5608</v>
      </c>
      <c r="N37" s="12">
        <f t="shared" si="8"/>
        <v>0</v>
      </c>
      <c r="O37" s="12">
        <f t="shared" si="8"/>
        <v>0</v>
      </c>
      <c r="P37" s="12">
        <f t="shared" si="8"/>
        <v>0</v>
      </c>
      <c r="Q37" s="12">
        <f>SUM(M37:P37)</f>
        <v>5608</v>
      </c>
      <c r="R37" s="12"/>
      <c r="S37" s="12"/>
      <c r="T37" s="12"/>
      <c r="U37" s="12"/>
      <c r="V37" s="12"/>
    </row>
    <row r="38" spans="2:22" x14ac:dyDescent="0.25">
      <c r="D38" s="2"/>
      <c r="E38" s="3" t="s">
        <v>52</v>
      </c>
      <c r="G38" s="11">
        <v>1635</v>
      </c>
      <c r="H38" s="11">
        <v>0</v>
      </c>
      <c r="I38" s="11">
        <v>0</v>
      </c>
      <c r="J38" s="11">
        <v>0</v>
      </c>
      <c r="K38" s="11">
        <f>SUM(G38:J38)</f>
        <v>1635</v>
      </c>
      <c r="L38" s="5"/>
      <c r="M38" s="12">
        <f t="shared" si="8"/>
        <v>1635</v>
      </c>
      <c r="N38" s="12">
        <f t="shared" si="8"/>
        <v>0</v>
      </c>
      <c r="O38" s="12">
        <f t="shared" si="8"/>
        <v>0</v>
      </c>
      <c r="P38" s="12">
        <f t="shared" si="8"/>
        <v>0</v>
      </c>
      <c r="Q38" s="12">
        <f>SUM(M38:P38)</f>
        <v>1635</v>
      </c>
      <c r="R38" s="12"/>
      <c r="S38" s="12"/>
      <c r="T38" s="12"/>
      <c r="U38" s="12"/>
      <c r="V38" s="12"/>
    </row>
    <row r="39" spans="2:22" x14ac:dyDescent="0.25">
      <c r="D39" s="2"/>
      <c r="E39" s="3" t="s">
        <v>53</v>
      </c>
      <c r="G39" s="11">
        <f>15737+2465+541</f>
        <v>18743</v>
      </c>
      <c r="H39" s="11">
        <v>0</v>
      </c>
      <c r="I39" s="11"/>
      <c r="J39" s="11">
        <v>0</v>
      </c>
      <c r="K39" s="11">
        <f>SUM(G39:J39)</f>
        <v>18743</v>
      </c>
      <c r="L39" s="5"/>
      <c r="M39" s="12">
        <f t="shared" si="8"/>
        <v>18743</v>
      </c>
      <c r="N39" s="12">
        <f t="shared" si="8"/>
        <v>0</v>
      </c>
      <c r="O39" s="12">
        <f t="shared" si="8"/>
        <v>0</v>
      </c>
      <c r="P39" s="12">
        <f t="shared" si="8"/>
        <v>0</v>
      </c>
      <c r="Q39" s="12">
        <f>SUM(M39:P39)</f>
        <v>18743</v>
      </c>
      <c r="R39" s="12"/>
      <c r="S39" s="12"/>
      <c r="T39" s="12"/>
      <c r="U39" s="12"/>
      <c r="V39" s="12"/>
    </row>
    <row r="40" spans="2:22" x14ac:dyDescent="0.25">
      <c r="D40" s="2"/>
      <c r="G40" s="15"/>
      <c r="H40" s="15"/>
      <c r="I40" s="15"/>
      <c r="J40" s="15"/>
      <c r="K40" s="15"/>
      <c r="L40" s="5"/>
      <c r="Q40" s="12"/>
      <c r="R40" s="12"/>
      <c r="S40" s="12"/>
      <c r="T40" s="12"/>
      <c r="U40" s="12"/>
      <c r="V40" s="12"/>
    </row>
    <row r="41" spans="2:22" x14ac:dyDescent="0.25">
      <c r="D41" s="2" t="s">
        <v>54</v>
      </c>
      <c r="G41" s="11">
        <v>32088</v>
      </c>
      <c r="H41" s="11"/>
      <c r="I41" s="11">
        <v>0</v>
      </c>
      <c r="J41" s="11">
        <v>0</v>
      </c>
      <c r="K41" s="11">
        <f>SUM(G41:J41)</f>
        <v>32088</v>
      </c>
      <c r="L41" s="5"/>
      <c r="M41" s="12">
        <f>G41</f>
        <v>32088</v>
      </c>
      <c r="N41" s="12">
        <f>H41</f>
        <v>0</v>
      </c>
      <c r="O41" s="12">
        <f>I41</f>
        <v>0</v>
      </c>
      <c r="P41" s="12">
        <f>J41</f>
        <v>0</v>
      </c>
      <c r="Q41" s="12">
        <f>SUM(M41:P41)</f>
        <v>32088</v>
      </c>
      <c r="R41" s="12"/>
      <c r="S41" s="12"/>
      <c r="T41" s="12"/>
      <c r="U41" s="12"/>
      <c r="V41" s="12"/>
    </row>
    <row r="42" spans="2:22" x14ac:dyDescent="0.25">
      <c r="D42" s="2"/>
      <c r="G42" s="15"/>
      <c r="H42" s="15"/>
      <c r="I42" s="15"/>
      <c r="J42" s="15"/>
      <c r="L42" s="5"/>
    </row>
    <row r="43" spans="2:22" x14ac:dyDescent="0.25">
      <c r="D43" s="2" t="s">
        <v>55</v>
      </c>
      <c r="G43" s="11"/>
      <c r="H43" s="11">
        <v>0</v>
      </c>
      <c r="I43" s="11">
        <v>0</v>
      </c>
      <c r="J43" s="11">
        <v>0</v>
      </c>
      <c r="K43" s="12">
        <f>SUM(G43:J43)</f>
        <v>0</v>
      </c>
      <c r="L43" s="5"/>
      <c r="M43" s="12">
        <f>G43</f>
        <v>0</v>
      </c>
      <c r="N43" s="12">
        <f>H43</f>
        <v>0</v>
      </c>
      <c r="O43" s="12">
        <f>I43</f>
        <v>0</v>
      </c>
      <c r="P43" s="12">
        <f>J43</f>
        <v>0</v>
      </c>
      <c r="Q43" s="12">
        <f>SUM(M43:P43)</f>
        <v>0</v>
      </c>
      <c r="R43" s="12"/>
      <c r="S43" s="12"/>
      <c r="T43" s="12"/>
      <c r="U43" s="12"/>
      <c r="V43" s="12"/>
    </row>
    <row r="44" spans="2:22" x14ac:dyDescent="0.25">
      <c r="D44" s="2"/>
      <c r="G44" s="15"/>
      <c r="H44" s="15"/>
      <c r="I44" s="15"/>
      <c r="J44" s="15"/>
      <c r="L44" s="5"/>
    </row>
    <row r="45" spans="2:22" x14ac:dyDescent="0.25">
      <c r="D45" s="2" t="s">
        <v>56</v>
      </c>
      <c r="G45" s="11"/>
      <c r="H45" s="11">
        <v>0</v>
      </c>
      <c r="I45" s="11">
        <v>0</v>
      </c>
      <c r="J45" s="11">
        <v>0</v>
      </c>
      <c r="K45" s="12">
        <f>SUM(G45:J45)</f>
        <v>0</v>
      </c>
      <c r="L45" s="5"/>
      <c r="M45" s="12">
        <f>G45</f>
        <v>0</v>
      </c>
      <c r="N45" s="12">
        <f>H45</f>
        <v>0</v>
      </c>
      <c r="O45" s="12">
        <f>I45</f>
        <v>0</v>
      </c>
      <c r="P45" s="12">
        <f>J45</f>
        <v>0</v>
      </c>
      <c r="Q45" s="12">
        <f>SUM(M45:P45)</f>
        <v>0</v>
      </c>
      <c r="R45" s="12"/>
      <c r="S45" s="12"/>
      <c r="T45" s="12"/>
      <c r="U45" s="12"/>
      <c r="V45" s="12"/>
    </row>
    <row r="46" spans="2:22" x14ac:dyDescent="0.25">
      <c r="D46" s="2"/>
      <c r="G46" s="15"/>
      <c r="H46" s="15"/>
      <c r="I46" s="15"/>
      <c r="J46" s="15"/>
      <c r="L46" s="5"/>
    </row>
    <row r="47" spans="2:22" x14ac:dyDescent="0.25">
      <c r="D47" s="2" t="s">
        <v>57</v>
      </c>
      <c r="G47" s="11"/>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5">
      <c r="D48" s="2" t="s">
        <v>58</v>
      </c>
      <c r="G48" s="15"/>
      <c r="H48" s="15"/>
      <c r="I48" s="15"/>
      <c r="J48" s="15"/>
      <c r="L48" s="5"/>
    </row>
    <row r="49" spans="2:24" x14ac:dyDescent="0.25">
      <c r="D49" s="2"/>
      <c r="G49" s="15"/>
      <c r="H49" s="15"/>
      <c r="I49" s="15"/>
      <c r="J49" s="15"/>
      <c r="L49" s="5"/>
    </row>
    <row r="50" spans="2:24" x14ac:dyDescent="0.25">
      <c r="B50" s="2"/>
      <c r="D50" s="2" t="s">
        <v>53</v>
      </c>
      <c r="G50" s="21"/>
      <c r="H50" s="21">
        <v>0</v>
      </c>
      <c r="I50" s="21">
        <v>4</v>
      </c>
      <c r="J50" s="21">
        <v>0</v>
      </c>
      <c r="K50" s="21">
        <v>4</v>
      </c>
      <c r="L50" s="5"/>
      <c r="M50" s="22">
        <f>G50</f>
        <v>0</v>
      </c>
      <c r="N50" s="22">
        <f>H50</f>
        <v>0</v>
      </c>
      <c r="O50" s="22">
        <f>I50</f>
        <v>4</v>
      </c>
      <c r="P50" s="22">
        <f>J50</f>
        <v>0</v>
      </c>
      <c r="Q50" s="22">
        <f>SUM(M50:P50)</f>
        <v>4</v>
      </c>
      <c r="R50" s="82"/>
      <c r="S50" s="82"/>
      <c r="T50" s="82"/>
      <c r="U50" s="82"/>
      <c r="V50" s="82"/>
    </row>
    <row r="51" spans="2:24" x14ac:dyDescent="0.25">
      <c r="D51" s="2" t="s">
        <v>59</v>
      </c>
      <c r="G51" s="24">
        <f>SUM(G33:G50)</f>
        <v>82581</v>
      </c>
      <c r="H51" s="24">
        <f>SUM(H33:H50)</f>
        <v>0</v>
      </c>
      <c r="I51" s="24">
        <f>SUM(I33:I50)</f>
        <v>4</v>
      </c>
      <c r="J51" s="24">
        <f>SUM(J33:J50)</f>
        <v>0</v>
      </c>
      <c r="K51" s="24">
        <f>SUM(G51:J51)</f>
        <v>82585</v>
      </c>
      <c r="L51" s="5"/>
      <c r="M51" s="24">
        <f>SUM(M33:M50)</f>
        <v>82581</v>
      </c>
      <c r="N51" s="24">
        <f>SUM(N33:N50)</f>
        <v>0</v>
      </c>
      <c r="O51" s="24">
        <f>SUM(O33:O50)</f>
        <v>4</v>
      </c>
      <c r="P51" s="24">
        <f>SUM(P33:P50)</f>
        <v>0</v>
      </c>
      <c r="Q51" s="24">
        <f>SUM(M51:P51)</f>
        <v>82585</v>
      </c>
      <c r="R51" s="24"/>
      <c r="S51" s="24"/>
      <c r="T51" s="24"/>
      <c r="U51" s="24"/>
      <c r="V51" s="24"/>
    </row>
    <row r="52" spans="2:24" x14ac:dyDescent="0.25">
      <c r="B52" s="2"/>
      <c r="L52" s="5"/>
    </row>
    <row r="53" spans="2:24" x14ac:dyDescent="0.25">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5">
      <c r="B54" s="2" t="s">
        <v>61</v>
      </c>
      <c r="L54" s="5"/>
    </row>
    <row r="55" spans="2:24" ht="13.8" thickBot="1" x14ac:dyDescent="0.3">
      <c r="K55" s="12"/>
      <c r="L55" s="5"/>
      <c r="Q55" s="30"/>
      <c r="R55" s="40"/>
      <c r="S55" s="40"/>
      <c r="T55" s="40"/>
      <c r="U55" s="40"/>
      <c r="V55" s="40"/>
    </row>
    <row r="56" spans="2:24" x14ac:dyDescent="0.25">
      <c r="B56" s="2" t="s">
        <v>62</v>
      </c>
      <c r="G56" s="31">
        <f>G21+G24+G31+G51+G53</f>
        <v>345239.03688401391</v>
      </c>
      <c r="H56" s="31">
        <f>H21+H24+H31+H51+H53</f>
        <v>46725.184798214017</v>
      </c>
      <c r="I56" s="31">
        <f>I21+I24+I31+I51+I53</f>
        <v>256000.77831777208</v>
      </c>
      <c r="J56" s="31">
        <f>J21+J24+J31+J51+J53</f>
        <v>0</v>
      </c>
      <c r="K56" s="31">
        <f>SUM(G56:J56)</f>
        <v>647965</v>
      </c>
      <c r="L56" s="32"/>
      <c r="M56" s="31">
        <f>M21+M24+M31+M51+M53</f>
        <v>289554.37821464468</v>
      </c>
      <c r="N56" s="31">
        <f>N21+N24+N31+N51+N53</f>
        <v>36764.775884667069</v>
      </c>
      <c r="O56" s="31">
        <f>O21+O24+O31+O51+O53</f>
        <v>155981.0282568066</v>
      </c>
      <c r="P56" s="31">
        <f>P21+P24+P31+P51+P53</f>
        <v>0</v>
      </c>
      <c r="Q56" s="31">
        <f>SUM(M56:P56)</f>
        <v>482300.18235611834</v>
      </c>
      <c r="R56" s="86"/>
      <c r="S56" s="86"/>
      <c r="T56" s="86"/>
      <c r="U56" s="86"/>
      <c r="V56" s="86"/>
    </row>
    <row r="57" spans="2:24" x14ac:dyDescent="0.25">
      <c r="L57" s="5"/>
    </row>
    <row r="58" spans="2:24" x14ac:dyDescent="0.25">
      <c r="L58" s="5"/>
    </row>
    <row r="59" spans="2:24" ht="13.8" x14ac:dyDescent="0.25">
      <c r="B59" s="6" t="s">
        <v>63</v>
      </c>
      <c r="K59" s="15"/>
      <c r="L59" s="5"/>
    </row>
    <row r="60" spans="2:24" x14ac:dyDescent="0.25">
      <c r="D60" s="15" t="s">
        <v>64</v>
      </c>
      <c r="E60" s="10" t="s">
        <v>20</v>
      </c>
      <c r="F60" s="10"/>
      <c r="G60" s="12">
        <v>0</v>
      </c>
      <c r="H60" s="12">
        <v>0</v>
      </c>
      <c r="I60" s="12">
        <f>K60</f>
        <v>240912</v>
      </c>
      <c r="J60" s="11">
        <v>0</v>
      </c>
      <c r="K60" s="11">
        <v>240912</v>
      </c>
      <c r="L60" s="5"/>
      <c r="M60" s="12">
        <f>G60</f>
        <v>0</v>
      </c>
      <c r="N60" s="12">
        <f>H60</f>
        <v>0</v>
      </c>
      <c r="O60" s="12">
        <f>Q60</f>
        <v>240912</v>
      </c>
      <c r="P60" s="11">
        <f>J60</f>
        <v>0</v>
      </c>
      <c r="Q60" s="11">
        <f>$K$60</f>
        <v>240912</v>
      </c>
      <c r="R60" s="11"/>
      <c r="S60" s="11"/>
      <c r="T60" s="11"/>
      <c r="U60" s="11"/>
      <c r="V60" s="11"/>
      <c r="X60" s="3" t="s">
        <v>92</v>
      </c>
    </row>
    <row r="61" spans="2:24" x14ac:dyDescent="0.25">
      <c r="D61" s="15"/>
      <c r="E61" s="10" t="s">
        <v>21</v>
      </c>
      <c r="F61" s="10"/>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175276.56</v>
      </c>
    </row>
    <row r="62" spans="2:24" x14ac:dyDescent="0.25">
      <c r="D62" s="15"/>
      <c r="E62" s="10"/>
      <c r="F62" s="10"/>
      <c r="J62" s="15"/>
      <c r="K62" s="15"/>
      <c r="L62" s="5"/>
      <c r="P62" s="15"/>
    </row>
    <row r="63" spans="2:24" x14ac:dyDescent="0.25">
      <c r="D63" s="15" t="s">
        <v>94</v>
      </c>
      <c r="E63" s="10" t="s">
        <v>20</v>
      </c>
      <c r="F63" s="10"/>
      <c r="G63" s="12">
        <f>$G$103*K63</f>
        <v>173197.47175238121</v>
      </c>
      <c r="H63" s="12">
        <f>$H$103*K63</f>
        <v>27239.873170309958</v>
      </c>
      <c r="I63" s="12">
        <f>$I$103*K63</f>
        <v>226826.65507730879</v>
      </c>
      <c r="J63" s="11">
        <v>0</v>
      </c>
      <c r="K63" s="11">
        <v>427264</v>
      </c>
      <c r="L63" s="5"/>
      <c r="M63" s="12">
        <f>$G$103*Q63</f>
        <v>173197.47175238121</v>
      </c>
      <c r="N63" s="12">
        <f>$H$103*Q63</f>
        <v>27239.873170309958</v>
      </c>
      <c r="O63" s="12">
        <f>$I$103*Q63</f>
        <v>226826.65507730879</v>
      </c>
      <c r="P63" s="11">
        <f t="shared" ref="M63:Q64" si="9">J63</f>
        <v>0</v>
      </c>
      <c r="Q63" s="11">
        <f>K63-(0*67.3*8)</f>
        <v>427264</v>
      </c>
      <c r="R63" s="11"/>
      <c r="S63" s="11"/>
      <c r="T63" s="11"/>
      <c r="U63" s="11"/>
      <c r="V63" s="11"/>
    </row>
    <row r="64" spans="2:24" ht="12.75" customHeight="1" x14ac:dyDescent="0.25">
      <c r="D64" s="15"/>
      <c r="E64" s="10" t="s">
        <v>21</v>
      </c>
      <c r="F64" s="10"/>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5">
      <c r="D65" s="15"/>
      <c r="E65" s="10"/>
      <c r="F65" s="10"/>
      <c r="J65" s="15"/>
      <c r="K65" s="15"/>
      <c r="L65" s="5"/>
      <c r="P65" s="15"/>
    </row>
    <row r="66" spans="4:22" x14ac:dyDescent="0.25">
      <c r="D66" s="15" t="s">
        <v>65</v>
      </c>
      <c r="E66" s="10" t="s">
        <v>20</v>
      </c>
      <c r="F66" s="10"/>
      <c r="G66" s="12">
        <f>$G$103*K66</f>
        <v>3311.0136807066588</v>
      </c>
      <c r="H66" s="12">
        <f>$H$103*K66</f>
        <v>520.74428001210435</v>
      </c>
      <c r="I66" s="12">
        <f>$I$103*K66</f>
        <v>4336.2420392812364</v>
      </c>
      <c r="J66" s="11">
        <v>0</v>
      </c>
      <c r="K66" s="11">
        <v>8168</v>
      </c>
      <c r="L66" s="5"/>
      <c r="M66" s="12">
        <f>$G$103*Q$66</f>
        <v>3311.0136807066588</v>
      </c>
      <c r="N66" s="12">
        <f>$H$103*Q$66</f>
        <v>520.74428001210435</v>
      </c>
      <c r="O66" s="12">
        <f>$I$103*Q$66</f>
        <v>4336.2420392812364</v>
      </c>
      <c r="P66" s="11">
        <f>J66</f>
        <v>0</v>
      </c>
      <c r="Q66" s="11">
        <f>K66</f>
        <v>8168</v>
      </c>
      <c r="R66" s="11"/>
      <c r="S66" s="11"/>
      <c r="T66" s="11"/>
      <c r="U66" s="11"/>
      <c r="V66" s="11"/>
    </row>
    <row r="67" spans="4:22" x14ac:dyDescent="0.25">
      <c r="D67" s="15"/>
      <c r="E67" s="10" t="s">
        <v>21</v>
      </c>
      <c r="F67" s="10"/>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5">
      <c r="D68" s="15"/>
      <c r="E68" s="10"/>
      <c r="F68" s="10"/>
      <c r="G68" s="33"/>
      <c r="H68" s="33"/>
      <c r="I68" s="33"/>
      <c r="J68" s="34"/>
      <c r="K68" s="34"/>
      <c r="L68" s="5"/>
      <c r="M68" s="33"/>
      <c r="N68" s="33"/>
      <c r="O68" s="33"/>
      <c r="P68" s="34"/>
      <c r="Q68" s="34"/>
      <c r="R68" s="34"/>
      <c r="S68" s="34"/>
      <c r="T68" s="34"/>
      <c r="U68" s="34"/>
      <c r="V68" s="34"/>
    </row>
    <row r="69" spans="4:22" x14ac:dyDescent="0.25">
      <c r="D69" s="99" t="s">
        <v>143</v>
      </c>
      <c r="E69" s="10" t="s">
        <v>20</v>
      </c>
      <c r="F69" s="10"/>
      <c r="G69" s="12">
        <f>$G$103*K69</f>
        <v>1346.619423029814</v>
      </c>
      <c r="H69" s="12">
        <f>$H$103*K69</f>
        <v>211.79144199316974</v>
      </c>
      <c r="I69" s="12">
        <f>$I$103*K69</f>
        <v>1763.5891349770161</v>
      </c>
      <c r="J69" s="11">
        <v>0</v>
      </c>
      <c r="K69" s="11">
        <v>3322</v>
      </c>
      <c r="L69" s="5"/>
      <c r="M69" s="12">
        <f t="shared" ref="M69:Q70" si="10">G69</f>
        <v>1346.619423029814</v>
      </c>
      <c r="N69" s="12">
        <f t="shared" si="10"/>
        <v>211.79144199316974</v>
      </c>
      <c r="O69" s="12">
        <f t="shared" si="10"/>
        <v>1763.5891349770161</v>
      </c>
      <c r="P69" s="11">
        <f t="shared" si="10"/>
        <v>0</v>
      </c>
      <c r="Q69" s="11">
        <f>K69</f>
        <v>3322</v>
      </c>
      <c r="R69" s="11"/>
      <c r="S69" s="11"/>
      <c r="T69" s="11"/>
      <c r="U69" s="11"/>
      <c r="V69" s="11"/>
    </row>
    <row r="70" spans="4:22" x14ac:dyDescent="0.25">
      <c r="D70" s="15"/>
      <c r="E70" s="10" t="s">
        <v>21</v>
      </c>
      <c r="F70" s="10"/>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5">
      <c r="D71" s="15"/>
      <c r="E71" s="10"/>
      <c r="F71" s="10"/>
      <c r="G71" s="36"/>
      <c r="H71" s="36"/>
      <c r="I71" s="36"/>
      <c r="J71" s="34"/>
      <c r="K71" s="34"/>
      <c r="L71" s="5"/>
      <c r="M71" s="33"/>
      <c r="N71" s="33"/>
      <c r="O71" s="33"/>
      <c r="P71" s="34"/>
      <c r="Q71" s="33"/>
      <c r="R71" s="33"/>
      <c r="S71" s="33"/>
      <c r="T71" s="33"/>
      <c r="U71" s="33"/>
      <c r="V71" s="33"/>
    </row>
    <row r="72" spans="4:22" x14ac:dyDescent="0.25">
      <c r="D72" s="15" t="s">
        <v>127</v>
      </c>
      <c r="E72" s="10" t="s">
        <v>20</v>
      </c>
      <c r="F72" s="10"/>
      <c r="G72" s="12">
        <f>$G$103*K72</f>
        <v>23064.809919016672</v>
      </c>
      <c r="H72" s="12">
        <f>$H$103*K72</f>
        <v>3627.5500475524882</v>
      </c>
      <c r="I72" s="12">
        <f>$I$103*K72</f>
        <v>30206.640033430838</v>
      </c>
      <c r="J72" s="11">
        <v>0</v>
      </c>
      <c r="K72" s="11">
        <v>56899</v>
      </c>
      <c r="L72" s="5"/>
      <c r="M72" s="12">
        <f t="shared" ref="M72:Q73" si="11">G72</f>
        <v>23064.809919016672</v>
      </c>
      <c r="N72" s="12">
        <f t="shared" si="11"/>
        <v>3627.5500475524882</v>
      </c>
      <c r="O72" s="12">
        <f t="shared" si="11"/>
        <v>30206.640033430838</v>
      </c>
      <c r="P72" s="11">
        <f t="shared" si="11"/>
        <v>0</v>
      </c>
      <c r="Q72" s="11">
        <f>K72</f>
        <v>56899</v>
      </c>
      <c r="R72" s="33"/>
      <c r="S72" s="33"/>
      <c r="T72" s="33"/>
      <c r="U72" s="33"/>
      <c r="V72" s="33"/>
    </row>
    <row r="73" spans="4:22" x14ac:dyDescent="0.25">
      <c r="D73" s="15"/>
      <c r="E73" s="10" t="s">
        <v>21</v>
      </c>
      <c r="F73" s="10"/>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5">
      <c r="D74" s="15"/>
      <c r="E74" s="10"/>
      <c r="F74" s="10"/>
      <c r="J74" s="15"/>
      <c r="K74" s="15"/>
      <c r="L74" s="5"/>
      <c r="P74" s="15"/>
    </row>
    <row r="75" spans="4:22" x14ac:dyDescent="0.25">
      <c r="D75" s="99" t="s">
        <v>108</v>
      </c>
      <c r="E75" s="10" t="s">
        <v>20</v>
      </c>
      <c r="F75" s="10"/>
      <c r="G75" s="12">
        <v>0</v>
      </c>
      <c r="H75" s="12">
        <v>0</v>
      </c>
      <c r="I75" s="12">
        <f>K75</f>
        <v>23385</v>
      </c>
      <c r="J75" s="11">
        <v>0</v>
      </c>
      <c r="K75" s="11">
        <v>23385</v>
      </c>
      <c r="L75" s="5"/>
      <c r="M75" s="12">
        <f t="shared" ref="M75:Q76" si="12">G75</f>
        <v>0</v>
      </c>
      <c r="N75" s="12">
        <f t="shared" si="12"/>
        <v>0</v>
      </c>
      <c r="O75" s="12">
        <f t="shared" si="12"/>
        <v>23385</v>
      </c>
      <c r="P75" s="11">
        <f t="shared" si="12"/>
        <v>0</v>
      </c>
      <c r="Q75" s="11">
        <f>K75</f>
        <v>23385</v>
      </c>
    </row>
    <row r="76" spans="4:22" x14ac:dyDescent="0.25">
      <c r="D76" s="15"/>
      <c r="E76" s="10" t="s">
        <v>21</v>
      </c>
      <c r="F76" s="10"/>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5">
      <c r="D77" s="15"/>
      <c r="E77" s="10"/>
      <c r="F77" s="10"/>
      <c r="J77" s="15"/>
      <c r="K77" s="15"/>
      <c r="L77" s="5"/>
      <c r="P77" s="15"/>
    </row>
    <row r="78" spans="4:22" x14ac:dyDescent="0.25">
      <c r="D78" s="99" t="s">
        <v>144</v>
      </c>
      <c r="E78" s="10" t="s">
        <v>20</v>
      </c>
      <c r="F78" s="10"/>
      <c r="G78" s="12">
        <f>$G$103*K78</f>
        <v>35294.643751891294</v>
      </c>
      <c r="H78" s="12">
        <f>$H$103*K78</f>
        <v>5551.0141670389212</v>
      </c>
      <c r="I78" s="12">
        <f>$I$103*K78</f>
        <v>46223.342081069786</v>
      </c>
      <c r="J78" s="11">
        <v>0</v>
      </c>
      <c r="K78" s="11">
        <v>87069</v>
      </c>
      <c r="L78" s="5"/>
      <c r="M78" s="12">
        <f t="shared" ref="M78:Q79" si="13">G78</f>
        <v>35294.643751891294</v>
      </c>
      <c r="N78" s="12">
        <f t="shared" si="13"/>
        <v>5551.0141670389212</v>
      </c>
      <c r="O78" s="12">
        <f t="shared" si="13"/>
        <v>46223.342081069786</v>
      </c>
      <c r="P78" s="11">
        <f t="shared" si="13"/>
        <v>0</v>
      </c>
      <c r="Q78" s="11">
        <f>K78</f>
        <v>87069</v>
      </c>
    </row>
    <row r="79" spans="4:22" x14ac:dyDescent="0.25">
      <c r="D79" s="15"/>
      <c r="E79" s="10" t="s">
        <v>21</v>
      </c>
      <c r="F79" s="10"/>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5">
      <c r="D80" s="15"/>
      <c r="E80" s="10"/>
      <c r="F80" s="10"/>
      <c r="J80" s="15"/>
      <c r="K80" s="15"/>
      <c r="L80" s="5"/>
      <c r="P80" s="15"/>
    </row>
    <row r="81" spans="2:23" x14ac:dyDescent="0.25">
      <c r="D81" s="99" t="s">
        <v>145</v>
      </c>
      <c r="E81" s="10" t="s">
        <v>20</v>
      </c>
      <c r="F81" s="10"/>
      <c r="G81" s="12">
        <f>$G$103*K81</f>
        <v>47176.269853163678</v>
      </c>
      <c r="H81" s="12">
        <f>$H$103*K81</f>
        <v>7419.7134314163441</v>
      </c>
      <c r="I81" s="12">
        <f>$I$103*K81</f>
        <v>61784.016715419973</v>
      </c>
      <c r="J81" s="11">
        <v>0</v>
      </c>
      <c r="K81" s="11">
        <v>116380</v>
      </c>
      <c r="L81" s="5"/>
      <c r="M81" s="12">
        <f t="shared" ref="M81:Q82" si="14">G81</f>
        <v>47176.269853163678</v>
      </c>
      <c r="N81" s="12">
        <f t="shared" si="14"/>
        <v>7419.7134314163441</v>
      </c>
      <c r="O81" s="12">
        <f t="shared" si="14"/>
        <v>61784.016715419973</v>
      </c>
      <c r="P81" s="11">
        <f t="shared" si="14"/>
        <v>0</v>
      </c>
      <c r="Q81" s="11">
        <f>K81</f>
        <v>116380</v>
      </c>
    </row>
    <row r="82" spans="2:23" x14ac:dyDescent="0.25">
      <c r="D82" s="15"/>
      <c r="E82" s="10" t="s">
        <v>21</v>
      </c>
      <c r="F82" s="10"/>
      <c r="G82" s="36">
        <f>$G$103*K82</f>
        <v>0</v>
      </c>
      <c r="H82" s="36">
        <f>$H$103*K82</f>
        <v>0</v>
      </c>
      <c r="I82" s="36">
        <f>$I$103*K82</f>
        <v>0</v>
      </c>
      <c r="J82" s="34">
        <v>0</v>
      </c>
      <c r="K82" s="34"/>
      <c r="L82" s="5"/>
      <c r="M82" s="33">
        <f t="shared" si="14"/>
        <v>0</v>
      </c>
      <c r="N82" s="33">
        <f t="shared" si="14"/>
        <v>0</v>
      </c>
      <c r="O82" s="33">
        <f t="shared" si="14"/>
        <v>0</v>
      </c>
      <c r="P82" s="34">
        <f t="shared" si="14"/>
        <v>0</v>
      </c>
      <c r="Q82" s="33">
        <f t="shared" si="14"/>
        <v>0</v>
      </c>
    </row>
    <row r="83" spans="2:23" x14ac:dyDescent="0.25">
      <c r="D83" s="15"/>
      <c r="E83" s="10"/>
      <c r="F83" s="10"/>
      <c r="J83" s="15"/>
      <c r="K83" s="15"/>
      <c r="L83" s="5"/>
      <c r="P83" s="15"/>
    </row>
    <row r="84" spans="2:23" x14ac:dyDescent="0.25">
      <c r="D84" s="99" t="s">
        <v>157</v>
      </c>
      <c r="E84" s="10" t="s">
        <v>20</v>
      </c>
      <c r="F84" s="10"/>
      <c r="G84" s="12">
        <f>$G$103*K84</f>
        <v>1604.8363322622015</v>
      </c>
      <c r="H84" s="12">
        <f>$H$103*K84</f>
        <v>252.40286539763969</v>
      </c>
      <c r="I84" s="12">
        <f>$I$103*K84</f>
        <v>2101.7608023401585</v>
      </c>
      <c r="J84" s="11">
        <v>0</v>
      </c>
      <c r="K84" s="11">
        <v>3959</v>
      </c>
      <c r="L84" s="5"/>
      <c r="M84" s="12">
        <f t="shared" ref="M84:Q85" si="15">G84</f>
        <v>1604.8363322622015</v>
      </c>
      <c r="N84" s="12">
        <f t="shared" si="15"/>
        <v>252.40286539763969</v>
      </c>
      <c r="O84" s="12">
        <f t="shared" si="15"/>
        <v>2101.7608023401585</v>
      </c>
      <c r="P84" s="11">
        <f t="shared" si="15"/>
        <v>0</v>
      </c>
      <c r="Q84" s="12">
        <f>K84</f>
        <v>3959</v>
      </c>
      <c r="R84" s="12"/>
      <c r="S84" s="12"/>
      <c r="T84" s="12"/>
      <c r="U84" s="12"/>
      <c r="V84" s="12"/>
    </row>
    <row r="85" spans="2:23" x14ac:dyDescent="0.25">
      <c r="E85" s="10" t="s">
        <v>21</v>
      </c>
      <c r="F85" s="10"/>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5">
      <c r="E86" s="10"/>
      <c r="F86" s="10"/>
      <c r="G86" s="36"/>
      <c r="H86" s="36"/>
      <c r="I86" s="36"/>
      <c r="J86" s="34"/>
      <c r="K86" s="34"/>
      <c r="L86" s="5"/>
      <c r="M86" s="33"/>
      <c r="N86" s="33"/>
      <c r="O86" s="33"/>
      <c r="P86" s="34"/>
      <c r="Q86" s="33"/>
      <c r="R86" s="33"/>
      <c r="S86" s="33"/>
      <c r="T86" s="33"/>
      <c r="U86" s="33"/>
      <c r="V86" s="33"/>
    </row>
    <row r="87" spans="2:23" x14ac:dyDescent="0.25">
      <c r="D87" s="15" t="s">
        <v>66</v>
      </c>
      <c r="E87" s="10" t="s">
        <v>20</v>
      </c>
      <c r="F87" s="10"/>
      <c r="G87" s="12">
        <f>$G$103*K87</f>
        <v>4644.6614536651441</v>
      </c>
      <c r="H87" s="12">
        <f>$H$103*K87</f>
        <v>730.49558770552051</v>
      </c>
      <c r="I87" s="12">
        <f>$I$103*K87</f>
        <v>6082.842958629335</v>
      </c>
      <c r="J87" s="11">
        <v>0</v>
      </c>
      <c r="K87" s="11">
        <f>2333+375+8750</f>
        <v>11458</v>
      </c>
      <c r="L87" s="5"/>
      <c r="M87" s="12">
        <f>G87</f>
        <v>4644.6614536651441</v>
      </c>
      <c r="N87" s="12">
        <f>H87</f>
        <v>730.49558770552051</v>
      </c>
      <c r="O87" s="12">
        <f>I87</f>
        <v>6082.842958629335</v>
      </c>
      <c r="P87" s="11">
        <f>J87</f>
        <v>0</v>
      </c>
      <c r="Q87" s="12">
        <f>K87</f>
        <v>11458</v>
      </c>
      <c r="R87" s="12"/>
      <c r="S87" s="12"/>
      <c r="T87" s="12"/>
      <c r="U87" s="12"/>
      <c r="V87" s="12"/>
    </row>
    <row r="88" spans="2:23" ht="13.8" thickBot="1" x14ac:dyDescent="0.3">
      <c r="D88" s="15"/>
      <c r="J88" s="15"/>
      <c r="L88" s="5"/>
      <c r="W88" s="38"/>
    </row>
    <row r="89" spans="2:23" ht="13.8" thickBot="1" x14ac:dyDescent="0.3">
      <c r="B89" s="2" t="s">
        <v>67</v>
      </c>
      <c r="E89" s="10" t="s">
        <v>20</v>
      </c>
      <c r="F89" s="10"/>
      <c r="G89" s="31">
        <f>G60+G63+G66+G69+G72+G75+G78+G81+G84+G87</f>
        <v>289640.32616611663</v>
      </c>
      <c r="H89" s="31">
        <f>H60+H63+H66+H69+H72+H75+H78+H81+H84+H87</f>
        <v>45553.584991426142</v>
      </c>
      <c r="I89" s="31">
        <f>I60+I63+I66+I69+I72+I75+I78+I81+I84+I87</f>
        <v>643622.08884245716</v>
      </c>
      <c r="J89" s="31">
        <f>J60+J63+J66+J69+J72+J75+J78+J81+J84+J87</f>
        <v>0</v>
      </c>
      <c r="K89" s="31">
        <f>SUM(G89:J89)</f>
        <v>978816</v>
      </c>
      <c r="L89" s="32"/>
      <c r="M89" s="31">
        <f>M60+M63+M66+M69+M72+M75+M78+M81+M84+M87</f>
        <v>289640.32616611663</v>
      </c>
      <c r="N89" s="31">
        <f>N60+N63+N66+N69+N72+N75+N78+N81+N84+N87</f>
        <v>45553.584991426142</v>
      </c>
      <c r="O89" s="31">
        <f>O60+O63+O66+O69+O72+O75+O78+O81+O84+O87</f>
        <v>643622.08884245716</v>
      </c>
      <c r="P89" s="31">
        <f>P60+P63+P66+P69+P72+P75+P78+P81+P84+P87</f>
        <v>0</v>
      </c>
      <c r="Q89" s="31">
        <f>SUM(M89:P89)</f>
        <v>978816</v>
      </c>
      <c r="R89" s="86"/>
      <c r="S89" s="86"/>
      <c r="T89" s="86"/>
      <c r="U89" s="86"/>
      <c r="V89" s="86"/>
      <c r="W89" s="40"/>
    </row>
    <row r="90" spans="2:23" x14ac:dyDescent="0.25">
      <c r="B90" s="2"/>
      <c r="E90" s="10" t="s">
        <v>21</v>
      </c>
      <c r="F90" s="10"/>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5">
      <c r="K91" s="12"/>
      <c r="L91" s="5"/>
      <c r="W91" s="12"/>
    </row>
    <row r="92" spans="2:23" ht="13.8" thickBot="1" x14ac:dyDescent="0.3">
      <c r="L92" s="5"/>
    </row>
    <row r="93" spans="2:23" ht="14.4" thickBot="1" x14ac:dyDescent="0.3">
      <c r="B93" s="6" t="s">
        <v>68</v>
      </c>
      <c r="G93" s="45">
        <f t="shared" ref="G93:Q93" si="16">G56+G89</f>
        <v>634879.36305013055</v>
      </c>
      <c r="H93" s="45">
        <f t="shared" si="16"/>
        <v>92278.769789640151</v>
      </c>
      <c r="I93" s="45">
        <f t="shared" si="16"/>
        <v>899622.86716022925</v>
      </c>
      <c r="J93" s="45">
        <f t="shared" si="16"/>
        <v>0</v>
      </c>
      <c r="K93" s="45">
        <f t="shared" si="16"/>
        <v>1626781</v>
      </c>
      <c r="L93" s="46">
        <f t="shared" si="16"/>
        <v>0</v>
      </c>
      <c r="M93" s="45">
        <f t="shared" si="16"/>
        <v>579194.70438076137</v>
      </c>
      <c r="N93" s="45">
        <f t="shared" si="16"/>
        <v>82318.360876093211</v>
      </c>
      <c r="O93" s="79">
        <f t="shared" si="16"/>
        <v>799603.11709926371</v>
      </c>
      <c r="P93" s="45">
        <f t="shared" si="16"/>
        <v>0</v>
      </c>
      <c r="Q93" s="45">
        <f t="shared" si="16"/>
        <v>1461116.1823561182</v>
      </c>
      <c r="R93" s="86"/>
      <c r="S93" s="86"/>
      <c r="T93" s="86"/>
      <c r="U93" s="86"/>
      <c r="V93" s="86"/>
    </row>
    <row r="94" spans="2:23" ht="13.8" thickTop="1" x14ac:dyDescent="0.25">
      <c r="I94" s="77"/>
      <c r="L94" s="5"/>
      <c r="O94" s="80"/>
    </row>
    <row r="95" spans="2:23" x14ac:dyDescent="0.25">
      <c r="I95" s="77"/>
      <c r="L95" s="5"/>
      <c r="O95" s="80"/>
    </row>
    <row r="96" spans="2:23" x14ac:dyDescent="0.25">
      <c r="I96" s="77"/>
      <c r="L96" s="5"/>
      <c r="O96" s="80"/>
    </row>
    <row r="97" spans="5:15" x14ac:dyDescent="0.25">
      <c r="I97" s="77"/>
      <c r="L97" s="5"/>
      <c r="O97" s="80"/>
    </row>
    <row r="98" spans="5:15" x14ac:dyDescent="0.25">
      <c r="I98" s="77"/>
      <c r="L98" s="5"/>
      <c r="O98" s="80"/>
    </row>
    <row r="99" spans="5:15" x14ac:dyDescent="0.25">
      <c r="I99" s="77"/>
      <c r="L99" s="5"/>
      <c r="O99" s="80"/>
    </row>
    <row r="100" spans="5:15" x14ac:dyDescent="0.25">
      <c r="I100" s="77"/>
      <c r="L100" s="5"/>
      <c r="O100" s="80"/>
    </row>
    <row r="101" spans="5:15" x14ac:dyDescent="0.25">
      <c r="I101" s="77"/>
      <c r="L101" s="5"/>
      <c r="O101" s="80"/>
    </row>
    <row r="102" spans="5:15" ht="13.8" thickBot="1" x14ac:dyDescent="0.3">
      <c r="L102" s="5"/>
    </row>
    <row r="103" spans="5:15" x14ac:dyDescent="0.25">
      <c r="E103" s="50"/>
      <c r="F103" s="51"/>
      <c r="G103" s="52">
        <f>G115</f>
        <v>0.40536406472902287</v>
      </c>
      <c r="H103" s="52">
        <f>H115</f>
        <v>6.3754196867299745E-2</v>
      </c>
      <c r="I103" s="52">
        <f>I115</f>
        <v>0.53088173840367736</v>
      </c>
      <c r="J103" s="51"/>
      <c r="K103" s="53"/>
      <c r="L103" s="5"/>
      <c r="M103" s="47"/>
      <c r="N103" s="47"/>
      <c r="O103" s="47"/>
    </row>
    <row r="104" spans="5:15" x14ac:dyDescent="0.25">
      <c r="E104" s="54"/>
      <c r="F104" s="38"/>
      <c r="G104" s="38"/>
      <c r="H104" s="38"/>
      <c r="I104" s="38"/>
      <c r="J104" s="38"/>
      <c r="K104" s="55"/>
      <c r="L104" s="5"/>
      <c r="M104" s="48"/>
    </row>
    <row r="105" spans="5:15" x14ac:dyDescent="0.25">
      <c r="E105" s="54" t="s">
        <v>69</v>
      </c>
      <c r="F105" s="38"/>
      <c r="G105" s="38"/>
      <c r="H105" s="38"/>
      <c r="I105" s="38"/>
      <c r="J105" s="38"/>
      <c r="K105" s="56">
        <v>1628852</v>
      </c>
      <c r="L105" s="5"/>
      <c r="M105" s="49"/>
    </row>
    <row r="106" spans="5:15" x14ac:dyDescent="0.25">
      <c r="E106" s="54" t="s">
        <v>90</v>
      </c>
      <c r="F106" s="38"/>
      <c r="G106" s="38"/>
      <c r="H106" s="38"/>
      <c r="I106" s="38"/>
      <c r="J106" s="38"/>
      <c r="K106" s="56">
        <v>0</v>
      </c>
      <c r="L106" s="5"/>
      <c r="M106" s="49"/>
    </row>
    <row r="107" spans="5:15" x14ac:dyDescent="0.25">
      <c r="E107" s="54"/>
      <c r="F107" s="38"/>
      <c r="G107" s="38"/>
      <c r="H107" s="38"/>
      <c r="I107" s="38"/>
      <c r="J107" s="38"/>
      <c r="K107" s="56"/>
      <c r="L107" s="5"/>
      <c r="M107" s="49"/>
    </row>
    <row r="108" spans="5:15" x14ac:dyDescent="0.25">
      <c r="E108" s="54" t="s">
        <v>70</v>
      </c>
      <c r="F108" s="38"/>
      <c r="G108" s="38"/>
      <c r="H108" s="38"/>
      <c r="I108" s="38"/>
      <c r="J108" s="38"/>
      <c r="K108" s="72">
        <f>SUM(K105:K107)</f>
        <v>1628852</v>
      </c>
      <c r="L108" s="5"/>
      <c r="M108" s="49"/>
    </row>
    <row r="109" spans="5:15" x14ac:dyDescent="0.25">
      <c r="E109" s="54" t="s">
        <v>71</v>
      </c>
      <c r="F109" s="38"/>
      <c r="G109" s="38"/>
      <c r="H109" s="38"/>
      <c r="I109" s="38"/>
      <c r="J109" s="38"/>
      <c r="K109" s="56">
        <f>-K60</f>
        <v>-240912</v>
      </c>
      <c r="L109" s="5"/>
      <c r="M109" s="49"/>
    </row>
    <row r="110" spans="5:15" ht="13.8" thickBot="1" x14ac:dyDescent="0.3">
      <c r="E110" s="54" t="s">
        <v>72</v>
      </c>
      <c r="F110" s="38"/>
      <c r="G110" s="38"/>
      <c r="H110" s="38"/>
      <c r="I110" s="38"/>
      <c r="J110" s="38"/>
      <c r="K110" s="73">
        <f>SUM(K108:K109)</f>
        <v>1387940</v>
      </c>
      <c r="L110" s="5"/>
      <c r="M110" s="49"/>
    </row>
    <row r="111" spans="5:15" ht="13.8" thickTop="1" x14ac:dyDescent="0.25">
      <c r="E111" s="54"/>
      <c r="F111" s="38"/>
      <c r="G111" s="38"/>
      <c r="H111" s="38"/>
      <c r="I111" s="38"/>
      <c r="J111" s="94" t="s">
        <v>95</v>
      </c>
      <c r="K111" s="56"/>
      <c r="L111" s="5"/>
      <c r="M111" s="49"/>
    </row>
    <row r="112" spans="5:15" x14ac:dyDescent="0.25">
      <c r="E112" s="57" t="s">
        <v>73</v>
      </c>
      <c r="F112" s="131"/>
      <c r="G112" s="59">
        <v>534591</v>
      </c>
      <c r="H112" s="59">
        <v>88487</v>
      </c>
      <c r="I112" s="59">
        <v>977744</v>
      </c>
      <c r="J112" s="59">
        <v>28029</v>
      </c>
      <c r="K112" s="56"/>
      <c r="L112" s="5"/>
      <c r="M112" s="49"/>
    </row>
    <row r="113" spans="2:13" x14ac:dyDescent="0.25">
      <c r="E113" s="54" t="s">
        <v>74</v>
      </c>
      <c r="F113" s="38"/>
      <c r="G113" s="61"/>
      <c r="H113" s="61"/>
      <c r="I113" s="61">
        <f>-K60</f>
        <v>-240912</v>
      </c>
      <c r="K113" s="55"/>
      <c r="L113" s="5"/>
    </row>
    <row r="114" spans="2:13" ht="13.8" thickBot="1" x14ac:dyDescent="0.3">
      <c r="E114" s="54" t="s">
        <v>75</v>
      </c>
      <c r="F114" s="38"/>
      <c r="G114" s="64"/>
      <c r="H114" s="64">
        <f>SUM(H112:H113)</f>
        <v>88487</v>
      </c>
      <c r="I114" s="64">
        <f>SUM(I112:I113)</f>
        <v>736832</v>
      </c>
      <c r="J114" s="65"/>
      <c r="K114" s="56"/>
      <c r="L114" s="5"/>
    </row>
    <row r="115" spans="2:13" ht="14.4" thickTop="1" thickBot="1" x14ac:dyDescent="0.3">
      <c r="E115" s="54" t="s">
        <v>76</v>
      </c>
      <c r="F115" s="38"/>
      <c r="G115" s="66">
        <f>1-(H115+I115)</f>
        <v>0.40536406472902287</v>
      </c>
      <c r="H115" s="66">
        <f>H$114/$K$110</f>
        <v>6.3754196867299745E-2</v>
      </c>
      <c r="I115" s="66">
        <f>I$114/$K$110</f>
        <v>0.53088173840367736</v>
      </c>
      <c r="J115" s="49"/>
      <c r="K115" s="56"/>
      <c r="L115" s="5"/>
    </row>
    <row r="116" spans="2:13" ht="14.4" thickTop="1" thickBot="1" x14ac:dyDescent="0.3">
      <c r="E116" s="67"/>
      <c r="F116" s="68"/>
      <c r="G116" s="69" t="s">
        <v>77</v>
      </c>
      <c r="H116" s="69" t="s">
        <v>78</v>
      </c>
      <c r="I116" s="69" t="s">
        <v>79</v>
      </c>
      <c r="J116" s="68"/>
      <c r="K116" s="70"/>
      <c r="L116" s="5"/>
    </row>
    <row r="117" spans="2:13" x14ac:dyDescent="0.25">
      <c r="J117" s="51"/>
      <c r="K117" s="74"/>
      <c r="L117" s="15"/>
    </row>
    <row r="118" spans="2:13" x14ac:dyDescent="0.25">
      <c r="J118" s="38"/>
      <c r="K118" s="63"/>
      <c r="L118" s="15"/>
    </row>
    <row r="119" spans="2:13" x14ac:dyDescent="0.25">
      <c r="B119" s="2" t="s">
        <v>83</v>
      </c>
      <c r="C119" s="2"/>
      <c r="D119" s="2" t="s">
        <v>151</v>
      </c>
      <c r="E119" s="78"/>
      <c r="F119" s="78"/>
      <c r="G119" s="49"/>
      <c r="H119" s="49"/>
      <c r="I119" s="88"/>
      <c r="J119" s="89"/>
      <c r="K119" s="90"/>
      <c r="L119" s="15"/>
    </row>
    <row r="120" spans="2:13" x14ac:dyDescent="0.25">
      <c r="B120" s="2" t="s">
        <v>84</v>
      </c>
      <c r="C120" s="2"/>
      <c r="D120" s="2"/>
      <c r="E120" s="71"/>
      <c r="F120" s="71"/>
      <c r="G120" s="71"/>
      <c r="H120" s="71"/>
      <c r="I120" s="88"/>
      <c r="J120" s="89"/>
      <c r="K120" s="89"/>
      <c r="M120" s="62"/>
    </row>
    <row r="121" spans="2:13" x14ac:dyDescent="0.25">
      <c r="B121" s="2" t="s">
        <v>80</v>
      </c>
      <c r="C121" s="2"/>
      <c r="D121" s="139" t="s">
        <v>153</v>
      </c>
      <c r="E121" s="71"/>
      <c r="F121" s="71"/>
      <c r="G121" s="71"/>
      <c r="H121" s="49"/>
      <c r="I121" s="49"/>
      <c r="J121" s="38"/>
      <c r="K121" s="38"/>
    </row>
    <row r="122" spans="2:13" x14ac:dyDescent="0.25">
      <c r="B122" s="2" t="s">
        <v>82</v>
      </c>
      <c r="C122" s="2"/>
      <c r="D122" s="139"/>
      <c r="E122" s="71"/>
      <c r="F122" s="71"/>
      <c r="G122" s="75"/>
      <c r="H122" s="75"/>
      <c r="I122" s="75"/>
    </row>
    <row r="123" spans="2:13" x14ac:dyDescent="0.25">
      <c r="B123" s="2" t="s">
        <v>81</v>
      </c>
      <c r="C123" s="2"/>
      <c r="D123" s="139"/>
      <c r="E123" s="71"/>
      <c r="F123" s="71"/>
      <c r="G123" s="49"/>
      <c r="H123" s="49"/>
      <c r="I123" s="49"/>
    </row>
    <row r="124" spans="2:13" x14ac:dyDescent="0.25">
      <c r="E124" s="71"/>
      <c r="F124" s="71"/>
      <c r="G124" s="75"/>
      <c r="H124" s="75"/>
      <c r="I124" s="75"/>
    </row>
    <row r="125" spans="2:13" x14ac:dyDescent="0.25">
      <c r="B125" s="2" t="s">
        <v>91</v>
      </c>
      <c r="D125" s="2" t="s">
        <v>142</v>
      </c>
      <c r="E125" s="71"/>
      <c r="F125" s="71"/>
      <c r="G125" s="76"/>
      <c r="H125" s="76"/>
      <c r="I125" s="76"/>
      <c r="J125" s="38"/>
    </row>
    <row r="126" spans="2:13" x14ac:dyDescent="0.25">
      <c r="D126" s="92" t="s">
        <v>125</v>
      </c>
      <c r="G126" s="63"/>
      <c r="H126" s="63"/>
      <c r="I126" s="63"/>
      <c r="J126" s="38"/>
    </row>
    <row r="127" spans="2:13" x14ac:dyDescent="0.25">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94"/>
  <sheetViews>
    <sheetView zoomScaleNormal="100" workbookViewId="0">
      <selection activeCell="N26" sqref="N26"/>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0" width="2.5546875" style="3" customWidth="1"/>
    <col min="11" max="16384" width="9.109375" style="3"/>
  </cols>
  <sheetData>
    <row r="1" spans="2:10" x14ac:dyDescent="0.25">
      <c r="E1" s="2"/>
      <c r="F1" s="2"/>
    </row>
    <row r="2" spans="2:10" ht="21" thickBot="1" x14ac:dyDescent="0.4">
      <c r="B2" s="1" t="s">
        <v>0</v>
      </c>
      <c r="C2" s="2"/>
      <c r="D2" s="2"/>
      <c r="E2" s="2"/>
      <c r="F2" s="2"/>
      <c r="G2" s="100"/>
      <c r="H2" s="134"/>
      <c r="I2" s="134"/>
      <c r="J2" s="83"/>
    </row>
    <row r="3" spans="2:10" ht="20.399999999999999" x14ac:dyDescent="0.35">
      <c r="B3" s="1" t="s">
        <v>1</v>
      </c>
      <c r="C3" s="2"/>
      <c r="D3" s="2"/>
    </row>
    <row r="4" spans="2:10" x14ac:dyDescent="0.25">
      <c r="B4" s="2" t="s">
        <v>162</v>
      </c>
      <c r="C4" s="2"/>
      <c r="D4" s="2"/>
      <c r="G4" s="7" t="s">
        <v>4</v>
      </c>
      <c r="H4" s="7" t="s">
        <v>5</v>
      </c>
      <c r="I4" s="7" t="s">
        <v>6</v>
      </c>
      <c r="J4" s="7"/>
    </row>
    <row r="5" spans="2:10" ht="15" x14ac:dyDescent="0.25">
      <c r="B5" s="4"/>
      <c r="C5" s="2"/>
      <c r="D5" s="4" t="s">
        <v>2</v>
      </c>
      <c r="G5" s="7" t="s">
        <v>12</v>
      </c>
      <c r="H5" s="7" t="s">
        <v>12</v>
      </c>
      <c r="I5" s="7" t="s">
        <v>13</v>
      </c>
      <c r="J5" s="7"/>
    </row>
    <row r="6" spans="2:10" x14ac:dyDescent="0.25">
      <c r="D6" s="81"/>
      <c r="E6" s="15"/>
      <c r="G6" s="7" t="s">
        <v>174</v>
      </c>
      <c r="H6" s="7" t="s">
        <v>175</v>
      </c>
      <c r="I6" s="7" t="s">
        <v>176</v>
      </c>
      <c r="J6" s="7"/>
    </row>
    <row r="7" spans="2:10" ht="13.8" thickBot="1" x14ac:dyDescent="0.3">
      <c r="B7" s="2"/>
      <c r="E7" s="15"/>
      <c r="G7" s="8" t="s">
        <v>17</v>
      </c>
      <c r="H7" s="8" t="s">
        <v>17</v>
      </c>
      <c r="I7" s="8" t="s">
        <v>17</v>
      </c>
      <c r="J7" s="84"/>
    </row>
    <row r="8" spans="2:10" ht="5.0999999999999996" customHeight="1" x14ac:dyDescent="0.25">
      <c r="B8" s="2"/>
      <c r="E8" s="15"/>
      <c r="G8" s="9"/>
      <c r="H8" s="9"/>
      <c r="I8" s="9"/>
      <c r="J8" s="87"/>
    </row>
    <row r="9" spans="2:10" ht="14.4" thickBot="1" x14ac:dyDescent="0.3">
      <c r="B9" s="6" t="s">
        <v>3</v>
      </c>
      <c r="D9" s="3" t="s">
        <v>19</v>
      </c>
      <c r="E9" s="18" t="s">
        <v>20</v>
      </c>
      <c r="G9" s="11">
        <v>31253</v>
      </c>
      <c r="H9" s="11">
        <v>0</v>
      </c>
      <c r="I9" s="11">
        <f>G9-H9</f>
        <v>31253</v>
      </c>
      <c r="J9" s="12"/>
    </row>
    <row r="10" spans="2:10" x14ac:dyDescent="0.25">
      <c r="B10" s="2" t="s">
        <v>9</v>
      </c>
      <c r="E10" s="18" t="s">
        <v>21</v>
      </c>
      <c r="G10" s="13">
        <v>657.9</v>
      </c>
      <c r="H10" s="13">
        <v>657.9</v>
      </c>
      <c r="I10" s="13">
        <f t="shared" ref="I10:I73" si="0">G10-H10</f>
        <v>0</v>
      </c>
      <c r="J10" s="85"/>
    </row>
    <row r="11" spans="2:10" x14ac:dyDescent="0.25">
      <c r="E11" s="18"/>
      <c r="G11" s="15"/>
      <c r="H11" s="15"/>
      <c r="I11" s="15"/>
    </row>
    <row r="12" spans="2:10" ht="13.8" thickBot="1" x14ac:dyDescent="0.3">
      <c r="D12" s="3" t="s">
        <v>22</v>
      </c>
      <c r="E12" s="18" t="s">
        <v>20</v>
      </c>
      <c r="G12" s="11">
        <v>137843</v>
      </c>
      <c r="H12" s="11">
        <v>137843</v>
      </c>
      <c r="I12" s="11">
        <f t="shared" si="0"/>
        <v>0</v>
      </c>
      <c r="J12" s="12"/>
    </row>
    <row r="13" spans="2:10" x14ac:dyDescent="0.25">
      <c r="E13" s="18" t="s">
        <v>21</v>
      </c>
      <c r="G13" s="13">
        <v>2345.8000000000002</v>
      </c>
      <c r="H13" s="13">
        <v>2345.8000000000002</v>
      </c>
      <c r="I13" s="13">
        <f t="shared" si="0"/>
        <v>0</v>
      </c>
      <c r="J13" s="85"/>
    </row>
    <row r="14" spans="2:10" x14ac:dyDescent="0.25">
      <c r="E14" s="15"/>
      <c r="G14" s="15"/>
      <c r="H14" s="15"/>
      <c r="I14" s="15"/>
    </row>
    <row r="15" spans="2:10" x14ac:dyDescent="0.25">
      <c r="D15" s="3" t="s">
        <v>23</v>
      </c>
      <c r="E15" s="18" t="s">
        <v>24</v>
      </c>
      <c r="G15" s="11">
        <v>6984.7144498707266</v>
      </c>
      <c r="H15" s="11">
        <v>0</v>
      </c>
      <c r="I15" s="11">
        <f t="shared" si="0"/>
        <v>6984.7144498707266</v>
      </c>
      <c r="J15" s="12"/>
    </row>
    <row r="16" spans="2:10" x14ac:dyDescent="0.25">
      <c r="D16" s="3" t="s">
        <v>25</v>
      </c>
      <c r="E16" s="18" t="s">
        <v>26</v>
      </c>
      <c r="G16" s="11">
        <v>9814.7042011389294</v>
      </c>
      <c r="H16" s="11">
        <v>9814.7042011389294</v>
      </c>
      <c r="I16" s="11">
        <f t="shared" si="0"/>
        <v>0</v>
      </c>
      <c r="J16" s="12"/>
    </row>
    <row r="17" spans="2:10" x14ac:dyDescent="0.25">
      <c r="E17" s="18" t="s">
        <v>27</v>
      </c>
      <c r="G17" s="11">
        <v>755.35966676242458</v>
      </c>
      <c r="H17" s="11">
        <v>0</v>
      </c>
      <c r="I17" s="11">
        <f t="shared" si="0"/>
        <v>755.35966676242458</v>
      </c>
      <c r="J17" s="12"/>
    </row>
    <row r="18" spans="2:10" x14ac:dyDescent="0.25">
      <c r="E18" s="18" t="s">
        <v>28</v>
      </c>
      <c r="G18" s="11">
        <v>11747</v>
      </c>
      <c r="H18" s="11">
        <v>0</v>
      </c>
      <c r="I18" s="11">
        <f t="shared" si="0"/>
        <v>11747</v>
      </c>
      <c r="J18" s="12"/>
    </row>
    <row r="19" spans="2:10" x14ac:dyDescent="0.25">
      <c r="E19" s="18" t="s">
        <v>29</v>
      </c>
      <c r="G19" s="11">
        <v>0</v>
      </c>
      <c r="H19" s="11">
        <v>0</v>
      </c>
      <c r="I19" s="11">
        <f t="shared" si="0"/>
        <v>0</v>
      </c>
      <c r="J19" s="12"/>
    </row>
    <row r="20" spans="2:10" x14ac:dyDescent="0.25">
      <c r="E20" s="18" t="s">
        <v>30</v>
      </c>
      <c r="G20" s="21">
        <v>3887</v>
      </c>
      <c r="H20" s="11">
        <v>0</v>
      </c>
      <c r="I20" s="11">
        <f t="shared" si="0"/>
        <v>3887</v>
      </c>
      <c r="J20" s="12"/>
    </row>
    <row r="21" spans="2:10" x14ac:dyDescent="0.25">
      <c r="D21" s="2" t="s">
        <v>31</v>
      </c>
      <c r="E21" s="18"/>
      <c r="G21" s="23">
        <v>202284.77831777208</v>
      </c>
      <c r="H21" s="25">
        <v>147657.70420113893</v>
      </c>
      <c r="I21" s="25">
        <f t="shared" si="0"/>
        <v>54627.074116633157</v>
      </c>
      <c r="J21" s="86"/>
    </row>
    <row r="22" spans="2:10" x14ac:dyDescent="0.25">
      <c r="E22" s="18"/>
      <c r="G22" s="11"/>
      <c r="H22" s="11"/>
      <c r="I22" s="11">
        <f t="shared" si="0"/>
        <v>0</v>
      </c>
      <c r="J22" s="12"/>
    </row>
    <row r="23" spans="2:10" x14ac:dyDescent="0.25">
      <c r="B23" s="2" t="s">
        <v>32</v>
      </c>
      <c r="E23" s="18" t="s">
        <v>33</v>
      </c>
      <c r="G23" s="21">
        <v>47739</v>
      </c>
      <c r="H23" s="21">
        <v>3141.3240556676751</v>
      </c>
      <c r="I23" s="21">
        <f t="shared" si="0"/>
        <v>44597.675944332324</v>
      </c>
      <c r="J23" s="29"/>
    </row>
    <row r="24" spans="2:10" x14ac:dyDescent="0.25">
      <c r="B24" s="2"/>
      <c r="D24" s="2" t="s">
        <v>34</v>
      </c>
      <c r="E24" s="18"/>
      <c r="G24" s="23">
        <v>47739</v>
      </c>
      <c r="H24" s="23">
        <v>3141.3240556676751</v>
      </c>
      <c r="I24" s="23">
        <f t="shared" si="0"/>
        <v>44597.675944332324</v>
      </c>
      <c r="J24" s="24"/>
    </row>
    <row r="25" spans="2:10" x14ac:dyDescent="0.25">
      <c r="B25" s="2"/>
      <c r="E25" s="15"/>
      <c r="G25" s="15"/>
      <c r="H25" s="15"/>
      <c r="I25" s="15"/>
    </row>
    <row r="26" spans="2:10" x14ac:dyDescent="0.25">
      <c r="B26" s="2" t="s">
        <v>35</v>
      </c>
      <c r="E26" s="18" t="s">
        <v>36</v>
      </c>
      <c r="F26" s="15"/>
      <c r="G26" s="11">
        <v>795</v>
      </c>
      <c r="H26" s="29">
        <v>0</v>
      </c>
      <c r="I26" s="29">
        <f t="shared" si="0"/>
        <v>795</v>
      </c>
      <c r="J26" s="12"/>
    </row>
    <row r="27" spans="2:10" x14ac:dyDescent="0.25">
      <c r="B27" s="2"/>
      <c r="E27" s="18" t="s">
        <v>37</v>
      </c>
      <c r="G27" s="11">
        <v>2801</v>
      </c>
      <c r="H27" s="11">
        <v>2801</v>
      </c>
      <c r="I27" s="11">
        <f t="shared" si="0"/>
        <v>0</v>
      </c>
      <c r="J27" s="12"/>
    </row>
    <row r="28" spans="2:10" x14ac:dyDescent="0.25">
      <c r="B28" s="2"/>
      <c r="E28" s="15" t="s">
        <v>38</v>
      </c>
      <c r="G28" s="11">
        <v>0</v>
      </c>
      <c r="H28" s="11">
        <v>0</v>
      </c>
      <c r="I28" s="11">
        <f t="shared" si="0"/>
        <v>0</v>
      </c>
      <c r="J28" s="12"/>
    </row>
    <row r="29" spans="2:10" x14ac:dyDescent="0.25">
      <c r="B29" s="2"/>
      <c r="E29" s="18" t="s">
        <v>39</v>
      </c>
      <c r="G29" s="11">
        <v>2377</v>
      </c>
      <c r="H29" s="11">
        <v>2377</v>
      </c>
      <c r="I29" s="11">
        <f t="shared" si="0"/>
        <v>0</v>
      </c>
      <c r="J29" s="12"/>
    </row>
    <row r="30" spans="2:10" x14ac:dyDescent="0.25">
      <c r="B30" s="2"/>
      <c r="E30" s="10" t="s">
        <v>40</v>
      </c>
      <c r="G30" s="21">
        <v>0</v>
      </c>
      <c r="H30" s="21">
        <v>0</v>
      </c>
      <c r="I30" s="21">
        <f t="shared" si="0"/>
        <v>0</v>
      </c>
      <c r="J30" s="82"/>
    </row>
    <row r="31" spans="2:10" x14ac:dyDescent="0.25">
      <c r="B31" s="2"/>
      <c r="D31" s="2" t="s">
        <v>41</v>
      </c>
      <c r="G31" s="24">
        <v>5973</v>
      </c>
      <c r="H31" s="23">
        <v>5178</v>
      </c>
      <c r="I31" s="23">
        <f t="shared" si="0"/>
        <v>795</v>
      </c>
      <c r="J31" s="24"/>
    </row>
    <row r="32" spans="2:10" x14ac:dyDescent="0.25">
      <c r="B32" s="2"/>
    </row>
    <row r="33" spans="2:10" x14ac:dyDescent="0.25">
      <c r="B33" s="2" t="s">
        <v>42</v>
      </c>
      <c r="D33" s="2" t="s">
        <v>43</v>
      </c>
      <c r="E33" s="3" t="s">
        <v>44</v>
      </c>
      <c r="G33" s="11">
        <v>0</v>
      </c>
      <c r="H33" s="12">
        <v>0</v>
      </c>
      <c r="I33" s="12">
        <f t="shared" si="0"/>
        <v>0</v>
      </c>
      <c r="J33" s="12"/>
    </row>
    <row r="34" spans="2:10" x14ac:dyDescent="0.25">
      <c r="B34" s="2" t="s">
        <v>45</v>
      </c>
      <c r="D34" s="2" t="s">
        <v>46</v>
      </c>
      <c r="E34" s="3" t="s">
        <v>47</v>
      </c>
      <c r="G34" s="11">
        <v>0</v>
      </c>
      <c r="H34" s="12">
        <v>0</v>
      </c>
      <c r="I34" s="12">
        <f t="shared" si="0"/>
        <v>0</v>
      </c>
      <c r="J34" s="12"/>
    </row>
    <row r="35" spans="2:10" x14ac:dyDescent="0.25">
      <c r="D35" s="2"/>
      <c r="G35" s="15"/>
      <c r="J35" s="12"/>
    </row>
    <row r="36" spans="2:10" x14ac:dyDescent="0.25">
      <c r="D36" s="2" t="s">
        <v>48</v>
      </c>
      <c r="E36" s="3" t="s">
        <v>49</v>
      </c>
      <c r="G36" s="11">
        <v>0</v>
      </c>
      <c r="H36" s="12">
        <v>0</v>
      </c>
      <c r="I36" s="12">
        <f t="shared" si="0"/>
        <v>0</v>
      </c>
      <c r="J36" s="12"/>
    </row>
    <row r="37" spans="2:10" x14ac:dyDescent="0.25">
      <c r="D37" s="2" t="s">
        <v>50</v>
      </c>
      <c r="E37" s="3" t="s">
        <v>51</v>
      </c>
      <c r="G37" s="11">
        <v>0</v>
      </c>
      <c r="H37" s="12">
        <v>0</v>
      </c>
      <c r="I37" s="12">
        <f t="shared" si="0"/>
        <v>0</v>
      </c>
      <c r="J37" s="12"/>
    </row>
    <row r="38" spans="2:10" x14ac:dyDescent="0.25">
      <c r="D38" s="2"/>
      <c r="E38" s="3" t="s">
        <v>52</v>
      </c>
      <c r="G38" s="11">
        <v>0</v>
      </c>
      <c r="H38" s="12">
        <v>0</v>
      </c>
      <c r="I38" s="12">
        <f t="shared" si="0"/>
        <v>0</v>
      </c>
      <c r="J38" s="12"/>
    </row>
    <row r="39" spans="2:10" x14ac:dyDescent="0.25">
      <c r="D39" s="2"/>
      <c r="E39" s="3" t="s">
        <v>53</v>
      </c>
      <c r="G39" s="11"/>
      <c r="H39" s="12">
        <v>0</v>
      </c>
      <c r="I39" s="12">
        <f t="shared" si="0"/>
        <v>0</v>
      </c>
      <c r="J39" s="12"/>
    </row>
    <row r="40" spans="2:10" x14ac:dyDescent="0.25">
      <c r="D40" s="2"/>
      <c r="G40" s="15"/>
      <c r="J40" s="12"/>
    </row>
    <row r="41" spans="2:10" x14ac:dyDescent="0.25">
      <c r="D41" s="2" t="s">
        <v>54</v>
      </c>
      <c r="G41" s="11">
        <v>0</v>
      </c>
      <c r="H41" s="12">
        <v>0</v>
      </c>
      <c r="I41" s="12">
        <f t="shared" si="0"/>
        <v>0</v>
      </c>
      <c r="J41" s="12"/>
    </row>
    <row r="42" spans="2:10" x14ac:dyDescent="0.25">
      <c r="D42" s="2"/>
      <c r="G42" s="15"/>
    </row>
    <row r="43" spans="2:10" x14ac:dyDescent="0.25">
      <c r="D43" s="2" t="s">
        <v>55</v>
      </c>
      <c r="G43" s="11">
        <v>0</v>
      </c>
      <c r="H43" s="12">
        <v>0</v>
      </c>
      <c r="I43" s="12">
        <f t="shared" si="0"/>
        <v>0</v>
      </c>
      <c r="J43" s="12"/>
    </row>
    <row r="44" spans="2:10" x14ac:dyDescent="0.25">
      <c r="D44" s="2"/>
      <c r="G44" s="15"/>
    </row>
    <row r="45" spans="2:10" x14ac:dyDescent="0.25">
      <c r="D45" s="2" t="s">
        <v>56</v>
      </c>
      <c r="G45" s="11">
        <v>0</v>
      </c>
      <c r="H45" s="12">
        <v>0</v>
      </c>
      <c r="I45" s="12">
        <f t="shared" si="0"/>
        <v>0</v>
      </c>
      <c r="J45" s="12"/>
    </row>
    <row r="46" spans="2:10" x14ac:dyDescent="0.25">
      <c r="D46" s="2"/>
      <c r="G46" s="15"/>
    </row>
    <row r="47" spans="2:10" x14ac:dyDescent="0.25">
      <c r="D47" s="2" t="s">
        <v>57</v>
      </c>
      <c r="G47" s="11">
        <v>0</v>
      </c>
      <c r="H47" s="12">
        <v>0</v>
      </c>
      <c r="I47" s="12">
        <f t="shared" si="0"/>
        <v>0</v>
      </c>
      <c r="J47" s="12"/>
    </row>
    <row r="48" spans="2:10" x14ac:dyDescent="0.25">
      <c r="D48" s="2" t="s">
        <v>58</v>
      </c>
      <c r="G48" s="15"/>
    </row>
    <row r="49" spans="2:10" x14ac:dyDescent="0.25">
      <c r="D49" s="2"/>
      <c r="G49" s="15"/>
    </row>
    <row r="50" spans="2:10" x14ac:dyDescent="0.25">
      <c r="B50" s="2"/>
      <c r="D50" s="2" t="s">
        <v>53</v>
      </c>
      <c r="G50" s="21">
        <v>582</v>
      </c>
      <c r="H50" s="22">
        <v>582</v>
      </c>
      <c r="I50" s="22">
        <f t="shared" si="0"/>
        <v>0</v>
      </c>
      <c r="J50" s="82"/>
    </row>
    <row r="51" spans="2:10" x14ac:dyDescent="0.25">
      <c r="D51" s="2" t="s">
        <v>59</v>
      </c>
      <c r="G51" s="24">
        <v>582</v>
      </c>
      <c r="H51" s="24">
        <v>582</v>
      </c>
      <c r="I51" s="24">
        <f t="shared" si="0"/>
        <v>0</v>
      </c>
      <c r="J51" s="24"/>
    </row>
    <row r="52" spans="2:10" x14ac:dyDescent="0.25">
      <c r="B52" s="2"/>
    </row>
    <row r="53" spans="2:10" x14ac:dyDescent="0.25">
      <c r="B53" s="2" t="s">
        <v>60</v>
      </c>
      <c r="G53" s="12">
        <v>0</v>
      </c>
      <c r="H53" s="12">
        <v>0</v>
      </c>
      <c r="I53" s="12">
        <f t="shared" si="0"/>
        <v>0</v>
      </c>
      <c r="J53" s="12"/>
    </row>
    <row r="54" spans="2:10" x14ac:dyDescent="0.25">
      <c r="B54" s="2" t="s">
        <v>61</v>
      </c>
    </row>
    <row r="55" spans="2:10" ht="13.8" thickBot="1" x14ac:dyDescent="0.3">
      <c r="J55" s="40"/>
    </row>
    <row r="56" spans="2:10" x14ac:dyDescent="0.25">
      <c r="B56" s="2" t="s">
        <v>62</v>
      </c>
      <c r="G56" s="31">
        <v>256578.77831777208</v>
      </c>
      <c r="H56" s="31">
        <v>156559.0282568066</v>
      </c>
      <c r="I56" s="31">
        <f t="shared" si="0"/>
        <v>100019.75006096548</v>
      </c>
      <c r="J56" s="86"/>
    </row>
    <row r="59" spans="2:10" ht="13.8" x14ac:dyDescent="0.25">
      <c r="B59" s="6" t="s">
        <v>63</v>
      </c>
    </row>
    <row r="60" spans="2:10" x14ac:dyDescent="0.25">
      <c r="D60" s="15" t="s">
        <v>64</v>
      </c>
      <c r="E60" s="10" t="s">
        <v>20</v>
      </c>
      <c r="G60" s="12">
        <v>240912</v>
      </c>
      <c r="H60" s="12">
        <v>240912</v>
      </c>
      <c r="I60" s="12">
        <f t="shared" si="0"/>
        <v>0</v>
      </c>
      <c r="J60" s="11"/>
    </row>
    <row r="61" spans="2:10" x14ac:dyDescent="0.25">
      <c r="D61" s="15"/>
      <c r="E61" s="10" t="s">
        <v>21</v>
      </c>
      <c r="G61" s="33">
        <v>0</v>
      </c>
      <c r="H61" s="33">
        <v>0</v>
      </c>
      <c r="I61" s="33">
        <f t="shared" si="0"/>
        <v>0</v>
      </c>
      <c r="J61" s="33"/>
    </row>
    <row r="62" spans="2:10" x14ac:dyDescent="0.25">
      <c r="D62" s="15"/>
      <c r="E62" s="10"/>
    </row>
    <row r="63" spans="2:10" x14ac:dyDescent="0.25">
      <c r="D63" s="15" t="s">
        <v>94</v>
      </c>
      <c r="E63" s="10" t="s">
        <v>20</v>
      </c>
      <c r="G63" s="12">
        <v>226826.65507730879</v>
      </c>
      <c r="H63" s="12">
        <v>226826.65507730879</v>
      </c>
      <c r="I63" s="12">
        <f t="shared" si="0"/>
        <v>0</v>
      </c>
      <c r="J63" s="11"/>
    </row>
    <row r="64" spans="2:10" ht="12.75" customHeight="1" x14ac:dyDescent="0.25">
      <c r="D64" s="15"/>
      <c r="E64" s="10" t="s">
        <v>21</v>
      </c>
      <c r="G64" s="36">
        <v>0</v>
      </c>
      <c r="H64" s="33">
        <v>0</v>
      </c>
      <c r="I64" s="33">
        <f t="shared" si="0"/>
        <v>0</v>
      </c>
      <c r="J64" s="33"/>
    </row>
    <row r="65" spans="4:10" ht="12.75" customHeight="1" x14ac:dyDescent="0.25">
      <c r="D65" s="15"/>
      <c r="E65" s="10"/>
    </row>
    <row r="66" spans="4:10" x14ac:dyDescent="0.25">
      <c r="D66" s="15" t="s">
        <v>65</v>
      </c>
      <c r="E66" s="10" t="s">
        <v>20</v>
      </c>
      <c r="G66" s="12">
        <v>4336.2420392812364</v>
      </c>
      <c r="H66" s="12">
        <v>4336.2420392812364</v>
      </c>
      <c r="I66" s="12">
        <f t="shared" si="0"/>
        <v>0</v>
      </c>
      <c r="J66" s="11"/>
    </row>
    <row r="67" spans="4:10" x14ac:dyDescent="0.25">
      <c r="D67" s="15"/>
      <c r="E67" s="10" t="s">
        <v>21</v>
      </c>
      <c r="G67" s="36">
        <v>0</v>
      </c>
      <c r="H67" s="33">
        <v>0</v>
      </c>
      <c r="I67" s="33">
        <f t="shared" si="0"/>
        <v>0</v>
      </c>
      <c r="J67" s="33"/>
    </row>
    <row r="68" spans="4:10" x14ac:dyDescent="0.25">
      <c r="D68" s="15"/>
      <c r="E68" s="10"/>
      <c r="G68" s="33"/>
      <c r="H68" s="33"/>
      <c r="I68" s="33">
        <f t="shared" si="0"/>
        <v>0</v>
      </c>
      <c r="J68" s="34"/>
    </row>
    <row r="69" spans="4:10" x14ac:dyDescent="0.25">
      <c r="D69" s="99" t="s">
        <v>143</v>
      </c>
      <c r="E69" s="10" t="s">
        <v>20</v>
      </c>
      <c r="G69" s="12">
        <v>1763.5891349770161</v>
      </c>
      <c r="H69" s="12">
        <v>1763.5891349770161</v>
      </c>
      <c r="I69" s="12">
        <f t="shared" si="0"/>
        <v>0</v>
      </c>
      <c r="J69" s="11"/>
    </row>
    <row r="70" spans="4:10" x14ac:dyDescent="0.25">
      <c r="D70" s="15"/>
      <c r="E70" s="10" t="s">
        <v>21</v>
      </c>
      <c r="G70" s="36">
        <v>0</v>
      </c>
      <c r="H70" s="33">
        <v>0</v>
      </c>
      <c r="I70" s="33">
        <f t="shared" si="0"/>
        <v>0</v>
      </c>
      <c r="J70" s="33"/>
    </row>
    <row r="71" spans="4:10" x14ac:dyDescent="0.25">
      <c r="D71" s="15"/>
      <c r="E71" s="10"/>
      <c r="G71" s="36"/>
      <c r="H71" s="33"/>
      <c r="I71" s="33">
        <f t="shared" si="0"/>
        <v>0</v>
      </c>
      <c r="J71" s="33"/>
    </row>
    <row r="72" spans="4:10" x14ac:dyDescent="0.25">
      <c r="D72" s="15" t="s">
        <v>127</v>
      </c>
      <c r="E72" s="10" t="s">
        <v>20</v>
      </c>
      <c r="G72" s="12">
        <v>30206.640033430838</v>
      </c>
      <c r="H72" s="12">
        <v>30206.640033430838</v>
      </c>
      <c r="I72" s="12">
        <f t="shared" si="0"/>
        <v>0</v>
      </c>
      <c r="J72" s="33"/>
    </row>
    <row r="73" spans="4:10" x14ac:dyDescent="0.25">
      <c r="D73" s="15"/>
      <c r="E73" s="10" t="s">
        <v>21</v>
      </c>
      <c r="G73" s="36">
        <v>0</v>
      </c>
      <c r="H73" s="33">
        <v>0</v>
      </c>
      <c r="I73" s="33">
        <f t="shared" si="0"/>
        <v>0</v>
      </c>
      <c r="J73" s="33"/>
    </row>
    <row r="74" spans="4:10" x14ac:dyDescent="0.25">
      <c r="D74" s="15"/>
      <c r="E74" s="10"/>
    </row>
    <row r="75" spans="4:10" x14ac:dyDescent="0.25">
      <c r="D75" s="99" t="s">
        <v>108</v>
      </c>
      <c r="E75" s="10" t="s">
        <v>20</v>
      </c>
      <c r="G75" s="12">
        <v>23385</v>
      </c>
      <c r="H75" s="12">
        <v>23385</v>
      </c>
      <c r="I75" s="12">
        <f t="shared" ref="I75:I93" si="1">G75-H75</f>
        <v>0</v>
      </c>
    </row>
    <row r="76" spans="4:10" x14ac:dyDescent="0.25">
      <c r="D76" s="15"/>
      <c r="E76" s="10" t="s">
        <v>21</v>
      </c>
      <c r="G76" s="36">
        <v>0</v>
      </c>
      <c r="H76" s="33">
        <v>0</v>
      </c>
      <c r="I76" s="33">
        <f t="shared" si="1"/>
        <v>0</v>
      </c>
    </row>
    <row r="77" spans="4:10" x14ac:dyDescent="0.25">
      <c r="D77" s="15"/>
      <c r="E77" s="10"/>
    </row>
    <row r="78" spans="4:10" x14ac:dyDescent="0.25">
      <c r="D78" s="99" t="s">
        <v>144</v>
      </c>
      <c r="E78" s="10" t="s">
        <v>20</v>
      </c>
      <c r="G78" s="12">
        <v>46223.342081069786</v>
      </c>
      <c r="H78" s="12">
        <v>46223.342081069786</v>
      </c>
      <c r="I78" s="12">
        <f t="shared" si="1"/>
        <v>0</v>
      </c>
    </row>
    <row r="79" spans="4:10" x14ac:dyDescent="0.25">
      <c r="D79" s="15"/>
      <c r="E79" s="10" t="s">
        <v>21</v>
      </c>
      <c r="G79" s="36">
        <v>0</v>
      </c>
      <c r="H79" s="33">
        <v>0</v>
      </c>
      <c r="I79" s="33">
        <f t="shared" si="1"/>
        <v>0</v>
      </c>
    </row>
    <row r="80" spans="4:10" x14ac:dyDescent="0.25">
      <c r="D80" s="15"/>
      <c r="E80" s="10"/>
    </row>
    <row r="81" spans="2:10" x14ac:dyDescent="0.25">
      <c r="D81" s="99" t="s">
        <v>145</v>
      </c>
      <c r="E81" s="10" t="s">
        <v>20</v>
      </c>
      <c r="G81" s="12">
        <v>61784.016715419973</v>
      </c>
      <c r="H81" s="12">
        <v>61784.016715419973</v>
      </c>
      <c r="I81" s="12">
        <f t="shared" si="1"/>
        <v>0</v>
      </c>
    </row>
    <row r="82" spans="2:10" x14ac:dyDescent="0.25">
      <c r="D82" s="15"/>
      <c r="E82" s="10" t="s">
        <v>21</v>
      </c>
      <c r="G82" s="36">
        <v>0</v>
      </c>
      <c r="H82" s="33">
        <v>0</v>
      </c>
      <c r="I82" s="33">
        <f t="shared" si="1"/>
        <v>0</v>
      </c>
    </row>
    <row r="83" spans="2:10" x14ac:dyDescent="0.25">
      <c r="D83" s="15"/>
      <c r="E83" s="10"/>
    </row>
    <row r="84" spans="2:10" x14ac:dyDescent="0.25">
      <c r="D84" s="99" t="s">
        <v>157</v>
      </c>
      <c r="E84" s="10" t="s">
        <v>20</v>
      </c>
      <c r="G84" s="12">
        <v>2101.7608023401585</v>
      </c>
      <c r="H84" s="12">
        <v>2101.7608023401585</v>
      </c>
      <c r="I84" s="12">
        <f t="shared" si="1"/>
        <v>0</v>
      </c>
      <c r="J84" s="12"/>
    </row>
    <row r="85" spans="2:10" x14ac:dyDescent="0.25">
      <c r="E85" s="10" t="s">
        <v>21</v>
      </c>
      <c r="G85" s="36">
        <v>0</v>
      </c>
      <c r="H85" s="33">
        <v>0</v>
      </c>
      <c r="I85" s="33">
        <f t="shared" si="1"/>
        <v>0</v>
      </c>
      <c r="J85" s="33"/>
    </row>
    <row r="86" spans="2:10" x14ac:dyDescent="0.25">
      <c r="E86" s="10"/>
      <c r="G86" s="36"/>
      <c r="H86" s="33"/>
      <c r="I86" s="33">
        <f t="shared" si="1"/>
        <v>0</v>
      </c>
      <c r="J86" s="33"/>
    </row>
    <row r="87" spans="2:10" x14ac:dyDescent="0.25">
      <c r="D87" s="15" t="s">
        <v>66</v>
      </c>
      <c r="E87" s="10" t="s">
        <v>20</v>
      </c>
      <c r="G87" s="12">
        <v>6082.842958629335</v>
      </c>
      <c r="H87" s="12">
        <v>6082.842958629335</v>
      </c>
      <c r="I87" s="12">
        <f t="shared" si="1"/>
        <v>0</v>
      </c>
      <c r="J87" s="12"/>
    </row>
    <row r="88" spans="2:10" ht="13.8" thickBot="1" x14ac:dyDescent="0.3">
      <c r="D88" s="15"/>
    </row>
    <row r="89" spans="2:10" ht="13.8" thickBot="1" x14ac:dyDescent="0.3">
      <c r="B89" s="2" t="s">
        <v>67</v>
      </c>
      <c r="E89" s="10" t="s">
        <v>20</v>
      </c>
      <c r="G89" s="31">
        <v>643622.08884245716</v>
      </c>
      <c r="H89" s="31">
        <v>643622.08884245716</v>
      </c>
      <c r="I89" s="31">
        <f t="shared" si="1"/>
        <v>0</v>
      </c>
      <c r="J89" s="86"/>
    </row>
    <row r="90" spans="2:10" x14ac:dyDescent="0.25">
      <c r="B90" s="2"/>
      <c r="E90" s="10" t="s">
        <v>21</v>
      </c>
      <c r="G90" s="31">
        <v>0</v>
      </c>
      <c r="H90" s="31">
        <v>0</v>
      </c>
      <c r="I90" s="31">
        <f t="shared" si="1"/>
        <v>0</v>
      </c>
      <c r="J90" s="42"/>
    </row>
    <row r="92" spans="2:10" ht="13.8" thickBot="1" x14ac:dyDescent="0.3"/>
    <row r="93" spans="2:10" ht="14.4" thickBot="1" x14ac:dyDescent="0.3">
      <c r="B93" s="6" t="s">
        <v>68</v>
      </c>
      <c r="G93" s="45">
        <v>900200.86716022925</v>
      </c>
      <c r="H93" s="79">
        <v>800181.11709926371</v>
      </c>
      <c r="I93" s="79">
        <f t="shared" si="1"/>
        <v>100019.75006096554</v>
      </c>
      <c r="J93" s="86"/>
    </row>
    <row r="94" spans="2:10" ht="13.8" thickTop="1" x14ac:dyDescent="0.25">
      <c r="G94" s="77"/>
      <c r="H94" s="80"/>
    </row>
  </sheetData>
  <mergeCells count="1">
    <mergeCell ref="H2:I2"/>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zoomScaleNormal="100" workbookViewId="0">
      <selection activeCell="E17" sqref="E17"/>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1.664062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ht="21" thickBot="1" x14ac:dyDescent="0.4">
      <c r="B2" s="1" t="s">
        <v>0</v>
      </c>
      <c r="C2" s="2"/>
      <c r="D2" s="2"/>
      <c r="E2" s="2"/>
      <c r="F2" s="2"/>
      <c r="G2" s="134" t="s">
        <v>166</v>
      </c>
      <c r="H2" s="134"/>
      <c r="I2" s="134"/>
      <c r="J2" s="134"/>
      <c r="K2" s="134"/>
      <c r="L2" s="5"/>
      <c r="M2" s="134" t="s">
        <v>167</v>
      </c>
      <c r="N2" s="134"/>
      <c r="O2" s="134"/>
      <c r="P2" s="134"/>
      <c r="Q2" s="134"/>
      <c r="R2" s="83"/>
      <c r="S2" s="83"/>
      <c r="T2" s="83"/>
      <c r="U2" s="83"/>
      <c r="V2" s="83"/>
    </row>
    <row r="3" spans="2:24" ht="20.399999999999999" x14ac:dyDescent="0.35">
      <c r="B3" s="1" t="s">
        <v>1</v>
      </c>
      <c r="C3" s="2"/>
      <c r="D3" s="2"/>
      <c r="L3" s="5"/>
    </row>
    <row r="4" spans="2:24" x14ac:dyDescent="0.25">
      <c r="B4" s="2" t="s">
        <v>165</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5">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5">
      <c r="D6" s="81"/>
      <c r="E6" s="15"/>
      <c r="G6" s="7"/>
      <c r="H6" s="7" t="s">
        <v>14</v>
      </c>
      <c r="I6" s="7"/>
      <c r="J6" s="7"/>
      <c r="K6" s="7"/>
      <c r="L6" s="5"/>
      <c r="M6" s="7"/>
      <c r="N6" s="7" t="s">
        <v>14</v>
      </c>
      <c r="O6" s="7"/>
      <c r="P6" s="7"/>
      <c r="Q6" s="7"/>
      <c r="R6" s="7"/>
      <c r="S6" s="7"/>
      <c r="T6" s="7"/>
      <c r="U6" s="7"/>
      <c r="V6" s="7"/>
    </row>
    <row r="7" spans="2:24" ht="13.8" thickBot="1" x14ac:dyDescent="0.3">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5">
      <c r="B8" s="2"/>
      <c r="E8" s="15"/>
      <c r="G8" s="9"/>
      <c r="H8" s="9"/>
      <c r="I8" s="9"/>
      <c r="J8" s="9"/>
      <c r="K8" s="9"/>
      <c r="L8" s="5"/>
      <c r="M8" s="9"/>
      <c r="N8" s="9"/>
      <c r="O8" s="9"/>
      <c r="P8" s="9"/>
      <c r="Q8" s="9"/>
      <c r="R8" s="87"/>
      <c r="S8" s="87"/>
      <c r="T8" s="87"/>
      <c r="U8" s="87"/>
      <c r="V8" s="87"/>
    </row>
    <row r="9" spans="2:24" ht="14.4" thickBot="1" x14ac:dyDescent="0.3">
      <c r="B9" s="6" t="s">
        <v>3</v>
      </c>
      <c r="D9" s="3" t="s">
        <v>19</v>
      </c>
      <c r="E9" s="18" t="s">
        <v>20</v>
      </c>
      <c r="G9" s="125">
        <v>2620</v>
      </c>
      <c r="H9" s="125">
        <v>385</v>
      </c>
      <c r="I9" s="125">
        <v>12396</v>
      </c>
      <c r="J9" s="126">
        <v>0</v>
      </c>
      <c r="K9" s="125">
        <v>15401</v>
      </c>
      <c r="L9" s="5"/>
      <c r="M9" s="11">
        <v>0</v>
      </c>
      <c r="N9" s="11">
        <v>0</v>
      </c>
      <c r="O9" s="11">
        <v>0</v>
      </c>
      <c r="P9" s="12">
        <v>0</v>
      </c>
      <c r="Q9" s="12">
        <f>SUM(M9:P9)</f>
        <v>0</v>
      </c>
      <c r="R9" s="12"/>
      <c r="S9" s="12"/>
      <c r="T9" s="12"/>
      <c r="U9" s="12"/>
      <c r="V9" s="12"/>
    </row>
    <row r="10" spans="2:24" x14ac:dyDescent="0.25">
      <c r="B10" s="2" t="s">
        <v>9</v>
      </c>
      <c r="E10" s="18" t="s">
        <v>21</v>
      </c>
      <c r="G10" s="127">
        <v>46.5</v>
      </c>
      <c r="H10" s="127">
        <v>6.3</v>
      </c>
      <c r="I10" s="127">
        <v>260</v>
      </c>
      <c r="J10" s="128">
        <v>0</v>
      </c>
      <c r="K10" s="127">
        <v>312.8</v>
      </c>
      <c r="L10" s="5"/>
      <c r="M10" s="13">
        <f>G10</f>
        <v>46.5</v>
      </c>
      <c r="N10" s="13">
        <f>H10</f>
        <v>6.3</v>
      </c>
      <c r="O10" s="13">
        <f>I10</f>
        <v>260</v>
      </c>
      <c r="P10" s="14">
        <v>0</v>
      </c>
      <c r="Q10" s="14">
        <f>SUM(M10:P10)</f>
        <v>312.8</v>
      </c>
      <c r="R10" s="85"/>
      <c r="S10" s="85"/>
      <c r="T10" s="85"/>
      <c r="U10" s="85"/>
      <c r="V10" s="85"/>
    </row>
    <row r="11" spans="2:24" x14ac:dyDescent="0.25">
      <c r="E11" s="18"/>
      <c r="G11" s="129"/>
      <c r="H11" s="129"/>
      <c r="I11" s="129"/>
      <c r="J11" s="130"/>
      <c r="K11" s="129"/>
      <c r="L11" s="5"/>
      <c r="M11" s="15"/>
      <c r="N11" s="15"/>
      <c r="O11" s="15"/>
    </row>
    <row r="12" spans="2:24" ht="13.8" thickBot="1" x14ac:dyDescent="0.3">
      <c r="D12" s="3" t="s">
        <v>22</v>
      </c>
      <c r="E12" s="18" t="s">
        <v>20</v>
      </c>
      <c r="G12" s="125">
        <v>21427</v>
      </c>
      <c r="H12" s="125">
        <v>3472</v>
      </c>
      <c r="I12" s="125">
        <v>90332</v>
      </c>
      <c r="J12" s="126">
        <v>0</v>
      </c>
      <c r="K12" s="125">
        <v>115231</v>
      </c>
      <c r="L12" s="5"/>
      <c r="M12" s="11">
        <f t="shared" ref="M12:P13" si="0">G12</f>
        <v>21427</v>
      </c>
      <c r="N12" s="11">
        <f t="shared" si="0"/>
        <v>3472</v>
      </c>
      <c r="O12" s="11">
        <f t="shared" si="0"/>
        <v>90332</v>
      </c>
      <c r="P12" s="11">
        <f t="shared" si="0"/>
        <v>0</v>
      </c>
      <c r="Q12" s="12">
        <f>SUM(M12:P12)</f>
        <v>115231</v>
      </c>
      <c r="R12" s="12"/>
      <c r="S12" s="12"/>
      <c r="T12" s="12"/>
      <c r="U12" s="12"/>
      <c r="V12" s="12"/>
    </row>
    <row r="13" spans="2:24" ht="13.8" thickBot="1" x14ac:dyDescent="0.3">
      <c r="E13" s="18" t="s">
        <v>21</v>
      </c>
      <c r="G13" s="127">
        <v>266</v>
      </c>
      <c r="H13" s="127">
        <v>39.299999999999997</v>
      </c>
      <c r="I13" s="127">
        <v>1389</v>
      </c>
      <c r="J13" s="128">
        <v>0</v>
      </c>
      <c r="K13" s="127">
        <v>1694.3</v>
      </c>
      <c r="L13" s="5"/>
      <c r="M13" s="13">
        <f t="shared" si="0"/>
        <v>266</v>
      </c>
      <c r="N13" s="13">
        <f t="shared" si="0"/>
        <v>39.299999999999997</v>
      </c>
      <c r="O13" s="13">
        <f t="shared" si="0"/>
        <v>1389</v>
      </c>
      <c r="P13" s="14">
        <v>0</v>
      </c>
      <c r="Q13" s="14">
        <f>SUM(M13:P13)</f>
        <v>1694.3</v>
      </c>
      <c r="R13" s="85"/>
      <c r="S13" s="85"/>
      <c r="T13" s="85"/>
      <c r="U13" s="85"/>
      <c r="V13" s="85"/>
    </row>
    <row r="14" spans="2:24" x14ac:dyDescent="0.25">
      <c r="E14" s="15"/>
      <c r="G14" s="129"/>
      <c r="H14" s="129"/>
      <c r="I14" s="129"/>
      <c r="J14" s="130"/>
      <c r="K14" s="129"/>
      <c r="L14" s="5"/>
      <c r="M14" s="15"/>
      <c r="N14" s="15"/>
      <c r="O14" s="15"/>
      <c r="X14" s="16" t="s">
        <v>86</v>
      </c>
    </row>
    <row r="15" spans="2:24" x14ac:dyDescent="0.25">
      <c r="D15" s="3" t="s">
        <v>23</v>
      </c>
      <c r="E15" s="18" t="s">
        <v>24</v>
      </c>
      <c r="G15" s="11">
        <v>1443.7135549872123</v>
      </c>
      <c r="H15" s="11">
        <v>194.29667519181584</v>
      </c>
      <c r="I15" s="11">
        <v>3643.9897698209716</v>
      </c>
      <c r="J15" s="12"/>
      <c r="K15" s="11">
        <v>5282</v>
      </c>
      <c r="L15" s="5"/>
      <c r="M15" s="11">
        <v>0</v>
      </c>
      <c r="N15" s="11">
        <v>0</v>
      </c>
      <c r="O15" s="11">
        <v>0</v>
      </c>
      <c r="P15" s="12">
        <v>0</v>
      </c>
      <c r="Q15" s="12">
        <f t="shared" ref="Q15:Q20" si="1">SUM(M15:P15)</f>
        <v>0</v>
      </c>
      <c r="R15" s="12"/>
      <c r="S15" s="12"/>
      <c r="T15" s="12"/>
      <c r="U15" s="12"/>
      <c r="V15" s="12"/>
      <c r="X15" s="17"/>
    </row>
    <row r="16" spans="2:24" x14ac:dyDescent="0.25">
      <c r="D16" s="3" t="s">
        <v>25</v>
      </c>
      <c r="E16" s="18" t="s">
        <v>26</v>
      </c>
      <c r="G16" s="11">
        <v>3013.0239626984594</v>
      </c>
      <c r="H16" s="11">
        <v>444.64038245883256</v>
      </c>
      <c r="I16" s="11">
        <v>7091.3356548427082</v>
      </c>
      <c r="J16" s="12"/>
      <c r="K16" s="11">
        <v>10549</v>
      </c>
      <c r="L16" s="5"/>
      <c r="M16" s="11">
        <f>G16</f>
        <v>3013.0239626984594</v>
      </c>
      <c r="N16" s="11">
        <f>H16</f>
        <v>444.64038245883256</v>
      </c>
      <c r="O16" s="11">
        <f>I16</f>
        <v>7091.3356548427082</v>
      </c>
      <c r="P16" s="11">
        <f>J16</f>
        <v>0</v>
      </c>
      <c r="Q16" s="12">
        <f t="shared" si="1"/>
        <v>10549</v>
      </c>
      <c r="R16" s="12"/>
      <c r="S16" s="12"/>
      <c r="T16" s="12"/>
      <c r="U16" s="12"/>
      <c r="V16" s="12"/>
      <c r="X16" s="17" t="s">
        <v>87</v>
      </c>
    </row>
    <row r="17" spans="2:24" x14ac:dyDescent="0.25">
      <c r="E17" s="18" t="s">
        <v>27</v>
      </c>
      <c r="G17" s="11">
        <v>288.84526854219951</v>
      </c>
      <c r="H17" s="11">
        <v>40.320971867007671</v>
      </c>
      <c r="I17" s="11">
        <v>714.83375959079285</v>
      </c>
      <c r="J17" s="12"/>
      <c r="K17" s="11">
        <v>1044</v>
      </c>
      <c r="L17" s="5"/>
      <c r="M17" s="11">
        <v>0</v>
      </c>
      <c r="N17" s="11">
        <v>0</v>
      </c>
      <c r="O17" s="11">
        <v>0</v>
      </c>
      <c r="P17" s="12">
        <v>0</v>
      </c>
      <c r="Q17" s="12">
        <f t="shared" si="1"/>
        <v>0</v>
      </c>
      <c r="R17" s="12"/>
      <c r="S17" s="12"/>
      <c r="T17" s="12"/>
      <c r="U17" s="12"/>
      <c r="V17" s="12"/>
      <c r="X17" s="19">
        <f>395196+21379</f>
        <v>416575</v>
      </c>
    </row>
    <row r="18" spans="2:24" x14ac:dyDescent="0.25">
      <c r="E18" s="18" t="s">
        <v>28</v>
      </c>
      <c r="G18" s="20">
        <v>1594</v>
      </c>
      <c r="H18" s="11">
        <v>227</v>
      </c>
      <c r="I18" s="11">
        <v>8505</v>
      </c>
      <c r="J18" s="12">
        <v>0</v>
      </c>
      <c r="K18" s="11">
        <v>10326</v>
      </c>
      <c r="L18" s="5"/>
      <c r="M18" s="11">
        <v>0</v>
      </c>
      <c r="N18" s="11">
        <v>0</v>
      </c>
      <c r="O18" s="11">
        <v>0</v>
      </c>
      <c r="P18" s="12">
        <v>0</v>
      </c>
      <c r="Q18" s="12">
        <f t="shared" si="1"/>
        <v>0</v>
      </c>
      <c r="R18" s="12"/>
      <c r="S18" s="12"/>
      <c r="T18" s="12"/>
      <c r="U18" s="12"/>
      <c r="V18" s="12"/>
      <c r="X18" s="17"/>
    </row>
    <row r="19" spans="2:24" x14ac:dyDescent="0.25">
      <c r="E19" s="18" t="s">
        <v>29</v>
      </c>
      <c r="G19" s="11">
        <v>27713</v>
      </c>
      <c r="H19" s="11">
        <v>2731</v>
      </c>
      <c r="I19" s="11">
        <v>0</v>
      </c>
      <c r="J19" s="12">
        <v>0</v>
      </c>
      <c r="K19" s="11">
        <v>30444</v>
      </c>
      <c r="L19" s="5"/>
      <c r="M19" s="11">
        <f>G19</f>
        <v>27713</v>
      </c>
      <c r="N19" s="11">
        <f>H19</f>
        <v>2731</v>
      </c>
      <c r="O19" s="11">
        <f>I19</f>
        <v>0</v>
      </c>
      <c r="P19" s="11">
        <f>J19</f>
        <v>0</v>
      </c>
      <c r="Q19" s="12">
        <f t="shared" si="1"/>
        <v>30444</v>
      </c>
      <c r="R19" s="12"/>
      <c r="S19" s="12"/>
      <c r="T19" s="12"/>
      <c r="U19" s="12"/>
      <c r="V19" s="12"/>
      <c r="X19" s="17" t="s">
        <v>88</v>
      </c>
    </row>
    <row r="20" spans="2:24" x14ac:dyDescent="0.25">
      <c r="E20" s="18" t="s">
        <v>30</v>
      </c>
      <c r="G20" s="21">
        <v>561</v>
      </c>
      <c r="H20" s="21">
        <v>40</v>
      </c>
      <c r="I20" s="21">
        <v>2062</v>
      </c>
      <c r="J20" s="22">
        <v>0</v>
      </c>
      <c r="K20" s="21">
        <v>2663</v>
      </c>
      <c r="L20" s="5"/>
      <c r="M20" s="11">
        <v>0</v>
      </c>
      <c r="N20" s="11">
        <v>0</v>
      </c>
      <c r="O20" s="11">
        <v>0</v>
      </c>
      <c r="P20" s="12">
        <v>0</v>
      </c>
      <c r="Q20" s="12">
        <f t="shared" si="1"/>
        <v>0</v>
      </c>
      <c r="R20" s="12"/>
      <c r="S20" s="12"/>
      <c r="T20" s="12"/>
      <c r="U20" s="12"/>
      <c r="V20" s="12"/>
      <c r="X20" s="19">
        <f>31030+1679</f>
        <v>32709</v>
      </c>
    </row>
    <row r="21" spans="2:24" x14ac:dyDescent="0.25">
      <c r="D21" s="2" t="s">
        <v>31</v>
      </c>
      <c r="E21" s="18"/>
      <c r="G21" s="23">
        <f>G9+G12+SUM(G15:G20)</f>
        <v>58660.582786227867</v>
      </c>
      <c r="H21" s="23">
        <f t="shared" ref="H21:K21" si="2">H9+H12+SUM(H15:H20)</f>
        <v>7534.2580295176558</v>
      </c>
      <c r="I21" s="23">
        <f t="shared" si="2"/>
        <v>124745.15918425447</v>
      </c>
      <c r="J21" s="23">
        <f t="shared" si="2"/>
        <v>0</v>
      </c>
      <c r="K21" s="23">
        <f t="shared" si="2"/>
        <v>190940</v>
      </c>
      <c r="L21" s="5"/>
      <c r="M21" s="25">
        <f>M9+M12+SUM(M15:M20)</f>
        <v>52153.023962698455</v>
      </c>
      <c r="N21" s="25">
        <f>N9+N12+SUM(N15:N20)</f>
        <v>6647.6403824588324</v>
      </c>
      <c r="O21" s="25">
        <f>O9+O12+SUM(O15:O20)</f>
        <v>97423.335654842711</v>
      </c>
      <c r="P21" s="26">
        <f>P9+P12+SUM(P15:P20)</f>
        <v>0</v>
      </c>
      <c r="Q21" s="26">
        <f>Q9+Q12+SUM(Q15:Q20)</f>
        <v>156224</v>
      </c>
      <c r="R21" s="86"/>
      <c r="S21" s="86"/>
      <c r="T21" s="86"/>
      <c r="U21" s="86"/>
      <c r="V21" s="86"/>
      <c r="X21" s="17"/>
    </row>
    <row r="22" spans="2:24" x14ac:dyDescent="0.25">
      <c r="E22" s="18"/>
      <c r="G22" s="11"/>
      <c r="H22" s="11"/>
      <c r="I22" s="11"/>
      <c r="J22" s="12"/>
      <c r="K22" s="11"/>
      <c r="L22" s="5"/>
      <c r="M22" s="27"/>
      <c r="N22" s="11"/>
      <c r="O22" s="11"/>
      <c r="P22" s="12"/>
      <c r="Q22" s="12"/>
      <c r="R22" s="12"/>
      <c r="S22" s="12"/>
      <c r="T22" s="12"/>
      <c r="U22" s="12"/>
      <c r="V22" s="12"/>
      <c r="X22" s="17" t="s">
        <v>89</v>
      </c>
    </row>
    <row r="23" spans="2:24" ht="13.8" thickBot="1" x14ac:dyDescent="0.3">
      <c r="B23" s="2" t="s">
        <v>32</v>
      </c>
      <c r="E23" s="18" t="s">
        <v>33</v>
      </c>
      <c r="G23" s="132">
        <v>4924</v>
      </c>
      <c r="H23" s="132">
        <v>462</v>
      </c>
      <c r="I23" s="132">
        <v>27171</v>
      </c>
      <c r="J23" s="133">
        <v>0</v>
      </c>
      <c r="K23" s="132">
        <v>32557</v>
      </c>
      <c r="L23" s="5"/>
      <c r="M23" s="21">
        <f>$Q$23*G$115</f>
        <v>970.41990366257471</v>
      </c>
      <c r="N23" s="21">
        <f>$Q$23*H$115</f>
        <v>66.913208173365732</v>
      </c>
      <c r="O23" s="21">
        <f>$Q$23*I$115</f>
        <v>1519.0058739409308</v>
      </c>
      <c r="P23" s="21">
        <v>0</v>
      </c>
      <c r="Q23" s="21">
        <f>K23*X23</f>
        <v>2556.3389857768711</v>
      </c>
      <c r="R23" s="29"/>
      <c r="S23" s="29"/>
      <c r="T23" s="29"/>
      <c r="U23" s="29"/>
      <c r="V23" s="29"/>
      <c r="X23" s="28">
        <f>X20/X17</f>
        <v>7.8518874152313511E-2</v>
      </c>
    </row>
    <row r="24" spans="2:24" x14ac:dyDescent="0.25">
      <c r="B24" s="2"/>
      <c r="D24" s="2" t="s">
        <v>34</v>
      </c>
      <c r="E24" s="18"/>
      <c r="G24" s="23">
        <f>SUM(G23)</f>
        <v>4924</v>
      </c>
      <c r="H24" s="23">
        <f>SUM(H23)</f>
        <v>462</v>
      </c>
      <c r="I24" s="23">
        <f>SUM(I23)</f>
        <v>27171</v>
      </c>
      <c r="J24" s="24">
        <f>SUM(J23)</f>
        <v>0</v>
      </c>
      <c r="K24" s="23">
        <f>SUM(G24:J24)</f>
        <v>32557</v>
      </c>
      <c r="L24" s="5"/>
      <c r="M24" s="23">
        <f>SUM(M23)</f>
        <v>970.41990366257471</v>
      </c>
      <c r="N24" s="23">
        <f>SUM(N23)</f>
        <v>66.913208173365732</v>
      </c>
      <c r="O24" s="23">
        <f>SUM(O23)</f>
        <v>1519.0058739409308</v>
      </c>
      <c r="P24" s="24">
        <f>SUM(P23)</f>
        <v>0</v>
      </c>
      <c r="Q24" s="24">
        <f>SUM(M24:P24)</f>
        <v>2556.3389857768711</v>
      </c>
      <c r="R24" s="24"/>
      <c r="S24" s="24"/>
      <c r="T24" s="24"/>
      <c r="U24" s="24"/>
      <c r="V24" s="24"/>
    </row>
    <row r="25" spans="2:24" x14ac:dyDescent="0.25">
      <c r="B25" s="2"/>
      <c r="E25" s="15"/>
      <c r="G25" s="15"/>
      <c r="H25" s="15"/>
      <c r="I25" s="15"/>
      <c r="K25" s="15"/>
      <c r="L25" s="5"/>
      <c r="M25" s="15"/>
      <c r="N25" s="15"/>
      <c r="O25" s="15"/>
    </row>
    <row r="26" spans="2:24" x14ac:dyDescent="0.25">
      <c r="B26" s="2" t="s">
        <v>35</v>
      </c>
      <c r="E26" s="18" t="s">
        <v>36</v>
      </c>
      <c r="F26" s="15"/>
      <c r="G26" s="11">
        <v>70</v>
      </c>
      <c r="H26" s="11">
        <v>5</v>
      </c>
      <c r="I26" s="11">
        <v>406</v>
      </c>
      <c r="J26" s="12">
        <v>0</v>
      </c>
      <c r="K26" s="11">
        <f t="shared" ref="K26:K31" si="3">SUM(G26:J26)</f>
        <v>481</v>
      </c>
      <c r="L26" s="5"/>
      <c r="M26" s="29">
        <v>0</v>
      </c>
      <c r="N26" s="29">
        <v>0</v>
      </c>
      <c r="O26" s="29">
        <v>0</v>
      </c>
      <c r="P26" s="12">
        <v>0</v>
      </c>
      <c r="Q26" s="12">
        <f t="shared" ref="Q26:Q31" si="4">SUM(M26:P26)</f>
        <v>0</v>
      </c>
      <c r="R26" s="12"/>
      <c r="S26" s="12"/>
      <c r="T26" s="12"/>
      <c r="U26" s="12"/>
      <c r="V26" s="12"/>
    </row>
    <row r="27" spans="2:24" x14ac:dyDescent="0.25">
      <c r="B27" s="2"/>
      <c r="E27" s="18" t="s">
        <v>37</v>
      </c>
      <c r="G27" s="11">
        <v>311</v>
      </c>
      <c r="H27" s="11">
        <v>41</v>
      </c>
      <c r="I27" s="11">
        <v>1721</v>
      </c>
      <c r="J27" s="12">
        <v>0</v>
      </c>
      <c r="K27" s="11">
        <f t="shared" si="3"/>
        <v>2073</v>
      </c>
      <c r="L27" s="5"/>
      <c r="M27" s="11">
        <f>G27</f>
        <v>311</v>
      </c>
      <c r="N27" s="11">
        <f>H27</f>
        <v>41</v>
      </c>
      <c r="O27" s="11">
        <f>I27</f>
        <v>1721</v>
      </c>
      <c r="P27" s="11">
        <f>J27</f>
        <v>0</v>
      </c>
      <c r="Q27" s="12">
        <f>SUM(M27:P27)</f>
        <v>2073</v>
      </c>
      <c r="R27" s="12"/>
      <c r="S27" s="12"/>
      <c r="T27" s="12"/>
      <c r="U27" s="12"/>
      <c r="V27" s="12"/>
    </row>
    <row r="28" spans="2:24" x14ac:dyDescent="0.25">
      <c r="B28" s="2"/>
      <c r="E28" s="15" t="s">
        <v>38</v>
      </c>
      <c r="G28" s="11"/>
      <c r="H28" s="11">
        <v>0</v>
      </c>
      <c r="I28" s="11">
        <v>0</v>
      </c>
      <c r="J28" s="12">
        <v>0</v>
      </c>
      <c r="K28" s="11">
        <f t="shared" si="3"/>
        <v>0</v>
      </c>
      <c r="L28" s="5"/>
      <c r="M28" s="11">
        <v>0</v>
      </c>
      <c r="N28" s="11">
        <v>0</v>
      </c>
      <c r="O28" s="11">
        <v>0</v>
      </c>
      <c r="P28" s="12">
        <v>0</v>
      </c>
      <c r="Q28" s="12">
        <f t="shared" si="4"/>
        <v>0</v>
      </c>
      <c r="R28" s="12"/>
      <c r="S28" s="12"/>
      <c r="T28" s="12"/>
      <c r="U28" s="12"/>
      <c r="V28" s="12"/>
    </row>
    <row r="29" spans="2:24" x14ac:dyDescent="0.25">
      <c r="B29" s="2"/>
      <c r="E29" s="18" t="s">
        <v>39</v>
      </c>
      <c r="G29" s="11">
        <v>381</v>
      </c>
      <c r="H29" s="11">
        <v>51</v>
      </c>
      <c r="I29" s="11">
        <v>2108</v>
      </c>
      <c r="J29" s="12">
        <v>0</v>
      </c>
      <c r="K29" s="11">
        <f t="shared" si="3"/>
        <v>2540</v>
      </c>
      <c r="L29" s="5"/>
      <c r="M29" s="11">
        <f t="shared" ref="M29:P30" si="5">G29</f>
        <v>381</v>
      </c>
      <c r="N29" s="11">
        <f t="shared" si="5"/>
        <v>51</v>
      </c>
      <c r="O29" s="11">
        <f t="shared" si="5"/>
        <v>2108</v>
      </c>
      <c r="P29" s="11">
        <f t="shared" si="5"/>
        <v>0</v>
      </c>
      <c r="Q29" s="12">
        <f t="shared" si="4"/>
        <v>2540</v>
      </c>
      <c r="R29" s="12"/>
      <c r="S29" s="12"/>
      <c r="T29" s="12"/>
      <c r="U29" s="12"/>
      <c r="V29" s="12"/>
    </row>
    <row r="30" spans="2:24" x14ac:dyDescent="0.25">
      <c r="B30" s="2"/>
      <c r="E30" s="10" t="s">
        <v>40</v>
      </c>
      <c r="G30" s="21">
        <v>0</v>
      </c>
      <c r="H30" s="21">
        <v>0</v>
      </c>
      <c r="I30" s="21">
        <v>0</v>
      </c>
      <c r="J30" s="22">
        <v>0</v>
      </c>
      <c r="K30" s="21">
        <f t="shared" si="3"/>
        <v>0</v>
      </c>
      <c r="L30" s="5"/>
      <c r="M30" s="21">
        <f t="shared" si="5"/>
        <v>0</v>
      </c>
      <c r="N30" s="21">
        <f t="shared" si="5"/>
        <v>0</v>
      </c>
      <c r="O30" s="21">
        <f>I30</f>
        <v>0</v>
      </c>
      <c r="P30" s="21">
        <f>J30</f>
        <v>0</v>
      </c>
      <c r="Q30" s="22">
        <f t="shared" si="4"/>
        <v>0</v>
      </c>
      <c r="R30" s="82"/>
      <c r="S30" s="82"/>
      <c r="T30" s="82"/>
      <c r="U30" s="82"/>
      <c r="V30" s="82"/>
    </row>
    <row r="31" spans="2:24" x14ac:dyDescent="0.25">
      <c r="B31" s="2"/>
      <c r="D31" s="2" t="s">
        <v>41</v>
      </c>
      <c r="G31" s="24">
        <f>SUM(G26:G30)</f>
        <v>762</v>
      </c>
      <c r="H31" s="24">
        <f>SUM(H11:H23)</f>
        <v>15184.816059035311</v>
      </c>
      <c r="I31" s="24">
        <f>SUM(I26:I30)</f>
        <v>4235</v>
      </c>
      <c r="J31" s="24">
        <f>SUM(J26:J30)</f>
        <v>0</v>
      </c>
      <c r="K31" s="23">
        <f t="shared" si="3"/>
        <v>20181.816059035311</v>
      </c>
      <c r="L31" s="5"/>
      <c r="M31" s="23">
        <f>SUM(M26:M30)</f>
        <v>692</v>
      </c>
      <c r="N31" s="23">
        <f>SUM(N26:N30)</f>
        <v>92</v>
      </c>
      <c r="O31" s="23">
        <f>SUM(O26:O30)</f>
        <v>3829</v>
      </c>
      <c r="P31" s="24">
        <f>SUM(P26:P30)</f>
        <v>0</v>
      </c>
      <c r="Q31" s="24">
        <f t="shared" si="4"/>
        <v>4613</v>
      </c>
      <c r="R31" s="24"/>
      <c r="S31" s="24"/>
      <c r="T31" s="24"/>
      <c r="U31" s="24"/>
      <c r="V31" s="24"/>
    </row>
    <row r="32" spans="2:24" x14ac:dyDescent="0.25">
      <c r="B32" s="2"/>
      <c r="K32" s="15"/>
      <c r="L32" s="5"/>
    </row>
    <row r="33" spans="2:22" x14ac:dyDescent="0.25">
      <c r="B33" s="2" t="s">
        <v>42</v>
      </c>
      <c r="D33" s="2" t="s">
        <v>43</v>
      </c>
      <c r="E33" s="3" t="s">
        <v>44</v>
      </c>
      <c r="G33" s="11">
        <v>4977</v>
      </c>
      <c r="H33" s="11">
        <v>0</v>
      </c>
      <c r="I33" s="11">
        <v>0</v>
      </c>
      <c r="J33" s="11">
        <v>0</v>
      </c>
      <c r="K33" s="11">
        <f>SUM(G33:J33)</f>
        <v>4977</v>
      </c>
      <c r="L33" s="5"/>
      <c r="M33" s="12">
        <f t="shared" ref="M33:P34" si="6">G33</f>
        <v>4977</v>
      </c>
      <c r="N33" s="12">
        <f t="shared" si="6"/>
        <v>0</v>
      </c>
      <c r="O33" s="12">
        <f t="shared" si="6"/>
        <v>0</v>
      </c>
      <c r="P33" s="12">
        <f t="shared" si="6"/>
        <v>0</v>
      </c>
      <c r="Q33" s="12">
        <f>SUM(M33:P33)</f>
        <v>4977</v>
      </c>
      <c r="R33" s="12"/>
      <c r="S33" s="12"/>
      <c r="T33" s="12"/>
      <c r="U33" s="12"/>
      <c r="V33" s="12"/>
    </row>
    <row r="34" spans="2:22" x14ac:dyDescent="0.25">
      <c r="B34" s="2" t="s">
        <v>45</v>
      </c>
      <c r="D34" s="2" t="s">
        <v>46</v>
      </c>
      <c r="E34" s="3" t="s">
        <v>47</v>
      </c>
      <c r="G34" s="11">
        <v>1111</v>
      </c>
      <c r="H34" s="11">
        <v>0</v>
      </c>
      <c r="I34" s="11">
        <v>0</v>
      </c>
      <c r="J34" s="11">
        <v>0</v>
      </c>
      <c r="K34" s="11">
        <f>SUM(G34:J34)</f>
        <v>1111</v>
      </c>
      <c r="L34" s="5"/>
      <c r="M34" s="12">
        <f t="shared" si="6"/>
        <v>1111</v>
      </c>
      <c r="N34" s="12">
        <f t="shared" si="6"/>
        <v>0</v>
      </c>
      <c r="O34" s="12">
        <f t="shared" si="6"/>
        <v>0</v>
      </c>
      <c r="P34" s="12">
        <f t="shared" si="6"/>
        <v>0</v>
      </c>
      <c r="Q34" s="12">
        <f>SUM(M34:P34)</f>
        <v>1111</v>
      </c>
      <c r="R34" s="12"/>
      <c r="S34" s="12"/>
      <c r="T34" s="12"/>
      <c r="U34" s="12"/>
      <c r="V34" s="12"/>
    </row>
    <row r="35" spans="2:22" x14ac:dyDescent="0.25">
      <c r="D35" s="2"/>
      <c r="G35" s="15"/>
      <c r="H35" s="15"/>
      <c r="I35" s="15"/>
      <c r="J35" s="15"/>
      <c r="K35" s="15"/>
      <c r="L35" s="5"/>
      <c r="Q35" s="12"/>
      <c r="R35" s="12"/>
      <c r="S35" s="12"/>
      <c r="T35" s="12"/>
      <c r="U35" s="12"/>
      <c r="V35" s="12"/>
    </row>
    <row r="36" spans="2:22" x14ac:dyDescent="0.25">
      <c r="D36" s="2" t="s">
        <v>48</v>
      </c>
      <c r="E36" s="3" t="s">
        <v>49</v>
      </c>
      <c r="G36" s="11">
        <v>6480</v>
      </c>
      <c r="H36" s="11"/>
      <c r="I36" s="11">
        <v>0</v>
      </c>
      <c r="J36" s="11">
        <v>0</v>
      </c>
      <c r="K36" s="11">
        <f>SUM(G36:J36)</f>
        <v>6480</v>
      </c>
      <c r="L36" s="5"/>
      <c r="M36" s="12">
        <f t="shared" ref="M36:P39" si="7">G36</f>
        <v>6480</v>
      </c>
      <c r="N36" s="12">
        <f t="shared" si="7"/>
        <v>0</v>
      </c>
      <c r="O36" s="12">
        <f t="shared" si="7"/>
        <v>0</v>
      </c>
      <c r="P36" s="12">
        <f t="shared" si="7"/>
        <v>0</v>
      </c>
      <c r="Q36" s="12">
        <f>SUM(M36:P36)</f>
        <v>6480</v>
      </c>
      <c r="R36" s="12"/>
      <c r="S36" s="12"/>
      <c r="T36" s="12"/>
      <c r="U36" s="12"/>
      <c r="V36" s="12"/>
    </row>
    <row r="37" spans="2:22" x14ac:dyDescent="0.25">
      <c r="D37" s="2" t="s">
        <v>50</v>
      </c>
      <c r="E37" s="3" t="s">
        <v>51</v>
      </c>
      <c r="G37" s="11">
        <v>1304</v>
      </c>
      <c r="H37" s="11">
        <v>0</v>
      </c>
      <c r="I37" s="11">
        <v>0</v>
      </c>
      <c r="J37" s="11">
        <v>0</v>
      </c>
      <c r="K37" s="11">
        <f>SUM(G37:J37)</f>
        <v>1304</v>
      </c>
      <c r="L37" s="5"/>
      <c r="M37" s="12">
        <f t="shared" si="7"/>
        <v>1304</v>
      </c>
      <c r="N37" s="12">
        <f t="shared" si="7"/>
        <v>0</v>
      </c>
      <c r="O37" s="12">
        <f t="shared" si="7"/>
        <v>0</v>
      </c>
      <c r="P37" s="12">
        <f t="shared" si="7"/>
        <v>0</v>
      </c>
      <c r="Q37" s="12">
        <f>SUM(M37:P37)</f>
        <v>1304</v>
      </c>
      <c r="R37" s="12"/>
      <c r="S37" s="12"/>
      <c r="T37" s="12"/>
      <c r="U37" s="12"/>
      <c r="V37" s="12"/>
    </row>
    <row r="38" spans="2:22" x14ac:dyDescent="0.25">
      <c r="D38" s="2"/>
      <c r="E38" s="3" t="s">
        <v>52</v>
      </c>
      <c r="G38" s="11">
        <v>932</v>
      </c>
      <c r="H38" s="11">
        <v>0</v>
      </c>
      <c r="I38" s="11">
        <v>0</v>
      </c>
      <c r="J38" s="11">
        <v>0</v>
      </c>
      <c r="K38" s="11">
        <f>SUM(G38:J38)</f>
        <v>932</v>
      </c>
      <c r="L38" s="5"/>
      <c r="M38" s="12">
        <f t="shared" si="7"/>
        <v>932</v>
      </c>
      <c r="N38" s="12">
        <f t="shared" si="7"/>
        <v>0</v>
      </c>
      <c r="O38" s="12">
        <f t="shared" si="7"/>
        <v>0</v>
      </c>
      <c r="P38" s="12">
        <f t="shared" si="7"/>
        <v>0</v>
      </c>
      <c r="Q38" s="12">
        <f>SUM(M38:P38)</f>
        <v>932</v>
      </c>
      <c r="R38" s="12"/>
      <c r="S38" s="12"/>
      <c r="T38" s="12"/>
      <c r="U38" s="12"/>
      <c r="V38" s="12"/>
    </row>
    <row r="39" spans="2:22" x14ac:dyDescent="0.25">
      <c r="D39" s="2"/>
      <c r="E39" s="3" t="s">
        <v>53</v>
      </c>
      <c r="G39" s="11">
        <f>2769+874+213</f>
        <v>3856</v>
      </c>
      <c r="H39" s="11">
        <v>0</v>
      </c>
      <c r="I39" s="11"/>
      <c r="J39" s="11">
        <v>0</v>
      </c>
      <c r="K39" s="11">
        <f>SUM(G39:J39)</f>
        <v>3856</v>
      </c>
      <c r="L39" s="5"/>
      <c r="M39" s="12">
        <f t="shared" si="7"/>
        <v>3856</v>
      </c>
      <c r="N39" s="12">
        <f t="shared" si="7"/>
        <v>0</v>
      </c>
      <c r="O39" s="12">
        <f t="shared" si="7"/>
        <v>0</v>
      </c>
      <c r="P39" s="12">
        <f t="shared" si="7"/>
        <v>0</v>
      </c>
      <c r="Q39" s="12">
        <f>SUM(M39:P39)</f>
        <v>3856</v>
      </c>
      <c r="R39" s="12"/>
      <c r="S39" s="12"/>
      <c r="T39" s="12"/>
      <c r="U39" s="12"/>
      <c r="V39" s="12"/>
    </row>
    <row r="40" spans="2:22" x14ac:dyDescent="0.25">
      <c r="D40" s="2"/>
      <c r="G40" s="15"/>
      <c r="H40" s="15"/>
      <c r="I40" s="15"/>
      <c r="J40" s="15"/>
      <c r="K40" s="15"/>
      <c r="L40" s="5"/>
      <c r="Q40" s="12"/>
      <c r="R40" s="12"/>
      <c r="S40" s="12"/>
      <c r="T40" s="12"/>
      <c r="U40" s="12"/>
      <c r="V40" s="12"/>
    </row>
    <row r="41" spans="2:22" x14ac:dyDescent="0.25">
      <c r="D41" s="2" t="s">
        <v>54</v>
      </c>
      <c r="G41" s="11">
        <v>8544</v>
      </c>
      <c r="H41" s="11">
        <f>H11</f>
        <v>0</v>
      </c>
      <c r="I41" s="11">
        <v>0</v>
      </c>
      <c r="J41" s="11">
        <v>0</v>
      </c>
      <c r="K41" s="11">
        <f>SUM(G41:J41)</f>
        <v>8544</v>
      </c>
      <c r="L41" s="5"/>
      <c r="M41" s="12">
        <f>G41</f>
        <v>8544</v>
      </c>
      <c r="N41" s="12">
        <f>H41</f>
        <v>0</v>
      </c>
      <c r="O41" s="12">
        <f>I41</f>
        <v>0</v>
      </c>
      <c r="P41" s="12">
        <f>J41</f>
        <v>0</v>
      </c>
      <c r="Q41" s="12">
        <f>SUM(M41:P41)</f>
        <v>8544</v>
      </c>
      <c r="R41" s="12"/>
      <c r="S41" s="12"/>
      <c r="T41" s="12"/>
      <c r="U41" s="12"/>
      <c r="V41" s="12"/>
    </row>
    <row r="42" spans="2:22" x14ac:dyDescent="0.25">
      <c r="D42" s="2"/>
      <c r="G42" s="15"/>
      <c r="H42" s="15"/>
      <c r="I42" s="15"/>
      <c r="J42" s="15"/>
      <c r="L42" s="5"/>
    </row>
    <row r="43" spans="2:22" x14ac:dyDescent="0.25">
      <c r="D43" s="2" t="s">
        <v>55</v>
      </c>
      <c r="G43" s="11">
        <v>0</v>
      </c>
      <c r="H43" s="11">
        <f>H13+H17+H15</f>
        <v>273.91764705882349</v>
      </c>
      <c r="I43" s="11">
        <v>0</v>
      </c>
      <c r="J43" s="11">
        <v>0</v>
      </c>
      <c r="K43" s="12">
        <f>SUM(G43:J43)</f>
        <v>273.91764705882349</v>
      </c>
      <c r="L43" s="5"/>
      <c r="M43" s="12">
        <f>G43</f>
        <v>0</v>
      </c>
      <c r="N43" s="12">
        <f>H43</f>
        <v>273.91764705882349</v>
      </c>
      <c r="O43" s="12">
        <f>I43</f>
        <v>0</v>
      </c>
      <c r="P43" s="12">
        <f>J43</f>
        <v>0</v>
      </c>
      <c r="Q43" s="12">
        <f>SUM(M43:P43)</f>
        <v>273.91764705882349</v>
      </c>
      <c r="R43" s="12"/>
      <c r="S43" s="12"/>
      <c r="T43" s="12"/>
      <c r="U43" s="12"/>
      <c r="V43" s="12"/>
    </row>
    <row r="44" spans="2:22" x14ac:dyDescent="0.25">
      <c r="D44" s="2"/>
      <c r="G44" s="15"/>
      <c r="H44" s="15"/>
      <c r="I44" s="15"/>
      <c r="J44" s="15"/>
      <c r="L44" s="5"/>
    </row>
    <row r="45" spans="2:22" x14ac:dyDescent="0.25">
      <c r="D45" s="2" t="s">
        <v>56</v>
      </c>
      <c r="G45" s="11">
        <v>0</v>
      </c>
      <c r="H45" s="11">
        <f>H19+H21+H23</f>
        <v>10727.258029517656</v>
      </c>
      <c r="I45" s="11">
        <v>0</v>
      </c>
      <c r="J45" s="11">
        <v>0</v>
      </c>
      <c r="K45" s="12">
        <f>SUM(G45:J45)</f>
        <v>10727.258029517656</v>
      </c>
      <c r="L45" s="5"/>
      <c r="M45" s="12">
        <f>G45</f>
        <v>0</v>
      </c>
      <c r="N45" s="12">
        <f>H45</f>
        <v>10727.258029517656</v>
      </c>
      <c r="O45" s="12">
        <f>I45</f>
        <v>0</v>
      </c>
      <c r="P45" s="12">
        <f>J45</f>
        <v>0</v>
      </c>
      <c r="Q45" s="12">
        <f>SUM(M45:P45)</f>
        <v>10727.258029517656</v>
      </c>
      <c r="R45" s="12"/>
      <c r="S45" s="12"/>
      <c r="T45" s="12"/>
      <c r="U45" s="12"/>
      <c r="V45" s="12"/>
    </row>
    <row r="46" spans="2:22" x14ac:dyDescent="0.25">
      <c r="D46" s="2"/>
      <c r="G46" s="15"/>
      <c r="H46" s="15"/>
      <c r="I46" s="15"/>
      <c r="J46" s="15"/>
      <c r="L46" s="5"/>
    </row>
    <row r="47" spans="2:22" x14ac:dyDescent="0.25">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5">
      <c r="D48" s="2" t="s">
        <v>58</v>
      </c>
      <c r="G48" s="15"/>
      <c r="H48" s="15"/>
      <c r="I48" s="15"/>
      <c r="J48" s="15"/>
      <c r="L48" s="5"/>
    </row>
    <row r="49" spans="2:24" x14ac:dyDescent="0.25">
      <c r="D49" s="2"/>
      <c r="G49" s="15"/>
      <c r="H49" s="15"/>
      <c r="I49" s="15"/>
      <c r="J49" s="15"/>
      <c r="L49" s="5"/>
    </row>
    <row r="50" spans="2:24" x14ac:dyDescent="0.25">
      <c r="B50" s="2"/>
      <c r="D50" s="2" t="s">
        <v>53</v>
      </c>
      <c r="G50" s="21"/>
      <c r="H50" s="21">
        <v>0</v>
      </c>
      <c r="I50" s="21">
        <v>0</v>
      </c>
      <c r="J50" s="21">
        <v>0</v>
      </c>
      <c r="K50" s="21">
        <f>SUM(G50:J50)</f>
        <v>0</v>
      </c>
      <c r="L50" s="5"/>
      <c r="M50" s="22">
        <f>G50</f>
        <v>0</v>
      </c>
      <c r="N50" s="22">
        <f>H50</f>
        <v>0</v>
      </c>
      <c r="O50" s="22">
        <f>I50</f>
        <v>0</v>
      </c>
      <c r="P50" s="22">
        <f>J50</f>
        <v>0</v>
      </c>
      <c r="Q50" s="22">
        <f>SUM(M50:P50)</f>
        <v>0</v>
      </c>
      <c r="R50" s="82"/>
      <c r="S50" s="82"/>
      <c r="T50" s="82"/>
      <c r="U50" s="82"/>
      <c r="V50" s="82"/>
    </row>
    <row r="51" spans="2:24" x14ac:dyDescent="0.25">
      <c r="D51" s="2" t="s">
        <v>59</v>
      </c>
      <c r="G51" s="24">
        <f>SUM(G33:G50)</f>
        <v>27204</v>
      </c>
      <c r="H51" s="24">
        <f>SUM(H33:H50)</f>
        <v>11001.175676576479</v>
      </c>
      <c r="I51" s="24">
        <f>SUM(I33:I50)</f>
        <v>0</v>
      </c>
      <c r="J51" s="24">
        <f>SUM(J33:J50)</f>
        <v>0</v>
      </c>
      <c r="K51" s="24">
        <f>SUM(G51:J51)</f>
        <v>38205.17567657648</v>
      </c>
      <c r="L51" s="5"/>
      <c r="M51" s="24">
        <f>SUM(M33:M50)</f>
        <v>27204</v>
      </c>
      <c r="N51" s="24">
        <f>SUM(N33:N50)</f>
        <v>11001.175676576479</v>
      </c>
      <c r="O51" s="24">
        <f>SUM(O33:O50)</f>
        <v>0</v>
      </c>
      <c r="P51" s="24">
        <f>SUM(P33:P50)</f>
        <v>0</v>
      </c>
      <c r="Q51" s="24">
        <f>SUM(M51:P51)</f>
        <v>38205.17567657648</v>
      </c>
      <c r="R51" s="24"/>
      <c r="S51" s="24"/>
      <c r="T51" s="24"/>
      <c r="U51" s="24"/>
      <c r="V51" s="24"/>
    </row>
    <row r="52" spans="2:24" x14ac:dyDescent="0.25">
      <c r="B52" s="2"/>
      <c r="L52" s="5"/>
    </row>
    <row r="53" spans="2:24" x14ac:dyDescent="0.25">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5">
      <c r="B54" s="2" t="s">
        <v>61</v>
      </c>
      <c r="L54" s="5"/>
    </row>
    <row r="55" spans="2:24" ht="13.8" thickBot="1" x14ac:dyDescent="0.3">
      <c r="K55" s="12"/>
      <c r="L55" s="5"/>
      <c r="Q55" s="30"/>
      <c r="R55" s="40"/>
      <c r="S55" s="40"/>
      <c r="T55" s="40"/>
      <c r="U55" s="40"/>
      <c r="V55" s="40"/>
    </row>
    <row r="56" spans="2:24" x14ac:dyDescent="0.25">
      <c r="B56" s="2" t="s">
        <v>62</v>
      </c>
      <c r="G56" s="31">
        <f>G21+G24+G31+G51+G53</f>
        <v>91550.582786227867</v>
      </c>
      <c r="H56" s="31">
        <f t="shared" ref="H56:K56" si="8">H21+H24+H31+H51+H53</f>
        <v>34182.249765129447</v>
      </c>
      <c r="I56" s="31">
        <f t="shared" si="8"/>
        <v>156151.15918425447</v>
      </c>
      <c r="J56" s="31">
        <f t="shared" si="8"/>
        <v>0</v>
      </c>
      <c r="K56" s="31">
        <f t="shared" si="8"/>
        <v>281883.99173561181</v>
      </c>
      <c r="L56" s="32"/>
      <c r="M56" s="31">
        <f>M21+M24+M31+M51+M53</f>
        <v>81019.44386636102</v>
      </c>
      <c r="N56" s="31">
        <f>N21+N24+N31+N51+N53</f>
        <v>17807.729267208677</v>
      </c>
      <c r="O56" s="31">
        <f>O21+O24+O31+O51+O53</f>
        <v>102771.34152878364</v>
      </c>
      <c r="P56" s="31">
        <f>P21+P24+P31+P51+P53</f>
        <v>0</v>
      </c>
      <c r="Q56" s="31">
        <f>SUM(M56:P56)</f>
        <v>201598.51466235332</v>
      </c>
      <c r="R56" s="86"/>
      <c r="S56" s="86"/>
      <c r="T56" s="86"/>
      <c r="U56" s="86"/>
      <c r="V56" s="86"/>
    </row>
    <row r="57" spans="2:24" x14ac:dyDescent="0.25">
      <c r="L57" s="5"/>
    </row>
    <row r="58" spans="2:24" x14ac:dyDescent="0.25">
      <c r="L58" s="5"/>
    </row>
    <row r="59" spans="2:24" ht="13.8" x14ac:dyDescent="0.25">
      <c r="B59" s="6" t="s">
        <v>63</v>
      </c>
      <c r="K59" s="15"/>
      <c r="L59" s="5"/>
    </row>
    <row r="60" spans="2:24" x14ac:dyDescent="0.25">
      <c r="D60" s="15" t="s">
        <v>64</v>
      </c>
      <c r="E60" s="10" t="s">
        <v>20</v>
      </c>
      <c r="G60" s="12">
        <v>0</v>
      </c>
      <c r="H60" s="12">
        <v>0</v>
      </c>
      <c r="I60" s="12">
        <f>K60</f>
        <v>131566</v>
      </c>
      <c r="J60" s="11">
        <v>0</v>
      </c>
      <c r="K60" s="11">
        <v>131566</v>
      </c>
      <c r="L60" s="5"/>
      <c r="M60" s="12">
        <f>G60</f>
        <v>0</v>
      </c>
      <c r="N60" s="12">
        <f>H60</f>
        <v>0</v>
      </c>
      <c r="O60" s="12">
        <f>Q60</f>
        <v>131566</v>
      </c>
      <c r="P60" s="11">
        <f>J60</f>
        <v>0</v>
      </c>
      <c r="Q60" s="11">
        <f>$K$60</f>
        <v>131566</v>
      </c>
      <c r="R60" s="11"/>
      <c r="S60" s="11"/>
      <c r="T60" s="11"/>
      <c r="U60" s="11"/>
      <c r="V60" s="11"/>
      <c r="X60" s="3" t="s">
        <v>92</v>
      </c>
    </row>
    <row r="61" spans="2:24" x14ac:dyDescent="0.25">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65930.559999999998</v>
      </c>
    </row>
    <row r="62" spans="2:24" x14ac:dyDescent="0.25">
      <c r="D62" s="15"/>
      <c r="E62" s="10"/>
      <c r="J62" s="15"/>
      <c r="K62" s="15"/>
      <c r="L62" s="5"/>
      <c r="P62" s="15"/>
    </row>
    <row r="63" spans="2:24" x14ac:dyDescent="0.25">
      <c r="D63" s="15" t="s">
        <v>94</v>
      </c>
      <c r="E63" s="10" t="s">
        <v>20</v>
      </c>
      <c r="G63" s="12">
        <f>$G$103*K63</f>
        <v>56201.727367383042</v>
      </c>
      <c r="H63" s="12">
        <f>$H$103*K63</f>
        <v>3875.2687046535075</v>
      </c>
      <c r="I63" s="12">
        <f>$I$103*K63</f>
        <v>87973.003927963451</v>
      </c>
      <c r="J63" s="11">
        <v>0</v>
      </c>
      <c r="K63" s="11">
        <v>148050</v>
      </c>
      <c r="L63" s="5"/>
      <c r="M63" s="12">
        <f>$G$103*Q63</f>
        <v>56201.727367383042</v>
      </c>
      <c r="N63" s="12">
        <f>$H$103*Q63</f>
        <v>3875.2687046535075</v>
      </c>
      <c r="O63" s="12">
        <f>$I$103*Q63</f>
        <v>87973.003927963451</v>
      </c>
      <c r="P63" s="11">
        <f t="shared" ref="M63:Q64" si="9">J63</f>
        <v>0</v>
      </c>
      <c r="Q63" s="11">
        <f>K63-(0*67.3*8)</f>
        <v>148050</v>
      </c>
      <c r="R63" s="11"/>
      <c r="S63" s="11"/>
      <c r="T63" s="11"/>
      <c r="U63" s="11"/>
      <c r="V63" s="11"/>
    </row>
    <row r="64" spans="2:24" ht="12.75" customHeight="1" x14ac:dyDescent="0.25">
      <c r="D64" s="15"/>
      <c r="E64" s="10" t="s">
        <v>21</v>
      </c>
      <c r="G64" s="36">
        <f>$G$103*K64</f>
        <v>0</v>
      </c>
      <c r="H64" s="36">
        <f>$H$103*K64</f>
        <v>0</v>
      </c>
      <c r="I64" s="36">
        <f>$I$103*K64</f>
        <v>0</v>
      </c>
      <c r="J64" s="37">
        <v>0</v>
      </c>
      <c r="K64" s="34">
        <v>0</v>
      </c>
      <c r="L64" s="5"/>
      <c r="M64" s="33">
        <f t="shared" si="9"/>
        <v>0</v>
      </c>
      <c r="N64" s="33">
        <f t="shared" si="9"/>
        <v>0</v>
      </c>
      <c r="O64" s="33">
        <f t="shared" si="9"/>
        <v>0</v>
      </c>
      <c r="P64" s="34">
        <f t="shared" si="9"/>
        <v>0</v>
      </c>
      <c r="Q64" s="33">
        <f t="shared" si="9"/>
        <v>0</v>
      </c>
      <c r="R64" s="33"/>
      <c r="S64" s="33"/>
      <c r="T64" s="33"/>
      <c r="U64" s="33"/>
      <c r="V64" s="33"/>
    </row>
    <row r="65" spans="4:22" ht="12.75" customHeight="1" x14ac:dyDescent="0.25">
      <c r="D65" s="15"/>
      <c r="E65" s="10"/>
      <c r="J65" s="15"/>
      <c r="K65" s="15"/>
      <c r="L65" s="5"/>
      <c r="P65" s="15"/>
    </row>
    <row r="66" spans="4:22" x14ac:dyDescent="0.25">
      <c r="D66" s="15" t="s">
        <v>65</v>
      </c>
      <c r="E66" s="10" t="s">
        <v>20</v>
      </c>
      <c r="G66" s="12">
        <f>$G$103*K66</f>
        <v>1886.2977594631971</v>
      </c>
      <c r="H66" s="12">
        <f>$H$103*K66</f>
        <v>130.06558725716499</v>
      </c>
      <c r="I66" s="12">
        <f>$I$103*K66</f>
        <v>2952.6366532796383</v>
      </c>
      <c r="J66" s="11">
        <v>0</v>
      </c>
      <c r="K66" s="11">
        <v>4969</v>
      </c>
      <c r="L66" s="5"/>
      <c r="M66" s="12">
        <f>$G$103*Q$66</f>
        <v>1886.2977594631971</v>
      </c>
      <c r="N66" s="12">
        <f>$H$103*Q$66</f>
        <v>130.06558725716499</v>
      </c>
      <c r="O66" s="12">
        <f>$I$103*Q$66</f>
        <v>2952.6366532796383</v>
      </c>
      <c r="P66" s="11">
        <f>J66</f>
        <v>0</v>
      </c>
      <c r="Q66" s="11">
        <f>K66</f>
        <v>4969</v>
      </c>
      <c r="R66" s="11"/>
      <c r="S66" s="11"/>
      <c r="T66" s="11"/>
      <c r="U66" s="11"/>
      <c r="V66" s="11"/>
    </row>
    <row r="67" spans="4:22" x14ac:dyDescent="0.25">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5">
      <c r="D68" s="15"/>
      <c r="E68" s="10"/>
      <c r="G68" s="33"/>
      <c r="H68" s="33"/>
      <c r="I68" s="33"/>
      <c r="J68" s="34"/>
      <c r="K68" s="34"/>
      <c r="L68" s="5"/>
      <c r="M68" s="33"/>
      <c r="N68" s="33"/>
      <c r="O68" s="33"/>
      <c r="P68" s="34"/>
      <c r="Q68" s="34"/>
      <c r="R68" s="34"/>
      <c r="S68" s="34"/>
      <c r="T68" s="34"/>
      <c r="U68" s="34"/>
      <c r="V68" s="34"/>
    </row>
    <row r="69" spans="4:22" x14ac:dyDescent="0.25">
      <c r="D69" s="99" t="s">
        <v>143</v>
      </c>
      <c r="E69" s="10" t="s">
        <v>20</v>
      </c>
      <c r="G69" s="12">
        <f>$G$103*K69</f>
        <v>355.31791162357666</v>
      </c>
      <c r="H69" s="12">
        <f>$H$103*K69</f>
        <v>24.500179044617919</v>
      </c>
      <c r="I69" s="12">
        <f>$I$103*K69</f>
        <v>556.1819093318054</v>
      </c>
      <c r="J69" s="11">
        <v>0</v>
      </c>
      <c r="K69" s="11">
        <v>936</v>
      </c>
      <c r="L69" s="5"/>
      <c r="M69" s="12">
        <f t="shared" ref="M69:Q70" si="10">G69</f>
        <v>355.31791162357666</v>
      </c>
      <c r="N69" s="12">
        <f t="shared" si="10"/>
        <v>24.500179044617919</v>
      </c>
      <c r="O69" s="12">
        <f t="shared" si="10"/>
        <v>556.1819093318054</v>
      </c>
      <c r="P69" s="11">
        <f t="shared" si="10"/>
        <v>0</v>
      </c>
      <c r="Q69" s="11">
        <f>K69</f>
        <v>936</v>
      </c>
      <c r="R69" s="11"/>
      <c r="S69" s="11"/>
      <c r="T69" s="11"/>
      <c r="U69" s="11"/>
      <c r="V69" s="11"/>
    </row>
    <row r="70" spans="4:22" x14ac:dyDescent="0.25">
      <c r="D70" s="15"/>
      <c r="E70" s="10" t="s">
        <v>21</v>
      </c>
      <c r="G70" s="36">
        <f>$G$103*K70</f>
        <v>0</v>
      </c>
      <c r="H70" s="36">
        <f>$H$103*K70</f>
        <v>0</v>
      </c>
      <c r="I70" s="36">
        <f>$I$103*K70</f>
        <v>0</v>
      </c>
      <c r="J70" s="34">
        <v>0</v>
      </c>
      <c r="K70" s="34">
        <v>0</v>
      </c>
      <c r="L70" s="5"/>
      <c r="M70" s="33">
        <f t="shared" si="10"/>
        <v>0</v>
      </c>
      <c r="N70" s="33">
        <f t="shared" si="10"/>
        <v>0</v>
      </c>
      <c r="O70" s="33">
        <f t="shared" si="10"/>
        <v>0</v>
      </c>
      <c r="P70" s="34">
        <f t="shared" si="10"/>
        <v>0</v>
      </c>
      <c r="Q70" s="33">
        <f t="shared" si="10"/>
        <v>0</v>
      </c>
      <c r="R70" s="33"/>
      <c r="S70" s="33"/>
      <c r="T70" s="33"/>
      <c r="U70" s="33"/>
      <c r="V70" s="33"/>
    </row>
    <row r="71" spans="4:22" x14ac:dyDescent="0.25">
      <c r="D71" s="15"/>
      <c r="E71" s="10"/>
      <c r="G71" s="36"/>
      <c r="H71" s="36"/>
      <c r="I71" s="36"/>
      <c r="J71" s="34"/>
      <c r="K71" s="34"/>
      <c r="L71" s="5"/>
      <c r="M71" s="33"/>
      <c r="N71" s="33"/>
      <c r="O71" s="33"/>
      <c r="P71" s="34"/>
      <c r="Q71" s="33"/>
      <c r="R71" s="33"/>
      <c r="S71" s="33"/>
      <c r="T71" s="33"/>
      <c r="U71" s="33"/>
      <c r="V71" s="33"/>
    </row>
    <row r="72" spans="4:22" x14ac:dyDescent="0.25">
      <c r="D72" s="15" t="s">
        <v>127</v>
      </c>
      <c r="E72" s="10" t="s">
        <v>20</v>
      </c>
      <c r="G72" s="12">
        <f>$G$103*K72</f>
        <v>7991.6161063029231</v>
      </c>
      <c r="H72" s="12">
        <f>$H$103*K72</f>
        <v>551.04462526420559</v>
      </c>
      <c r="I72" s="12">
        <f>$I$103*K72</f>
        <v>12509.339268432872</v>
      </c>
      <c r="J72" s="11">
        <v>0</v>
      </c>
      <c r="K72" s="11">
        <v>21052</v>
      </c>
      <c r="L72" s="5"/>
      <c r="M72" s="12">
        <f t="shared" ref="M72:Q73" si="11">G72</f>
        <v>7991.6161063029231</v>
      </c>
      <c r="N72" s="12">
        <f t="shared" si="11"/>
        <v>551.04462526420559</v>
      </c>
      <c r="O72" s="12">
        <f t="shared" si="11"/>
        <v>12509.339268432872</v>
      </c>
      <c r="P72" s="11">
        <f t="shared" si="11"/>
        <v>0</v>
      </c>
      <c r="Q72" s="11">
        <f>K72</f>
        <v>21052</v>
      </c>
      <c r="R72" s="33"/>
      <c r="S72" s="33"/>
      <c r="T72" s="33"/>
      <c r="U72" s="33"/>
      <c r="V72" s="33"/>
    </row>
    <row r="73" spans="4:22" x14ac:dyDescent="0.25">
      <c r="D73" s="15"/>
      <c r="E73" s="10" t="s">
        <v>21</v>
      </c>
      <c r="G73" s="36">
        <f>$G$103*K73</f>
        <v>0</v>
      </c>
      <c r="H73" s="36">
        <f>$H$103*K73</f>
        <v>0</v>
      </c>
      <c r="I73" s="36">
        <f>$I$103*K73</f>
        <v>0</v>
      </c>
      <c r="J73" s="34">
        <v>0</v>
      </c>
      <c r="K73" s="34">
        <v>0</v>
      </c>
      <c r="L73" s="5"/>
      <c r="M73" s="33">
        <f t="shared" si="11"/>
        <v>0</v>
      </c>
      <c r="N73" s="33">
        <f t="shared" si="11"/>
        <v>0</v>
      </c>
      <c r="O73" s="33">
        <f t="shared" si="11"/>
        <v>0</v>
      </c>
      <c r="P73" s="34">
        <f t="shared" si="11"/>
        <v>0</v>
      </c>
      <c r="Q73" s="33">
        <f t="shared" si="11"/>
        <v>0</v>
      </c>
      <c r="R73" s="33"/>
      <c r="S73" s="33"/>
      <c r="T73" s="33"/>
      <c r="U73" s="33"/>
      <c r="V73" s="33"/>
    </row>
    <row r="74" spans="4:22" x14ac:dyDescent="0.25">
      <c r="D74" s="15"/>
      <c r="E74" s="10"/>
      <c r="J74" s="15"/>
      <c r="K74" s="15"/>
      <c r="L74" s="5"/>
      <c r="P74" s="15"/>
    </row>
    <row r="75" spans="4:22" x14ac:dyDescent="0.25">
      <c r="D75" s="99" t="s">
        <v>108</v>
      </c>
      <c r="E75" s="10" t="s">
        <v>20</v>
      </c>
      <c r="G75" s="12">
        <f>$G$103*K75</f>
        <v>0</v>
      </c>
      <c r="H75" s="12">
        <f>$H$103*K75</f>
        <v>0</v>
      </c>
      <c r="I75" s="12">
        <f>$I$103*K75</f>
        <v>0</v>
      </c>
      <c r="J75" s="11">
        <v>0</v>
      </c>
      <c r="K75" s="11">
        <v>0</v>
      </c>
      <c r="L75" s="5"/>
      <c r="M75" s="12">
        <f t="shared" ref="M75:Q76" si="12">G75</f>
        <v>0</v>
      </c>
      <c r="N75" s="12">
        <f t="shared" si="12"/>
        <v>0</v>
      </c>
      <c r="O75" s="12">
        <f t="shared" si="12"/>
        <v>0</v>
      </c>
      <c r="P75" s="11">
        <f t="shared" si="12"/>
        <v>0</v>
      </c>
      <c r="Q75" s="11">
        <f>K75</f>
        <v>0</v>
      </c>
    </row>
    <row r="76" spans="4:22" x14ac:dyDescent="0.25">
      <c r="D76" s="15"/>
      <c r="E76" s="10" t="s">
        <v>21</v>
      </c>
      <c r="G76" s="36">
        <f>$G$103*K76</f>
        <v>0</v>
      </c>
      <c r="H76" s="36">
        <f>$H$103*K76</f>
        <v>0</v>
      </c>
      <c r="I76" s="36">
        <f>$I$103*K76</f>
        <v>0</v>
      </c>
      <c r="J76" s="34">
        <v>0</v>
      </c>
      <c r="K76" s="34">
        <v>0</v>
      </c>
      <c r="L76" s="5"/>
      <c r="M76" s="33">
        <f t="shared" si="12"/>
        <v>0</v>
      </c>
      <c r="N76" s="33">
        <f t="shared" si="12"/>
        <v>0</v>
      </c>
      <c r="O76" s="33">
        <f t="shared" si="12"/>
        <v>0</v>
      </c>
      <c r="P76" s="34">
        <f t="shared" si="12"/>
        <v>0</v>
      </c>
      <c r="Q76" s="33">
        <f t="shared" si="12"/>
        <v>0</v>
      </c>
    </row>
    <row r="77" spans="4:22" x14ac:dyDescent="0.25">
      <c r="D77" s="15"/>
      <c r="E77" s="10"/>
      <c r="J77" s="15"/>
      <c r="K77" s="15"/>
      <c r="L77" s="5"/>
      <c r="P77" s="15"/>
    </row>
    <row r="78" spans="4:22" x14ac:dyDescent="0.25">
      <c r="D78" s="99" t="s">
        <v>144</v>
      </c>
      <c r="E78" s="10" t="s">
        <v>20</v>
      </c>
      <c r="G78" s="12">
        <f>$G$103*K78</f>
        <v>16716.265211906193</v>
      </c>
      <c r="H78" s="12">
        <f>$H$103*K78</f>
        <v>1152.6339575104168</v>
      </c>
      <c r="I78" s="12">
        <f>$I$103*K78</f>
        <v>26166.100830583389</v>
      </c>
      <c r="J78" s="11">
        <v>0</v>
      </c>
      <c r="K78" s="11">
        <v>44035</v>
      </c>
      <c r="L78" s="5"/>
      <c r="M78" s="12">
        <f t="shared" ref="M78:Q79" si="13">G78</f>
        <v>16716.265211906193</v>
      </c>
      <c r="N78" s="12">
        <f t="shared" si="13"/>
        <v>1152.6339575104168</v>
      </c>
      <c r="O78" s="12">
        <f t="shared" si="13"/>
        <v>26166.100830583389</v>
      </c>
      <c r="P78" s="11">
        <f t="shared" si="13"/>
        <v>0</v>
      </c>
      <c r="Q78" s="11">
        <f>K78</f>
        <v>44035</v>
      </c>
    </row>
    <row r="79" spans="4:22" x14ac:dyDescent="0.25">
      <c r="D79" s="15"/>
      <c r="E79" s="10" t="s">
        <v>21</v>
      </c>
      <c r="G79" s="36">
        <f>$G$103*K79</f>
        <v>0</v>
      </c>
      <c r="H79" s="36">
        <f>$H$103*K79</f>
        <v>0</v>
      </c>
      <c r="I79" s="36">
        <f>$I$103*K79</f>
        <v>0</v>
      </c>
      <c r="J79" s="34">
        <v>0</v>
      </c>
      <c r="K79" s="34">
        <v>0</v>
      </c>
      <c r="L79" s="5"/>
      <c r="M79" s="33">
        <f t="shared" si="13"/>
        <v>0</v>
      </c>
      <c r="N79" s="33">
        <f t="shared" si="13"/>
        <v>0</v>
      </c>
      <c r="O79" s="33">
        <f t="shared" si="13"/>
        <v>0</v>
      </c>
      <c r="P79" s="34">
        <f t="shared" si="13"/>
        <v>0</v>
      </c>
      <c r="Q79" s="33">
        <f t="shared" si="13"/>
        <v>0</v>
      </c>
    </row>
    <row r="80" spans="4:22" x14ac:dyDescent="0.25">
      <c r="D80" s="15"/>
      <c r="E80" s="10"/>
      <c r="J80" s="15"/>
      <c r="K80" s="15"/>
      <c r="L80" s="5"/>
      <c r="P80" s="15"/>
    </row>
    <row r="81" spans="2:23" x14ac:dyDescent="0.25">
      <c r="D81" s="99" t="s">
        <v>145</v>
      </c>
      <c r="E81" s="10" t="s">
        <v>20</v>
      </c>
      <c r="G81" s="36">
        <f>$G$103*K81</f>
        <v>27425.911496868102</v>
      </c>
      <c r="H81" s="36">
        <f>$H$103*K81</f>
        <v>1891.0944823039647</v>
      </c>
      <c r="I81" s="36">
        <f>$I$103*K81</f>
        <v>42929.994020827937</v>
      </c>
      <c r="J81" s="34">
        <v>0</v>
      </c>
      <c r="K81" s="34">
        <v>72247</v>
      </c>
      <c r="L81" s="5"/>
      <c r="M81" s="12">
        <f t="shared" ref="M81:Q82" si="14">G81</f>
        <v>27425.911496868102</v>
      </c>
      <c r="N81" s="12">
        <f t="shared" si="14"/>
        <v>1891.0944823039647</v>
      </c>
      <c r="O81" s="12">
        <f t="shared" si="14"/>
        <v>42929.994020827937</v>
      </c>
      <c r="P81" s="11">
        <f t="shared" si="14"/>
        <v>0</v>
      </c>
      <c r="Q81" s="11">
        <f>K81</f>
        <v>72247</v>
      </c>
    </row>
    <row r="82" spans="2:23" x14ac:dyDescent="0.25">
      <c r="D82" s="15"/>
      <c r="E82" s="10" t="s">
        <v>21</v>
      </c>
      <c r="G82" s="36">
        <v>0</v>
      </c>
      <c r="H82" s="36">
        <f>$H$103*K82</f>
        <v>0</v>
      </c>
      <c r="I82" s="36">
        <f>$I$103*K82</f>
        <v>0</v>
      </c>
      <c r="J82" s="34">
        <v>0</v>
      </c>
      <c r="K82" s="34">
        <v>0</v>
      </c>
      <c r="L82" s="5"/>
      <c r="M82" s="33">
        <f t="shared" si="14"/>
        <v>0</v>
      </c>
      <c r="N82" s="33">
        <f t="shared" si="14"/>
        <v>0</v>
      </c>
      <c r="O82" s="33">
        <f t="shared" si="14"/>
        <v>0</v>
      </c>
      <c r="P82" s="34">
        <f t="shared" si="14"/>
        <v>0</v>
      </c>
      <c r="Q82" s="33">
        <f t="shared" si="14"/>
        <v>0</v>
      </c>
    </row>
    <row r="83" spans="2:23" x14ac:dyDescent="0.25">
      <c r="D83" s="15"/>
      <c r="E83" s="10"/>
      <c r="J83" s="15"/>
      <c r="K83" s="15"/>
      <c r="L83" s="5"/>
      <c r="P83" s="15"/>
    </row>
    <row r="84" spans="2:23" x14ac:dyDescent="0.25">
      <c r="D84" s="99"/>
      <c r="E84" s="10" t="s">
        <v>20</v>
      </c>
      <c r="G84" s="12">
        <f>$G$103*K84</f>
        <v>0</v>
      </c>
      <c r="H84" s="12">
        <f>$H$103*K84</f>
        <v>0</v>
      </c>
      <c r="I84" s="12">
        <f>$I$103*K84</f>
        <v>0</v>
      </c>
      <c r="J84" s="11">
        <v>0</v>
      </c>
      <c r="K84" s="11">
        <v>0</v>
      </c>
      <c r="L84" s="5"/>
      <c r="M84" s="12">
        <f t="shared" ref="M84:Q85" si="15">G84</f>
        <v>0</v>
      </c>
      <c r="N84" s="12">
        <f t="shared" si="15"/>
        <v>0</v>
      </c>
      <c r="O84" s="12">
        <f t="shared" si="15"/>
        <v>0</v>
      </c>
      <c r="P84" s="11">
        <f t="shared" si="15"/>
        <v>0</v>
      </c>
      <c r="Q84" s="12">
        <f>K84</f>
        <v>0</v>
      </c>
      <c r="R84" s="12"/>
      <c r="S84" s="12"/>
      <c r="T84" s="12"/>
      <c r="U84" s="12"/>
      <c r="V84" s="12"/>
    </row>
    <row r="85" spans="2:23" x14ac:dyDescent="0.25">
      <c r="E85" s="10" t="s">
        <v>21</v>
      </c>
      <c r="G85" s="36">
        <f>$G$103*K85</f>
        <v>0</v>
      </c>
      <c r="H85" s="36">
        <f>$H$103*K85</f>
        <v>0</v>
      </c>
      <c r="I85" s="36">
        <f>$I$103*K85</f>
        <v>0</v>
      </c>
      <c r="J85" s="34">
        <v>0</v>
      </c>
      <c r="K85" s="34">
        <v>0</v>
      </c>
      <c r="L85" s="5"/>
      <c r="M85" s="33">
        <f t="shared" si="15"/>
        <v>0</v>
      </c>
      <c r="N85" s="33">
        <f t="shared" si="15"/>
        <v>0</v>
      </c>
      <c r="O85" s="33">
        <f t="shared" si="15"/>
        <v>0</v>
      </c>
      <c r="P85" s="34">
        <f t="shared" si="15"/>
        <v>0</v>
      </c>
      <c r="Q85" s="33">
        <f t="shared" si="15"/>
        <v>0</v>
      </c>
      <c r="R85" s="33"/>
      <c r="S85" s="33"/>
      <c r="T85" s="33"/>
      <c r="U85" s="33"/>
      <c r="V85" s="33"/>
    </row>
    <row r="86" spans="2:23" x14ac:dyDescent="0.25">
      <c r="E86" s="10"/>
      <c r="G86" s="36"/>
      <c r="H86" s="36"/>
      <c r="I86" s="36"/>
      <c r="J86" s="34"/>
      <c r="K86" s="34"/>
      <c r="L86" s="5"/>
      <c r="M86" s="33"/>
      <c r="N86" s="33"/>
      <c r="O86" s="33"/>
      <c r="P86" s="34"/>
      <c r="Q86" s="33"/>
      <c r="R86" s="33"/>
      <c r="S86" s="33"/>
      <c r="T86" s="33"/>
      <c r="U86" s="33"/>
      <c r="V86" s="33"/>
    </row>
    <row r="87" spans="2:23" x14ac:dyDescent="0.25">
      <c r="D87" s="15" t="s">
        <v>66</v>
      </c>
      <c r="E87" s="10" t="s">
        <v>20</v>
      </c>
      <c r="G87" s="12">
        <f>$G$103*K87</f>
        <v>0</v>
      </c>
      <c r="H87" s="12">
        <f>$H$103*K87</f>
        <v>0</v>
      </c>
      <c r="I87" s="12">
        <f>$I$103*K87</f>
        <v>0</v>
      </c>
      <c r="J87" s="11">
        <v>0</v>
      </c>
      <c r="K87" s="11">
        <v>0</v>
      </c>
      <c r="L87" s="5"/>
      <c r="M87" s="12">
        <f>G87</f>
        <v>0</v>
      </c>
      <c r="N87" s="12">
        <f>H87</f>
        <v>0</v>
      </c>
      <c r="O87" s="12">
        <f>I87</f>
        <v>0</v>
      </c>
      <c r="P87" s="11">
        <f>J87</f>
        <v>0</v>
      </c>
      <c r="Q87" s="12">
        <f>K87</f>
        <v>0</v>
      </c>
      <c r="R87" s="12"/>
      <c r="S87" s="12"/>
      <c r="T87" s="12"/>
      <c r="U87" s="12"/>
      <c r="V87" s="12"/>
    </row>
    <row r="88" spans="2:23" ht="13.8" thickBot="1" x14ac:dyDescent="0.3">
      <c r="D88" s="15"/>
      <c r="J88" s="15"/>
      <c r="L88" s="5"/>
      <c r="W88" s="38"/>
    </row>
    <row r="89" spans="2:23" ht="13.8" thickBot="1" x14ac:dyDescent="0.3">
      <c r="B89" s="2" t="s">
        <v>67</v>
      </c>
      <c r="E89" s="10" t="s">
        <v>20</v>
      </c>
      <c r="G89" s="31">
        <f>G60+G63+G66+G69+G72+G75+G78+G81+G84+G87</f>
        <v>110577.13585354705</v>
      </c>
      <c r="H89" s="31">
        <f>H60+H63+H66+H69+H72+H75+H78+H81+H84+H87</f>
        <v>7624.6075360338773</v>
      </c>
      <c r="I89" s="31">
        <f>I60+I63+I66+I69+I72+I75+I78+I81+I84+I87</f>
        <v>304653.25661041914</v>
      </c>
      <c r="J89" s="31">
        <f>J60+J63+J66+J69+J72+J75+J78+J81+J84+J87</f>
        <v>0</v>
      </c>
      <c r="K89" s="31">
        <f>SUM(G89:J89)</f>
        <v>422855.00000000006</v>
      </c>
      <c r="L89" s="32"/>
      <c r="M89" s="31">
        <f>M60+M63+M66+M69+M72+M75+M78+M81+M84+M87</f>
        <v>110577.13585354705</v>
      </c>
      <c r="N89" s="31">
        <f>N60+N63+N66+N69+N72+N75+N78+N81+N84+N87</f>
        <v>7624.6075360338773</v>
      </c>
      <c r="O89" s="31">
        <f>O60+O63+O66+O69+O72+O75+O78+O81+O84+O87</f>
        <v>304653.25661041914</v>
      </c>
      <c r="P89" s="31">
        <f>P60+P63+P66+P69+P72+P75+P78+P81+P84+P87</f>
        <v>0</v>
      </c>
      <c r="Q89" s="31">
        <f>SUM(M89:P89)</f>
        <v>422855.00000000006</v>
      </c>
      <c r="R89" s="86"/>
      <c r="S89" s="86"/>
      <c r="T89" s="86"/>
      <c r="U89" s="86"/>
      <c r="V89" s="86"/>
      <c r="W89" s="40"/>
    </row>
    <row r="90" spans="2:23" x14ac:dyDescent="0.25">
      <c r="B90" s="2"/>
      <c r="E90" s="10" t="s">
        <v>21</v>
      </c>
      <c r="G90" s="31">
        <f>G61+G64+G67+G70+G73+G76+G78+G82+G85</f>
        <v>16716.265211906193</v>
      </c>
      <c r="H90" s="31">
        <f t="shared" ref="H90:K90" si="16">H61+H64+H67+H70+H73+H76+H78+H82+H85</f>
        <v>1152.6339575104168</v>
      </c>
      <c r="I90" s="31">
        <f t="shared" si="16"/>
        <v>26166.100830583389</v>
      </c>
      <c r="J90" s="31">
        <f t="shared" si="16"/>
        <v>0</v>
      </c>
      <c r="K90" s="31">
        <f t="shared" si="16"/>
        <v>44035</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5">
      <c r="K91" s="12"/>
      <c r="L91" s="5"/>
      <c r="W91" s="12"/>
    </row>
    <row r="92" spans="2:23" ht="13.8" thickBot="1" x14ac:dyDescent="0.3">
      <c r="L92" s="5"/>
    </row>
    <row r="93" spans="2:23" ht="14.4" thickBot="1" x14ac:dyDescent="0.3">
      <c r="B93" s="6" t="s">
        <v>68</v>
      </c>
      <c r="G93" s="45">
        <f>G56+G89</f>
        <v>202127.71863977492</v>
      </c>
      <c r="H93" s="45">
        <f>H56+H89</f>
        <v>41806.857301163327</v>
      </c>
      <c r="I93" s="45">
        <f t="shared" ref="I93:K93" si="17">I56+I89</f>
        <v>460804.41579467361</v>
      </c>
      <c r="J93" s="45">
        <f t="shared" si="17"/>
        <v>0</v>
      </c>
      <c r="K93" s="45">
        <f t="shared" si="17"/>
        <v>704738.99173561181</v>
      </c>
      <c r="L93" s="46">
        <f t="shared" ref="L93:Q93" si="18">L56+L89</f>
        <v>0</v>
      </c>
      <c r="M93" s="45">
        <f t="shared" si="18"/>
        <v>191596.57971990807</v>
      </c>
      <c r="N93" s="45">
        <f t="shared" si="18"/>
        <v>25432.336803242553</v>
      </c>
      <c r="O93" s="79">
        <f t="shared" si="18"/>
        <v>407424.5981392028</v>
      </c>
      <c r="P93" s="45">
        <f t="shared" si="18"/>
        <v>0</v>
      </c>
      <c r="Q93" s="45">
        <f t="shared" si="18"/>
        <v>624453.51466235332</v>
      </c>
      <c r="R93" s="86"/>
      <c r="S93" s="86"/>
      <c r="T93" s="86"/>
      <c r="U93" s="86"/>
      <c r="V93" s="86"/>
    </row>
    <row r="94" spans="2:23" ht="13.8" thickTop="1" x14ac:dyDescent="0.25">
      <c r="I94" s="77"/>
      <c r="L94" s="5"/>
      <c r="O94" s="80"/>
    </row>
    <row r="95" spans="2:23" x14ac:dyDescent="0.25">
      <c r="I95" s="77"/>
      <c r="L95" s="5"/>
      <c r="O95" s="80"/>
    </row>
    <row r="96" spans="2:23" x14ac:dyDescent="0.25">
      <c r="I96" s="77"/>
      <c r="L96" s="5"/>
      <c r="O96" s="80"/>
    </row>
    <row r="97" spans="5:15" x14ac:dyDescent="0.25">
      <c r="I97" s="77"/>
      <c r="L97" s="5"/>
      <c r="O97" s="80"/>
    </row>
    <row r="98" spans="5:15" x14ac:dyDescent="0.25">
      <c r="I98" s="77"/>
      <c r="L98" s="5"/>
      <c r="O98" s="80"/>
    </row>
    <row r="99" spans="5:15" x14ac:dyDescent="0.25">
      <c r="I99" s="77"/>
      <c r="L99" s="5"/>
      <c r="O99" s="80"/>
    </row>
    <row r="100" spans="5:15" x14ac:dyDescent="0.25">
      <c r="I100" s="77"/>
      <c r="L100" s="5"/>
      <c r="O100" s="80"/>
    </row>
    <row r="101" spans="5:15" x14ac:dyDescent="0.25">
      <c r="I101" s="77"/>
      <c r="L101" s="5"/>
      <c r="O101" s="80"/>
    </row>
    <row r="102" spans="5:15" ht="13.8" thickBot="1" x14ac:dyDescent="0.3">
      <c r="L102" s="5"/>
    </row>
    <row r="103" spans="5:15" x14ac:dyDescent="0.25">
      <c r="E103" s="50"/>
      <c r="F103" s="51"/>
      <c r="G103" s="52">
        <f>G115</f>
        <v>0.37961315344399216</v>
      </c>
      <c r="H103" s="52">
        <f>H115</f>
        <v>2.6175404962198633E-2</v>
      </c>
      <c r="I103" s="52">
        <f>I115</f>
        <v>0.59421144159380923</v>
      </c>
      <c r="J103" s="51"/>
      <c r="K103" s="53"/>
      <c r="L103" s="5"/>
      <c r="M103" s="47"/>
      <c r="N103" s="47"/>
      <c r="O103" s="47"/>
    </row>
    <row r="104" spans="5:15" x14ac:dyDescent="0.25">
      <c r="E104" s="54"/>
      <c r="F104" s="38"/>
      <c r="G104" s="38"/>
      <c r="H104" s="38"/>
      <c r="I104" s="38"/>
      <c r="J104" s="38"/>
      <c r="K104" s="55"/>
      <c r="L104" s="5"/>
      <c r="M104" s="48"/>
    </row>
    <row r="105" spans="5:15" x14ac:dyDescent="0.25">
      <c r="E105" s="54" t="s">
        <v>69</v>
      </c>
      <c r="F105" s="38"/>
      <c r="G105" s="38"/>
      <c r="H105" s="38"/>
      <c r="I105" s="38"/>
      <c r="J105" s="38"/>
      <c r="K105" s="56">
        <v>676123</v>
      </c>
      <c r="L105" s="5"/>
      <c r="M105" s="49"/>
    </row>
    <row r="106" spans="5:15" x14ac:dyDescent="0.25">
      <c r="E106" s="54" t="s">
        <v>90</v>
      </c>
      <c r="F106" s="38"/>
      <c r="G106" s="38"/>
      <c r="H106" s="38"/>
      <c r="I106" s="38"/>
      <c r="J106" s="38"/>
      <c r="K106" s="56">
        <v>0</v>
      </c>
      <c r="L106" s="5"/>
      <c r="M106" s="49"/>
    </row>
    <row r="107" spans="5:15" x14ac:dyDescent="0.25">
      <c r="E107" s="54"/>
      <c r="F107" s="38"/>
      <c r="G107" s="38"/>
      <c r="H107" s="38"/>
      <c r="I107" s="38"/>
      <c r="J107" s="38"/>
      <c r="K107" s="56"/>
      <c r="L107" s="5"/>
      <c r="M107" s="49"/>
    </row>
    <row r="108" spans="5:15" x14ac:dyDescent="0.25">
      <c r="E108" s="54" t="s">
        <v>70</v>
      </c>
      <c r="F108" s="38"/>
      <c r="G108" s="38"/>
      <c r="H108" s="38"/>
      <c r="I108" s="38"/>
      <c r="J108" s="38"/>
      <c r="K108" s="72">
        <f>SUM(K105:K107)</f>
        <v>676123</v>
      </c>
      <c r="L108" s="5"/>
      <c r="M108" s="49"/>
    </row>
    <row r="109" spans="5:15" x14ac:dyDescent="0.25">
      <c r="E109" s="54" t="s">
        <v>71</v>
      </c>
      <c r="F109" s="38"/>
      <c r="G109" s="38"/>
      <c r="H109" s="38"/>
      <c r="I109" s="38"/>
      <c r="J109" s="38"/>
      <c r="K109" s="56">
        <f>-K60</f>
        <v>-131566</v>
      </c>
      <c r="L109" s="5"/>
      <c r="M109" s="49"/>
    </row>
    <row r="110" spans="5:15" ht="13.8" thickBot="1" x14ac:dyDescent="0.3">
      <c r="E110" s="54" t="s">
        <v>72</v>
      </c>
      <c r="F110" s="38"/>
      <c r="G110" s="38"/>
      <c r="H110" s="38"/>
      <c r="I110" s="38"/>
      <c r="J110" s="38"/>
      <c r="K110" s="73">
        <f>SUM(K108:K109)</f>
        <v>544557</v>
      </c>
      <c r="L110" s="5"/>
      <c r="M110" s="49"/>
    </row>
    <row r="111" spans="5:15" ht="13.8" thickTop="1" x14ac:dyDescent="0.25">
      <c r="E111" s="54"/>
      <c r="F111" s="38"/>
      <c r="G111" s="38"/>
      <c r="H111" s="38"/>
      <c r="I111" s="38"/>
      <c r="J111" s="94" t="s">
        <v>95</v>
      </c>
      <c r="K111" s="56"/>
      <c r="L111" s="5"/>
      <c r="M111" s="49"/>
    </row>
    <row r="112" spans="5:15" ht="13.8" thickBot="1" x14ac:dyDescent="0.3">
      <c r="E112" s="57" t="s">
        <v>73</v>
      </c>
      <c r="F112" s="38"/>
      <c r="G112" s="58">
        <v>192827</v>
      </c>
      <c r="H112" s="59">
        <v>14254</v>
      </c>
      <c r="I112" s="59">
        <v>455148</v>
      </c>
      <c r="J112" s="59">
        <v>13894</v>
      </c>
      <c r="K112" s="56"/>
      <c r="L112" s="5"/>
      <c r="M112" s="49"/>
    </row>
    <row r="113" spans="2:13" ht="13.8" thickTop="1" x14ac:dyDescent="0.25">
      <c r="E113" s="54" t="s">
        <v>74</v>
      </c>
      <c r="F113" s="38"/>
      <c r="G113" s="60"/>
      <c r="H113" s="61"/>
      <c r="I113" s="61">
        <f>-K60</f>
        <v>-131566</v>
      </c>
      <c r="K113" s="55"/>
      <c r="L113" s="5"/>
    </row>
    <row r="114" spans="2:13" ht="13.8" thickBot="1" x14ac:dyDescent="0.3">
      <c r="E114" s="54" t="s">
        <v>75</v>
      </c>
      <c r="F114" s="38"/>
      <c r="G114" s="63"/>
      <c r="H114" s="64">
        <f>SUM(H112:H113)</f>
        <v>14254</v>
      </c>
      <c r="I114" s="64">
        <f>SUM(I112:I113)</f>
        <v>323582</v>
      </c>
      <c r="J114" s="65"/>
      <c r="K114" s="56"/>
      <c r="L114" s="5"/>
    </row>
    <row r="115" spans="2:13" ht="14.4" thickTop="1" thickBot="1" x14ac:dyDescent="0.3">
      <c r="E115" s="54" t="s">
        <v>76</v>
      </c>
      <c r="F115" s="38"/>
      <c r="G115" s="66">
        <f>1-(H115+I115)</f>
        <v>0.37961315344399216</v>
      </c>
      <c r="H115" s="66">
        <f>H$114/$K$110</f>
        <v>2.6175404962198633E-2</v>
      </c>
      <c r="I115" s="66">
        <f>I$114/$K$110</f>
        <v>0.59421144159380923</v>
      </c>
      <c r="J115" s="49"/>
      <c r="K115" s="56"/>
      <c r="L115" s="5"/>
    </row>
    <row r="116" spans="2:13" ht="14.4" thickTop="1" thickBot="1" x14ac:dyDescent="0.3">
      <c r="E116" s="67"/>
      <c r="F116" s="68"/>
      <c r="G116" s="69" t="s">
        <v>77</v>
      </c>
      <c r="H116" s="69" t="s">
        <v>78</v>
      </c>
      <c r="I116" s="69" t="s">
        <v>79</v>
      </c>
      <c r="J116" s="68"/>
      <c r="K116" s="70"/>
      <c r="L116" s="5"/>
    </row>
    <row r="117" spans="2:13" x14ac:dyDescent="0.25">
      <c r="J117" s="51"/>
      <c r="K117" s="74"/>
      <c r="L117" s="15"/>
    </row>
    <row r="118" spans="2:13" x14ac:dyDescent="0.25">
      <c r="J118" s="38"/>
      <c r="K118" s="63"/>
      <c r="L118" s="15"/>
    </row>
    <row r="119" spans="2:13" x14ac:dyDescent="0.25">
      <c r="B119" s="2" t="s">
        <v>83</v>
      </c>
      <c r="C119" s="2"/>
      <c r="D119" s="2" t="s">
        <v>151</v>
      </c>
      <c r="E119" s="78"/>
      <c r="F119" s="71"/>
      <c r="G119" s="49"/>
      <c r="H119" s="49"/>
      <c r="I119" s="88"/>
      <c r="J119" s="89"/>
      <c r="K119" s="90"/>
      <c r="L119" s="15"/>
    </row>
    <row r="120" spans="2:13" x14ac:dyDescent="0.25">
      <c r="B120" s="2" t="s">
        <v>84</v>
      </c>
      <c r="C120" s="2"/>
      <c r="D120" s="2"/>
      <c r="E120" s="71"/>
      <c r="F120" s="71"/>
      <c r="G120" s="71"/>
      <c r="H120" s="71"/>
      <c r="I120" s="88"/>
      <c r="J120" s="89"/>
      <c r="K120" s="89"/>
      <c r="M120" s="62"/>
    </row>
    <row r="121" spans="2:13" x14ac:dyDescent="0.25">
      <c r="B121" s="2" t="s">
        <v>80</v>
      </c>
      <c r="C121" s="2"/>
      <c r="D121" s="139" t="s">
        <v>152</v>
      </c>
      <c r="E121" s="71"/>
      <c r="F121" s="71"/>
      <c r="G121" s="71"/>
      <c r="H121" s="49"/>
      <c r="I121" s="49"/>
      <c r="J121" s="38"/>
      <c r="K121" s="38"/>
    </row>
    <row r="122" spans="2:13" x14ac:dyDescent="0.25">
      <c r="B122" s="2" t="s">
        <v>82</v>
      </c>
      <c r="C122" s="2"/>
      <c r="D122" s="139"/>
      <c r="E122" s="71"/>
      <c r="F122" s="71"/>
      <c r="G122" s="75"/>
      <c r="H122" s="75"/>
      <c r="I122" s="75"/>
    </row>
    <row r="123" spans="2:13" x14ac:dyDescent="0.25">
      <c r="B123" s="2" t="s">
        <v>81</v>
      </c>
      <c r="C123" s="2"/>
      <c r="D123" s="139"/>
      <c r="E123" s="71"/>
      <c r="F123" s="71"/>
      <c r="G123" s="49"/>
      <c r="H123" s="49"/>
      <c r="I123" s="49"/>
    </row>
    <row r="124" spans="2:13" x14ac:dyDescent="0.25">
      <c r="E124" s="71"/>
      <c r="F124" s="71"/>
      <c r="G124" s="75"/>
      <c r="H124" s="75"/>
      <c r="I124" s="75"/>
    </row>
    <row r="125" spans="2:13" x14ac:dyDescent="0.25">
      <c r="B125" s="2" t="s">
        <v>91</v>
      </c>
      <c r="D125" s="2" t="s">
        <v>142</v>
      </c>
      <c r="E125" s="71"/>
      <c r="F125" s="71"/>
      <c r="G125" s="76"/>
      <c r="H125" s="76"/>
      <c r="I125" s="76"/>
      <c r="J125" s="38"/>
    </row>
    <row r="126" spans="2:13" x14ac:dyDescent="0.25">
      <c r="D126" s="92" t="s">
        <v>125</v>
      </c>
      <c r="G126" s="63"/>
      <c r="H126" s="63"/>
      <c r="I126" s="63"/>
      <c r="J126" s="38"/>
    </row>
    <row r="127" spans="2:13" x14ac:dyDescent="0.25">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100"/>
  <sheetViews>
    <sheetView topLeftCell="B1" zoomScaleNormal="100" workbookViewId="0">
      <selection activeCell="E9" sqref="E9:I93"/>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0" width="2.5546875" style="3" customWidth="1"/>
    <col min="11" max="16384" width="9.109375" style="3"/>
  </cols>
  <sheetData>
    <row r="1" spans="2:10" x14ac:dyDescent="0.25">
      <c r="E1" s="2"/>
      <c r="F1" s="2"/>
    </row>
    <row r="2" spans="2:10" ht="21" thickBot="1" x14ac:dyDescent="0.4">
      <c r="B2" s="1" t="s">
        <v>0</v>
      </c>
      <c r="C2" s="2"/>
      <c r="D2" s="2"/>
      <c r="E2" s="2"/>
      <c r="F2" s="2"/>
      <c r="G2" s="100"/>
      <c r="H2" s="134"/>
      <c r="I2" s="134"/>
      <c r="J2" s="83"/>
    </row>
    <row r="3" spans="2:10" ht="20.399999999999999" x14ac:dyDescent="0.35">
      <c r="B3" s="1" t="s">
        <v>1</v>
      </c>
      <c r="C3" s="2"/>
      <c r="D3" s="2"/>
    </row>
    <row r="4" spans="2:10" x14ac:dyDescent="0.25">
      <c r="B4" s="2" t="s">
        <v>165</v>
      </c>
      <c r="C4" s="2"/>
      <c r="D4" s="2"/>
      <c r="G4" s="7" t="s">
        <v>6</v>
      </c>
      <c r="H4" s="7" t="s">
        <v>6</v>
      </c>
      <c r="I4" s="7" t="s">
        <v>8</v>
      </c>
      <c r="J4" s="7"/>
    </row>
    <row r="5" spans="2:10" ht="15" x14ac:dyDescent="0.25">
      <c r="B5" s="4"/>
      <c r="C5" s="2"/>
      <c r="D5" s="4" t="s">
        <v>2</v>
      </c>
      <c r="G5" s="7" t="s">
        <v>12</v>
      </c>
      <c r="H5" s="7" t="s">
        <v>12</v>
      </c>
      <c r="I5" s="7" t="s">
        <v>13</v>
      </c>
      <c r="J5" s="7"/>
    </row>
    <row r="6" spans="2:10" x14ac:dyDescent="0.25">
      <c r="D6" s="81"/>
      <c r="E6" s="15"/>
      <c r="G6" s="7"/>
      <c r="H6" s="7"/>
      <c r="I6" s="7"/>
      <c r="J6" s="7"/>
    </row>
    <row r="7" spans="2:10" ht="13.8" thickBot="1" x14ac:dyDescent="0.3">
      <c r="B7" s="2"/>
      <c r="E7" s="15"/>
      <c r="G7" s="8" t="s">
        <v>17</v>
      </c>
      <c r="H7" s="8" t="s">
        <v>17</v>
      </c>
      <c r="I7" s="8" t="s">
        <v>18</v>
      </c>
      <c r="J7" s="84"/>
    </row>
    <row r="8" spans="2:10" ht="5.0999999999999996" customHeight="1" x14ac:dyDescent="0.25">
      <c r="B8" s="2"/>
      <c r="E8" s="15"/>
      <c r="G8" s="9"/>
      <c r="H8" s="9"/>
      <c r="I8" s="9"/>
      <c r="J8" s="87"/>
    </row>
    <row r="9" spans="2:10" ht="14.4" thickBot="1" x14ac:dyDescent="0.3">
      <c r="B9" s="6" t="s">
        <v>3</v>
      </c>
      <c r="D9" s="3" t="s">
        <v>19</v>
      </c>
      <c r="E9" s="18" t="s">
        <v>20</v>
      </c>
      <c r="G9" s="11">
        <v>12396</v>
      </c>
      <c r="H9" s="11">
        <v>0</v>
      </c>
      <c r="I9" s="11">
        <f>G9-H9</f>
        <v>12396</v>
      </c>
      <c r="J9" s="12"/>
    </row>
    <row r="10" spans="2:10" x14ac:dyDescent="0.25">
      <c r="B10" s="2" t="s">
        <v>9</v>
      </c>
      <c r="E10" s="18" t="s">
        <v>21</v>
      </c>
      <c r="G10" s="13">
        <v>260</v>
      </c>
      <c r="H10" s="13">
        <v>260</v>
      </c>
      <c r="I10" s="13">
        <f t="shared" ref="I10:I73" si="0">G10-H10</f>
        <v>0</v>
      </c>
      <c r="J10" s="85"/>
    </row>
    <row r="11" spans="2:10" x14ac:dyDescent="0.25">
      <c r="E11" s="18"/>
      <c r="G11" s="15"/>
      <c r="H11" s="15"/>
      <c r="I11" s="15">
        <f t="shared" si="0"/>
        <v>0</v>
      </c>
    </row>
    <row r="12" spans="2:10" ht="13.8" thickBot="1" x14ac:dyDescent="0.3">
      <c r="D12" s="3" t="s">
        <v>22</v>
      </c>
      <c r="E12" s="18" t="s">
        <v>20</v>
      </c>
      <c r="G12" s="11">
        <v>90332</v>
      </c>
      <c r="H12" s="11">
        <v>90332</v>
      </c>
      <c r="I12" s="11">
        <f t="shared" si="0"/>
        <v>0</v>
      </c>
      <c r="J12" s="12"/>
    </row>
    <row r="13" spans="2:10" x14ac:dyDescent="0.25">
      <c r="E13" s="18" t="s">
        <v>21</v>
      </c>
      <c r="G13" s="13">
        <v>1389</v>
      </c>
      <c r="H13" s="13">
        <v>1389</v>
      </c>
      <c r="I13" s="13">
        <f t="shared" si="0"/>
        <v>0</v>
      </c>
      <c r="J13" s="85"/>
    </row>
    <row r="14" spans="2:10" x14ac:dyDescent="0.25">
      <c r="E14" s="15"/>
      <c r="G14" s="15"/>
      <c r="H14" s="15"/>
      <c r="I14" s="15">
        <f t="shared" si="0"/>
        <v>0</v>
      </c>
    </row>
    <row r="15" spans="2:10" x14ac:dyDescent="0.25">
      <c r="D15" s="3" t="s">
        <v>23</v>
      </c>
      <c r="E15" s="18" t="s">
        <v>24</v>
      </c>
      <c r="G15" s="11">
        <v>3643.9897698209716</v>
      </c>
      <c r="H15" s="11">
        <v>0</v>
      </c>
      <c r="I15" s="11">
        <f t="shared" si="0"/>
        <v>3643.9897698209716</v>
      </c>
      <c r="J15" s="12"/>
    </row>
    <row r="16" spans="2:10" x14ac:dyDescent="0.25">
      <c r="D16" s="3" t="s">
        <v>25</v>
      </c>
      <c r="E16" s="18" t="s">
        <v>26</v>
      </c>
      <c r="G16" s="11">
        <v>7091.3356548427082</v>
      </c>
      <c r="H16" s="11">
        <v>7091.3356548427082</v>
      </c>
      <c r="I16" s="11">
        <f t="shared" si="0"/>
        <v>0</v>
      </c>
      <c r="J16" s="12"/>
    </row>
    <row r="17" spans="2:10" x14ac:dyDescent="0.25">
      <c r="E17" s="18" t="s">
        <v>27</v>
      </c>
      <c r="G17" s="11">
        <v>714.83375959079285</v>
      </c>
      <c r="H17" s="11">
        <v>0</v>
      </c>
      <c r="I17" s="11">
        <f t="shared" si="0"/>
        <v>714.83375959079285</v>
      </c>
      <c r="J17" s="12"/>
    </row>
    <row r="18" spans="2:10" x14ac:dyDescent="0.25">
      <c r="E18" s="18" t="s">
        <v>28</v>
      </c>
      <c r="G18" s="11">
        <v>8505</v>
      </c>
      <c r="H18" s="11">
        <v>0</v>
      </c>
      <c r="I18" s="11">
        <f t="shared" si="0"/>
        <v>8505</v>
      </c>
      <c r="J18" s="12"/>
    </row>
    <row r="19" spans="2:10" x14ac:dyDescent="0.25">
      <c r="E19" s="18" t="s">
        <v>29</v>
      </c>
      <c r="G19" s="11">
        <v>0</v>
      </c>
      <c r="H19" s="11">
        <v>0</v>
      </c>
      <c r="I19" s="11">
        <f t="shared" si="0"/>
        <v>0</v>
      </c>
      <c r="J19" s="12"/>
    </row>
    <row r="20" spans="2:10" x14ac:dyDescent="0.25">
      <c r="E20" s="18" t="s">
        <v>30</v>
      </c>
      <c r="G20" s="21">
        <v>2062</v>
      </c>
      <c r="H20" s="11">
        <v>0</v>
      </c>
      <c r="I20" s="11">
        <f t="shared" si="0"/>
        <v>2062</v>
      </c>
      <c r="J20" s="12"/>
    </row>
    <row r="21" spans="2:10" x14ac:dyDescent="0.25">
      <c r="D21" s="2" t="s">
        <v>31</v>
      </c>
      <c r="E21" s="18"/>
      <c r="G21" s="23">
        <v>124745.15918425447</v>
      </c>
      <c r="H21" s="25">
        <v>97423.335654842711</v>
      </c>
      <c r="I21" s="25">
        <f t="shared" si="0"/>
        <v>27321.823529411762</v>
      </c>
      <c r="J21" s="86"/>
    </row>
    <row r="22" spans="2:10" x14ac:dyDescent="0.25">
      <c r="E22" s="18"/>
      <c r="G22" s="11"/>
      <c r="H22" s="11"/>
      <c r="I22" s="11">
        <f t="shared" si="0"/>
        <v>0</v>
      </c>
      <c r="J22" s="12"/>
    </row>
    <row r="23" spans="2:10" x14ac:dyDescent="0.25">
      <c r="B23" s="2" t="s">
        <v>32</v>
      </c>
      <c r="E23" s="18" t="s">
        <v>33</v>
      </c>
      <c r="G23" s="21">
        <v>27171</v>
      </c>
      <c r="H23" s="21">
        <v>1519.0058739409308</v>
      </c>
      <c r="I23" s="21">
        <f t="shared" si="0"/>
        <v>25651.994126059068</v>
      </c>
      <c r="J23" s="29"/>
    </row>
    <row r="24" spans="2:10" x14ac:dyDescent="0.25">
      <c r="B24" s="2"/>
      <c r="D24" s="2" t="s">
        <v>34</v>
      </c>
      <c r="E24" s="18"/>
      <c r="G24" s="23">
        <v>27171</v>
      </c>
      <c r="H24" s="23">
        <v>1519.0058739409308</v>
      </c>
      <c r="I24" s="23">
        <f t="shared" si="0"/>
        <v>25651.994126059068</v>
      </c>
      <c r="J24" s="24"/>
    </row>
    <row r="25" spans="2:10" x14ac:dyDescent="0.25">
      <c r="B25" s="2"/>
      <c r="E25" s="15"/>
      <c r="G25" s="15"/>
      <c r="H25" s="15"/>
      <c r="I25" s="15">
        <f t="shared" si="0"/>
        <v>0</v>
      </c>
    </row>
    <row r="26" spans="2:10" x14ac:dyDescent="0.25">
      <c r="B26" s="2" t="s">
        <v>35</v>
      </c>
      <c r="E26" s="18" t="s">
        <v>36</v>
      </c>
      <c r="F26" s="15"/>
      <c r="G26" s="11">
        <v>406</v>
      </c>
      <c r="H26" s="29">
        <v>0</v>
      </c>
      <c r="I26" s="29">
        <f t="shared" si="0"/>
        <v>406</v>
      </c>
      <c r="J26" s="12"/>
    </row>
    <row r="27" spans="2:10" x14ac:dyDescent="0.25">
      <c r="B27" s="2"/>
      <c r="E27" s="18" t="s">
        <v>37</v>
      </c>
      <c r="G27" s="11">
        <v>1721</v>
      </c>
      <c r="H27" s="11">
        <v>1721</v>
      </c>
      <c r="I27" s="11">
        <f t="shared" si="0"/>
        <v>0</v>
      </c>
      <c r="J27" s="12"/>
    </row>
    <row r="28" spans="2:10" x14ac:dyDescent="0.25">
      <c r="B28" s="2"/>
      <c r="E28" s="15" t="s">
        <v>38</v>
      </c>
      <c r="G28" s="11">
        <v>0</v>
      </c>
      <c r="H28" s="11">
        <v>0</v>
      </c>
      <c r="I28" s="11">
        <f t="shared" si="0"/>
        <v>0</v>
      </c>
      <c r="J28" s="12"/>
    </row>
    <row r="29" spans="2:10" x14ac:dyDescent="0.25">
      <c r="B29" s="2"/>
      <c r="E29" s="18" t="s">
        <v>39</v>
      </c>
      <c r="G29" s="11">
        <v>2108</v>
      </c>
      <c r="H29" s="11">
        <v>2108</v>
      </c>
      <c r="I29" s="11">
        <f t="shared" si="0"/>
        <v>0</v>
      </c>
      <c r="J29" s="12"/>
    </row>
    <row r="30" spans="2:10" x14ac:dyDescent="0.25">
      <c r="B30" s="2"/>
      <c r="E30" s="10" t="s">
        <v>40</v>
      </c>
      <c r="G30" s="21">
        <v>0</v>
      </c>
      <c r="H30" s="21">
        <v>0</v>
      </c>
      <c r="I30" s="21">
        <f t="shared" si="0"/>
        <v>0</v>
      </c>
      <c r="J30" s="82"/>
    </row>
    <row r="31" spans="2:10" x14ac:dyDescent="0.25">
      <c r="B31" s="2"/>
      <c r="D31" s="2" t="s">
        <v>41</v>
      </c>
      <c r="G31" s="24">
        <v>4235</v>
      </c>
      <c r="H31" s="23">
        <v>3829</v>
      </c>
      <c r="I31" s="23">
        <f t="shared" si="0"/>
        <v>406</v>
      </c>
      <c r="J31" s="24"/>
    </row>
    <row r="32" spans="2:10" x14ac:dyDescent="0.25">
      <c r="B32" s="2"/>
      <c r="I32" s="3">
        <f t="shared" si="0"/>
        <v>0</v>
      </c>
    </row>
    <row r="33" spans="2:10" x14ac:dyDescent="0.25">
      <c r="B33" s="2" t="s">
        <v>42</v>
      </c>
      <c r="D33" s="2" t="s">
        <v>43</v>
      </c>
      <c r="E33" s="3" t="s">
        <v>44</v>
      </c>
      <c r="G33" s="11">
        <v>0</v>
      </c>
      <c r="H33" s="12">
        <v>0</v>
      </c>
      <c r="I33" s="12">
        <f t="shared" si="0"/>
        <v>0</v>
      </c>
      <c r="J33" s="12"/>
    </row>
    <row r="34" spans="2:10" x14ac:dyDescent="0.25">
      <c r="B34" s="2" t="s">
        <v>45</v>
      </c>
      <c r="D34" s="2" t="s">
        <v>46</v>
      </c>
      <c r="E34" s="3" t="s">
        <v>47</v>
      </c>
      <c r="G34" s="11">
        <v>0</v>
      </c>
      <c r="H34" s="12">
        <v>0</v>
      </c>
      <c r="I34" s="12">
        <f t="shared" si="0"/>
        <v>0</v>
      </c>
      <c r="J34" s="12"/>
    </row>
    <row r="35" spans="2:10" x14ac:dyDescent="0.25">
      <c r="D35" s="2"/>
      <c r="G35" s="15"/>
      <c r="I35" s="3">
        <f t="shared" si="0"/>
        <v>0</v>
      </c>
      <c r="J35" s="12"/>
    </row>
    <row r="36" spans="2:10" x14ac:dyDescent="0.25">
      <c r="D36" s="2" t="s">
        <v>48</v>
      </c>
      <c r="E36" s="3" t="s">
        <v>49</v>
      </c>
      <c r="G36" s="11">
        <v>0</v>
      </c>
      <c r="H36" s="12">
        <v>0</v>
      </c>
      <c r="I36" s="12">
        <f t="shared" si="0"/>
        <v>0</v>
      </c>
      <c r="J36" s="12"/>
    </row>
    <row r="37" spans="2:10" x14ac:dyDescent="0.25">
      <c r="D37" s="2" t="s">
        <v>50</v>
      </c>
      <c r="E37" s="3" t="s">
        <v>51</v>
      </c>
      <c r="G37" s="11">
        <v>0</v>
      </c>
      <c r="H37" s="12">
        <v>0</v>
      </c>
      <c r="I37" s="12">
        <f t="shared" si="0"/>
        <v>0</v>
      </c>
      <c r="J37" s="12"/>
    </row>
    <row r="38" spans="2:10" x14ac:dyDescent="0.25">
      <c r="D38" s="2"/>
      <c r="E38" s="3" t="s">
        <v>52</v>
      </c>
      <c r="G38" s="11">
        <v>0</v>
      </c>
      <c r="H38" s="12">
        <v>0</v>
      </c>
      <c r="I38" s="12">
        <f t="shared" si="0"/>
        <v>0</v>
      </c>
      <c r="J38" s="12"/>
    </row>
    <row r="39" spans="2:10" x14ac:dyDescent="0.25">
      <c r="D39" s="2"/>
      <c r="E39" s="3" t="s">
        <v>53</v>
      </c>
      <c r="G39" s="11"/>
      <c r="H39" s="12">
        <v>0</v>
      </c>
      <c r="I39" s="12">
        <f t="shared" si="0"/>
        <v>0</v>
      </c>
      <c r="J39" s="12"/>
    </row>
    <row r="40" spans="2:10" x14ac:dyDescent="0.25">
      <c r="D40" s="2"/>
      <c r="G40" s="15"/>
      <c r="I40" s="3">
        <f t="shared" si="0"/>
        <v>0</v>
      </c>
      <c r="J40" s="12"/>
    </row>
    <row r="41" spans="2:10" x14ac:dyDescent="0.25">
      <c r="D41" s="2" t="s">
        <v>54</v>
      </c>
      <c r="G41" s="11">
        <v>0</v>
      </c>
      <c r="H41" s="12">
        <v>0</v>
      </c>
      <c r="I41" s="12">
        <f t="shared" si="0"/>
        <v>0</v>
      </c>
      <c r="J41" s="12"/>
    </row>
    <row r="42" spans="2:10" x14ac:dyDescent="0.25">
      <c r="D42" s="2"/>
      <c r="G42" s="15"/>
      <c r="I42" s="3">
        <f t="shared" si="0"/>
        <v>0</v>
      </c>
    </row>
    <row r="43" spans="2:10" x14ac:dyDescent="0.25">
      <c r="D43" s="2" t="s">
        <v>55</v>
      </c>
      <c r="G43" s="11">
        <v>0</v>
      </c>
      <c r="H43" s="12">
        <v>0</v>
      </c>
      <c r="I43" s="12">
        <f t="shared" si="0"/>
        <v>0</v>
      </c>
      <c r="J43" s="12"/>
    </row>
    <row r="44" spans="2:10" x14ac:dyDescent="0.25">
      <c r="D44" s="2"/>
      <c r="G44" s="15"/>
      <c r="I44" s="3">
        <f t="shared" si="0"/>
        <v>0</v>
      </c>
    </row>
    <row r="45" spans="2:10" x14ac:dyDescent="0.25">
      <c r="D45" s="2" t="s">
        <v>56</v>
      </c>
      <c r="G45" s="11">
        <v>0</v>
      </c>
      <c r="H45" s="12">
        <v>0</v>
      </c>
      <c r="I45" s="12">
        <f t="shared" si="0"/>
        <v>0</v>
      </c>
      <c r="J45" s="12"/>
    </row>
    <row r="46" spans="2:10" x14ac:dyDescent="0.25">
      <c r="D46" s="2"/>
      <c r="G46" s="15"/>
      <c r="I46" s="3">
        <f t="shared" si="0"/>
        <v>0</v>
      </c>
    </row>
    <row r="47" spans="2:10" x14ac:dyDescent="0.25">
      <c r="D47" s="2" t="s">
        <v>57</v>
      </c>
      <c r="G47" s="11">
        <v>0</v>
      </c>
      <c r="H47" s="12">
        <v>0</v>
      </c>
      <c r="I47" s="12">
        <f t="shared" si="0"/>
        <v>0</v>
      </c>
      <c r="J47" s="12"/>
    </row>
    <row r="48" spans="2:10" x14ac:dyDescent="0.25">
      <c r="D48" s="2" t="s">
        <v>58</v>
      </c>
      <c r="G48" s="15"/>
      <c r="I48" s="3">
        <f t="shared" si="0"/>
        <v>0</v>
      </c>
    </row>
    <row r="49" spans="2:10" x14ac:dyDescent="0.25">
      <c r="D49" s="2"/>
      <c r="G49" s="15"/>
      <c r="I49" s="3">
        <f t="shared" si="0"/>
        <v>0</v>
      </c>
    </row>
    <row r="50" spans="2:10" x14ac:dyDescent="0.25">
      <c r="B50" s="2"/>
      <c r="D50" s="2" t="s">
        <v>53</v>
      </c>
      <c r="G50" s="21">
        <v>582</v>
      </c>
      <c r="H50" s="22">
        <v>582</v>
      </c>
      <c r="I50" s="22">
        <f t="shared" si="0"/>
        <v>0</v>
      </c>
      <c r="J50" s="82"/>
    </row>
    <row r="51" spans="2:10" x14ac:dyDescent="0.25">
      <c r="D51" s="2" t="s">
        <v>59</v>
      </c>
      <c r="G51" s="24">
        <v>582</v>
      </c>
      <c r="H51" s="24">
        <v>582</v>
      </c>
      <c r="I51" s="24">
        <f t="shared" si="0"/>
        <v>0</v>
      </c>
      <c r="J51" s="24"/>
    </row>
    <row r="52" spans="2:10" x14ac:dyDescent="0.25">
      <c r="B52" s="2"/>
      <c r="I52" s="3">
        <f t="shared" si="0"/>
        <v>0</v>
      </c>
    </row>
    <row r="53" spans="2:10" x14ac:dyDescent="0.25">
      <c r="B53" s="2" t="s">
        <v>60</v>
      </c>
      <c r="G53" s="12">
        <v>0</v>
      </c>
      <c r="H53" s="12">
        <v>0</v>
      </c>
      <c r="I53" s="12">
        <f t="shared" si="0"/>
        <v>0</v>
      </c>
      <c r="J53" s="12"/>
    </row>
    <row r="54" spans="2:10" x14ac:dyDescent="0.25">
      <c r="B54" s="2" t="s">
        <v>61</v>
      </c>
      <c r="I54" s="3">
        <f t="shared" si="0"/>
        <v>0</v>
      </c>
    </row>
    <row r="55" spans="2:10" ht="13.8" thickBot="1" x14ac:dyDescent="0.3">
      <c r="I55" s="3">
        <f t="shared" si="0"/>
        <v>0</v>
      </c>
      <c r="J55" s="40"/>
    </row>
    <row r="56" spans="2:10" x14ac:dyDescent="0.25">
      <c r="B56" s="2" t="s">
        <v>62</v>
      </c>
      <c r="G56" s="31">
        <v>156733.15918425447</v>
      </c>
      <c r="H56" s="31">
        <v>103353.34152878364</v>
      </c>
      <c r="I56" s="31">
        <f t="shared" si="0"/>
        <v>53379.817655470833</v>
      </c>
      <c r="J56" s="86"/>
    </row>
    <row r="57" spans="2:10" x14ac:dyDescent="0.25">
      <c r="I57" s="3">
        <f t="shared" si="0"/>
        <v>0</v>
      </c>
    </row>
    <row r="58" spans="2:10" x14ac:dyDescent="0.25">
      <c r="I58" s="3">
        <f t="shared" si="0"/>
        <v>0</v>
      </c>
    </row>
    <row r="59" spans="2:10" ht="13.8" x14ac:dyDescent="0.25">
      <c r="B59" s="6" t="s">
        <v>63</v>
      </c>
      <c r="I59" s="3">
        <f t="shared" si="0"/>
        <v>0</v>
      </c>
    </row>
    <row r="60" spans="2:10" x14ac:dyDescent="0.25">
      <c r="D60" s="15" t="s">
        <v>64</v>
      </c>
      <c r="E60" s="10" t="s">
        <v>20</v>
      </c>
      <c r="G60" s="12">
        <v>131566</v>
      </c>
      <c r="H60" s="12">
        <v>131566</v>
      </c>
      <c r="I60" s="12">
        <f t="shared" si="0"/>
        <v>0</v>
      </c>
      <c r="J60" s="11"/>
    </row>
    <row r="61" spans="2:10" x14ac:dyDescent="0.25">
      <c r="D61" s="15"/>
      <c r="E61" s="10" t="s">
        <v>21</v>
      </c>
      <c r="G61" s="33">
        <v>0</v>
      </c>
      <c r="H61" s="33">
        <v>0</v>
      </c>
      <c r="I61" s="33">
        <f t="shared" si="0"/>
        <v>0</v>
      </c>
      <c r="J61" s="33"/>
    </row>
    <row r="62" spans="2:10" x14ac:dyDescent="0.25">
      <c r="D62" s="15"/>
      <c r="E62" s="10"/>
      <c r="I62" s="3">
        <f t="shared" si="0"/>
        <v>0</v>
      </c>
    </row>
    <row r="63" spans="2:10" x14ac:dyDescent="0.25">
      <c r="D63" s="15" t="s">
        <v>94</v>
      </c>
      <c r="E63" s="10" t="s">
        <v>20</v>
      </c>
      <c r="G63" s="12">
        <v>87973.003927963451</v>
      </c>
      <c r="H63" s="12">
        <v>87973.003927963451</v>
      </c>
      <c r="I63" s="12">
        <f t="shared" si="0"/>
        <v>0</v>
      </c>
      <c r="J63" s="11"/>
    </row>
    <row r="64" spans="2:10" ht="12.75" customHeight="1" x14ac:dyDescent="0.25">
      <c r="D64" s="15"/>
      <c r="E64" s="10" t="s">
        <v>21</v>
      </c>
      <c r="G64" s="36">
        <v>0</v>
      </c>
      <c r="H64" s="33">
        <v>0</v>
      </c>
      <c r="I64" s="33">
        <f t="shared" si="0"/>
        <v>0</v>
      </c>
      <c r="J64" s="33"/>
    </row>
    <row r="65" spans="4:10" ht="12.75" customHeight="1" x14ac:dyDescent="0.25">
      <c r="D65" s="15"/>
      <c r="E65" s="10"/>
      <c r="I65" s="3">
        <f t="shared" si="0"/>
        <v>0</v>
      </c>
    </row>
    <row r="66" spans="4:10" x14ac:dyDescent="0.25">
      <c r="D66" s="15" t="s">
        <v>65</v>
      </c>
      <c r="E66" s="10" t="s">
        <v>20</v>
      </c>
      <c r="G66" s="12">
        <v>2952.6366532796383</v>
      </c>
      <c r="H66" s="12">
        <v>2952.6366532796383</v>
      </c>
      <c r="I66" s="12">
        <f t="shared" si="0"/>
        <v>0</v>
      </c>
      <c r="J66" s="11"/>
    </row>
    <row r="67" spans="4:10" x14ac:dyDescent="0.25">
      <c r="D67" s="15"/>
      <c r="E67" s="10" t="s">
        <v>21</v>
      </c>
      <c r="G67" s="36">
        <v>0</v>
      </c>
      <c r="H67" s="33">
        <v>0</v>
      </c>
      <c r="I67" s="33">
        <f t="shared" si="0"/>
        <v>0</v>
      </c>
      <c r="J67" s="33"/>
    </row>
    <row r="68" spans="4:10" x14ac:dyDescent="0.25">
      <c r="D68" s="15"/>
      <c r="E68" s="10"/>
      <c r="G68" s="33"/>
      <c r="H68" s="33"/>
      <c r="I68" s="33">
        <f t="shared" si="0"/>
        <v>0</v>
      </c>
      <c r="J68" s="34"/>
    </row>
    <row r="69" spans="4:10" x14ac:dyDescent="0.25">
      <c r="D69" s="99" t="s">
        <v>143</v>
      </c>
      <c r="E69" s="10" t="s">
        <v>20</v>
      </c>
      <c r="G69" s="12">
        <v>556.1819093318054</v>
      </c>
      <c r="H69" s="12">
        <v>556.1819093318054</v>
      </c>
      <c r="I69" s="12">
        <f t="shared" si="0"/>
        <v>0</v>
      </c>
      <c r="J69" s="11"/>
    </row>
    <row r="70" spans="4:10" x14ac:dyDescent="0.25">
      <c r="D70" s="15"/>
      <c r="E70" s="10" t="s">
        <v>21</v>
      </c>
      <c r="G70" s="36">
        <v>0</v>
      </c>
      <c r="H70" s="33">
        <v>0</v>
      </c>
      <c r="I70" s="33">
        <f t="shared" si="0"/>
        <v>0</v>
      </c>
      <c r="J70" s="33"/>
    </row>
    <row r="71" spans="4:10" x14ac:dyDescent="0.25">
      <c r="D71" s="15"/>
      <c r="E71" s="10"/>
      <c r="G71" s="36"/>
      <c r="H71" s="33"/>
      <c r="I71" s="33">
        <f t="shared" si="0"/>
        <v>0</v>
      </c>
      <c r="J71" s="33"/>
    </row>
    <row r="72" spans="4:10" x14ac:dyDescent="0.25">
      <c r="D72" s="15" t="s">
        <v>127</v>
      </c>
      <c r="E72" s="10" t="s">
        <v>20</v>
      </c>
      <c r="G72" s="12">
        <v>12509.339268432872</v>
      </c>
      <c r="H72" s="12">
        <v>12509.339268432872</v>
      </c>
      <c r="I72" s="12">
        <f t="shared" si="0"/>
        <v>0</v>
      </c>
      <c r="J72" s="33"/>
    </row>
    <row r="73" spans="4:10" x14ac:dyDescent="0.25">
      <c r="D73" s="15"/>
      <c r="E73" s="10" t="s">
        <v>21</v>
      </c>
      <c r="G73" s="36">
        <v>0</v>
      </c>
      <c r="H73" s="33">
        <v>0</v>
      </c>
      <c r="I73" s="33">
        <f t="shared" si="0"/>
        <v>0</v>
      </c>
      <c r="J73" s="33"/>
    </row>
    <row r="74" spans="4:10" x14ac:dyDescent="0.25">
      <c r="D74" s="15"/>
      <c r="E74" s="10"/>
      <c r="I74" s="3">
        <f t="shared" ref="I74:I93" si="1">G74-H74</f>
        <v>0</v>
      </c>
    </row>
    <row r="75" spans="4:10" x14ac:dyDescent="0.25">
      <c r="D75" s="99" t="s">
        <v>108</v>
      </c>
      <c r="E75" s="10" t="s">
        <v>20</v>
      </c>
      <c r="G75" s="12">
        <v>0</v>
      </c>
      <c r="H75" s="12">
        <v>0</v>
      </c>
      <c r="I75" s="12">
        <f t="shared" si="1"/>
        <v>0</v>
      </c>
    </row>
    <row r="76" spans="4:10" x14ac:dyDescent="0.25">
      <c r="D76" s="15"/>
      <c r="E76" s="10" t="s">
        <v>21</v>
      </c>
      <c r="G76" s="36">
        <v>0</v>
      </c>
      <c r="H76" s="33">
        <v>0</v>
      </c>
      <c r="I76" s="33">
        <f t="shared" si="1"/>
        <v>0</v>
      </c>
    </row>
    <row r="77" spans="4:10" x14ac:dyDescent="0.25">
      <c r="D77" s="15"/>
      <c r="E77" s="10"/>
      <c r="I77" s="3">
        <f t="shared" si="1"/>
        <v>0</v>
      </c>
    </row>
    <row r="78" spans="4:10" x14ac:dyDescent="0.25">
      <c r="D78" s="99" t="s">
        <v>144</v>
      </c>
      <c r="E78" s="10" t="s">
        <v>20</v>
      </c>
      <c r="G78" s="12">
        <v>26166.100830583389</v>
      </c>
      <c r="H78" s="12">
        <v>26166.100830583389</v>
      </c>
      <c r="I78" s="12">
        <f t="shared" si="1"/>
        <v>0</v>
      </c>
    </row>
    <row r="79" spans="4:10" x14ac:dyDescent="0.25">
      <c r="D79" s="15"/>
      <c r="E79" s="10" t="s">
        <v>21</v>
      </c>
      <c r="G79" s="36">
        <v>0</v>
      </c>
      <c r="H79" s="33">
        <v>0</v>
      </c>
      <c r="I79" s="33">
        <f t="shared" si="1"/>
        <v>0</v>
      </c>
    </row>
    <row r="80" spans="4:10" x14ac:dyDescent="0.25">
      <c r="D80" s="15"/>
      <c r="E80" s="10"/>
      <c r="I80" s="3">
        <f t="shared" si="1"/>
        <v>0</v>
      </c>
    </row>
    <row r="81" spans="2:10" x14ac:dyDescent="0.25">
      <c r="D81" s="99" t="s">
        <v>145</v>
      </c>
      <c r="E81" s="10" t="s">
        <v>20</v>
      </c>
      <c r="G81" s="12">
        <v>0</v>
      </c>
      <c r="H81" s="12">
        <v>0</v>
      </c>
      <c r="I81" s="12">
        <f t="shared" si="1"/>
        <v>0</v>
      </c>
    </row>
    <row r="82" spans="2:10" x14ac:dyDescent="0.25">
      <c r="D82" s="15"/>
      <c r="E82" s="10" t="s">
        <v>21</v>
      </c>
      <c r="G82" s="36">
        <v>42929.994020827937</v>
      </c>
      <c r="H82" s="33">
        <v>42929.994020827937</v>
      </c>
      <c r="I82" s="33">
        <f t="shared" si="1"/>
        <v>0</v>
      </c>
    </row>
    <row r="83" spans="2:10" x14ac:dyDescent="0.25">
      <c r="D83" s="15"/>
      <c r="E83" s="10"/>
      <c r="I83" s="3">
        <f t="shared" si="1"/>
        <v>0</v>
      </c>
    </row>
    <row r="84" spans="2:10" x14ac:dyDescent="0.25">
      <c r="D84" s="99"/>
      <c r="E84" s="10" t="s">
        <v>20</v>
      </c>
      <c r="G84" s="12">
        <v>0</v>
      </c>
      <c r="H84" s="12">
        <v>0</v>
      </c>
      <c r="I84" s="12">
        <f t="shared" si="1"/>
        <v>0</v>
      </c>
      <c r="J84" s="12"/>
    </row>
    <row r="85" spans="2:10" x14ac:dyDescent="0.25">
      <c r="E85" s="10" t="s">
        <v>21</v>
      </c>
      <c r="G85" s="36">
        <v>0</v>
      </c>
      <c r="H85" s="33">
        <v>0</v>
      </c>
      <c r="I85" s="33">
        <f t="shared" si="1"/>
        <v>0</v>
      </c>
      <c r="J85" s="33"/>
    </row>
    <row r="86" spans="2:10" x14ac:dyDescent="0.25">
      <c r="E86" s="10"/>
      <c r="G86" s="36"/>
      <c r="H86" s="33"/>
      <c r="I86" s="33">
        <f t="shared" si="1"/>
        <v>0</v>
      </c>
      <c r="J86" s="33"/>
    </row>
    <row r="87" spans="2:10" x14ac:dyDescent="0.25">
      <c r="D87" s="15" t="s">
        <v>66</v>
      </c>
      <c r="E87" s="10" t="s">
        <v>20</v>
      </c>
      <c r="G87" s="12">
        <v>0</v>
      </c>
      <c r="H87" s="12">
        <v>0</v>
      </c>
      <c r="I87" s="12">
        <f t="shared" si="1"/>
        <v>0</v>
      </c>
      <c r="J87" s="12"/>
    </row>
    <row r="88" spans="2:10" ht="13.8" thickBot="1" x14ac:dyDescent="0.3">
      <c r="D88" s="15"/>
      <c r="I88" s="3">
        <f t="shared" si="1"/>
        <v>0</v>
      </c>
    </row>
    <row r="89" spans="2:10" ht="13.8" thickBot="1" x14ac:dyDescent="0.3">
      <c r="B89" s="2" t="s">
        <v>67</v>
      </c>
      <c r="E89" s="10" t="s">
        <v>20</v>
      </c>
      <c r="G89" s="31">
        <v>261723.26258959118</v>
      </c>
      <c r="H89" s="31">
        <v>261723.26258959118</v>
      </c>
      <c r="I89" s="31">
        <f t="shared" si="1"/>
        <v>0</v>
      </c>
      <c r="J89" s="86"/>
    </row>
    <row r="90" spans="2:10" x14ac:dyDescent="0.25">
      <c r="B90" s="2"/>
      <c r="E90" s="10" t="s">
        <v>21</v>
      </c>
      <c r="G90" s="31">
        <v>42929.994020827937</v>
      </c>
      <c r="H90" s="31">
        <v>42929.994020827937</v>
      </c>
      <c r="I90" s="31">
        <f t="shared" si="1"/>
        <v>0</v>
      </c>
      <c r="J90" s="42"/>
    </row>
    <row r="91" spans="2:10" x14ac:dyDescent="0.25">
      <c r="I91" s="3">
        <f t="shared" si="1"/>
        <v>0</v>
      </c>
    </row>
    <row r="92" spans="2:10" ht="13.8" thickBot="1" x14ac:dyDescent="0.3">
      <c r="I92" s="3">
        <f t="shared" si="1"/>
        <v>0</v>
      </c>
    </row>
    <row r="93" spans="2:10" ht="14.4" thickBot="1" x14ac:dyDescent="0.3">
      <c r="B93" s="6" t="s">
        <v>68</v>
      </c>
      <c r="G93" s="45">
        <v>418456.42177384568</v>
      </c>
      <c r="H93" s="79">
        <v>365076.60411837482</v>
      </c>
      <c r="I93" s="79">
        <f t="shared" si="1"/>
        <v>53379.817655470863</v>
      </c>
      <c r="J93" s="86"/>
    </row>
    <row r="94" spans="2:10" ht="13.8" thickTop="1" x14ac:dyDescent="0.25">
      <c r="G94" s="77"/>
      <c r="H94" s="80"/>
    </row>
    <row r="95" spans="2:10" x14ac:dyDescent="0.25">
      <c r="B95" s="2" t="s">
        <v>82</v>
      </c>
      <c r="C95" s="2"/>
      <c r="D95" s="139"/>
      <c r="E95" s="71"/>
      <c r="F95" s="71"/>
      <c r="G95" s="75"/>
    </row>
    <row r="96" spans="2:10" x14ac:dyDescent="0.25">
      <c r="B96" s="2" t="s">
        <v>81</v>
      </c>
      <c r="C96" s="2"/>
      <c r="D96" s="139"/>
      <c r="E96" s="71"/>
      <c r="F96" s="71"/>
      <c r="G96" s="49"/>
    </row>
    <row r="97" spans="2:7" x14ac:dyDescent="0.25">
      <c r="E97" s="71"/>
      <c r="F97" s="71"/>
      <c r="G97" s="75"/>
    </row>
    <row r="98" spans="2:7" x14ac:dyDescent="0.25">
      <c r="B98" s="2" t="s">
        <v>91</v>
      </c>
      <c r="D98" s="2" t="s">
        <v>142</v>
      </c>
      <c r="E98" s="71"/>
      <c r="F98" s="71"/>
      <c r="G98" s="76"/>
    </row>
    <row r="99" spans="2:7" x14ac:dyDescent="0.25">
      <c r="D99" s="92" t="s">
        <v>125</v>
      </c>
      <c r="G99" s="63"/>
    </row>
    <row r="100" spans="2:7" x14ac:dyDescent="0.25">
      <c r="G100" s="38"/>
    </row>
  </sheetData>
  <mergeCells count="2">
    <mergeCell ref="H2:I2"/>
    <mergeCell ref="D95:D96"/>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X127"/>
  <sheetViews>
    <sheetView topLeftCell="A27" zoomScaleNormal="100" workbookViewId="0">
      <selection activeCell="G21" sqref="G21:K21"/>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1.5546875" style="3" customWidth="1"/>
    <col min="7" max="7" width="14.6640625" style="3" customWidth="1"/>
    <col min="8" max="8" width="16" style="3" customWidth="1"/>
    <col min="9" max="9" width="16.109375" style="3" customWidth="1"/>
    <col min="10" max="10" width="14.6640625" style="3" customWidth="1"/>
    <col min="11" max="11" width="16.88671875" style="3" customWidth="1"/>
    <col min="12" max="12" width="1.6640625" style="3" customWidth="1"/>
    <col min="13" max="14" width="14.6640625" style="3" customWidth="1"/>
    <col min="15" max="15" width="16.88671875" style="3" customWidth="1"/>
    <col min="16" max="16" width="14.6640625" style="3" customWidth="1"/>
    <col min="17" max="17" width="16.109375" style="3" customWidth="1"/>
    <col min="18" max="18" width="2.5546875" style="3" customWidth="1"/>
    <col min="19" max="22" width="16.109375" style="3" customWidth="1"/>
    <col min="23" max="23" width="2.6640625" style="3" customWidth="1"/>
    <col min="24" max="24" width="47" style="3" bestFit="1" customWidth="1"/>
    <col min="25" max="16384" width="9.109375" style="3"/>
  </cols>
  <sheetData>
    <row r="1" spans="2:24" x14ac:dyDescent="0.25">
      <c r="E1" s="2"/>
      <c r="F1" s="2"/>
    </row>
    <row r="2" spans="2:24" ht="21" thickBot="1" x14ac:dyDescent="0.4">
      <c r="B2" s="1" t="s">
        <v>0</v>
      </c>
      <c r="C2" s="2"/>
      <c r="D2" s="2"/>
      <c r="E2" s="2"/>
      <c r="F2" s="2"/>
      <c r="G2" s="134" t="s">
        <v>168</v>
      </c>
      <c r="H2" s="134"/>
      <c r="I2" s="134"/>
      <c r="J2" s="134"/>
      <c r="K2" s="134"/>
      <c r="L2" s="5"/>
      <c r="M2" s="134" t="s">
        <v>169</v>
      </c>
      <c r="N2" s="134"/>
      <c r="O2" s="134"/>
      <c r="P2" s="134"/>
      <c r="Q2" s="134"/>
      <c r="R2" s="83"/>
      <c r="S2" s="83"/>
      <c r="T2" s="83"/>
      <c r="U2" s="83"/>
      <c r="V2" s="83"/>
    </row>
    <row r="3" spans="2:24" ht="20.399999999999999" x14ac:dyDescent="0.35">
      <c r="B3" s="1" t="s">
        <v>1</v>
      </c>
      <c r="C3" s="2"/>
      <c r="D3" s="2"/>
      <c r="L3" s="5"/>
    </row>
    <row r="4" spans="2:24" x14ac:dyDescent="0.25">
      <c r="B4" s="2" t="s">
        <v>170</v>
      </c>
      <c r="C4" s="2"/>
      <c r="D4" s="2"/>
      <c r="G4" s="7" t="s">
        <v>4</v>
      </c>
      <c r="H4" s="7" t="s">
        <v>5</v>
      </c>
      <c r="I4" s="7" t="s">
        <v>6</v>
      </c>
      <c r="J4" s="7" t="s">
        <v>7</v>
      </c>
      <c r="K4" s="7" t="s">
        <v>8</v>
      </c>
      <c r="L4" s="5"/>
      <c r="M4" s="7" t="s">
        <v>4</v>
      </c>
      <c r="N4" s="7" t="s">
        <v>5</v>
      </c>
      <c r="O4" s="7" t="s">
        <v>6</v>
      </c>
      <c r="P4" s="7" t="s">
        <v>7</v>
      </c>
      <c r="Q4" s="7" t="s">
        <v>8</v>
      </c>
      <c r="R4" s="7"/>
      <c r="S4" s="7"/>
      <c r="T4" s="7"/>
      <c r="U4" s="7"/>
      <c r="V4" s="7"/>
    </row>
    <row r="5" spans="2:24" ht="15" x14ac:dyDescent="0.25">
      <c r="B5" s="4"/>
      <c r="C5" s="2"/>
      <c r="D5" s="4" t="s">
        <v>2</v>
      </c>
      <c r="G5" s="7" t="s">
        <v>10</v>
      </c>
      <c r="H5" s="7" t="s">
        <v>11</v>
      </c>
      <c r="I5" s="7" t="s">
        <v>12</v>
      </c>
      <c r="J5" s="7" t="s">
        <v>93</v>
      </c>
      <c r="K5" s="7" t="s">
        <v>13</v>
      </c>
      <c r="L5" s="5"/>
      <c r="M5" s="7" t="s">
        <v>10</v>
      </c>
      <c r="N5" s="7" t="s">
        <v>11</v>
      </c>
      <c r="O5" s="7" t="s">
        <v>12</v>
      </c>
      <c r="P5" s="7" t="s">
        <v>93</v>
      </c>
      <c r="Q5" s="7" t="s">
        <v>13</v>
      </c>
      <c r="R5" s="7"/>
      <c r="S5" s="7"/>
      <c r="T5" s="7"/>
      <c r="U5" s="7"/>
      <c r="V5" s="7"/>
    </row>
    <row r="6" spans="2:24" x14ac:dyDescent="0.25">
      <c r="D6" s="81"/>
      <c r="E6" s="15"/>
      <c r="G6" s="7"/>
      <c r="H6" s="7" t="s">
        <v>14</v>
      </c>
      <c r="I6" s="7"/>
      <c r="J6" s="7"/>
      <c r="K6" s="7"/>
      <c r="L6" s="5"/>
      <c r="M6" s="7"/>
      <c r="N6" s="7" t="s">
        <v>14</v>
      </c>
      <c r="O6" s="7"/>
      <c r="P6" s="7"/>
      <c r="Q6" s="7"/>
      <c r="R6" s="7"/>
      <c r="S6" s="7"/>
      <c r="T6" s="7"/>
      <c r="U6" s="7"/>
      <c r="V6" s="7"/>
    </row>
    <row r="7" spans="2:24" ht="13.8" thickBot="1" x14ac:dyDescent="0.3">
      <c r="B7" s="2"/>
      <c r="E7" s="15"/>
      <c r="G7" s="8" t="s">
        <v>15</v>
      </c>
      <c r="H7" s="8" t="s">
        <v>16</v>
      </c>
      <c r="I7" s="8" t="s">
        <v>17</v>
      </c>
      <c r="J7" s="8"/>
      <c r="K7" s="8" t="s">
        <v>18</v>
      </c>
      <c r="L7" s="5"/>
      <c r="M7" s="8" t="s">
        <v>15</v>
      </c>
      <c r="N7" s="8" t="s">
        <v>16</v>
      </c>
      <c r="O7" s="8" t="s">
        <v>17</v>
      </c>
      <c r="P7" s="8"/>
      <c r="Q7" s="8" t="s">
        <v>18</v>
      </c>
      <c r="R7" s="84"/>
      <c r="S7" s="84"/>
      <c r="T7" s="84"/>
      <c r="U7" s="84"/>
      <c r="V7" s="84"/>
    </row>
    <row r="8" spans="2:24" ht="5.0999999999999996" customHeight="1" x14ac:dyDescent="0.25">
      <c r="B8" s="2"/>
      <c r="E8" s="15"/>
      <c r="G8" s="9"/>
      <c r="H8" s="9"/>
      <c r="I8" s="9"/>
      <c r="J8" s="9"/>
      <c r="K8" s="9"/>
      <c r="L8" s="5"/>
      <c r="M8" s="9"/>
      <c r="N8" s="9"/>
      <c r="O8" s="9"/>
      <c r="P8" s="9"/>
      <c r="Q8" s="9"/>
      <c r="R8" s="87"/>
      <c r="S8" s="87"/>
      <c r="T8" s="87"/>
      <c r="U8" s="87"/>
      <c r="V8" s="87"/>
    </row>
    <row r="9" spans="2:24" ht="14.4" thickBot="1" x14ac:dyDescent="0.3">
      <c r="B9" s="6" t="s">
        <v>3</v>
      </c>
      <c r="D9" s="3" t="s">
        <v>19</v>
      </c>
      <c r="E9" s="18" t="s">
        <v>20</v>
      </c>
      <c r="G9" s="125">
        <v>26650</v>
      </c>
      <c r="H9" s="125">
        <v>4985</v>
      </c>
      <c r="I9" s="125">
        <v>54303</v>
      </c>
      <c r="J9" s="126">
        <v>0</v>
      </c>
      <c r="K9" s="125">
        <v>85938</v>
      </c>
      <c r="L9" s="5"/>
      <c r="M9" s="11">
        <v>0</v>
      </c>
      <c r="N9" s="11">
        <v>0</v>
      </c>
      <c r="O9" s="11">
        <v>0</v>
      </c>
      <c r="P9" s="12">
        <v>0</v>
      </c>
      <c r="Q9" s="12">
        <f>SUM(M9:P9)</f>
        <v>0</v>
      </c>
      <c r="R9" s="12"/>
      <c r="S9" s="12"/>
      <c r="T9" s="12"/>
      <c r="U9" s="12"/>
      <c r="V9" s="12"/>
    </row>
    <row r="10" spans="2:24" x14ac:dyDescent="0.25">
      <c r="B10" s="2" t="s">
        <v>9</v>
      </c>
      <c r="E10" s="18" t="s">
        <v>21</v>
      </c>
      <c r="G10" s="127">
        <v>506.6</v>
      </c>
      <c r="H10" s="127">
        <v>94.6</v>
      </c>
      <c r="I10" s="127">
        <v>997</v>
      </c>
      <c r="J10" s="128">
        <v>0</v>
      </c>
      <c r="K10" s="127">
        <v>1598.2</v>
      </c>
      <c r="L10" s="5"/>
      <c r="M10" s="13">
        <f>G10</f>
        <v>506.6</v>
      </c>
      <c r="N10" s="13">
        <f>H10</f>
        <v>94.6</v>
      </c>
      <c r="O10" s="13">
        <f>I10</f>
        <v>997</v>
      </c>
      <c r="P10" s="14">
        <v>0</v>
      </c>
      <c r="Q10" s="14">
        <f>SUM(M10:P10)</f>
        <v>1598.2</v>
      </c>
      <c r="R10" s="85"/>
      <c r="S10" s="85"/>
      <c r="T10" s="85"/>
      <c r="U10" s="85"/>
      <c r="V10" s="85"/>
    </row>
    <row r="11" spans="2:24" x14ac:dyDescent="0.25">
      <c r="E11" s="18"/>
      <c r="G11" s="129"/>
      <c r="H11" s="129"/>
      <c r="I11" s="129"/>
      <c r="J11" s="130"/>
      <c r="K11" s="129"/>
      <c r="L11" s="5"/>
      <c r="M11" s="15"/>
      <c r="N11" s="15"/>
      <c r="O11" s="15"/>
    </row>
    <row r="12" spans="2:24" ht="13.8" thickBot="1" x14ac:dyDescent="0.3">
      <c r="D12" s="3" t="s">
        <v>22</v>
      </c>
      <c r="E12" s="18" t="s">
        <v>20</v>
      </c>
      <c r="G12" s="125">
        <v>31991</v>
      </c>
      <c r="H12" s="125">
        <v>6116</v>
      </c>
      <c r="I12" s="125">
        <v>64879</v>
      </c>
      <c r="J12" s="126">
        <v>0</v>
      </c>
      <c r="K12" s="125">
        <v>102986</v>
      </c>
      <c r="L12" s="5"/>
      <c r="M12" s="11">
        <f>G12</f>
        <v>31991</v>
      </c>
      <c r="N12" s="11">
        <f>H12</f>
        <v>6116</v>
      </c>
      <c r="O12" s="11">
        <f>I12</f>
        <v>64879</v>
      </c>
      <c r="P12" s="11">
        <f>J12</f>
        <v>0</v>
      </c>
      <c r="Q12" s="12">
        <f>SUM(M12:P12)</f>
        <v>102986</v>
      </c>
      <c r="R12" s="12"/>
      <c r="S12" s="12"/>
      <c r="T12" s="12"/>
      <c r="U12" s="12"/>
      <c r="V12" s="12"/>
    </row>
    <row r="13" spans="2:24" ht="13.8" thickBot="1" x14ac:dyDescent="0.3">
      <c r="E13" s="18" t="s">
        <v>21</v>
      </c>
      <c r="G13" s="127">
        <v>555.4</v>
      </c>
      <c r="H13" s="127">
        <v>106</v>
      </c>
      <c r="I13" s="127">
        <v>1112.3</v>
      </c>
      <c r="J13" s="128">
        <v>0</v>
      </c>
      <c r="K13" s="127">
        <v>1773.6999999999998</v>
      </c>
      <c r="L13" s="5"/>
      <c r="M13" s="13">
        <f>G13</f>
        <v>555.4</v>
      </c>
      <c r="N13" s="13">
        <f>H13</f>
        <v>106</v>
      </c>
      <c r="O13" s="13">
        <f>I13</f>
        <v>1112.3</v>
      </c>
      <c r="P13" s="14">
        <v>0</v>
      </c>
      <c r="Q13" s="14">
        <f>SUM(M13:P13)</f>
        <v>1773.6999999999998</v>
      </c>
      <c r="R13" s="85"/>
      <c r="S13" s="85"/>
      <c r="T13" s="85"/>
      <c r="U13" s="85"/>
      <c r="V13" s="85"/>
    </row>
    <row r="14" spans="2:24" x14ac:dyDescent="0.25">
      <c r="E14" s="15"/>
      <c r="G14" s="129"/>
      <c r="H14" s="129"/>
      <c r="I14" s="129"/>
      <c r="J14" s="130"/>
      <c r="K14" s="129"/>
      <c r="L14" s="5"/>
      <c r="M14" s="15"/>
      <c r="N14" s="15"/>
      <c r="O14" s="15"/>
      <c r="X14" s="16" t="s">
        <v>86</v>
      </c>
    </row>
    <row r="15" spans="2:24" x14ac:dyDescent="0.25">
      <c r="D15" s="3" t="s">
        <v>23</v>
      </c>
      <c r="E15" s="18" t="s">
        <v>24</v>
      </c>
      <c r="G15" s="11">
        <v>14406.951820798398</v>
      </c>
      <c r="H15" s="11">
        <v>2683.9779752221248</v>
      </c>
      <c r="I15" s="11">
        <v>11129.070203979476</v>
      </c>
      <c r="J15" s="12"/>
      <c r="K15" s="11">
        <v>28220</v>
      </c>
      <c r="L15" s="5"/>
      <c r="M15" s="11">
        <v>0</v>
      </c>
      <c r="N15" s="11">
        <v>0</v>
      </c>
      <c r="O15" s="11">
        <v>0</v>
      </c>
      <c r="P15" s="12">
        <v>0</v>
      </c>
      <c r="Q15" s="12">
        <f t="shared" ref="Q15:Q20" si="0">SUM(M15:P15)</f>
        <v>0</v>
      </c>
      <c r="R15" s="12"/>
      <c r="S15" s="12"/>
      <c r="T15" s="12"/>
      <c r="U15" s="12"/>
      <c r="V15" s="12"/>
      <c r="X15" s="17"/>
    </row>
    <row r="16" spans="2:24" x14ac:dyDescent="0.25">
      <c r="D16" s="3" t="s">
        <v>25</v>
      </c>
      <c r="E16" s="18" t="s">
        <v>26</v>
      </c>
      <c r="G16" s="11">
        <v>5072.5923775159272</v>
      </c>
      <c r="H16" s="11">
        <v>967.90347860404813</v>
      </c>
      <c r="I16" s="11">
        <v>3944.5041438800249</v>
      </c>
      <c r="J16" s="12"/>
      <c r="K16" s="11">
        <v>9985</v>
      </c>
      <c r="L16" s="5"/>
      <c r="M16" s="11">
        <f>G16</f>
        <v>5072.5923775159272</v>
      </c>
      <c r="N16" s="11">
        <f>H16</f>
        <v>967.90347860404813</v>
      </c>
      <c r="O16" s="11">
        <f>I16</f>
        <v>3944.5041438800249</v>
      </c>
      <c r="P16" s="11">
        <f>J16</f>
        <v>0</v>
      </c>
      <c r="Q16" s="12">
        <f t="shared" si="0"/>
        <v>9985</v>
      </c>
      <c r="R16" s="12"/>
      <c r="S16" s="12"/>
      <c r="T16" s="12"/>
      <c r="U16" s="12"/>
      <c r="V16" s="12"/>
      <c r="X16" s="17" t="s">
        <v>87</v>
      </c>
    </row>
    <row r="17" spans="2:24" x14ac:dyDescent="0.25">
      <c r="E17" s="18" t="s">
        <v>27</v>
      </c>
      <c r="G17" s="11">
        <v>804.6419722187461</v>
      </c>
      <c r="H17" s="11">
        <v>151.00775872856963</v>
      </c>
      <c r="I17" s="11">
        <v>611.35026905268421</v>
      </c>
      <c r="J17" s="12"/>
      <c r="K17" s="11">
        <v>1567</v>
      </c>
      <c r="L17" s="5"/>
      <c r="M17" s="11">
        <v>0</v>
      </c>
      <c r="N17" s="11">
        <v>0</v>
      </c>
      <c r="O17" s="11">
        <v>0</v>
      </c>
      <c r="P17" s="12">
        <v>0</v>
      </c>
      <c r="Q17" s="12">
        <f t="shared" si="0"/>
        <v>0</v>
      </c>
      <c r="R17" s="12"/>
      <c r="S17" s="12"/>
      <c r="T17" s="12"/>
      <c r="U17" s="12"/>
      <c r="V17" s="12"/>
      <c r="X17" s="19">
        <f>395196+21379</f>
        <v>416575</v>
      </c>
    </row>
    <row r="18" spans="2:24" x14ac:dyDescent="0.25">
      <c r="E18" s="18" t="s">
        <v>28</v>
      </c>
      <c r="G18" s="20">
        <v>4637</v>
      </c>
      <c r="H18" s="11">
        <v>875</v>
      </c>
      <c r="I18" s="11">
        <v>9202</v>
      </c>
      <c r="J18" s="12">
        <v>0</v>
      </c>
      <c r="K18" s="11">
        <v>14714</v>
      </c>
      <c r="L18" s="5"/>
      <c r="M18" s="11">
        <v>0</v>
      </c>
      <c r="N18" s="11">
        <v>0</v>
      </c>
      <c r="O18" s="11">
        <v>0</v>
      </c>
      <c r="P18" s="12">
        <v>0</v>
      </c>
      <c r="Q18" s="12">
        <f t="shared" si="0"/>
        <v>0</v>
      </c>
      <c r="R18" s="12"/>
      <c r="S18" s="12"/>
      <c r="T18" s="12"/>
      <c r="U18" s="12"/>
      <c r="V18" s="12"/>
      <c r="X18" s="17"/>
    </row>
    <row r="19" spans="2:24" x14ac:dyDescent="0.25">
      <c r="E19" s="18" t="s">
        <v>29</v>
      </c>
      <c r="G19" s="11">
        <v>36402</v>
      </c>
      <c r="H19" s="11">
        <v>5788</v>
      </c>
      <c r="I19" s="11">
        <v>0</v>
      </c>
      <c r="J19" s="12">
        <v>0</v>
      </c>
      <c r="K19" s="11">
        <v>42190</v>
      </c>
      <c r="L19" s="5"/>
      <c r="M19" s="11">
        <f>G19</f>
        <v>36402</v>
      </c>
      <c r="N19" s="11">
        <f>H19</f>
        <v>5788</v>
      </c>
      <c r="O19" s="11">
        <f>I19</f>
        <v>0</v>
      </c>
      <c r="P19" s="11">
        <f>J19</f>
        <v>0</v>
      </c>
      <c r="Q19" s="12">
        <f t="shared" si="0"/>
        <v>42190</v>
      </c>
      <c r="R19" s="12"/>
      <c r="S19" s="12"/>
      <c r="T19" s="12"/>
      <c r="U19" s="12"/>
      <c r="V19" s="12"/>
      <c r="X19" s="17" t="s">
        <v>88</v>
      </c>
    </row>
    <row r="20" spans="2:24" x14ac:dyDescent="0.25">
      <c r="E20" s="18" t="s">
        <v>30</v>
      </c>
      <c r="G20" s="21">
        <v>545</v>
      </c>
      <c r="H20" s="21">
        <v>73</v>
      </c>
      <c r="I20" s="21">
        <v>2854</v>
      </c>
      <c r="J20" s="22">
        <v>0</v>
      </c>
      <c r="K20" s="21">
        <v>3472</v>
      </c>
      <c r="L20" s="5"/>
      <c r="M20" s="11">
        <v>0</v>
      </c>
      <c r="N20" s="11">
        <v>0</v>
      </c>
      <c r="O20" s="11">
        <v>0</v>
      </c>
      <c r="P20" s="12">
        <v>0</v>
      </c>
      <c r="Q20" s="12">
        <f t="shared" si="0"/>
        <v>0</v>
      </c>
      <c r="R20" s="12"/>
      <c r="S20" s="12"/>
      <c r="T20" s="12"/>
      <c r="U20" s="12"/>
      <c r="V20" s="12"/>
      <c r="X20" s="19">
        <f>31030+1679</f>
        <v>32709</v>
      </c>
    </row>
    <row r="21" spans="2:24" x14ac:dyDescent="0.25">
      <c r="D21" s="2" t="s">
        <v>31</v>
      </c>
      <c r="E21" s="18"/>
      <c r="G21" s="23">
        <f>G9+G12+SUM(G15:G20)</f>
        <v>120509.18617053307</v>
      </c>
      <c r="H21" s="23">
        <f t="shared" ref="H21:K21" si="1">H9+H12+SUM(H15:H20)</f>
        <v>21639.889212554743</v>
      </c>
      <c r="I21" s="23">
        <f t="shared" si="1"/>
        <v>146922.92461691218</v>
      </c>
      <c r="J21" s="23">
        <f t="shared" si="1"/>
        <v>0</v>
      </c>
      <c r="K21" s="23">
        <f t="shared" si="1"/>
        <v>289072</v>
      </c>
      <c r="L21" s="5"/>
      <c r="M21" s="25">
        <f>M9+M12+SUM(M15:M20)</f>
        <v>73465.592377515917</v>
      </c>
      <c r="N21" s="25">
        <f>N9+N12+SUM(N15:N20)</f>
        <v>12871.903478604048</v>
      </c>
      <c r="O21" s="25">
        <f>O9+O12+SUM(O15:O20)</f>
        <v>68823.504143880025</v>
      </c>
      <c r="P21" s="26">
        <f>P9+P12+SUM(P15:P20)</f>
        <v>0</v>
      </c>
      <c r="Q21" s="26">
        <f>Q9+Q12+SUM(Q15:Q20)</f>
        <v>155161</v>
      </c>
      <c r="R21" s="86"/>
      <c r="S21" s="86"/>
      <c r="T21" s="86"/>
      <c r="U21" s="86"/>
      <c r="V21" s="86"/>
      <c r="X21" s="17"/>
    </row>
    <row r="22" spans="2:24" x14ac:dyDescent="0.25">
      <c r="E22" s="18"/>
      <c r="G22" s="11"/>
      <c r="H22" s="11"/>
      <c r="I22" s="11"/>
      <c r="J22" s="12"/>
      <c r="K22" s="11"/>
      <c r="L22" s="5"/>
      <c r="M22" s="27"/>
      <c r="N22" s="11"/>
      <c r="O22" s="11"/>
      <c r="P22" s="12"/>
      <c r="Q22" s="12"/>
      <c r="R22" s="12"/>
      <c r="S22" s="12"/>
      <c r="T22" s="12"/>
      <c r="U22" s="12"/>
      <c r="V22" s="12"/>
      <c r="X22" s="17" t="s">
        <v>89</v>
      </c>
    </row>
    <row r="23" spans="2:24" ht="13.8" thickBot="1" x14ac:dyDescent="0.3">
      <c r="B23" s="2" t="s">
        <v>32</v>
      </c>
      <c r="E23" s="18" t="s">
        <v>33</v>
      </c>
      <c r="G23" s="132">
        <v>10745</v>
      </c>
      <c r="H23" s="132">
        <v>1558</v>
      </c>
      <c r="I23" s="132">
        <v>21974</v>
      </c>
      <c r="J23" s="133">
        <v>0</v>
      </c>
      <c r="K23" s="132">
        <v>34277</v>
      </c>
      <c r="L23" s="5"/>
      <c r="M23" s="21">
        <f>$Q$23*G$115</f>
        <v>856.58054449790382</v>
      </c>
      <c r="N23" s="21">
        <f>$Q$23*H$115</f>
        <v>91.017325270496812</v>
      </c>
      <c r="O23" s="21">
        <f>$Q$23*I$115</f>
        <v>1743.7935795504497</v>
      </c>
      <c r="P23" s="21">
        <v>0</v>
      </c>
      <c r="Q23" s="21">
        <f>K23*X23</f>
        <v>2691.3914493188504</v>
      </c>
      <c r="R23" s="29"/>
      <c r="S23" s="29"/>
      <c r="T23" s="29"/>
      <c r="U23" s="29"/>
      <c r="V23" s="29"/>
      <c r="X23" s="28">
        <f>X20/X17</f>
        <v>7.8518874152313511E-2</v>
      </c>
    </row>
    <row r="24" spans="2:24" x14ac:dyDescent="0.25">
      <c r="B24" s="2"/>
      <c r="D24" s="2" t="s">
        <v>34</v>
      </c>
      <c r="E24" s="18"/>
      <c r="G24" s="23">
        <f>SUM(G23)</f>
        <v>10745</v>
      </c>
      <c r="H24" s="23">
        <f>SUM(H23)</f>
        <v>1558</v>
      </c>
      <c r="I24" s="23">
        <f>SUM(I23)</f>
        <v>21974</v>
      </c>
      <c r="J24" s="24">
        <f>SUM(J23)</f>
        <v>0</v>
      </c>
      <c r="K24" s="23">
        <f>SUM(G24:J24)</f>
        <v>34277</v>
      </c>
      <c r="L24" s="5"/>
      <c r="M24" s="23">
        <f>SUM(M23)</f>
        <v>856.58054449790382</v>
      </c>
      <c r="N24" s="23">
        <f>SUM(N23)</f>
        <v>91.017325270496812</v>
      </c>
      <c r="O24" s="23">
        <f>SUM(O23)</f>
        <v>1743.7935795504497</v>
      </c>
      <c r="P24" s="24">
        <f>SUM(P23)</f>
        <v>0</v>
      </c>
      <c r="Q24" s="24">
        <f>SUM(M24:P24)</f>
        <v>2691.3914493188504</v>
      </c>
      <c r="R24" s="24"/>
      <c r="S24" s="24"/>
      <c r="T24" s="24"/>
      <c r="U24" s="24"/>
      <c r="V24" s="24"/>
    </row>
    <row r="25" spans="2:24" x14ac:dyDescent="0.25">
      <c r="B25" s="2"/>
      <c r="E25" s="15"/>
      <c r="G25" s="15"/>
      <c r="H25" s="15"/>
      <c r="I25" s="15"/>
      <c r="K25" s="15"/>
      <c r="L25" s="5"/>
      <c r="M25" s="15"/>
      <c r="N25" s="15"/>
      <c r="O25" s="15"/>
    </row>
    <row r="26" spans="2:24" x14ac:dyDescent="0.25">
      <c r="B26" s="2" t="s">
        <v>35</v>
      </c>
      <c r="E26" s="18" t="s">
        <v>36</v>
      </c>
      <c r="F26" s="15"/>
      <c r="G26" s="11">
        <v>368</v>
      </c>
      <c r="H26" s="11">
        <v>51</v>
      </c>
      <c r="I26" s="11">
        <v>733</v>
      </c>
      <c r="J26" s="12">
        <v>0</v>
      </c>
      <c r="K26" s="11">
        <f t="shared" ref="K26:K31" si="2">SUM(G26:J26)</f>
        <v>1152</v>
      </c>
      <c r="L26" s="5"/>
      <c r="M26" s="29">
        <v>0</v>
      </c>
      <c r="N26" s="29">
        <v>0</v>
      </c>
      <c r="O26" s="29">
        <v>0</v>
      </c>
      <c r="P26" s="12">
        <v>0</v>
      </c>
      <c r="Q26" s="12">
        <f t="shared" ref="Q26:Q31" si="3">SUM(M26:P26)</f>
        <v>0</v>
      </c>
      <c r="R26" s="12"/>
      <c r="S26" s="12"/>
      <c r="T26" s="12"/>
      <c r="U26" s="12"/>
      <c r="V26" s="12"/>
    </row>
    <row r="27" spans="2:24" x14ac:dyDescent="0.25">
      <c r="B27" s="2"/>
      <c r="E27" s="18" t="s">
        <v>37</v>
      </c>
      <c r="G27" s="11">
        <v>512</v>
      </c>
      <c r="H27" s="11">
        <v>99</v>
      </c>
      <c r="I27" s="11">
        <v>1040</v>
      </c>
      <c r="J27" s="12">
        <v>0</v>
      </c>
      <c r="K27" s="11">
        <f t="shared" si="2"/>
        <v>1651</v>
      </c>
      <c r="L27" s="5"/>
      <c r="M27" s="11">
        <f>G27</f>
        <v>512</v>
      </c>
      <c r="N27" s="11">
        <f>H27</f>
        <v>99</v>
      </c>
      <c r="O27" s="11">
        <f>I27</f>
        <v>1040</v>
      </c>
      <c r="P27" s="11">
        <f>J27</f>
        <v>0</v>
      </c>
      <c r="Q27" s="12">
        <f>SUM(M27:P27)</f>
        <v>1651</v>
      </c>
      <c r="R27" s="12"/>
      <c r="S27" s="12"/>
      <c r="T27" s="12"/>
      <c r="U27" s="12"/>
      <c r="V27" s="12"/>
    </row>
    <row r="28" spans="2:24" x14ac:dyDescent="0.25">
      <c r="B28" s="2"/>
      <c r="E28" s="15" t="s">
        <v>38</v>
      </c>
      <c r="G28" s="11"/>
      <c r="H28" s="11">
        <v>0</v>
      </c>
      <c r="I28" s="11">
        <v>0</v>
      </c>
      <c r="J28" s="12">
        <v>0</v>
      </c>
      <c r="K28" s="11">
        <f t="shared" si="2"/>
        <v>0</v>
      </c>
      <c r="L28" s="5"/>
      <c r="M28" s="11">
        <v>0</v>
      </c>
      <c r="N28" s="11">
        <v>0</v>
      </c>
      <c r="O28" s="11">
        <v>0</v>
      </c>
      <c r="P28" s="12">
        <v>0</v>
      </c>
      <c r="Q28" s="12">
        <f t="shared" si="3"/>
        <v>0</v>
      </c>
      <c r="R28" s="12"/>
      <c r="S28" s="12"/>
      <c r="T28" s="12"/>
      <c r="U28" s="12"/>
      <c r="V28" s="12"/>
    </row>
    <row r="29" spans="2:24" x14ac:dyDescent="0.25">
      <c r="B29" s="2"/>
      <c r="E29" s="18" t="s">
        <v>39</v>
      </c>
      <c r="G29" s="11">
        <v>3047</v>
      </c>
      <c r="H29" s="11">
        <v>590</v>
      </c>
      <c r="I29" s="11">
        <v>6193</v>
      </c>
      <c r="J29" s="12">
        <v>0</v>
      </c>
      <c r="K29" s="11">
        <f t="shared" si="2"/>
        <v>9830</v>
      </c>
      <c r="L29" s="5"/>
      <c r="M29" s="11">
        <f t="shared" ref="M29:P30" si="4">G29</f>
        <v>3047</v>
      </c>
      <c r="N29" s="11">
        <f t="shared" si="4"/>
        <v>590</v>
      </c>
      <c r="O29" s="11">
        <f t="shared" si="4"/>
        <v>6193</v>
      </c>
      <c r="P29" s="11">
        <f t="shared" si="4"/>
        <v>0</v>
      </c>
      <c r="Q29" s="12">
        <f t="shared" si="3"/>
        <v>9830</v>
      </c>
      <c r="R29" s="12"/>
      <c r="S29" s="12"/>
      <c r="T29" s="12"/>
      <c r="U29" s="12"/>
      <c r="V29" s="12"/>
    </row>
    <row r="30" spans="2:24" x14ac:dyDescent="0.25">
      <c r="B30" s="2"/>
      <c r="E30" s="10" t="s">
        <v>40</v>
      </c>
      <c r="G30" s="21">
        <v>0</v>
      </c>
      <c r="H30" s="21">
        <v>0</v>
      </c>
      <c r="I30" s="21">
        <v>0</v>
      </c>
      <c r="J30" s="22">
        <v>0</v>
      </c>
      <c r="K30" s="21">
        <f t="shared" si="2"/>
        <v>0</v>
      </c>
      <c r="L30" s="5"/>
      <c r="M30" s="21">
        <f t="shared" si="4"/>
        <v>0</v>
      </c>
      <c r="N30" s="21">
        <f t="shared" si="4"/>
        <v>0</v>
      </c>
      <c r="O30" s="21">
        <f t="shared" si="4"/>
        <v>0</v>
      </c>
      <c r="P30" s="21">
        <f t="shared" si="4"/>
        <v>0</v>
      </c>
      <c r="Q30" s="22">
        <f t="shared" si="3"/>
        <v>0</v>
      </c>
      <c r="R30" s="82"/>
      <c r="S30" s="82"/>
      <c r="T30" s="82"/>
      <c r="U30" s="82"/>
      <c r="V30" s="82"/>
    </row>
    <row r="31" spans="2:24" x14ac:dyDescent="0.25">
      <c r="B31" s="2"/>
      <c r="D31" s="2" t="s">
        <v>41</v>
      </c>
      <c r="G31" s="24">
        <f>SUM(G26:G30)</f>
        <v>3927</v>
      </c>
      <c r="H31" s="24">
        <f>SUM(H11:H23)</f>
        <v>39958.778425109485</v>
      </c>
      <c r="I31" s="24">
        <f>SUM(I26:I30)</f>
        <v>7966</v>
      </c>
      <c r="J31" s="24">
        <f>SUM(J26:J30)</f>
        <v>0</v>
      </c>
      <c r="K31" s="23">
        <f t="shared" si="2"/>
        <v>51851.778425109485</v>
      </c>
      <c r="L31" s="5"/>
      <c r="M31" s="23">
        <f>SUM(M26:M30)</f>
        <v>3559</v>
      </c>
      <c r="N31" s="23">
        <f>SUM(N26:N30)</f>
        <v>689</v>
      </c>
      <c r="O31" s="23">
        <f>SUM(O26:O30)</f>
        <v>7233</v>
      </c>
      <c r="P31" s="24">
        <f>SUM(P26:P30)</f>
        <v>0</v>
      </c>
      <c r="Q31" s="24">
        <f t="shared" si="3"/>
        <v>11481</v>
      </c>
      <c r="R31" s="24"/>
      <c r="S31" s="24"/>
      <c r="T31" s="24"/>
      <c r="U31" s="24"/>
      <c r="V31" s="24"/>
    </row>
    <row r="32" spans="2:24" x14ac:dyDescent="0.25">
      <c r="B32" s="2"/>
      <c r="K32" s="15"/>
      <c r="L32" s="5"/>
    </row>
    <row r="33" spans="2:22" x14ac:dyDescent="0.25">
      <c r="B33" s="2" t="s">
        <v>42</v>
      </c>
      <c r="D33" s="2" t="s">
        <v>43</v>
      </c>
      <c r="E33" s="3" t="s">
        <v>44</v>
      </c>
      <c r="G33" s="11">
        <v>8409</v>
      </c>
      <c r="H33" s="11">
        <v>0</v>
      </c>
      <c r="I33" s="11">
        <v>0</v>
      </c>
      <c r="J33" s="11">
        <v>0</v>
      </c>
      <c r="K33" s="11">
        <f>SUM(G33:J33)</f>
        <v>8409</v>
      </c>
      <c r="L33" s="5"/>
      <c r="M33" s="12">
        <f t="shared" ref="M33:P34" si="5">G33</f>
        <v>8409</v>
      </c>
      <c r="N33" s="12">
        <f t="shared" si="5"/>
        <v>0</v>
      </c>
      <c r="O33" s="12">
        <f t="shared" si="5"/>
        <v>0</v>
      </c>
      <c r="P33" s="12">
        <f t="shared" si="5"/>
        <v>0</v>
      </c>
      <c r="Q33" s="12">
        <f>SUM(M33:P33)</f>
        <v>8409</v>
      </c>
      <c r="R33" s="12"/>
      <c r="S33" s="12"/>
      <c r="T33" s="12"/>
      <c r="U33" s="12"/>
      <c r="V33" s="12"/>
    </row>
    <row r="34" spans="2:22" x14ac:dyDescent="0.25">
      <c r="B34" s="2" t="s">
        <v>45</v>
      </c>
      <c r="D34" s="2" t="s">
        <v>46</v>
      </c>
      <c r="E34" s="3" t="s">
        <v>47</v>
      </c>
      <c r="G34" s="11">
        <v>1878</v>
      </c>
      <c r="H34" s="11">
        <v>0</v>
      </c>
      <c r="I34" s="11">
        <v>0</v>
      </c>
      <c r="J34" s="11">
        <v>0</v>
      </c>
      <c r="K34" s="11">
        <f>SUM(G34:J34)</f>
        <v>1878</v>
      </c>
      <c r="L34" s="5"/>
      <c r="M34" s="12">
        <f t="shared" si="5"/>
        <v>1878</v>
      </c>
      <c r="N34" s="12">
        <f t="shared" si="5"/>
        <v>0</v>
      </c>
      <c r="O34" s="12">
        <f t="shared" si="5"/>
        <v>0</v>
      </c>
      <c r="P34" s="12">
        <f t="shared" si="5"/>
        <v>0</v>
      </c>
      <c r="Q34" s="12">
        <f>SUM(M34:P34)</f>
        <v>1878</v>
      </c>
      <c r="R34" s="12"/>
      <c r="S34" s="12"/>
      <c r="T34" s="12"/>
      <c r="U34" s="12"/>
      <c r="V34" s="12"/>
    </row>
    <row r="35" spans="2:22" x14ac:dyDescent="0.25">
      <c r="D35" s="2"/>
      <c r="G35" s="15"/>
      <c r="H35" s="15"/>
      <c r="I35" s="15"/>
      <c r="J35" s="15"/>
      <c r="K35" s="15"/>
      <c r="L35" s="5"/>
      <c r="Q35" s="12"/>
      <c r="R35" s="12"/>
      <c r="S35" s="12"/>
      <c r="T35" s="12"/>
      <c r="U35" s="12"/>
      <c r="V35" s="12"/>
    </row>
    <row r="36" spans="2:22" x14ac:dyDescent="0.25">
      <c r="D36" s="2" t="s">
        <v>48</v>
      </c>
      <c r="E36" s="3" t="s">
        <v>49</v>
      </c>
      <c r="G36" s="11">
        <v>3596</v>
      </c>
      <c r="H36" s="11"/>
      <c r="I36" s="11">
        <v>0</v>
      </c>
      <c r="J36" s="11">
        <v>0</v>
      </c>
      <c r="K36" s="11">
        <f>SUM(G36:J36)</f>
        <v>3596</v>
      </c>
      <c r="L36" s="5"/>
      <c r="M36" s="12">
        <f t="shared" ref="M36:P39" si="6">G36</f>
        <v>3596</v>
      </c>
      <c r="N36" s="12">
        <f t="shared" si="6"/>
        <v>0</v>
      </c>
      <c r="O36" s="12">
        <f t="shared" si="6"/>
        <v>0</v>
      </c>
      <c r="P36" s="12">
        <f t="shared" si="6"/>
        <v>0</v>
      </c>
      <c r="Q36" s="12">
        <f>SUM(M36:P36)</f>
        <v>3596</v>
      </c>
      <c r="R36" s="12"/>
      <c r="S36" s="12"/>
      <c r="T36" s="12"/>
      <c r="U36" s="12"/>
      <c r="V36" s="12"/>
    </row>
    <row r="37" spans="2:22" x14ac:dyDescent="0.25">
      <c r="D37" s="2" t="s">
        <v>50</v>
      </c>
      <c r="E37" s="3" t="s">
        <v>51</v>
      </c>
      <c r="G37" s="11">
        <f>4050+816</f>
        <v>4866</v>
      </c>
      <c r="H37" s="11">
        <v>0</v>
      </c>
      <c r="I37" s="11">
        <v>0</v>
      </c>
      <c r="J37" s="11">
        <v>0</v>
      </c>
      <c r="K37" s="11">
        <f>SUM(G37:J37)</f>
        <v>4866</v>
      </c>
      <c r="L37" s="5"/>
      <c r="M37" s="12">
        <f t="shared" si="6"/>
        <v>4866</v>
      </c>
      <c r="N37" s="12">
        <f t="shared" si="6"/>
        <v>0</v>
      </c>
      <c r="O37" s="12">
        <f t="shared" si="6"/>
        <v>0</v>
      </c>
      <c r="P37" s="12">
        <f t="shared" si="6"/>
        <v>0</v>
      </c>
      <c r="Q37" s="12">
        <f>SUM(M37:P37)</f>
        <v>4866</v>
      </c>
      <c r="R37" s="12"/>
      <c r="S37" s="12"/>
      <c r="T37" s="12"/>
      <c r="U37" s="12"/>
      <c r="V37" s="12"/>
    </row>
    <row r="38" spans="2:22" x14ac:dyDescent="0.25">
      <c r="D38" s="2"/>
      <c r="E38" s="3" t="s">
        <v>52</v>
      </c>
      <c r="G38" s="11">
        <v>7172</v>
      </c>
      <c r="H38" s="11">
        <v>0</v>
      </c>
      <c r="I38" s="11">
        <v>0</v>
      </c>
      <c r="J38" s="11">
        <v>0</v>
      </c>
      <c r="K38" s="11">
        <f>SUM(G38:J38)</f>
        <v>7172</v>
      </c>
      <c r="L38" s="5"/>
      <c r="M38" s="12">
        <f t="shared" si="6"/>
        <v>7172</v>
      </c>
      <c r="N38" s="12">
        <f t="shared" si="6"/>
        <v>0</v>
      </c>
      <c r="O38" s="12">
        <f t="shared" si="6"/>
        <v>0</v>
      </c>
      <c r="P38" s="12">
        <f t="shared" si="6"/>
        <v>0</v>
      </c>
      <c r="Q38" s="12">
        <f>SUM(M38:P38)</f>
        <v>7172</v>
      </c>
      <c r="R38" s="12"/>
      <c r="S38" s="12"/>
      <c r="T38" s="12"/>
      <c r="U38" s="12"/>
      <c r="V38" s="12"/>
    </row>
    <row r="39" spans="2:22" x14ac:dyDescent="0.25">
      <c r="D39" s="2"/>
      <c r="E39" s="3" t="s">
        <v>53</v>
      </c>
      <c r="G39" s="11">
        <f>19308+1951</f>
        <v>21259</v>
      </c>
      <c r="H39" s="11">
        <v>0</v>
      </c>
      <c r="I39" s="11"/>
      <c r="J39" s="11">
        <v>0</v>
      </c>
      <c r="K39" s="11">
        <f>SUM(G39:J39)</f>
        <v>21259</v>
      </c>
      <c r="L39" s="5"/>
      <c r="M39" s="12">
        <f t="shared" si="6"/>
        <v>21259</v>
      </c>
      <c r="N39" s="12">
        <f t="shared" si="6"/>
        <v>0</v>
      </c>
      <c r="O39" s="12">
        <f t="shared" si="6"/>
        <v>0</v>
      </c>
      <c r="P39" s="12">
        <f t="shared" si="6"/>
        <v>0</v>
      </c>
      <c r="Q39" s="12">
        <f>SUM(M39:P39)</f>
        <v>21259</v>
      </c>
      <c r="R39" s="12"/>
      <c r="S39" s="12"/>
      <c r="T39" s="12"/>
      <c r="U39" s="12"/>
      <c r="V39" s="12"/>
    </row>
    <row r="40" spans="2:22" x14ac:dyDescent="0.25">
      <c r="D40" s="2"/>
      <c r="G40" s="15"/>
      <c r="H40" s="15"/>
      <c r="I40" s="15"/>
      <c r="J40" s="15"/>
      <c r="K40" s="15"/>
      <c r="L40" s="5"/>
      <c r="Q40" s="12"/>
      <c r="R40" s="12"/>
      <c r="S40" s="12"/>
      <c r="T40" s="12"/>
      <c r="U40" s="12"/>
      <c r="V40" s="12"/>
    </row>
    <row r="41" spans="2:22" x14ac:dyDescent="0.25">
      <c r="D41" s="2" t="s">
        <v>54</v>
      </c>
      <c r="G41" s="11">
        <v>13836</v>
      </c>
      <c r="H41" s="11">
        <f>H11</f>
        <v>0</v>
      </c>
      <c r="I41" s="11">
        <v>0</v>
      </c>
      <c r="J41" s="11">
        <v>0</v>
      </c>
      <c r="K41" s="11">
        <f>SUM(G41:J41)</f>
        <v>13836</v>
      </c>
      <c r="L41" s="5"/>
      <c r="M41" s="12">
        <f>G41</f>
        <v>13836</v>
      </c>
      <c r="N41" s="12">
        <f>H41</f>
        <v>0</v>
      </c>
      <c r="O41" s="12">
        <f>I41</f>
        <v>0</v>
      </c>
      <c r="P41" s="12">
        <f>J41</f>
        <v>0</v>
      </c>
      <c r="Q41" s="12">
        <f>SUM(M41:P41)</f>
        <v>13836</v>
      </c>
      <c r="R41" s="12"/>
      <c r="S41" s="12"/>
      <c r="T41" s="12"/>
      <c r="U41" s="12"/>
      <c r="V41" s="12"/>
    </row>
    <row r="42" spans="2:22" x14ac:dyDescent="0.25">
      <c r="D42" s="2"/>
      <c r="G42" s="15"/>
      <c r="H42" s="15"/>
      <c r="I42" s="15"/>
      <c r="J42" s="15"/>
      <c r="L42" s="5"/>
    </row>
    <row r="43" spans="2:22" x14ac:dyDescent="0.25">
      <c r="D43" s="2" t="s">
        <v>55</v>
      </c>
      <c r="G43" s="11">
        <v>0</v>
      </c>
      <c r="H43" s="11">
        <f>H13+H17+H15</f>
        <v>2940.9857339506943</v>
      </c>
      <c r="I43" s="11">
        <v>0</v>
      </c>
      <c r="J43" s="11">
        <v>0</v>
      </c>
      <c r="K43" s="12">
        <f>SUM(G43:J43)</f>
        <v>2940.9857339506943</v>
      </c>
      <c r="L43" s="5"/>
      <c r="M43" s="12">
        <f>G43</f>
        <v>0</v>
      </c>
      <c r="N43" s="12">
        <f>H43</f>
        <v>2940.9857339506943</v>
      </c>
      <c r="O43" s="12">
        <f>I43</f>
        <v>0</v>
      </c>
      <c r="P43" s="12">
        <f>J43</f>
        <v>0</v>
      </c>
      <c r="Q43" s="12">
        <f>SUM(M43:P43)</f>
        <v>2940.9857339506943</v>
      </c>
      <c r="R43" s="12"/>
      <c r="S43" s="12"/>
      <c r="T43" s="12"/>
      <c r="U43" s="12"/>
      <c r="V43" s="12"/>
    </row>
    <row r="44" spans="2:22" x14ac:dyDescent="0.25">
      <c r="D44" s="2"/>
      <c r="G44" s="15"/>
      <c r="H44" s="15"/>
      <c r="I44" s="15"/>
      <c r="J44" s="15"/>
      <c r="L44" s="5"/>
    </row>
    <row r="45" spans="2:22" x14ac:dyDescent="0.25">
      <c r="D45" s="2" t="s">
        <v>56</v>
      </c>
      <c r="G45" s="11">
        <v>0</v>
      </c>
      <c r="H45" s="11">
        <f>H19+H21+H23</f>
        <v>28985.889212554743</v>
      </c>
      <c r="I45" s="11">
        <v>0</v>
      </c>
      <c r="J45" s="11">
        <v>0</v>
      </c>
      <c r="K45" s="12">
        <f>SUM(G45:J45)</f>
        <v>28985.889212554743</v>
      </c>
      <c r="L45" s="5"/>
      <c r="M45" s="12">
        <f>G45</f>
        <v>0</v>
      </c>
      <c r="N45" s="12">
        <f>H45</f>
        <v>28985.889212554743</v>
      </c>
      <c r="O45" s="12">
        <f>I45</f>
        <v>0</v>
      </c>
      <c r="P45" s="12">
        <f>J45</f>
        <v>0</v>
      </c>
      <c r="Q45" s="12">
        <f>SUM(M45:P45)</f>
        <v>28985.889212554743</v>
      </c>
      <c r="R45" s="12"/>
      <c r="S45" s="12"/>
      <c r="T45" s="12"/>
      <c r="U45" s="12"/>
      <c r="V45" s="12"/>
    </row>
    <row r="46" spans="2:22" x14ac:dyDescent="0.25">
      <c r="D46" s="2"/>
      <c r="G46" s="15"/>
      <c r="H46" s="15"/>
      <c r="I46" s="15"/>
      <c r="J46" s="15"/>
      <c r="L46" s="5"/>
    </row>
    <row r="47" spans="2:22" x14ac:dyDescent="0.25">
      <c r="D47" s="2" t="s">
        <v>57</v>
      </c>
      <c r="G47" s="11">
        <v>0</v>
      </c>
      <c r="H47" s="11">
        <v>0</v>
      </c>
      <c r="I47" s="11">
        <v>0</v>
      </c>
      <c r="J47" s="11">
        <v>0</v>
      </c>
      <c r="K47" s="12">
        <f>SUM(G47:J47)</f>
        <v>0</v>
      </c>
      <c r="L47" s="5"/>
      <c r="M47" s="12">
        <f>G47</f>
        <v>0</v>
      </c>
      <c r="N47" s="12">
        <f>H47</f>
        <v>0</v>
      </c>
      <c r="O47" s="12">
        <f>I47</f>
        <v>0</v>
      </c>
      <c r="P47" s="12">
        <f>J47</f>
        <v>0</v>
      </c>
      <c r="Q47" s="12">
        <f>SUM(M47:P47)</f>
        <v>0</v>
      </c>
      <c r="R47" s="12"/>
      <c r="S47" s="12"/>
      <c r="T47" s="12"/>
      <c r="U47" s="12"/>
      <c r="V47" s="12"/>
    </row>
    <row r="48" spans="2:22" x14ac:dyDescent="0.25">
      <c r="D48" s="2" t="s">
        <v>58</v>
      </c>
      <c r="G48" s="15"/>
      <c r="H48" s="15"/>
      <c r="I48" s="15"/>
      <c r="J48" s="15"/>
      <c r="L48" s="5"/>
    </row>
    <row r="49" spans="2:24" x14ac:dyDescent="0.25">
      <c r="D49" s="2"/>
      <c r="G49" s="15"/>
      <c r="H49" s="15"/>
      <c r="I49" s="15"/>
      <c r="J49" s="15"/>
      <c r="L49" s="5"/>
    </row>
    <row r="50" spans="2:24" x14ac:dyDescent="0.25">
      <c r="B50" s="2"/>
      <c r="D50" s="2" t="s">
        <v>53</v>
      </c>
      <c r="G50" s="21">
        <v>789</v>
      </c>
      <c r="H50" s="21">
        <v>0</v>
      </c>
      <c r="I50" s="21">
        <v>0</v>
      </c>
      <c r="J50" s="21">
        <v>0</v>
      </c>
      <c r="K50" s="21">
        <f>SUM(G50:J50)</f>
        <v>789</v>
      </c>
      <c r="L50" s="5"/>
      <c r="M50" s="22">
        <f>G50</f>
        <v>789</v>
      </c>
      <c r="N50" s="22">
        <f>H50</f>
        <v>0</v>
      </c>
      <c r="O50" s="22">
        <f>I50</f>
        <v>0</v>
      </c>
      <c r="P50" s="22">
        <f>J50</f>
        <v>0</v>
      </c>
      <c r="Q50" s="22">
        <f>SUM(M50:P50)</f>
        <v>789</v>
      </c>
      <c r="R50" s="82"/>
      <c r="S50" s="82"/>
      <c r="T50" s="82"/>
      <c r="U50" s="82"/>
      <c r="V50" s="82"/>
    </row>
    <row r="51" spans="2:24" x14ac:dyDescent="0.25">
      <c r="D51" s="2" t="s">
        <v>59</v>
      </c>
      <c r="G51" s="24">
        <f>SUM(G33:G50)</f>
        <v>61805</v>
      </c>
      <c r="H51" s="24">
        <f>SUM(H33:H50)</f>
        <v>31926.874946505435</v>
      </c>
      <c r="I51" s="24">
        <f>SUM(I33:I50)</f>
        <v>0</v>
      </c>
      <c r="J51" s="24">
        <f>SUM(J33:J50)</f>
        <v>0</v>
      </c>
      <c r="K51" s="24">
        <f>SUM(G51:J51)</f>
        <v>93731.874946505442</v>
      </c>
      <c r="L51" s="5"/>
      <c r="M51" s="24">
        <f>SUM(M33:M50)</f>
        <v>61805</v>
      </c>
      <c r="N51" s="24">
        <f>SUM(N33:N50)</f>
        <v>31926.874946505435</v>
      </c>
      <c r="O51" s="24">
        <f>SUM(O33:O50)</f>
        <v>0</v>
      </c>
      <c r="P51" s="24">
        <f>SUM(P33:P50)</f>
        <v>0</v>
      </c>
      <c r="Q51" s="24">
        <f>SUM(M51:P51)</f>
        <v>93731.874946505442</v>
      </c>
      <c r="R51" s="24"/>
      <c r="S51" s="24"/>
      <c r="T51" s="24"/>
      <c r="U51" s="24"/>
      <c r="V51" s="24"/>
    </row>
    <row r="52" spans="2:24" x14ac:dyDescent="0.25">
      <c r="B52" s="2"/>
      <c r="L52" s="5"/>
    </row>
    <row r="53" spans="2:24" x14ac:dyDescent="0.25">
      <c r="B53" s="2" t="s">
        <v>60</v>
      </c>
      <c r="G53" s="12">
        <v>0</v>
      </c>
      <c r="H53" s="12">
        <v>0</v>
      </c>
      <c r="I53" s="12">
        <v>0</v>
      </c>
      <c r="J53" s="12">
        <v>0</v>
      </c>
      <c r="K53" s="12">
        <f>SUM(G53:J53)</f>
        <v>0</v>
      </c>
      <c r="L53" s="5"/>
      <c r="M53" s="12">
        <v>0</v>
      </c>
      <c r="N53" s="12">
        <v>0</v>
      </c>
      <c r="O53" s="12">
        <v>0</v>
      </c>
      <c r="P53" s="12">
        <v>0</v>
      </c>
      <c r="Q53" s="12">
        <f>SUM(M53:P53)</f>
        <v>0</v>
      </c>
      <c r="R53" s="12"/>
      <c r="S53" s="12"/>
      <c r="T53" s="12"/>
      <c r="U53" s="12"/>
      <c r="V53" s="12"/>
    </row>
    <row r="54" spans="2:24" x14ac:dyDescent="0.25">
      <c r="B54" s="2" t="s">
        <v>61</v>
      </c>
      <c r="L54" s="5"/>
    </row>
    <row r="55" spans="2:24" ht="13.8" thickBot="1" x14ac:dyDescent="0.3">
      <c r="K55" s="12"/>
      <c r="L55" s="5"/>
      <c r="Q55" s="30"/>
      <c r="R55" s="40"/>
      <c r="S55" s="40"/>
      <c r="T55" s="40"/>
      <c r="U55" s="40"/>
      <c r="V55" s="40"/>
    </row>
    <row r="56" spans="2:24" x14ac:dyDescent="0.25">
      <c r="B56" s="2" t="s">
        <v>62</v>
      </c>
      <c r="G56" s="31">
        <f>G21+G24+G31+G51+G53</f>
        <v>196986.18617053307</v>
      </c>
      <c r="H56" s="31">
        <f>H21+H24+H31+H51+H53</f>
        <v>95083.542584169656</v>
      </c>
      <c r="I56" s="31">
        <f>I21+I24+I31+I51+I53</f>
        <v>176862.92461691218</v>
      </c>
      <c r="J56" s="31">
        <f>J21+J24+J31+J51+J53</f>
        <v>0</v>
      </c>
      <c r="K56" s="31">
        <f>SUM(G56:J56)</f>
        <v>468932.65337161487</v>
      </c>
      <c r="L56" s="32"/>
      <c r="M56" s="31">
        <f>M21+M24+M31+M51+M53</f>
        <v>139686.17292201382</v>
      </c>
      <c r="N56" s="31">
        <f>N21+N24+N31+N51+N53</f>
        <v>45578.795750379984</v>
      </c>
      <c r="O56" s="31">
        <f>O21+O24+O31+O51+O53</f>
        <v>77800.297723430471</v>
      </c>
      <c r="P56" s="31">
        <f>P21+P24+P31+P51+P53</f>
        <v>0</v>
      </c>
      <c r="Q56" s="31">
        <f>SUM(M56:P56)</f>
        <v>263065.26639582426</v>
      </c>
      <c r="R56" s="86"/>
      <c r="S56" s="86"/>
      <c r="T56" s="86"/>
      <c r="U56" s="86"/>
      <c r="V56" s="86"/>
    </row>
    <row r="57" spans="2:24" x14ac:dyDescent="0.25">
      <c r="L57" s="5"/>
    </row>
    <row r="58" spans="2:24" x14ac:dyDescent="0.25">
      <c r="L58" s="5"/>
    </row>
    <row r="59" spans="2:24" ht="13.8" x14ac:dyDescent="0.25">
      <c r="B59" s="6" t="s">
        <v>63</v>
      </c>
      <c r="K59" s="15"/>
      <c r="L59" s="5"/>
    </row>
    <row r="60" spans="2:24" x14ac:dyDescent="0.25">
      <c r="D60" s="15" t="s">
        <v>64</v>
      </c>
      <c r="E60" s="10" t="s">
        <v>20</v>
      </c>
      <c r="G60" s="12">
        <v>0</v>
      </c>
      <c r="H60" s="12">
        <v>0</v>
      </c>
      <c r="I60" s="12">
        <f>K60</f>
        <v>152076</v>
      </c>
      <c r="J60" s="11">
        <v>0</v>
      </c>
      <c r="K60" s="11">
        <v>152076</v>
      </c>
      <c r="L60" s="5"/>
      <c r="M60" s="12">
        <f>G60</f>
        <v>0</v>
      </c>
      <c r="N60" s="12">
        <f>H60</f>
        <v>0</v>
      </c>
      <c r="O60" s="12">
        <f>Q60</f>
        <v>152076</v>
      </c>
      <c r="P60" s="11">
        <f>J60</f>
        <v>0</v>
      </c>
      <c r="Q60" s="11">
        <f>$K$60</f>
        <v>152076</v>
      </c>
      <c r="R60" s="11"/>
      <c r="S60" s="11"/>
      <c r="T60" s="11"/>
      <c r="U60" s="11"/>
      <c r="V60" s="11"/>
      <c r="X60" s="3" t="s">
        <v>92</v>
      </c>
    </row>
    <row r="61" spans="2:24" x14ac:dyDescent="0.25">
      <c r="D61" s="15"/>
      <c r="E61" s="10" t="s">
        <v>21</v>
      </c>
      <c r="G61" s="33">
        <v>0</v>
      </c>
      <c r="H61" s="33">
        <v>0</v>
      </c>
      <c r="I61" s="33">
        <f>K61</f>
        <v>0</v>
      </c>
      <c r="J61" s="34">
        <v>0</v>
      </c>
      <c r="K61" s="34">
        <v>0</v>
      </c>
      <c r="L61" s="5"/>
      <c r="M61" s="33">
        <f>G61</f>
        <v>0</v>
      </c>
      <c r="N61" s="33">
        <f>H61</f>
        <v>0</v>
      </c>
      <c r="O61" s="33">
        <f>I61</f>
        <v>0</v>
      </c>
      <c r="P61" s="34">
        <f>J61</f>
        <v>0</v>
      </c>
      <c r="Q61" s="33">
        <f>K61</f>
        <v>0</v>
      </c>
      <c r="R61" s="33"/>
      <c r="S61" s="33"/>
      <c r="T61" s="33"/>
      <c r="U61" s="33"/>
      <c r="V61" s="33"/>
      <c r="X61" s="35">
        <f>$K$60-(327*25.09*8)</f>
        <v>86440.56</v>
      </c>
    </row>
    <row r="62" spans="2:24" x14ac:dyDescent="0.25">
      <c r="D62" s="15"/>
      <c r="E62" s="10"/>
      <c r="J62" s="15"/>
      <c r="K62" s="15"/>
      <c r="L62" s="5"/>
      <c r="P62" s="15"/>
    </row>
    <row r="63" spans="2:24" x14ac:dyDescent="0.25">
      <c r="D63" s="15" t="s">
        <v>94</v>
      </c>
      <c r="E63" s="10" t="s">
        <v>20</v>
      </c>
      <c r="G63" s="12">
        <f>$G$103*K63</f>
        <v>123140.925908829</v>
      </c>
      <c r="H63" s="12">
        <f>$H$103*K63</f>
        <v>13084.534524565617</v>
      </c>
      <c r="I63" s="12">
        <f>$I$103*K63</f>
        <v>250685.53956660538</v>
      </c>
      <c r="J63" s="11">
        <v>0</v>
      </c>
      <c r="K63" s="11">
        <v>386911</v>
      </c>
      <c r="L63" s="5"/>
      <c r="M63" s="12">
        <f>$G$103*Q63</f>
        <v>123140.925908829</v>
      </c>
      <c r="N63" s="12">
        <f>$H$103*Q63</f>
        <v>13084.534524565617</v>
      </c>
      <c r="O63" s="12">
        <f>$I$103*Q63</f>
        <v>250685.53956660538</v>
      </c>
      <c r="P63" s="11">
        <f>J63</f>
        <v>0</v>
      </c>
      <c r="Q63" s="11">
        <f>K63-(0*67.3*8)</f>
        <v>386911</v>
      </c>
      <c r="R63" s="11"/>
      <c r="S63" s="11"/>
      <c r="T63" s="11"/>
      <c r="U63" s="11"/>
      <c r="V63" s="11"/>
    </row>
    <row r="64" spans="2:24" ht="12.75" customHeight="1" x14ac:dyDescent="0.25">
      <c r="D64" s="15"/>
      <c r="E64" s="10" t="s">
        <v>21</v>
      </c>
      <c r="G64" s="36">
        <f>$G$103*K64</f>
        <v>0</v>
      </c>
      <c r="H64" s="36">
        <f>$H$103*K64</f>
        <v>0</v>
      </c>
      <c r="I64" s="36">
        <f>$I$103*K64</f>
        <v>0</v>
      </c>
      <c r="J64" s="37">
        <v>0</v>
      </c>
      <c r="K64" s="34">
        <v>0</v>
      </c>
      <c r="L64" s="5"/>
      <c r="M64" s="33">
        <f>G64</f>
        <v>0</v>
      </c>
      <c r="N64" s="33">
        <f>H64</f>
        <v>0</v>
      </c>
      <c r="O64" s="33">
        <f>I64</f>
        <v>0</v>
      </c>
      <c r="P64" s="34">
        <f>J64</f>
        <v>0</v>
      </c>
      <c r="Q64" s="33">
        <f>K64</f>
        <v>0</v>
      </c>
      <c r="R64" s="33"/>
      <c r="S64" s="33"/>
      <c r="T64" s="33"/>
      <c r="U64" s="33"/>
      <c r="V64" s="33"/>
    </row>
    <row r="65" spans="4:22" ht="12.75" customHeight="1" x14ac:dyDescent="0.25">
      <c r="D65" s="15"/>
      <c r="E65" s="10"/>
      <c r="J65" s="15"/>
      <c r="K65" s="15"/>
      <c r="L65" s="5"/>
      <c r="P65" s="15"/>
    </row>
    <row r="66" spans="4:22" x14ac:dyDescent="0.25">
      <c r="D66" s="15" t="s">
        <v>65</v>
      </c>
      <c r="E66" s="10" t="s">
        <v>20</v>
      </c>
      <c r="G66" s="12">
        <f>$G$103*K66</f>
        <v>3844.6629456868745</v>
      </c>
      <c r="H66" s="12">
        <f>$H$103*K66</f>
        <v>408.52076331960751</v>
      </c>
      <c r="I66" s="12">
        <f>$I$103*K66</f>
        <v>7826.8162909935181</v>
      </c>
      <c r="J66" s="11">
        <v>0</v>
      </c>
      <c r="K66" s="11">
        <v>12080</v>
      </c>
      <c r="L66" s="5"/>
      <c r="M66" s="12">
        <f>$G$103*Q$66</f>
        <v>3844.6629456868745</v>
      </c>
      <c r="N66" s="12">
        <f>$H$103*Q$66</f>
        <v>408.52076331960751</v>
      </c>
      <c r="O66" s="12">
        <f>$I$103*Q$66</f>
        <v>7826.8162909935181</v>
      </c>
      <c r="P66" s="11">
        <f>J66</f>
        <v>0</v>
      </c>
      <c r="Q66" s="11">
        <f>K66</f>
        <v>12080</v>
      </c>
      <c r="R66" s="11"/>
      <c r="S66" s="11"/>
      <c r="T66" s="11"/>
      <c r="U66" s="11"/>
      <c r="V66" s="11"/>
    </row>
    <row r="67" spans="4:22" x14ac:dyDescent="0.25">
      <c r="D67" s="15"/>
      <c r="E67" s="10" t="s">
        <v>21</v>
      </c>
      <c r="G67" s="36">
        <f>$G$103*K67</f>
        <v>0</v>
      </c>
      <c r="H67" s="36">
        <f>$H$103*K67</f>
        <v>0</v>
      </c>
      <c r="I67" s="36">
        <f>$I$103*K67</f>
        <v>0</v>
      </c>
      <c r="J67" s="34">
        <v>0</v>
      </c>
      <c r="K67" s="34">
        <v>0</v>
      </c>
      <c r="L67" s="5"/>
      <c r="M67" s="33">
        <f>G67</f>
        <v>0</v>
      </c>
      <c r="N67" s="33">
        <f>H67</f>
        <v>0</v>
      </c>
      <c r="O67" s="33">
        <f>I67</f>
        <v>0</v>
      </c>
      <c r="P67" s="34">
        <f>J67</f>
        <v>0</v>
      </c>
      <c r="Q67" s="33">
        <f>K67</f>
        <v>0</v>
      </c>
      <c r="R67" s="33"/>
      <c r="S67" s="33"/>
      <c r="T67" s="33"/>
      <c r="U67" s="33"/>
      <c r="V67" s="33"/>
    </row>
    <row r="68" spans="4:22" x14ac:dyDescent="0.25">
      <c r="D68" s="15"/>
      <c r="E68" s="10"/>
      <c r="G68" s="33"/>
      <c r="H68" s="33"/>
      <c r="I68" s="33"/>
      <c r="J68" s="34"/>
      <c r="K68" s="34"/>
      <c r="L68" s="5"/>
      <c r="M68" s="33"/>
      <c r="N68" s="33"/>
      <c r="O68" s="33"/>
      <c r="P68" s="34"/>
      <c r="Q68" s="34"/>
      <c r="R68" s="34"/>
      <c r="S68" s="34"/>
      <c r="T68" s="34"/>
      <c r="U68" s="34"/>
      <c r="V68" s="34"/>
    </row>
    <row r="69" spans="4:22" x14ac:dyDescent="0.25">
      <c r="D69" s="99" t="s">
        <v>155</v>
      </c>
      <c r="E69" s="10" t="s">
        <v>20</v>
      </c>
      <c r="G69" s="12">
        <f>$G$103*K69</f>
        <v>824.31101236167262</v>
      </c>
      <c r="H69" s="12">
        <f>$H$103*K69</f>
        <v>87.588474917035057</v>
      </c>
      <c r="I69" s="12">
        <f>$I$103*K69</f>
        <v>1678.1005127212925</v>
      </c>
      <c r="J69" s="11">
        <v>0</v>
      </c>
      <c r="K69" s="11">
        <v>2590</v>
      </c>
      <c r="L69" s="5"/>
      <c r="M69" s="12">
        <f t="shared" ref="M69:Q70" si="7">G69</f>
        <v>824.31101236167262</v>
      </c>
      <c r="N69" s="12">
        <f t="shared" si="7"/>
        <v>87.588474917035057</v>
      </c>
      <c r="O69" s="12">
        <f t="shared" si="7"/>
        <v>1678.1005127212925</v>
      </c>
      <c r="P69" s="11">
        <f t="shared" si="7"/>
        <v>0</v>
      </c>
      <c r="Q69" s="11">
        <f t="shared" si="7"/>
        <v>2590</v>
      </c>
      <c r="R69" s="11"/>
      <c r="S69" s="11"/>
      <c r="T69" s="11"/>
      <c r="U69" s="11"/>
      <c r="V69" s="11"/>
    </row>
    <row r="70" spans="4:22" x14ac:dyDescent="0.25">
      <c r="D70" s="15"/>
      <c r="E70" s="10" t="s">
        <v>21</v>
      </c>
      <c r="G70" s="36">
        <f>$G$103*K70</f>
        <v>0</v>
      </c>
      <c r="H70" s="36">
        <f>$H$103*K70</f>
        <v>0</v>
      </c>
      <c r="I70" s="36">
        <f>$I$103*K70</f>
        <v>0</v>
      </c>
      <c r="J70" s="34">
        <v>0</v>
      </c>
      <c r="K70" s="34">
        <v>0</v>
      </c>
      <c r="L70" s="5"/>
      <c r="M70" s="33">
        <f t="shared" si="7"/>
        <v>0</v>
      </c>
      <c r="N70" s="33">
        <f t="shared" si="7"/>
        <v>0</v>
      </c>
      <c r="O70" s="33">
        <f t="shared" si="7"/>
        <v>0</v>
      </c>
      <c r="P70" s="34">
        <f t="shared" si="7"/>
        <v>0</v>
      </c>
      <c r="Q70" s="33">
        <f t="shared" si="7"/>
        <v>0</v>
      </c>
      <c r="R70" s="33"/>
      <c r="S70" s="33"/>
      <c r="T70" s="33"/>
      <c r="U70" s="33"/>
      <c r="V70" s="33"/>
    </row>
    <row r="71" spans="4:22" x14ac:dyDescent="0.25">
      <c r="D71" s="15"/>
      <c r="E71" s="10"/>
      <c r="G71" s="36"/>
      <c r="H71" s="36"/>
      <c r="I71" s="36"/>
      <c r="J71" s="34"/>
      <c r="K71" s="34"/>
      <c r="L71" s="5"/>
      <c r="M71" s="33"/>
      <c r="N71" s="33"/>
      <c r="O71" s="33"/>
      <c r="P71" s="34"/>
      <c r="Q71" s="33"/>
      <c r="R71" s="33"/>
      <c r="S71" s="33"/>
      <c r="T71" s="33"/>
      <c r="U71" s="33"/>
      <c r="V71" s="33"/>
    </row>
    <row r="72" spans="4:22" x14ac:dyDescent="0.25">
      <c r="D72" s="15" t="s">
        <v>127</v>
      </c>
      <c r="E72" s="10" t="s">
        <v>20</v>
      </c>
      <c r="G72" s="12">
        <f>$G$103*K72</f>
        <v>5301.0518231258757</v>
      </c>
      <c r="H72" s="12">
        <f>$H$103*K72</f>
        <v>563.27167498769722</v>
      </c>
      <c r="I72" s="12">
        <f>$I$103*K72</f>
        <v>10791.676501886426</v>
      </c>
      <c r="J72" s="11">
        <v>0</v>
      </c>
      <c r="K72" s="11">
        <v>16656</v>
      </c>
      <c r="L72" s="5"/>
      <c r="M72" s="12">
        <f t="shared" ref="M72:Q73" si="8">G72</f>
        <v>5301.0518231258757</v>
      </c>
      <c r="N72" s="12">
        <f t="shared" si="8"/>
        <v>563.27167498769722</v>
      </c>
      <c r="O72" s="12">
        <f t="shared" si="8"/>
        <v>10791.676501886426</v>
      </c>
      <c r="P72" s="11">
        <f t="shared" si="8"/>
        <v>0</v>
      </c>
      <c r="Q72" s="11">
        <f t="shared" si="8"/>
        <v>16656</v>
      </c>
      <c r="R72" s="33"/>
      <c r="S72" s="33"/>
      <c r="T72" s="33"/>
      <c r="U72" s="33"/>
      <c r="V72" s="33"/>
    </row>
    <row r="73" spans="4:22" x14ac:dyDescent="0.25">
      <c r="D73" s="15"/>
      <c r="E73" s="10" t="s">
        <v>21</v>
      </c>
      <c r="G73" s="36">
        <f>$G$103*K73</f>
        <v>0</v>
      </c>
      <c r="H73" s="36">
        <f>$H$103*K73</f>
        <v>0</v>
      </c>
      <c r="I73" s="36">
        <f>$I$103*K73</f>
        <v>0</v>
      </c>
      <c r="J73" s="34">
        <v>0</v>
      </c>
      <c r="K73" s="34">
        <v>0</v>
      </c>
      <c r="L73" s="5"/>
      <c r="M73" s="33">
        <f t="shared" si="8"/>
        <v>0</v>
      </c>
      <c r="N73" s="33">
        <f t="shared" si="8"/>
        <v>0</v>
      </c>
      <c r="O73" s="33">
        <f t="shared" si="8"/>
        <v>0</v>
      </c>
      <c r="P73" s="34">
        <f t="shared" si="8"/>
        <v>0</v>
      </c>
      <c r="Q73" s="33">
        <f t="shared" si="8"/>
        <v>0</v>
      </c>
      <c r="R73" s="33"/>
      <c r="S73" s="33"/>
      <c r="T73" s="33"/>
      <c r="U73" s="33"/>
      <c r="V73" s="33"/>
    </row>
    <row r="74" spans="4:22" x14ac:dyDescent="0.25">
      <c r="D74" s="15"/>
      <c r="E74" s="10"/>
      <c r="J74" s="15"/>
      <c r="K74" s="15"/>
      <c r="L74" s="5"/>
      <c r="P74" s="15"/>
    </row>
    <row r="75" spans="4:22" x14ac:dyDescent="0.25">
      <c r="D75" s="99" t="s">
        <v>156</v>
      </c>
      <c r="E75" s="10" t="s">
        <v>20</v>
      </c>
      <c r="G75" s="12">
        <f>$G$103*K75</f>
        <v>5074.7641282265904</v>
      </c>
      <c r="H75" s="12">
        <f>$H$103*K75</f>
        <v>539.22711681549185</v>
      </c>
      <c r="I75" s="12">
        <f>$I$103*K75</f>
        <v>10331.008754957918</v>
      </c>
      <c r="J75" s="11">
        <v>0</v>
      </c>
      <c r="K75" s="11">
        <v>15945</v>
      </c>
      <c r="L75" s="5"/>
      <c r="M75" s="12">
        <f t="shared" ref="M75:Q76" si="9">G75</f>
        <v>5074.7641282265904</v>
      </c>
      <c r="N75" s="12">
        <f t="shared" si="9"/>
        <v>539.22711681549185</v>
      </c>
      <c r="O75" s="12">
        <f t="shared" si="9"/>
        <v>10331.008754957918</v>
      </c>
      <c r="P75" s="11">
        <f t="shared" si="9"/>
        <v>0</v>
      </c>
      <c r="Q75" s="11">
        <f t="shared" si="9"/>
        <v>15945</v>
      </c>
    </row>
    <row r="76" spans="4:22" x14ac:dyDescent="0.25">
      <c r="D76" s="15"/>
      <c r="E76" s="10" t="s">
        <v>21</v>
      </c>
      <c r="G76" s="36">
        <f>$G$103*K76</f>
        <v>0</v>
      </c>
      <c r="H76" s="36">
        <f>$H$103*K76</f>
        <v>0</v>
      </c>
      <c r="I76" s="36">
        <f>$I$103*K76</f>
        <v>0</v>
      </c>
      <c r="J76" s="34">
        <v>0</v>
      </c>
      <c r="K76" s="34">
        <v>0</v>
      </c>
      <c r="L76" s="5"/>
      <c r="M76" s="33">
        <f t="shared" si="9"/>
        <v>0</v>
      </c>
      <c r="N76" s="33">
        <f t="shared" si="9"/>
        <v>0</v>
      </c>
      <c r="O76" s="33">
        <f t="shared" si="9"/>
        <v>0</v>
      </c>
      <c r="P76" s="34">
        <f t="shared" si="9"/>
        <v>0</v>
      </c>
      <c r="Q76" s="33">
        <f t="shared" si="9"/>
        <v>0</v>
      </c>
    </row>
    <row r="77" spans="4:22" x14ac:dyDescent="0.25">
      <c r="D77" s="15"/>
      <c r="E77" s="10"/>
      <c r="J77" s="15"/>
      <c r="K77" s="15"/>
      <c r="L77" s="5"/>
      <c r="P77" s="15"/>
    </row>
    <row r="78" spans="4:22" x14ac:dyDescent="0.25">
      <c r="D78" s="99" t="s">
        <v>144</v>
      </c>
      <c r="E78" s="10" t="s">
        <v>20</v>
      </c>
      <c r="G78" s="12">
        <f>$G$103*K78</f>
        <v>17981.11940748935</v>
      </c>
      <c r="H78" s="12">
        <f>$H$103*K78</f>
        <v>1910.6123812307835</v>
      </c>
      <c r="I78" s="12">
        <f>$I$103*K78</f>
        <v>36605.268211279865</v>
      </c>
      <c r="J78" s="11">
        <v>0</v>
      </c>
      <c r="K78" s="11">
        <v>56497</v>
      </c>
      <c r="L78" s="5"/>
      <c r="M78" s="12">
        <f t="shared" ref="M78:Q79" si="10">G78</f>
        <v>17981.11940748935</v>
      </c>
      <c r="N78" s="12">
        <f t="shared" si="10"/>
        <v>1910.6123812307835</v>
      </c>
      <c r="O78" s="12">
        <f t="shared" si="10"/>
        <v>36605.268211279865</v>
      </c>
      <c r="P78" s="11">
        <f t="shared" si="10"/>
        <v>0</v>
      </c>
      <c r="Q78" s="11">
        <f t="shared" si="10"/>
        <v>56497</v>
      </c>
    </row>
    <row r="79" spans="4:22" x14ac:dyDescent="0.25">
      <c r="D79" s="15"/>
      <c r="E79" s="10" t="s">
        <v>21</v>
      </c>
      <c r="G79" s="36">
        <f>$G$103*K79</f>
        <v>0</v>
      </c>
      <c r="H79" s="36">
        <f>$H$103*K79</f>
        <v>0</v>
      </c>
      <c r="I79" s="36">
        <f>$I$103*K79</f>
        <v>0</v>
      </c>
      <c r="J79" s="34">
        <v>0</v>
      </c>
      <c r="K79" s="34">
        <v>0</v>
      </c>
      <c r="L79" s="5"/>
      <c r="M79" s="33">
        <f t="shared" si="10"/>
        <v>0</v>
      </c>
      <c r="N79" s="33">
        <f t="shared" si="10"/>
        <v>0</v>
      </c>
      <c r="O79" s="33">
        <f t="shared" si="10"/>
        <v>0</v>
      </c>
      <c r="P79" s="34">
        <f t="shared" si="10"/>
        <v>0</v>
      </c>
      <c r="Q79" s="33">
        <f t="shared" si="10"/>
        <v>0</v>
      </c>
    </row>
    <row r="80" spans="4:22" x14ac:dyDescent="0.25">
      <c r="D80" s="15"/>
      <c r="E80" s="10"/>
      <c r="J80" s="15"/>
      <c r="K80" s="15"/>
      <c r="L80" s="5"/>
      <c r="P80" s="15"/>
    </row>
    <row r="81" spans="2:23" x14ac:dyDescent="0.25">
      <c r="D81" s="99" t="s">
        <v>145</v>
      </c>
      <c r="E81" s="10" t="s">
        <v>20</v>
      </c>
      <c r="G81" s="12">
        <f>$G$103*K81</f>
        <v>20041.57867159339</v>
      </c>
      <c r="H81" s="12">
        <f>$H$103*K81</f>
        <v>2129.5497505793878</v>
      </c>
      <c r="I81" s="12">
        <f>$I$103*K81</f>
        <v>40799.871577827224</v>
      </c>
      <c r="J81" s="11">
        <v>0</v>
      </c>
      <c r="K81" s="11">
        <v>62971</v>
      </c>
      <c r="L81" s="5"/>
      <c r="M81" s="12">
        <f t="shared" ref="M81:Q82" si="11">G81</f>
        <v>20041.57867159339</v>
      </c>
      <c r="N81" s="12">
        <f t="shared" si="11"/>
        <v>2129.5497505793878</v>
      </c>
      <c r="O81" s="12">
        <f t="shared" si="11"/>
        <v>40799.871577827224</v>
      </c>
      <c r="P81" s="11">
        <f t="shared" si="11"/>
        <v>0</v>
      </c>
      <c r="Q81" s="11">
        <f t="shared" si="11"/>
        <v>62971</v>
      </c>
    </row>
    <row r="82" spans="2:23" x14ac:dyDescent="0.25">
      <c r="D82" s="15"/>
      <c r="E82" s="10" t="s">
        <v>21</v>
      </c>
      <c r="G82" s="36">
        <f>$G$103*K82</f>
        <v>0</v>
      </c>
      <c r="H82" s="36">
        <f>$H$103*K82</f>
        <v>0</v>
      </c>
      <c r="I82" s="36">
        <f>$I$103*K82</f>
        <v>0</v>
      </c>
      <c r="J82" s="34">
        <v>0</v>
      </c>
      <c r="K82" s="34"/>
      <c r="L82" s="5"/>
      <c r="M82" s="33">
        <f t="shared" si="11"/>
        <v>0</v>
      </c>
      <c r="N82" s="33">
        <f t="shared" si="11"/>
        <v>0</v>
      </c>
      <c r="O82" s="33">
        <f t="shared" si="11"/>
        <v>0</v>
      </c>
      <c r="P82" s="34">
        <f t="shared" si="11"/>
        <v>0</v>
      </c>
      <c r="Q82" s="33">
        <f t="shared" si="11"/>
        <v>0</v>
      </c>
    </row>
    <row r="83" spans="2:23" x14ac:dyDescent="0.25">
      <c r="D83" s="15"/>
      <c r="E83" s="10"/>
      <c r="J83" s="15"/>
      <c r="K83" s="15"/>
      <c r="L83" s="5"/>
      <c r="P83" s="15"/>
    </row>
    <row r="84" spans="2:23" x14ac:dyDescent="0.25">
      <c r="D84" s="99"/>
      <c r="E84" s="10" t="s">
        <v>20</v>
      </c>
      <c r="G84" s="12">
        <f>$G$103*K84</f>
        <v>0</v>
      </c>
      <c r="H84" s="12">
        <f>$H$103*K84</f>
        <v>0</v>
      </c>
      <c r="I84" s="12">
        <f>$I$103*K84</f>
        <v>0</v>
      </c>
      <c r="J84" s="11">
        <v>0</v>
      </c>
      <c r="K84" s="11">
        <v>0</v>
      </c>
      <c r="L84" s="5"/>
      <c r="M84" s="12">
        <f t="shared" ref="M84:Q85" si="12">G84</f>
        <v>0</v>
      </c>
      <c r="N84" s="12">
        <f t="shared" si="12"/>
        <v>0</v>
      </c>
      <c r="O84" s="12">
        <f t="shared" si="12"/>
        <v>0</v>
      </c>
      <c r="P84" s="11">
        <f t="shared" si="12"/>
        <v>0</v>
      </c>
      <c r="Q84" s="12">
        <f t="shared" si="12"/>
        <v>0</v>
      </c>
      <c r="R84" s="12"/>
      <c r="S84" s="12"/>
      <c r="T84" s="12"/>
      <c r="U84" s="12"/>
      <c r="V84" s="12"/>
    </row>
    <row r="85" spans="2:23" x14ac:dyDescent="0.25">
      <c r="E85" s="10" t="s">
        <v>21</v>
      </c>
      <c r="G85" s="36">
        <f>$G$103*K85</f>
        <v>0</v>
      </c>
      <c r="H85" s="36">
        <f>$H$103*K85</f>
        <v>0</v>
      </c>
      <c r="I85" s="36">
        <f>$I$103*K85</f>
        <v>0</v>
      </c>
      <c r="J85" s="34">
        <v>0</v>
      </c>
      <c r="K85" s="34">
        <v>0</v>
      </c>
      <c r="L85" s="5"/>
      <c r="M85" s="33">
        <f t="shared" si="12"/>
        <v>0</v>
      </c>
      <c r="N85" s="33">
        <f t="shared" si="12"/>
        <v>0</v>
      </c>
      <c r="O85" s="33">
        <f t="shared" si="12"/>
        <v>0</v>
      </c>
      <c r="P85" s="34">
        <f t="shared" si="12"/>
        <v>0</v>
      </c>
      <c r="Q85" s="33">
        <f t="shared" si="12"/>
        <v>0</v>
      </c>
      <c r="R85" s="33"/>
      <c r="S85" s="33"/>
      <c r="T85" s="33"/>
      <c r="U85" s="33"/>
      <c r="V85" s="33"/>
    </row>
    <row r="86" spans="2:23" x14ac:dyDescent="0.25">
      <c r="E86" s="10"/>
      <c r="G86" s="36"/>
      <c r="H86" s="36"/>
      <c r="I86" s="36"/>
      <c r="J86" s="34"/>
      <c r="K86" s="34"/>
      <c r="L86" s="5"/>
      <c r="M86" s="33"/>
      <c r="N86" s="33"/>
      <c r="O86" s="33"/>
      <c r="P86" s="34"/>
      <c r="Q86" s="33"/>
      <c r="R86" s="33"/>
      <c r="S86" s="33"/>
      <c r="T86" s="33"/>
      <c r="U86" s="33"/>
      <c r="V86" s="33"/>
    </row>
    <row r="87" spans="2:23" x14ac:dyDescent="0.25">
      <c r="D87" s="15" t="s">
        <v>66</v>
      </c>
      <c r="E87" s="10" t="s">
        <v>20</v>
      </c>
      <c r="G87" s="12">
        <f>$G$103*K87</f>
        <v>0</v>
      </c>
      <c r="H87" s="12">
        <f>$H$103*K87</f>
        <v>0</v>
      </c>
      <c r="I87" s="12">
        <f>$I$103*K87</f>
        <v>0</v>
      </c>
      <c r="J87" s="11">
        <v>0</v>
      </c>
      <c r="K87" s="11">
        <v>0</v>
      </c>
      <c r="L87" s="5"/>
      <c r="M87" s="12">
        <f>G87</f>
        <v>0</v>
      </c>
      <c r="N87" s="12">
        <f>H87</f>
        <v>0</v>
      </c>
      <c r="O87" s="12">
        <f>I87</f>
        <v>0</v>
      </c>
      <c r="P87" s="11">
        <f>J87</f>
        <v>0</v>
      </c>
      <c r="Q87" s="12">
        <f>K87</f>
        <v>0</v>
      </c>
      <c r="R87" s="12"/>
      <c r="S87" s="12"/>
      <c r="T87" s="12"/>
      <c r="U87" s="12"/>
      <c r="V87" s="12"/>
    </row>
    <row r="88" spans="2:23" ht="13.8" thickBot="1" x14ac:dyDescent="0.3">
      <c r="D88" s="15"/>
      <c r="J88" s="15"/>
      <c r="L88" s="5"/>
      <c r="W88" s="38"/>
    </row>
    <row r="89" spans="2:23" ht="13.8" thickBot="1" x14ac:dyDescent="0.3">
      <c r="B89" s="2" t="s">
        <v>67</v>
      </c>
      <c r="E89" s="10" t="s">
        <v>20</v>
      </c>
      <c r="G89" s="31">
        <f>G60+G63+G66+G69+G72+G75+G78+G81+G84+G87</f>
        <v>176208.41389731274</v>
      </c>
      <c r="H89" s="31">
        <f>H60+H63+H66+H69+H72+H75+H78+H81+H84+H87</f>
        <v>18723.30468641562</v>
      </c>
      <c r="I89" s="31">
        <f>I60+I63+I66+I69+I72+I75+I78+I81+I84+I87</f>
        <v>510794.28141627164</v>
      </c>
      <c r="J89" s="31">
        <f>J60+J63+J66+J69+J72+J75+J78+J81+J84+J87</f>
        <v>0</v>
      </c>
      <c r="K89" s="31">
        <f>K60+K63+K66+K69+K72+K75+K78+K81+K84+K87</f>
        <v>705726</v>
      </c>
      <c r="L89" s="32"/>
      <c r="M89" s="31">
        <f>M60+M63+M66+M69+M72+M75+M78+M81+M84+M87</f>
        <v>176208.41389731274</v>
      </c>
      <c r="N89" s="31">
        <f>N60+N63+N66+N69+N72+N75+N78+N81+N84+N87</f>
        <v>18723.30468641562</v>
      </c>
      <c r="O89" s="31">
        <f>O60+O63+O66+O69+O72+O75+O78+O81+O84+O87</f>
        <v>510794.28141627164</v>
      </c>
      <c r="P89" s="31">
        <f>P60+P63+P66+P69+P72+P75+P78+P81+P84+P87</f>
        <v>0</v>
      </c>
      <c r="Q89" s="31">
        <f>SUM(M89:P89)</f>
        <v>705726</v>
      </c>
      <c r="R89" s="86"/>
      <c r="S89" s="86"/>
      <c r="T89" s="86"/>
      <c r="U89" s="86"/>
      <c r="V89" s="86"/>
      <c r="W89" s="40"/>
    </row>
    <row r="90" spans="2:23" x14ac:dyDescent="0.25">
      <c r="B90" s="2"/>
      <c r="E90" s="10" t="s">
        <v>21</v>
      </c>
      <c r="G90" s="31">
        <f>G61+G64+G67+G70+G73+G76+G79+G82+G85</f>
        <v>0</v>
      </c>
      <c r="H90" s="31">
        <f>H61+H64+H67+H70+H73+H76+H79+H82+H85</f>
        <v>0</v>
      </c>
      <c r="I90" s="31">
        <f>I61+I64+I67+I70+I73+I76+I79+I82+I85</f>
        <v>0</v>
      </c>
      <c r="J90" s="31">
        <f>J61+J64+J67+J70+J73+J76+J79+J82+J85</f>
        <v>0</v>
      </c>
      <c r="K90" s="97">
        <f>SUM(G90:J90)</f>
        <v>0</v>
      </c>
      <c r="L90" s="43"/>
      <c r="M90" s="31">
        <f>M61+M64+M67+M70+M73+M76+M79+M82+M85</f>
        <v>0</v>
      </c>
      <c r="N90" s="31">
        <f>N61+N64+N67+N70+N73+N76+N79+N82+N85</f>
        <v>0</v>
      </c>
      <c r="O90" s="31">
        <f>O61+O64+O67+O70+O73+O76+O79+O82+O85</f>
        <v>0</v>
      </c>
      <c r="P90" s="31">
        <f>P61+P64+P67+P70+P73+P76+P79+P82+P85</f>
        <v>0</v>
      </c>
      <c r="Q90" s="97">
        <f>SUM(M90:P90)</f>
        <v>0</v>
      </c>
      <c r="R90" s="42"/>
      <c r="S90" s="42"/>
      <c r="T90" s="42"/>
      <c r="U90" s="42"/>
      <c r="V90" s="42"/>
    </row>
    <row r="91" spans="2:23" x14ac:dyDescent="0.25">
      <c r="K91" s="12"/>
      <c r="L91" s="5"/>
      <c r="W91" s="12"/>
    </row>
    <row r="92" spans="2:23" ht="13.8" thickBot="1" x14ac:dyDescent="0.3">
      <c r="L92" s="5"/>
    </row>
    <row r="93" spans="2:23" ht="14.4" thickBot="1" x14ac:dyDescent="0.3">
      <c r="B93" s="6" t="s">
        <v>68</v>
      </c>
      <c r="G93" s="45">
        <f t="shared" ref="G93:Q93" si="13">G56+G89</f>
        <v>373194.60006784578</v>
      </c>
      <c r="H93" s="45">
        <f t="shared" si="13"/>
        <v>113806.84727058528</v>
      </c>
      <c r="I93" s="45">
        <f t="shared" si="13"/>
        <v>687657.20603318384</v>
      </c>
      <c r="J93" s="45">
        <f t="shared" si="13"/>
        <v>0</v>
      </c>
      <c r="K93" s="45">
        <f t="shared" si="13"/>
        <v>1174658.6533716149</v>
      </c>
      <c r="L93" s="46">
        <f t="shared" si="13"/>
        <v>0</v>
      </c>
      <c r="M93" s="45">
        <f t="shared" si="13"/>
        <v>315894.58681932656</v>
      </c>
      <c r="N93" s="45">
        <f t="shared" si="13"/>
        <v>64302.100436795605</v>
      </c>
      <c r="O93" s="79">
        <f>O56+O89</f>
        <v>588594.57913970214</v>
      </c>
      <c r="P93" s="45">
        <f t="shared" si="13"/>
        <v>0</v>
      </c>
      <c r="Q93" s="45">
        <f t="shared" si="13"/>
        <v>968791.26639582426</v>
      </c>
      <c r="R93" s="86"/>
      <c r="S93" s="86"/>
      <c r="T93" s="86"/>
      <c r="U93" s="86"/>
      <c r="V93" s="86"/>
    </row>
    <row r="94" spans="2:23" ht="13.8" thickTop="1" x14ac:dyDescent="0.25">
      <c r="I94" s="77"/>
      <c r="L94" s="5"/>
      <c r="O94" s="80"/>
    </row>
    <row r="95" spans="2:23" x14ac:dyDescent="0.25">
      <c r="I95" s="77"/>
      <c r="L95" s="5"/>
      <c r="O95" s="80"/>
    </row>
    <row r="96" spans="2:23" x14ac:dyDescent="0.25">
      <c r="I96" s="77"/>
      <c r="L96" s="5"/>
      <c r="O96" s="80"/>
    </row>
    <row r="97" spans="5:15" x14ac:dyDescent="0.25">
      <c r="I97" s="77"/>
      <c r="L97" s="5"/>
      <c r="O97" s="80"/>
    </row>
    <row r="98" spans="5:15" x14ac:dyDescent="0.25">
      <c r="I98" s="77"/>
      <c r="L98" s="5"/>
      <c r="O98" s="80"/>
    </row>
    <row r="99" spans="5:15" x14ac:dyDescent="0.25">
      <c r="I99" s="77"/>
      <c r="L99" s="5"/>
      <c r="O99" s="80"/>
    </row>
    <row r="100" spans="5:15" x14ac:dyDescent="0.25">
      <c r="I100" s="77"/>
      <c r="L100" s="5"/>
      <c r="O100" s="80"/>
    </row>
    <row r="101" spans="5:15" x14ac:dyDescent="0.25">
      <c r="I101" s="77"/>
      <c r="L101" s="5"/>
      <c r="O101" s="80"/>
    </row>
    <row r="102" spans="5:15" ht="13.8" thickBot="1" x14ac:dyDescent="0.3">
      <c r="L102" s="5"/>
    </row>
    <row r="103" spans="5:15" x14ac:dyDescent="0.25">
      <c r="E103" s="50"/>
      <c r="F103" s="51"/>
      <c r="G103" s="52">
        <f>G115</f>
        <v>0.31826680013964193</v>
      </c>
      <c r="H103" s="52">
        <f>H115</f>
        <v>3.3817943983411217E-2</v>
      </c>
      <c r="I103" s="52">
        <f>I115</f>
        <v>0.64791525587694687</v>
      </c>
      <c r="J103" s="51"/>
      <c r="K103" s="53"/>
      <c r="L103" s="5"/>
      <c r="M103" s="47"/>
      <c r="N103" s="47"/>
      <c r="O103" s="47"/>
    </row>
    <row r="104" spans="5:15" x14ac:dyDescent="0.25">
      <c r="E104" s="54"/>
      <c r="F104" s="38"/>
      <c r="G104" s="38"/>
      <c r="H104" s="38"/>
      <c r="I104" s="38"/>
      <c r="J104" s="38"/>
      <c r="K104" s="55"/>
      <c r="L104" s="5"/>
      <c r="M104" s="48"/>
    </row>
    <row r="105" spans="5:15" x14ac:dyDescent="0.25">
      <c r="E105" s="54" t="s">
        <v>69</v>
      </c>
      <c r="F105" s="38"/>
      <c r="G105" s="38"/>
      <c r="H105" s="38"/>
      <c r="I105" s="38"/>
      <c r="J105" s="38"/>
      <c r="K105" s="56">
        <v>1103080</v>
      </c>
      <c r="L105" s="5"/>
      <c r="M105" s="49"/>
    </row>
    <row r="106" spans="5:15" x14ac:dyDescent="0.25">
      <c r="E106" s="54" t="s">
        <v>90</v>
      </c>
      <c r="F106" s="38"/>
      <c r="G106" s="38"/>
      <c r="H106" s="38"/>
      <c r="I106" s="38"/>
      <c r="J106" s="38"/>
      <c r="K106" s="56">
        <v>0</v>
      </c>
      <c r="L106" s="5"/>
      <c r="M106" s="49"/>
    </row>
    <row r="107" spans="5:15" x14ac:dyDescent="0.25">
      <c r="E107" s="54"/>
      <c r="F107" s="38"/>
      <c r="G107" s="38"/>
      <c r="H107" s="38"/>
      <c r="I107" s="38"/>
      <c r="J107" s="38"/>
      <c r="K107" s="56"/>
      <c r="L107" s="5"/>
      <c r="M107" s="49"/>
    </row>
    <row r="108" spans="5:15" x14ac:dyDescent="0.25">
      <c r="E108" s="54" t="s">
        <v>70</v>
      </c>
      <c r="F108" s="38"/>
      <c r="G108" s="38"/>
      <c r="H108" s="38"/>
      <c r="I108" s="38"/>
      <c r="J108" s="38"/>
      <c r="K108" s="72">
        <f>SUM(K105:K107)</f>
        <v>1103080</v>
      </c>
      <c r="L108" s="5"/>
      <c r="M108" s="49"/>
    </row>
    <row r="109" spans="5:15" x14ac:dyDescent="0.25">
      <c r="E109" s="54" t="s">
        <v>71</v>
      </c>
      <c r="F109" s="38"/>
      <c r="G109" s="38"/>
      <c r="H109" s="38"/>
      <c r="I109" s="38"/>
      <c r="J109" s="38"/>
      <c r="K109" s="56">
        <f>-K60</f>
        <v>-152076</v>
      </c>
      <c r="L109" s="5"/>
      <c r="M109" s="49"/>
    </row>
    <row r="110" spans="5:15" ht="13.8" thickBot="1" x14ac:dyDescent="0.3">
      <c r="E110" s="54" t="s">
        <v>72</v>
      </c>
      <c r="F110" s="38"/>
      <c r="G110" s="38"/>
      <c r="H110" s="38"/>
      <c r="I110" s="38"/>
      <c r="J110" s="38"/>
      <c r="K110" s="73">
        <f>SUM(K108:K109)</f>
        <v>951004</v>
      </c>
      <c r="L110" s="5"/>
      <c r="M110" s="49"/>
    </row>
    <row r="111" spans="5:15" ht="13.8" thickTop="1" x14ac:dyDescent="0.25">
      <c r="E111" s="54"/>
      <c r="F111" s="38"/>
      <c r="G111" s="38"/>
      <c r="H111" s="38"/>
      <c r="I111" s="38"/>
      <c r="J111" s="94" t="s">
        <v>95</v>
      </c>
      <c r="K111" s="56"/>
      <c r="L111" s="5"/>
      <c r="M111" s="49"/>
    </row>
    <row r="112" spans="5:15" ht="13.8" thickBot="1" x14ac:dyDescent="0.3">
      <c r="E112" s="57" t="s">
        <v>73</v>
      </c>
      <c r="F112" s="38"/>
      <c r="G112" s="58">
        <v>277562</v>
      </c>
      <c r="H112" s="59">
        <v>32161</v>
      </c>
      <c r="I112" s="59">
        <v>768246</v>
      </c>
      <c r="J112" s="59">
        <v>25110</v>
      </c>
      <c r="K112" s="56"/>
      <c r="L112" s="5"/>
      <c r="M112" s="49"/>
    </row>
    <row r="113" spans="2:13" ht="13.8" thickTop="1" x14ac:dyDescent="0.25">
      <c r="E113" s="54" t="s">
        <v>74</v>
      </c>
      <c r="F113" s="38"/>
      <c r="G113" s="60"/>
      <c r="H113" s="61"/>
      <c r="I113" s="61">
        <f>-K60</f>
        <v>-152076</v>
      </c>
      <c r="K113" s="55"/>
      <c r="L113" s="5"/>
    </row>
    <row r="114" spans="2:13" ht="13.8" thickBot="1" x14ac:dyDescent="0.3">
      <c r="E114" s="54" t="s">
        <v>75</v>
      </c>
      <c r="F114" s="38"/>
      <c r="G114" s="63"/>
      <c r="H114" s="64">
        <f>SUM(H112:H113)</f>
        <v>32161</v>
      </c>
      <c r="I114" s="64">
        <f>SUM(I112:I113)</f>
        <v>616170</v>
      </c>
      <c r="J114" s="65"/>
      <c r="K114" s="56"/>
      <c r="L114" s="5"/>
    </row>
    <row r="115" spans="2:13" ht="14.4" thickTop="1" thickBot="1" x14ac:dyDescent="0.3">
      <c r="E115" s="54" t="s">
        <v>76</v>
      </c>
      <c r="F115" s="38"/>
      <c r="G115" s="66">
        <f>1-(H115+I115)</f>
        <v>0.31826680013964193</v>
      </c>
      <c r="H115" s="66">
        <f>H$114/$K$110</f>
        <v>3.3817943983411217E-2</v>
      </c>
      <c r="I115" s="66">
        <f>I$114/$K$110</f>
        <v>0.64791525587694687</v>
      </c>
      <c r="J115" s="49"/>
      <c r="K115" s="56"/>
      <c r="L115" s="5"/>
    </row>
    <row r="116" spans="2:13" ht="14.4" thickTop="1" thickBot="1" x14ac:dyDescent="0.3">
      <c r="E116" s="67"/>
      <c r="F116" s="68"/>
      <c r="G116" s="69" t="s">
        <v>77</v>
      </c>
      <c r="H116" s="69" t="s">
        <v>78</v>
      </c>
      <c r="I116" s="69" t="s">
        <v>79</v>
      </c>
      <c r="J116" s="68"/>
      <c r="K116" s="70"/>
      <c r="L116" s="5"/>
    </row>
    <row r="117" spans="2:13" x14ac:dyDescent="0.25">
      <c r="J117" s="51"/>
      <c r="K117" s="74"/>
      <c r="L117" s="15"/>
    </row>
    <row r="118" spans="2:13" x14ac:dyDescent="0.25">
      <c r="J118" s="38"/>
      <c r="K118" s="63"/>
      <c r="L118" s="15"/>
    </row>
    <row r="119" spans="2:13" x14ac:dyDescent="0.25">
      <c r="B119" s="2" t="s">
        <v>83</v>
      </c>
      <c r="C119" s="2"/>
      <c r="D119" s="2" t="s">
        <v>149</v>
      </c>
      <c r="E119" s="78"/>
      <c r="F119" s="71"/>
      <c r="G119" s="49"/>
      <c r="H119" s="49"/>
      <c r="I119" s="88"/>
      <c r="J119" s="89"/>
      <c r="K119" s="90"/>
      <c r="L119" s="15"/>
    </row>
    <row r="120" spans="2:13" x14ac:dyDescent="0.25">
      <c r="B120" s="2" t="s">
        <v>84</v>
      </c>
      <c r="C120" s="2"/>
      <c r="D120" s="2"/>
      <c r="E120" s="71"/>
      <c r="F120" s="71"/>
      <c r="G120" s="71"/>
      <c r="H120" s="71"/>
      <c r="I120" s="88"/>
      <c r="J120" s="89"/>
      <c r="K120" s="89"/>
      <c r="M120" s="62"/>
    </row>
    <row r="121" spans="2:13" x14ac:dyDescent="0.25">
      <c r="B121" s="2" t="s">
        <v>80</v>
      </c>
      <c r="C121" s="2"/>
      <c r="D121" s="139" t="s">
        <v>150</v>
      </c>
      <c r="E121" s="71"/>
      <c r="F121" s="71"/>
      <c r="G121" s="71"/>
      <c r="H121" s="49"/>
      <c r="I121" s="49"/>
      <c r="J121" s="38"/>
      <c r="K121" s="38"/>
    </row>
    <row r="122" spans="2:13" x14ac:dyDescent="0.25">
      <c r="B122" s="2" t="s">
        <v>82</v>
      </c>
      <c r="C122" s="2"/>
      <c r="D122" s="139"/>
      <c r="E122" s="71"/>
      <c r="F122" s="71"/>
      <c r="G122" s="75"/>
      <c r="H122" s="75"/>
      <c r="I122" s="75"/>
    </row>
    <row r="123" spans="2:13" x14ac:dyDescent="0.25">
      <c r="B123" s="2" t="s">
        <v>81</v>
      </c>
      <c r="C123" s="2"/>
      <c r="D123" s="139"/>
      <c r="E123" s="71"/>
      <c r="F123" s="71"/>
      <c r="G123" s="49"/>
      <c r="H123" s="49"/>
      <c r="I123" s="49"/>
    </row>
    <row r="124" spans="2:13" x14ac:dyDescent="0.25">
      <c r="E124" s="71"/>
      <c r="F124" s="71"/>
      <c r="G124" s="75"/>
      <c r="H124" s="75"/>
      <c r="I124" s="75"/>
    </row>
    <row r="125" spans="2:13" x14ac:dyDescent="0.25">
      <c r="B125" s="2" t="s">
        <v>91</v>
      </c>
      <c r="D125" s="2" t="s">
        <v>142</v>
      </c>
      <c r="E125" s="71"/>
      <c r="F125" s="71"/>
      <c r="G125" s="76"/>
      <c r="H125" s="76"/>
      <c r="I125" s="76"/>
      <c r="J125" s="38"/>
    </row>
    <row r="126" spans="2:13" x14ac:dyDescent="0.25">
      <c r="D126" s="92" t="s">
        <v>125</v>
      </c>
      <c r="G126" s="63"/>
      <c r="H126" s="63"/>
      <c r="I126" s="63"/>
      <c r="J126" s="38"/>
    </row>
    <row r="127" spans="2:13" x14ac:dyDescent="0.25">
      <c r="G127" s="38"/>
      <c r="H127" s="38"/>
      <c r="I127" s="38"/>
      <c r="J127" s="38"/>
    </row>
  </sheetData>
  <mergeCells count="3">
    <mergeCell ref="G2:K2"/>
    <mergeCell ref="M2:Q2"/>
    <mergeCell ref="D121:D123"/>
  </mergeCells>
  <printOptions horizontalCentered="1"/>
  <pageMargins left="0.25" right="0.25" top="0.25" bottom="0.25" header="0.25" footer="0"/>
  <pageSetup scale="32" orientation="landscape" copies="2" r:id="rId1"/>
  <headerFooter alignWithMargins="0"/>
  <rowBreaks count="1" manualBreakCount="1">
    <brk id="57" min="1" max="1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95"/>
  <sheetViews>
    <sheetView zoomScaleNormal="100" workbookViewId="0">
      <selection activeCell="G9" sqref="G9:I93"/>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0.88671875" style="3" customWidth="1"/>
    <col min="7" max="7" width="16.109375" style="3" customWidth="1"/>
    <col min="8" max="8" width="16.88671875" style="3" customWidth="1"/>
    <col min="9" max="9" width="16.109375" style="3" customWidth="1"/>
    <col min="10" max="10" width="2.5546875" style="3" customWidth="1"/>
    <col min="11" max="16384" width="9.109375" style="3"/>
  </cols>
  <sheetData>
    <row r="1" spans="2:10" x14ac:dyDescent="0.25">
      <c r="E1" s="2"/>
      <c r="F1" s="2"/>
    </row>
    <row r="2" spans="2:10" ht="21" thickBot="1" x14ac:dyDescent="0.4">
      <c r="B2" s="1" t="s">
        <v>0</v>
      </c>
      <c r="C2" s="2"/>
      <c r="D2" s="2"/>
      <c r="E2" s="2"/>
      <c r="F2" s="2"/>
      <c r="G2" s="100"/>
      <c r="H2" s="134"/>
      <c r="I2" s="134"/>
      <c r="J2" s="83"/>
    </row>
    <row r="3" spans="2:10" ht="20.399999999999999" x14ac:dyDescent="0.35">
      <c r="B3" s="1" t="s">
        <v>1</v>
      </c>
      <c r="C3" s="2"/>
      <c r="D3" s="2"/>
    </row>
    <row r="4" spans="2:10" x14ac:dyDescent="0.25">
      <c r="B4" s="2" t="s">
        <v>170</v>
      </c>
      <c r="C4" s="2"/>
      <c r="D4" s="2"/>
      <c r="G4" s="7" t="s">
        <v>6</v>
      </c>
      <c r="H4" s="7" t="s">
        <v>6</v>
      </c>
      <c r="I4" s="7" t="s">
        <v>8</v>
      </c>
      <c r="J4" s="7"/>
    </row>
    <row r="5" spans="2:10" ht="15" x14ac:dyDescent="0.25">
      <c r="B5" s="4"/>
      <c r="C5" s="2"/>
      <c r="D5" s="4" t="s">
        <v>2</v>
      </c>
      <c r="G5" s="7" t="s">
        <v>12</v>
      </c>
      <c r="H5" s="7" t="s">
        <v>12</v>
      </c>
      <c r="I5" s="7" t="s">
        <v>13</v>
      </c>
      <c r="J5" s="7"/>
    </row>
    <row r="6" spans="2:10" x14ac:dyDescent="0.25">
      <c r="D6" s="81"/>
      <c r="E6" s="15"/>
      <c r="G6" s="7"/>
      <c r="H6" s="7"/>
      <c r="I6" s="7"/>
      <c r="J6" s="7"/>
    </row>
    <row r="7" spans="2:10" ht="13.8" thickBot="1" x14ac:dyDescent="0.3">
      <c r="B7" s="2"/>
      <c r="E7" s="15"/>
      <c r="G7" s="8" t="s">
        <v>17</v>
      </c>
      <c r="H7" s="8" t="s">
        <v>17</v>
      </c>
      <c r="I7" s="8" t="s">
        <v>18</v>
      </c>
      <c r="J7" s="84"/>
    </row>
    <row r="8" spans="2:10" ht="5.0999999999999996" customHeight="1" x14ac:dyDescent="0.25">
      <c r="B8" s="2"/>
      <c r="E8" s="15"/>
      <c r="G8" s="9"/>
      <c r="H8" s="9"/>
      <c r="I8" s="9"/>
      <c r="J8" s="87"/>
    </row>
    <row r="9" spans="2:10" ht="14.4" thickBot="1" x14ac:dyDescent="0.3">
      <c r="B9" s="6" t="s">
        <v>3</v>
      </c>
      <c r="D9" s="3" t="s">
        <v>19</v>
      </c>
      <c r="E9" s="18" t="s">
        <v>20</v>
      </c>
      <c r="G9" s="11">
        <v>54303</v>
      </c>
      <c r="H9" s="11">
        <v>0</v>
      </c>
      <c r="I9" s="11">
        <f>G9-H9</f>
        <v>54303</v>
      </c>
      <c r="J9" s="12"/>
    </row>
    <row r="10" spans="2:10" x14ac:dyDescent="0.25">
      <c r="B10" s="2" t="s">
        <v>9</v>
      </c>
      <c r="E10" s="18" t="s">
        <v>21</v>
      </c>
      <c r="G10" s="13">
        <v>997</v>
      </c>
      <c r="H10" s="13">
        <v>997</v>
      </c>
      <c r="I10" s="13">
        <f t="shared" ref="I10:I73" si="0">G10-H10</f>
        <v>0</v>
      </c>
      <c r="J10" s="85"/>
    </row>
    <row r="11" spans="2:10" x14ac:dyDescent="0.25">
      <c r="E11" s="18"/>
      <c r="G11" s="15"/>
      <c r="H11" s="15"/>
      <c r="I11" s="15">
        <f t="shared" si="0"/>
        <v>0</v>
      </c>
    </row>
    <row r="12" spans="2:10" ht="13.8" thickBot="1" x14ac:dyDescent="0.3">
      <c r="D12" s="3" t="s">
        <v>22</v>
      </c>
      <c r="E12" s="18" t="s">
        <v>20</v>
      </c>
      <c r="G12" s="11">
        <v>64879</v>
      </c>
      <c r="H12" s="11">
        <v>64879</v>
      </c>
      <c r="I12" s="11">
        <f t="shared" si="0"/>
        <v>0</v>
      </c>
      <c r="J12" s="12"/>
    </row>
    <row r="13" spans="2:10" x14ac:dyDescent="0.25">
      <c r="E13" s="18" t="s">
        <v>21</v>
      </c>
      <c r="G13" s="13">
        <v>1112.3</v>
      </c>
      <c r="H13" s="13">
        <v>1112.3</v>
      </c>
      <c r="I13" s="13">
        <f t="shared" si="0"/>
        <v>0</v>
      </c>
      <c r="J13" s="85"/>
    </row>
    <row r="14" spans="2:10" x14ac:dyDescent="0.25">
      <c r="E14" s="15"/>
      <c r="G14" s="15"/>
      <c r="H14" s="15"/>
      <c r="I14" s="15">
        <f t="shared" si="0"/>
        <v>0</v>
      </c>
    </row>
    <row r="15" spans="2:10" x14ac:dyDescent="0.25">
      <c r="D15" s="3" t="s">
        <v>23</v>
      </c>
      <c r="E15" s="18" t="s">
        <v>24</v>
      </c>
      <c r="G15" s="11">
        <v>11129.070203979476</v>
      </c>
      <c r="H15" s="11">
        <v>0</v>
      </c>
      <c r="I15" s="11">
        <f t="shared" si="0"/>
        <v>11129.070203979476</v>
      </c>
      <c r="J15" s="12"/>
    </row>
    <row r="16" spans="2:10" x14ac:dyDescent="0.25">
      <c r="D16" s="3" t="s">
        <v>25</v>
      </c>
      <c r="E16" s="18" t="s">
        <v>26</v>
      </c>
      <c r="G16" s="11">
        <v>3944.5041438800249</v>
      </c>
      <c r="H16" s="11">
        <v>3944.5041438800249</v>
      </c>
      <c r="I16" s="11">
        <f t="shared" si="0"/>
        <v>0</v>
      </c>
      <c r="J16" s="12"/>
    </row>
    <row r="17" spans="2:10" x14ac:dyDescent="0.25">
      <c r="E17" s="18" t="s">
        <v>27</v>
      </c>
      <c r="G17" s="11">
        <v>611.35026905268421</v>
      </c>
      <c r="H17" s="11">
        <v>0</v>
      </c>
      <c r="I17" s="11">
        <f t="shared" si="0"/>
        <v>611.35026905268421</v>
      </c>
      <c r="J17" s="12"/>
    </row>
    <row r="18" spans="2:10" x14ac:dyDescent="0.25">
      <c r="E18" s="18" t="s">
        <v>28</v>
      </c>
      <c r="G18" s="11">
        <v>9202</v>
      </c>
      <c r="H18" s="11">
        <v>0</v>
      </c>
      <c r="I18" s="11">
        <f t="shared" si="0"/>
        <v>9202</v>
      </c>
      <c r="J18" s="12"/>
    </row>
    <row r="19" spans="2:10" x14ac:dyDescent="0.25">
      <c r="E19" s="18" t="s">
        <v>29</v>
      </c>
      <c r="G19" s="11">
        <v>0</v>
      </c>
      <c r="H19" s="11">
        <v>0</v>
      </c>
      <c r="I19" s="11">
        <f t="shared" si="0"/>
        <v>0</v>
      </c>
      <c r="J19" s="12"/>
    </row>
    <row r="20" spans="2:10" x14ac:dyDescent="0.25">
      <c r="E20" s="18" t="s">
        <v>30</v>
      </c>
      <c r="G20" s="21">
        <v>2854</v>
      </c>
      <c r="H20" s="11">
        <v>0</v>
      </c>
      <c r="I20" s="11">
        <f t="shared" si="0"/>
        <v>2854</v>
      </c>
      <c r="J20" s="12"/>
    </row>
    <row r="21" spans="2:10" x14ac:dyDescent="0.25">
      <c r="D21" s="2" t="s">
        <v>31</v>
      </c>
      <c r="E21" s="18"/>
      <c r="G21" s="23">
        <v>146922.92461691218</v>
      </c>
      <c r="H21" s="25">
        <v>68823.504143880025</v>
      </c>
      <c r="I21" s="25">
        <f t="shared" si="0"/>
        <v>78099.420473032151</v>
      </c>
      <c r="J21" s="86"/>
    </row>
    <row r="22" spans="2:10" x14ac:dyDescent="0.25">
      <c r="E22" s="18"/>
      <c r="G22" s="11"/>
      <c r="H22" s="11"/>
      <c r="I22" s="11">
        <f t="shared" si="0"/>
        <v>0</v>
      </c>
      <c r="J22" s="12"/>
    </row>
    <row r="23" spans="2:10" x14ac:dyDescent="0.25">
      <c r="B23" s="2" t="s">
        <v>32</v>
      </c>
      <c r="E23" s="18" t="s">
        <v>33</v>
      </c>
      <c r="G23" s="21">
        <v>21974</v>
      </c>
      <c r="H23" s="21">
        <v>1743.7935795504497</v>
      </c>
      <c r="I23" s="21">
        <f t="shared" si="0"/>
        <v>20230.206420449551</v>
      </c>
      <c r="J23" s="29"/>
    </row>
    <row r="24" spans="2:10" x14ac:dyDescent="0.25">
      <c r="B24" s="2"/>
      <c r="D24" s="2" t="s">
        <v>34</v>
      </c>
      <c r="E24" s="18"/>
      <c r="G24" s="23">
        <v>21974</v>
      </c>
      <c r="H24" s="23">
        <v>1743.7935795504497</v>
      </c>
      <c r="I24" s="23">
        <f t="shared" si="0"/>
        <v>20230.206420449551</v>
      </c>
      <c r="J24" s="24"/>
    </row>
    <row r="25" spans="2:10" x14ac:dyDescent="0.25">
      <c r="B25" s="2"/>
      <c r="E25" s="15"/>
      <c r="G25" s="15"/>
      <c r="H25" s="15"/>
      <c r="I25" s="15">
        <f t="shared" si="0"/>
        <v>0</v>
      </c>
    </row>
    <row r="26" spans="2:10" x14ac:dyDescent="0.25">
      <c r="B26" s="2" t="s">
        <v>35</v>
      </c>
      <c r="E26" s="18" t="s">
        <v>36</v>
      </c>
      <c r="F26" s="15"/>
      <c r="G26" s="11">
        <v>733</v>
      </c>
      <c r="H26" s="29">
        <v>0</v>
      </c>
      <c r="I26" s="29">
        <f t="shared" si="0"/>
        <v>733</v>
      </c>
      <c r="J26" s="12"/>
    </row>
    <row r="27" spans="2:10" x14ac:dyDescent="0.25">
      <c r="B27" s="2"/>
      <c r="E27" s="18" t="s">
        <v>37</v>
      </c>
      <c r="G27" s="11">
        <v>1040</v>
      </c>
      <c r="H27" s="11">
        <v>1040</v>
      </c>
      <c r="I27" s="11">
        <f t="shared" si="0"/>
        <v>0</v>
      </c>
      <c r="J27" s="12"/>
    </row>
    <row r="28" spans="2:10" x14ac:dyDescent="0.25">
      <c r="B28" s="2"/>
      <c r="E28" s="15" t="s">
        <v>38</v>
      </c>
      <c r="G28" s="11">
        <v>0</v>
      </c>
      <c r="H28" s="11">
        <v>0</v>
      </c>
      <c r="I28" s="11">
        <f t="shared" si="0"/>
        <v>0</v>
      </c>
      <c r="J28" s="12"/>
    </row>
    <row r="29" spans="2:10" x14ac:dyDescent="0.25">
      <c r="B29" s="2"/>
      <c r="E29" s="18" t="s">
        <v>39</v>
      </c>
      <c r="G29" s="11">
        <v>6193</v>
      </c>
      <c r="H29" s="11">
        <v>6193</v>
      </c>
      <c r="I29" s="11">
        <f t="shared" si="0"/>
        <v>0</v>
      </c>
      <c r="J29" s="12"/>
    </row>
    <row r="30" spans="2:10" x14ac:dyDescent="0.25">
      <c r="B30" s="2"/>
      <c r="E30" s="10" t="s">
        <v>40</v>
      </c>
      <c r="G30" s="21">
        <v>0</v>
      </c>
      <c r="H30" s="21">
        <v>0</v>
      </c>
      <c r="I30" s="21">
        <f t="shared" si="0"/>
        <v>0</v>
      </c>
      <c r="J30" s="82"/>
    </row>
    <row r="31" spans="2:10" x14ac:dyDescent="0.25">
      <c r="B31" s="2"/>
      <c r="D31" s="2" t="s">
        <v>41</v>
      </c>
      <c r="G31" s="24">
        <v>7966</v>
      </c>
      <c r="H31" s="23">
        <v>7233</v>
      </c>
      <c r="I31" s="23">
        <f t="shared" si="0"/>
        <v>733</v>
      </c>
      <c r="J31" s="24"/>
    </row>
    <row r="32" spans="2:10" x14ac:dyDescent="0.25">
      <c r="B32" s="2"/>
      <c r="I32" s="3">
        <f t="shared" si="0"/>
        <v>0</v>
      </c>
    </row>
    <row r="33" spans="2:10" x14ac:dyDescent="0.25">
      <c r="B33" s="2" t="s">
        <v>42</v>
      </c>
      <c r="D33" s="2" t="s">
        <v>43</v>
      </c>
      <c r="E33" s="3" t="s">
        <v>44</v>
      </c>
      <c r="G33" s="11">
        <v>0</v>
      </c>
      <c r="H33" s="12">
        <v>0</v>
      </c>
      <c r="I33" s="12">
        <f t="shared" si="0"/>
        <v>0</v>
      </c>
      <c r="J33" s="12"/>
    </row>
    <row r="34" spans="2:10" x14ac:dyDescent="0.25">
      <c r="B34" s="2" t="s">
        <v>45</v>
      </c>
      <c r="D34" s="2" t="s">
        <v>46</v>
      </c>
      <c r="E34" s="3" t="s">
        <v>47</v>
      </c>
      <c r="G34" s="11">
        <v>0</v>
      </c>
      <c r="H34" s="12">
        <v>0</v>
      </c>
      <c r="I34" s="12">
        <f t="shared" si="0"/>
        <v>0</v>
      </c>
      <c r="J34" s="12"/>
    </row>
    <row r="35" spans="2:10" x14ac:dyDescent="0.25">
      <c r="D35" s="2"/>
      <c r="G35" s="15"/>
      <c r="I35" s="3">
        <f t="shared" si="0"/>
        <v>0</v>
      </c>
      <c r="J35" s="12"/>
    </row>
    <row r="36" spans="2:10" x14ac:dyDescent="0.25">
      <c r="D36" s="2" t="s">
        <v>48</v>
      </c>
      <c r="E36" s="3" t="s">
        <v>49</v>
      </c>
      <c r="G36" s="11">
        <v>0</v>
      </c>
      <c r="H36" s="12">
        <v>0</v>
      </c>
      <c r="I36" s="12">
        <f t="shared" si="0"/>
        <v>0</v>
      </c>
      <c r="J36" s="12"/>
    </row>
    <row r="37" spans="2:10" x14ac:dyDescent="0.25">
      <c r="D37" s="2" t="s">
        <v>50</v>
      </c>
      <c r="E37" s="3" t="s">
        <v>51</v>
      </c>
      <c r="G37" s="11">
        <v>0</v>
      </c>
      <c r="H37" s="12">
        <v>0</v>
      </c>
      <c r="I37" s="12">
        <f t="shared" si="0"/>
        <v>0</v>
      </c>
      <c r="J37" s="12"/>
    </row>
    <row r="38" spans="2:10" x14ac:dyDescent="0.25">
      <c r="D38" s="2"/>
      <c r="E38" s="3" t="s">
        <v>52</v>
      </c>
      <c r="G38" s="11">
        <v>0</v>
      </c>
      <c r="H38" s="12">
        <v>0</v>
      </c>
      <c r="I38" s="12">
        <f t="shared" si="0"/>
        <v>0</v>
      </c>
      <c r="J38" s="12"/>
    </row>
    <row r="39" spans="2:10" x14ac:dyDescent="0.25">
      <c r="D39" s="2"/>
      <c r="E39" s="3" t="s">
        <v>53</v>
      </c>
      <c r="G39" s="11"/>
      <c r="H39" s="12">
        <v>0</v>
      </c>
      <c r="I39" s="12">
        <f t="shared" si="0"/>
        <v>0</v>
      </c>
      <c r="J39" s="12"/>
    </row>
    <row r="40" spans="2:10" x14ac:dyDescent="0.25">
      <c r="D40" s="2"/>
      <c r="G40" s="15"/>
      <c r="I40" s="3">
        <f t="shared" si="0"/>
        <v>0</v>
      </c>
      <c r="J40" s="12"/>
    </row>
    <row r="41" spans="2:10" x14ac:dyDescent="0.25">
      <c r="D41" s="2" t="s">
        <v>54</v>
      </c>
      <c r="G41" s="11">
        <v>0</v>
      </c>
      <c r="H41" s="12">
        <v>0</v>
      </c>
      <c r="I41" s="12">
        <f t="shared" si="0"/>
        <v>0</v>
      </c>
      <c r="J41" s="12"/>
    </row>
    <row r="42" spans="2:10" x14ac:dyDescent="0.25">
      <c r="D42" s="2"/>
      <c r="G42" s="15"/>
      <c r="I42" s="3">
        <f t="shared" si="0"/>
        <v>0</v>
      </c>
    </row>
    <row r="43" spans="2:10" x14ac:dyDescent="0.25">
      <c r="D43" s="2" t="s">
        <v>55</v>
      </c>
      <c r="G43" s="11">
        <v>0</v>
      </c>
      <c r="H43" s="12">
        <v>0</v>
      </c>
      <c r="I43" s="12">
        <f t="shared" si="0"/>
        <v>0</v>
      </c>
      <c r="J43" s="12"/>
    </row>
    <row r="44" spans="2:10" x14ac:dyDescent="0.25">
      <c r="D44" s="2"/>
      <c r="G44" s="15"/>
      <c r="I44" s="3">
        <f t="shared" si="0"/>
        <v>0</v>
      </c>
    </row>
    <row r="45" spans="2:10" x14ac:dyDescent="0.25">
      <c r="D45" s="2" t="s">
        <v>56</v>
      </c>
      <c r="G45" s="11">
        <v>0</v>
      </c>
      <c r="H45" s="12">
        <v>0</v>
      </c>
      <c r="I45" s="12">
        <f t="shared" si="0"/>
        <v>0</v>
      </c>
      <c r="J45" s="12"/>
    </row>
    <row r="46" spans="2:10" x14ac:dyDescent="0.25">
      <c r="D46" s="2"/>
      <c r="G46" s="15"/>
      <c r="I46" s="3">
        <f t="shared" si="0"/>
        <v>0</v>
      </c>
    </row>
    <row r="47" spans="2:10" x14ac:dyDescent="0.25">
      <c r="D47" s="2" t="s">
        <v>57</v>
      </c>
      <c r="G47" s="11">
        <v>0</v>
      </c>
      <c r="H47" s="12">
        <v>0</v>
      </c>
      <c r="I47" s="12">
        <f t="shared" si="0"/>
        <v>0</v>
      </c>
      <c r="J47" s="12"/>
    </row>
    <row r="48" spans="2:10" x14ac:dyDescent="0.25">
      <c r="D48" s="2" t="s">
        <v>58</v>
      </c>
      <c r="G48" s="15"/>
      <c r="I48" s="3">
        <f t="shared" si="0"/>
        <v>0</v>
      </c>
    </row>
    <row r="49" spans="2:10" x14ac:dyDescent="0.25">
      <c r="D49" s="2"/>
      <c r="G49" s="15"/>
      <c r="I49" s="3">
        <f t="shared" si="0"/>
        <v>0</v>
      </c>
    </row>
    <row r="50" spans="2:10" x14ac:dyDescent="0.25">
      <c r="B50" s="2"/>
      <c r="D50" s="2" t="s">
        <v>53</v>
      </c>
      <c r="G50" s="21">
        <v>582</v>
      </c>
      <c r="H50" s="22">
        <v>582</v>
      </c>
      <c r="I50" s="22">
        <f t="shared" si="0"/>
        <v>0</v>
      </c>
      <c r="J50" s="82"/>
    </row>
    <row r="51" spans="2:10" x14ac:dyDescent="0.25">
      <c r="D51" s="2" t="s">
        <v>59</v>
      </c>
      <c r="G51" s="24">
        <v>582</v>
      </c>
      <c r="H51" s="24">
        <v>582</v>
      </c>
      <c r="I51" s="24">
        <f t="shared" si="0"/>
        <v>0</v>
      </c>
      <c r="J51" s="24"/>
    </row>
    <row r="52" spans="2:10" x14ac:dyDescent="0.25">
      <c r="B52" s="2"/>
      <c r="I52" s="3">
        <f t="shared" si="0"/>
        <v>0</v>
      </c>
    </row>
    <row r="53" spans="2:10" x14ac:dyDescent="0.25">
      <c r="B53" s="2" t="s">
        <v>60</v>
      </c>
      <c r="G53" s="12">
        <v>0</v>
      </c>
      <c r="H53" s="12">
        <v>0</v>
      </c>
      <c r="I53" s="12">
        <f t="shared" si="0"/>
        <v>0</v>
      </c>
      <c r="J53" s="12"/>
    </row>
    <row r="54" spans="2:10" x14ac:dyDescent="0.25">
      <c r="B54" s="2" t="s">
        <v>61</v>
      </c>
      <c r="I54" s="3">
        <f t="shared" si="0"/>
        <v>0</v>
      </c>
    </row>
    <row r="55" spans="2:10" ht="13.8" thickBot="1" x14ac:dyDescent="0.3">
      <c r="I55" s="3">
        <f t="shared" si="0"/>
        <v>0</v>
      </c>
      <c r="J55" s="40"/>
    </row>
    <row r="56" spans="2:10" x14ac:dyDescent="0.25">
      <c r="B56" s="2" t="s">
        <v>62</v>
      </c>
      <c r="G56" s="31">
        <v>177444.92461691218</v>
      </c>
      <c r="H56" s="31">
        <v>78382.297723430471</v>
      </c>
      <c r="I56" s="31">
        <f t="shared" si="0"/>
        <v>99062.626893481705</v>
      </c>
      <c r="J56" s="86"/>
    </row>
    <row r="57" spans="2:10" x14ac:dyDescent="0.25">
      <c r="I57" s="3">
        <f t="shared" si="0"/>
        <v>0</v>
      </c>
    </row>
    <row r="58" spans="2:10" x14ac:dyDescent="0.25">
      <c r="I58" s="3">
        <f t="shared" si="0"/>
        <v>0</v>
      </c>
    </row>
    <row r="59" spans="2:10" ht="13.8" x14ac:dyDescent="0.25">
      <c r="B59" s="6" t="s">
        <v>63</v>
      </c>
      <c r="I59" s="3">
        <f t="shared" si="0"/>
        <v>0</v>
      </c>
    </row>
    <row r="60" spans="2:10" x14ac:dyDescent="0.25">
      <c r="D60" s="15" t="s">
        <v>64</v>
      </c>
      <c r="E60" s="10" t="s">
        <v>20</v>
      </c>
      <c r="G60" s="12">
        <v>152076</v>
      </c>
      <c r="H60" s="12">
        <v>152076</v>
      </c>
      <c r="I60" s="12">
        <f t="shared" si="0"/>
        <v>0</v>
      </c>
      <c r="J60" s="11"/>
    </row>
    <row r="61" spans="2:10" x14ac:dyDescent="0.25">
      <c r="D61" s="15"/>
      <c r="E61" s="10" t="s">
        <v>21</v>
      </c>
      <c r="G61" s="33">
        <v>0</v>
      </c>
      <c r="H61" s="33">
        <v>0</v>
      </c>
      <c r="I61" s="33">
        <f t="shared" si="0"/>
        <v>0</v>
      </c>
      <c r="J61" s="33"/>
    </row>
    <row r="62" spans="2:10" x14ac:dyDescent="0.25">
      <c r="D62" s="15"/>
      <c r="E62" s="10"/>
      <c r="I62" s="3">
        <f t="shared" si="0"/>
        <v>0</v>
      </c>
    </row>
    <row r="63" spans="2:10" x14ac:dyDescent="0.25">
      <c r="D63" s="15" t="s">
        <v>94</v>
      </c>
      <c r="E63" s="10" t="s">
        <v>20</v>
      </c>
      <c r="G63" s="12">
        <v>250685.53956660538</v>
      </c>
      <c r="H63" s="12">
        <v>250685.53956660538</v>
      </c>
      <c r="I63" s="12">
        <f t="shared" si="0"/>
        <v>0</v>
      </c>
      <c r="J63" s="11"/>
    </row>
    <row r="64" spans="2:10" ht="12.75" customHeight="1" x14ac:dyDescent="0.25">
      <c r="D64" s="15"/>
      <c r="E64" s="10" t="s">
        <v>21</v>
      </c>
      <c r="G64" s="36">
        <v>0</v>
      </c>
      <c r="H64" s="33">
        <v>0</v>
      </c>
      <c r="I64" s="33">
        <f t="shared" si="0"/>
        <v>0</v>
      </c>
      <c r="J64" s="33"/>
    </row>
    <row r="65" spans="4:10" ht="12.75" customHeight="1" x14ac:dyDescent="0.25">
      <c r="D65" s="15"/>
      <c r="E65" s="10"/>
      <c r="I65" s="3">
        <f t="shared" si="0"/>
        <v>0</v>
      </c>
    </row>
    <row r="66" spans="4:10" x14ac:dyDescent="0.25">
      <c r="D66" s="15" t="s">
        <v>65</v>
      </c>
      <c r="E66" s="10" t="s">
        <v>20</v>
      </c>
      <c r="G66" s="12">
        <v>7826.8162909935181</v>
      </c>
      <c r="H66" s="12">
        <v>7826.8162909935181</v>
      </c>
      <c r="I66" s="12">
        <f t="shared" si="0"/>
        <v>0</v>
      </c>
      <c r="J66" s="11"/>
    </row>
    <row r="67" spans="4:10" x14ac:dyDescent="0.25">
      <c r="D67" s="15"/>
      <c r="E67" s="10" t="s">
        <v>21</v>
      </c>
      <c r="G67" s="36">
        <v>0</v>
      </c>
      <c r="H67" s="33">
        <v>0</v>
      </c>
      <c r="I67" s="33">
        <f t="shared" si="0"/>
        <v>0</v>
      </c>
      <c r="J67" s="33"/>
    </row>
    <row r="68" spans="4:10" x14ac:dyDescent="0.25">
      <c r="D68" s="15"/>
      <c r="E68" s="10"/>
      <c r="G68" s="33"/>
      <c r="H68" s="33"/>
      <c r="I68" s="33">
        <f t="shared" si="0"/>
        <v>0</v>
      </c>
      <c r="J68" s="34"/>
    </row>
    <row r="69" spans="4:10" x14ac:dyDescent="0.25">
      <c r="D69" s="99" t="s">
        <v>155</v>
      </c>
      <c r="E69" s="10" t="s">
        <v>20</v>
      </c>
      <c r="G69" s="12">
        <v>1678.1005127212925</v>
      </c>
      <c r="H69" s="12">
        <v>1678.1005127212925</v>
      </c>
      <c r="I69" s="12">
        <f t="shared" si="0"/>
        <v>0</v>
      </c>
      <c r="J69" s="11"/>
    </row>
    <row r="70" spans="4:10" x14ac:dyDescent="0.25">
      <c r="D70" s="15"/>
      <c r="E70" s="10" t="s">
        <v>21</v>
      </c>
      <c r="G70" s="36">
        <v>0</v>
      </c>
      <c r="H70" s="33">
        <v>0</v>
      </c>
      <c r="I70" s="33">
        <f t="shared" si="0"/>
        <v>0</v>
      </c>
      <c r="J70" s="33"/>
    </row>
    <row r="71" spans="4:10" x14ac:dyDescent="0.25">
      <c r="D71" s="15"/>
      <c r="E71" s="10"/>
      <c r="G71" s="36"/>
      <c r="H71" s="33"/>
      <c r="I71" s="33">
        <f t="shared" si="0"/>
        <v>0</v>
      </c>
      <c r="J71" s="33"/>
    </row>
    <row r="72" spans="4:10" x14ac:dyDescent="0.25">
      <c r="D72" s="15" t="s">
        <v>127</v>
      </c>
      <c r="E72" s="10" t="s">
        <v>20</v>
      </c>
      <c r="G72" s="12">
        <v>10791.676501886426</v>
      </c>
      <c r="H72" s="12">
        <v>10791.676501886426</v>
      </c>
      <c r="I72" s="12">
        <f t="shared" si="0"/>
        <v>0</v>
      </c>
      <c r="J72" s="33"/>
    </row>
    <row r="73" spans="4:10" x14ac:dyDescent="0.25">
      <c r="D73" s="15"/>
      <c r="E73" s="10" t="s">
        <v>21</v>
      </c>
      <c r="G73" s="36">
        <v>0</v>
      </c>
      <c r="H73" s="33">
        <v>0</v>
      </c>
      <c r="I73" s="33">
        <f t="shared" si="0"/>
        <v>0</v>
      </c>
      <c r="J73" s="33"/>
    </row>
    <row r="74" spans="4:10" x14ac:dyDescent="0.25">
      <c r="D74" s="15"/>
      <c r="E74" s="10"/>
      <c r="I74" s="3">
        <f t="shared" ref="I74:I93" si="1">G74-H74</f>
        <v>0</v>
      </c>
    </row>
    <row r="75" spans="4:10" x14ac:dyDescent="0.25">
      <c r="D75" s="99" t="s">
        <v>156</v>
      </c>
      <c r="E75" s="10" t="s">
        <v>20</v>
      </c>
      <c r="G75" s="12">
        <v>10331.008754957918</v>
      </c>
      <c r="H75" s="12">
        <v>10331.008754957918</v>
      </c>
      <c r="I75" s="12">
        <f t="shared" si="1"/>
        <v>0</v>
      </c>
    </row>
    <row r="76" spans="4:10" x14ac:dyDescent="0.25">
      <c r="D76" s="15"/>
      <c r="E76" s="10" t="s">
        <v>21</v>
      </c>
      <c r="G76" s="36">
        <v>0</v>
      </c>
      <c r="H76" s="33">
        <v>0</v>
      </c>
      <c r="I76" s="33">
        <f t="shared" si="1"/>
        <v>0</v>
      </c>
    </row>
    <row r="77" spans="4:10" x14ac:dyDescent="0.25">
      <c r="D77" s="15"/>
      <c r="E77" s="10"/>
      <c r="I77" s="3">
        <f t="shared" si="1"/>
        <v>0</v>
      </c>
    </row>
    <row r="78" spans="4:10" x14ac:dyDescent="0.25">
      <c r="D78" s="99" t="s">
        <v>144</v>
      </c>
      <c r="E78" s="10" t="s">
        <v>20</v>
      </c>
      <c r="G78" s="12">
        <v>36605.268211279865</v>
      </c>
      <c r="H78" s="12">
        <v>36605.268211279865</v>
      </c>
      <c r="I78" s="12">
        <f t="shared" si="1"/>
        <v>0</v>
      </c>
    </row>
    <row r="79" spans="4:10" x14ac:dyDescent="0.25">
      <c r="D79" s="15"/>
      <c r="E79" s="10" t="s">
        <v>21</v>
      </c>
      <c r="G79" s="36">
        <v>0</v>
      </c>
      <c r="H79" s="33">
        <v>0</v>
      </c>
      <c r="I79" s="33">
        <f t="shared" si="1"/>
        <v>0</v>
      </c>
    </row>
    <row r="80" spans="4:10" x14ac:dyDescent="0.25">
      <c r="D80" s="15"/>
      <c r="E80" s="10"/>
      <c r="I80" s="3">
        <f t="shared" si="1"/>
        <v>0</v>
      </c>
    </row>
    <row r="81" spans="2:10" x14ac:dyDescent="0.25">
      <c r="D81" s="99" t="s">
        <v>145</v>
      </c>
      <c r="E81" s="10" t="s">
        <v>20</v>
      </c>
      <c r="G81" s="12">
        <v>0</v>
      </c>
      <c r="H81" s="12">
        <v>0</v>
      </c>
      <c r="I81" s="12">
        <f t="shared" si="1"/>
        <v>0</v>
      </c>
    </row>
    <row r="82" spans="2:10" x14ac:dyDescent="0.25">
      <c r="D82" s="15"/>
      <c r="E82" s="10" t="s">
        <v>21</v>
      </c>
      <c r="G82" s="36">
        <v>40799.871577827224</v>
      </c>
      <c r="H82" s="33">
        <v>40799.871577827224</v>
      </c>
      <c r="I82" s="33">
        <f t="shared" si="1"/>
        <v>0</v>
      </c>
    </row>
    <row r="83" spans="2:10" x14ac:dyDescent="0.25">
      <c r="D83" s="15"/>
      <c r="E83" s="10"/>
      <c r="I83" s="3">
        <f t="shared" si="1"/>
        <v>0</v>
      </c>
    </row>
    <row r="84" spans="2:10" x14ac:dyDescent="0.25">
      <c r="D84" s="99"/>
      <c r="E84" s="10" t="s">
        <v>20</v>
      </c>
      <c r="G84" s="12">
        <v>0</v>
      </c>
      <c r="H84" s="12">
        <v>0</v>
      </c>
      <c r="I84" s="12">
        <f t="shared" si="1"/>
        <v>0</v>
      </c>
      <c r="J84" s="12"/>
    </row>
    <row r="85" spans="2:10" x14ac:dyDescent="0.25">
      <c r="E85" s="10" t="s">
        <v>21</v>
      </c>
      <c r="G85" s="36">
        <v>0</v>
      </c>
      <c r="H85" s="33">
        <v>0</v>
      </c>
      <c r="I85" s="33">
        <f t="shared" si="1"/>
        <v>0</v>
      </c>
      <c r="J85" s="33"/>
    </row>
    <row r="86" spans="2:10" x14ac:dyDescent="0.25">
      <c r="E86" s="10"/>
      <c r="G86" s="36"/>
      <c r="H86" s="33"/>
      <c r="I86" s="33">
        <f t="shared" si="1"/>
        <v>0</v>
      </c>
      <c r="J86" s="33"/>
    </row>
    <row r="87" spans="2:10" x14ac:dyDescent="0.25">
      <c r="D87" s="15" t="s">
        <v>66</v>
      </c>
      <c r="E87" s="10" t="s">
        <v>20</v>
      </c>
      <c r="G87" s="12">
        <v>0</v>
      </c>
      <c r="H87" s="12">
        <v>0</v>
      </c>
      <c r="I87" s="12">
        <f t="shared" si="1"/>
        <v>0</v>
      </c>
      <c r="J87" s="12"/>
    </row>
    <row r="88" spans="2:10" ht="13.8" thickBot="1" x14ac:dyDescent="0.3">
      <c r="D88" s="15"/>
      <c r="I88" s="3">
        <f t="shared" si="1"/>
        <v>0</v>
      </c>
    </row>
    <row r="89" spans="2:10" ht="13.8" thickBot="1" x14ac:dyDescent="0.3">
      <c r="B89" s="2" t="s">
        <v>67</v>
      </c>
      <c r="E89" s="10" t="s">
        <v>20</v>
      </c>
      <c r="G89" s="31">
        <v>469994.40983844444</v>
      </c>
      <c r="H89" s="31">
        <v>469994.40983844444</v>
      </c>
      <c r="I89" s="31">
        <f t="shared" si="1"/>
        <v>0</v>
      </c>
      <c r="J89" s="86"/>
    </row>
    <row r="90" spans="2:10" x14ac:dyDescent="0.25">
      <c r="B90" s="2"/>
      <c r="E90" s="10" t="s">
        <v>21</v>
      </c>
      <c r="G90" s="31">
        <v>40799.871577827224</v>
      </c>
      <c r="H90" s="31">
        <v>40799.871577827224</v>
      </c>
      <c r="I90" s="31">
        <f t="shared" si="1"/>
        <v>0</v>
      </c>
      <c r="J90" s="42"/>
    </row>
    <row r="91" spans="2:10" x14ac:dyDescent="0.25">
      <c r="I91" s="3">
        <f t="shared" si="1"/>
        <v>0</v>
      </c>
    </row>
    <row r="92" spans="2:10" ht="13.8" thickBot="1" x14ac:dyDescent="0.3">
      <c r="I92" s="3">
        <f t="shared" si="1"/>
        <v>0</v>
      </c>
    </row>
    <row r="93" spans="2:10" ht="14.4" thickBot="1" x14ac:dyDescent="0.3">
      <c r="B93" s="6" t="s">
        <v>68</v>
      </c>
      <c r="G93" s="45">
        <v>647439.33445535658</v>
      </c>
      <c r="H93" s="79">
        <v>548376.70756187488</v>
      </c>
      <c r="I93" s="79">
        <f t="shared" si="1"/>
        <v>99062.626893481705</v>
      </c>
      <c r="J93" s="86"/>
    </row>
    <row r="94" spans="2:10" ht="13.8" thickTop="1" x14ac:dyDescent="0.25">
      <c r="G94" s="77"/>
      <c r="H94" s="80"/>
    </row>
    <row r="95" spans="2:10" x14ac:dyDescent="0.25">
      <c r="G95" s="38"/>
    </row>
  </sheetData>
  <mergeCells count="1">
    <mergeCell ref="H2:I2"/>
  </mergeCells>
  <printOptions horizontalCentered="1"/>
  <pageMargins left="0.25" right="0.25" top="0.5" bottom="0.25" header="0.25" footer="0"/>
  <pageSetup scale="55" fitToHeight="0" orientation="landscape" copies="2" r:id="rId1"/>
  <headerFooter alignWithMargins="0"/>
  <rowBreaks count="1" manualBreakCount="1">
    <brk id="57"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2135A8D66889804D93A541DC7FCD6740" ma:contentTypeVersion="1" ma:contentTypeDescription="Create a new document." ma:contentTypeScope="" ma:versionID="efd721c7cda02a20df6329f4e8d3d67f">
  <xsd:schema xmlns:xsd="http://www.w3.org/2001/XMLSchema" xmlns:xs="http://www.w3.org/2001/XMLSchema" xmlns:p="http://schemas.microsoft.com/office/2006/metadata/properties" xmlns:ns2="a1040523-5304-4b09-b6d4-64a124c994e2" targetNamespace="http://schemas.microsoft.com/office/2006/metadata/properties" ma:root="true" ma:fieldsID="600ce198b5c5104e6f0363384ebebfc8" ns2:_="">
    <xsd:import namespace="a1040523-5304-4b09-b6d4-64a124c994e2"/>
    <xsd:element name="properties">
      <xsd:complexType>
        <xsd:sequence>
          <xsd:element name="documentManagement">
            <xsd:complexType>
              <xsd:all>
                <xsd:element ref="ns2:Operating_x0020_Compan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xsd:simpleType>
        <xsd:restriction base="dms:Choice">
          <xsd:enumeration value="AEP Ohio"/>
          <xsd:enumeration value="AEP Texas"/>
          <xsd:enumeration value="Appalachian Power - Tennessee"/>
          <xsd:enumeration value="Appalachian Power - Virginia"/>
          <xsd:enumeration value="Appalachian Power - West Virginia"/>
          <xsd:enumeration value="ETT"/>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perating_x0020_Company xmlns="a1040523-5304-4b09-b6d4-64a124c994e2">Kentucky Power</Operating_x0020_Company>
  </documentManagement>
</p:properties>
</file>

<file path=customXml/itemProps1.xml><?xml version="1.0" encoding="utf-8"?>
<ds:datastoreItem xmlns:ds="http://schemas.openxmlformats.org/officeDocument/2006/customXml" ds:itemID="{BEE846BA-42C3-4F5E-A545-10DC7BA02CB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94357DDF-E8DE-41B7-A3BB-1481927F2397}"/>
</file>

<file path=customXml/itemProps3.xml><?xml version="1.0" encoding="utf-8"?>
<ds:datastoreItem xmlns:ds="http://schemas.openxmlformats.org/officeDocument/2006/customXml" ds:itemID="{340D803C-40DD-45BA-A3E9-CFA57EE137F3}"/>
</file>

<file path=customXml/itemProps4.xml><?xml version="1.0" encoding="utf-8"?>
<ds:datastoreItem xmlns:ds="http://schemas.openxmlformats.org/officeDocument/2006/customXml" ds:itemID="{848A3550-2EF4-4650-A838-FAC7C4993F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49</vt:i4>
      </vt:variant>
    </vt:vector>
  </HeadingPairs>
  <TitlesOfParts>
    <vt:vector size="66" baseType="lpstr">
      <vt:lpstr>2020 Wind Incremenntal</vt:lpstr>
      <vt:lpstr>Summary</vt:lpstr>
      <vt:lpstr>2020 Wind Storm #1</vt:lpstr>
      <vt:lpstr>2019 Wind Storm #1</vt:lpstr>
      <vt:lpstr>2019 Wind Storm #1 (2)</vt:lpstr>
      <vt:lpstr>2018 Wind Storm #5</vt:lpstr>
      <vt:lpstr>2018 Wind Storm #5 (2)</vt:lpstr>
      <vt:lpstr>2018 Wind Storm #3</vt:lpstr>
      <vt:lpstr>2018 Wind Storm #3 (2)</vt:lpstr>
      <vt:lpstr>2018 Wind Storm #3 (3)</vt:lpstr>
      <vt:lpstr>2018 Snow Storm #1</vt:lpstr>
      <vt:lpstr>2018 Snow Storm #1 (2)</vt:lpstr>
      <vt:lpstr>2017 Thunderstorm #3</vt:lpstr>
      <vt:lpstr>2017 Thunderstorm #3 (2)</vt:lpstr>
      <vt:lpstr>2017 Wind Storm #2</vt:lpstr>
      <vt:lpstr>2017 Wind Storm #2 (2)</vt:lpstr>
      <vt:lpstr>Storm Template</vt:lpstr>
      <vt:lpstr>'2017 Thunderstorm #3'!Print_Area</vt:lpstr>
      <vt:lpstr>'2017 Thunderstorm #3 (2)'!Print_Area</vt:lpstr>
      <vt:lpstr>'2017 Wind Storm #2'!Print_Area</vt:lpstr>
      <vt:lpstr>'2017 Wind Storm #2 (2)'!Print_Area</vt:lpstr>
      <vt:lpstr>'2018 Snow Storm #1'!Print_Area</vt:lpstr>
      <vt:lpstr>'2018 Snow Storm #1 (2)'!Print_Area</vt:lpstr>
      <vt:lpstr>'2018 Wind Storm #3'!Print_Area</vt:lpstr>
      <vt:lpstr>'2018 Wind Storm #3 (2)'!Print_Area</vt:lpstr>
      <vt:lpstr>'2018 Wind Storm #3 (3)'!Print_Area</vt:lpstr>
      <vt:lpstr>'2018 Wind Storm #5'!Print_Area</vt:lpstr>
      <vt:lpstr>'2018 Wind Storm #5 (2)'!Print_Area</vt:lpstr>
      <vt:lpstr>'2019 Wind Storm #1'!Print_Area</vt:lpstr>
      <vt:lpstr>'2019 Wind Storm #1 (2)'!Print_Area</vt:lpstr>
      <vt:lpstr>'2020 Wind Incremenntal'!Print_Area</vt:lpstr>
      <vt:lpstr>'2020 Wind Storm #1'!Print_Area</vt:lpstr>
      <vt:lpstr>'Storm Template'!Print_Area</vt:lpstr>
      <vt:lpstr>Summary!Print_Area</vt:lpstr>
      <vt:lpstr>'2017 Thunderstorm #3'!Print_Titles</vt:lpstr>
      <vt:lpstr>'2017 Thunderstorm #3 (2)'!Print_Titles</vt:lpstr>
      <vt:lpstr>'2017 Wind Storm #2'!Print_Titles</vt:lpstr>
      <vt:lpstr>'2017 Wind Storm #2 (2)'!Print_Titles</vt:lpstr>
      <vt:lpstr>'2018 Snow Storm #1'!Print_Titles</vt:lpstr>
      <vt:lpstr>'2018 Snow Storm #1 (2)'!Print_Titles</vt:lpstr>
      <vt:lpstr>'2018 Wind Storm #3'!Print_Titles</vt:lpstr>
      <vt:lpstr>'2018 Wind Storm #3 (2)'!Print_Titles</vt:lpstr>
      <vt:lpstr>'2018 Wind Storm #3 (3)'!Print_Titles</vt:lpstr>
      <vt:lpstr>'2018 Wind Storm #5'!Print_Titles</vt:lpstr>
      <vt:lpstr>'2018 Wind Storm #5 (2)'!Print_Titles</vt:lpstr>
      <vt:lpstr>'2019 Wind Storm #1'!Print_Titles</vt:lpstr>
      <vt:lpstr>'2019 Wind Storm #1 (2)'!Print_Titles</vt:lpstr>
      <vt:lpstr>'2020 Wind Incremenntal'!Print_Titles</vt:lpstr>
      <vt:lpstr>'2020 Wind Storm #1'!Print_Titles</vt:lpstr>
      <vt:lpstr>'Storm Template'!Print_Titles</vt:lpstr>
      <vt:lpstr>'2017 Thunderstorm #3'!TotalOTHours</vt:lpstr>
      <vt:lpstr>'2017 Thunderstorm #3 (2)'!TotalOTHours</vt:lpstr>
      <vt:lpstr>'2017 Wind Storm #2'!TotalOTHours</vt:lpstr>
      <vt:lpstr>'2017 Wind Storm #2 (2)'!TotalOTHours</vt:lpstr>
      <vt:lpstr>'2018 Snow Storm #1'!TotalOTHours</vt:lpstr>
      <vt:lpstr>'2018 Snow Storm #1 (2)'!TotalOTHours</vt:lpstr>
      <vt:lpstr>'2018 Wind Storm #3'!TotalOTHours</vt:lpstr>
      <vt:lpstr>'2018 Wind Storm #3 (2)'!TotalOTHours</vt:lpstr>
      <vt:lpstr>'2018 Wind Storm #3 (3)'!TotalOTHours</vt:lpstr>
      <vt:lpstr>'2018 Wind Storm #5'!TotalOTHours</vt:lpstr>
      <vt:lpstr>'2018 Wind Storm #5 (2)'!TotalOTHours</vt:lpstr>
      <vt:lpstr>'2019 Wind Storm #1'!TotalOTHours</vt:lpstr>
      <vt:lpstr>'2019 Wind Storm #1 (2)'!TotalOTHours</vt:lpstr>
      <vt:lpstr>'2020 Wind Incremenntal'!TotalOTHours</vt:lpstr>
      <vt:lpstr>'2020 Wind Storm #1'!TotalOTHours</vt:lpstr>
      <vt:lpstr>'Storm Template'!TotalOTHours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Lloyd E. Keyser</dc:creator>
  <cp:keywords/>
  <cp:lastModifiedBy>s012197</cp:lastModifiedBy>
  <cp:lastPrinted>2020-05-07T14:29:43Z</cp:lastPrinted>
  <dcterms:created xsi:type="dcterms:W3CDTF">2010-12-06T19:46:44Z</dcterms:created>
  <dcterms:modified xsi:type="dcterms:W3CDTF">2020-07-27T16:51:01Z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bb33619b-a791-4d72-acaf-6a306e8f9a2e</vt:lpwstr>
  </property>
  <property fmtid="{D5CDD505-2E9C-101B-9397-08002B2CF9AE}" pid="3" name="bjSaver">
    <vt:lpwstr>o4/sdbF8sMp5xLAtlg2VB+VDX7/DWUax</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/&gt;&lt;/sisl&gt;</vt:lpwstr>
  </property>
  <property fmtid="{D5CDD505-2E9C-101B-9397-08002B2CF9AE}" pid="6" name="bjDocumentSecurityLabel">
    <vt:lpwstr>AEP Internal</vt:lpwstr>
  </property>
  <property fmtid="{D5CDD505-2E9C-101B-9397-08002B2CF9AE}" pid="7" name="ContentTypeId">
    <vt:lpwstr>0x0101002135A8D66889804D93A541DC7FCD6740</vt:lpwstr>
  </property>
</Properties>
</file>