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Rob\Regulatory\KY 2020 Base Case\Discovery\Staff Set 3\vaughan\"/>
    </mc:Choice>
  </mc:AlternateContent>
  <bookViews>
    <workbookView xWindow="480" yWindow="132" windowWidth="18192" windowHeight="11760"/>
  </bookViews>
  <sheets>
    <sheet name="Adjustment" sheetId="4" r:id="rId1"/>
    <sheet name="ADJ-Calc" sheetId="1" r:id="rId2"/>
    <sheet name="2020 Rates" sheetId="3" r:id="rId3"/>
  </sheets>
  <calcPr calcId="162913"/>
</workbook>
</file>

<file path=xl/calcChain.xml><?xml version="1.0" encoding="utf-8"?>
<calcChain xmlns="http://schemas.openxmlformats.org/spreadsheetml/2006/main">
  <c r="D9" i="1" l="1"/>
  <c r="G9" i="1"/>
  <c r="I17" i="3"/>
  <c r="G29" i="1" l="1"/>
  <c r="G28" i="1"/>
  <c r="G27" i="1"/>
  <c r="D25" i="1"/>
  <c r="G25" i="1"/>
  <c r="D7" i="1"/>
  <c r="G7" i="1" s="1"/>
  <c r="D8" i="1" l="1"/>
  <c r="G8" i="1" s="1"/>
  <c r="H11" i="3" l="1"/>
  <c r="H17" i="3"/>
  <c r="C25" i="1" l="1"/>
  <c r="H16" i="1" s="1"/>
  <c r="C12" i="1"/>
  <c r="C22" i="1"/>
  <c r="C21" i="1"/>
  <c r="C19" i="1"/>
  <c r="C19" i="3"/>
  <c r="C18" i="3"/>
  <c r="C17" i="3"/>
  <c r="C16" i="3"/>
  <c r="C15" i="3"/>
  <c r="C14" i="3"/>
  <c r="H8" i="3"/>
  <c r="B8" i="3"/>
  <c r="C6" i="3" s="1"/>
  <c r="H10" i="3" s="1"/>
  <c r="D14" i="1" s="1"/>
  <c r="G14" i="1" s="1"/>
  <c r="H11" i="1" l="1"/>
  <c r="H9" i="1"/>
  <c r="H18" i="1"/>
  <c r="H15" i="1"/>
  <c r="H17" i="1"/>
  <c r="H10" i="1"/>
  <c r="D23" i="1"/>
  <c r="C7" i="3"/>
  <c r="D16" i="1" l="1"/>
  <c r="G16" i="1" s="1"/>
  <c r="D15" i="1"/>
  <c r="G15" i="1" s="1"/>
  <c r="D17" i="1"/>
  <c r="G17" i="1" s="1"/>
  <c r="D10" i="1"/>
  <c r="G10" i="1" s="1"/>
  <c r="D18" i="1"/>
  <c r="G18" i="1" s="1"/>
  <c r="D11" i="1"/>
  <c r="G11" i="1" s="1"/>
  <c r="H19" i="3"/>
  <c r="H15" i="3"/>
  <c r="H18" i="3"/>
  <c r="H16" i="3"/>
  <c r="H14" i="3"/>
  <c r="H21" i="3" l="1"/>
  <c r="D21" i="1"/>
  <c r="D27" i="1"/>
  <c r="D12" i="1"/>
  <c r="D19" i="1"/>
  <c r="D22" i="1"/>
  <c r="C23" i="1"/>
  <c r="D28" i="1" l="1"/>
  <c r="E17" i="4"/>
  <c r="I17" i="4" s="1"/>
  <c r="E15" i="4"/>
  <c r="I15" i="4" s="1"/>
  <c r="G22" i="1"/>
  <c r="E18" i="4"/>
  <c r="I18" i="4" s="1"/>
  <c r="E12" i="4"/>
  <c r="I12" i="4" s="1"/>
  <c r="E14" i="4"/>
  <c r="I14" i="4" s="1"/>
  <c r="E19" i="4"/>
  <c r="I19" i="4" s="1"/>
  <c r="E13" i="4"/>
  <c r="I13" i="4" s="1"/>
  <c r="E20" i="4" l="1"/>
  <c r="I20" i="4" s="1"/>
  <c r="E11" i="4" l="1"/>
  <c r="I11" i="4" s="1"/>
  <c r="G12" i="1"/>
  <c r="G19" i="1"/>
  <c r="E16" i="4"/>
  <c r="I16" i="4" s="1"/>
  <c r="I21" i="4" s="1"/>
  <c r="G21" i="1"/>
  <c r="G23" i="1" l="1"/>
  <c r="I22" i="4" l="1"/>
</calcChain>
</file>

<file path=xl/sharedStrings.xml><?xml version="1.0" encoding="utf-8"?>
<sst xmlns="http://schemas.openxmlformats.org/spreadsheetml/2006/main" count="103" uniqueCount="74">
  <si>
    <t>PJM Affiliated Trans NITS Cost</t>
  </si>
  <si>
    <t>PJM Affiliated Trans TO Cost</t>
  </si>
  <si>
    <t>Affil PJM Trans Enhancmnt Cost</t>
  </si>
  <si>
    <t>PJM Trans Enhancement Charge</t>
  </si>
  <si>
    <t>PJM NITS Expense - Affiliated</t>
  </si>
  <si>
    <t>Affil PJM Trans Enhncement Exp</t>
  </si>
  <si>
    <t>Test Year</t>
  </si>
  <si>
    <t>subtotal 456</t>
  </si>
  <si>
    <t>sub total 565</t>
  </si>
  <si>
    <t xml:space="preserve"> </t>
  </si>
  <si>
    <t>Total LSE OATT Expense Retail Demand</t>
  </si>
  <si>
    <t>Total LSE OATT Expense Retail Energy</t>
  </si>
  <si>
    <t>Total LSE OATT Expense</t>
  </si>
  <si>
    <t>NSPL</t>
  </si>
  <si>
    <t>MW</t>
  </si>
  <si>
    <t>AEP (Including CRES)</t>
  </si>
  <si>
    <t>Non-Affiliate</t>
  </si>
  <si>
    <t>12CP</t>
  </si>
  <si>
    <t>%</t>
  </si>
  <si>
    <t>AP - 12CP</t>
  </si>
  <si>
    <t>OP - 12CP</t>
  </si>
  <si>
    <t>IM - 12CP</t>
  </si>
  <si>
    <t>KP - 12CP</t>
  </si>
  <si>
    <t>WPC - 12CP</t>
  </si>
  <si>
    <t>KGP - 12CP</t>
  </si>
  <si>
    <t>Operating Company Sum</t>
  </si>
  <si>
    <t>KPCo OATT Adjustment Workpaper</t>
  </si>
  <si>
    <t>Kentucky Power Company</t>
  </si>
  <si>
    <t>LINE   NO.</t>
  </si>
  <si>
    <t>DESCRIPTION</t>
  </si>
  <si>
    <t>KPCO TOTAL COMPANY ADJUSTMENT</t>
  </si>
  <si>
    <t>ALLOCATION METHOD</t>
  </si>
  <si>
    <t>ALLOCATION FACTOR</t>
  </si>
  <si>
    <t>KENTUCKY PSC RETAIL JURISDICTION ADJUSTMENT</t>
  </si>
  <si>
    <t>Specific</t>
  </si>
  <si>
    <t>Reduce Other Operating Revenues</t>
  </si>
  <si>
    <t>Increase Transmission Expense</t>
  </si>
  <si>
    <t>Net Increase in LSE OATT Expense</t>
  </si>
  <si>
    <t>LSE OATT CHARGE ACCOUNTS</t>
  </si>
  <si>
    <t>increase 565 expense</t>
  </si>
  <si>
    <t>decrease 456 revenue</t>
  </si>
  <si>
    <t>Existing</t>
  </si>
  <si>
    <t>NITS Expense</t>
  </si>
  <si>
    <t>OpCo ATRR</t>
  </si>
  <si>
    <t>Transco ATRR</t>
  </si>
  <si>
    <t>Schedule 12 Expense (RTEP)</t>
  </si>
  <si>
    <t>Total Zonal ATRR</t>
  </si>
  <si>
    <t>Allocated to AEP %</t>
  </si>
  <si>
    <t>Allocated to AEP $</t>
  </si>
  <si>
    <t>Allocated to APCo</t>
  </si>
  <si>
    <t>Allocated to OPCo</t>
  </si>
  <si>
    <t>Allocated to I&amp;M</t>
  </si>
  <si>
    <t xml:space="preserve">Allocated to KPCo </t>
  </si>
  <si>
    <t xml:space="preserve">Allocated to WPCo </t>
  </si>
  <si>
    <t xml:space="preserve">Allocated to KGPCo </t>
  </si>
  <si>
    <t>AEP Zone Allocation</t>
  </si>
  <si>
    <t>AEP LSE Allocation</t>
  </si>
  <si>
    <t>Total Check</t>
  </si>
  <si>
    <t>PJM NITS Expense - Non-Affiliated</t>
  </si>
  <si>
    <t>PJM TO Serv Expense - Affiliated</t>
  </si>
  <si>
    <t>Firm and Non-Firm Point to Point Transmision Revenues</t>
  </si>
  <si>
    <t>RTO Formation Costs</t>
  </si>
  <si>
    <t>Annualize 2020 Rates</t>
  </si>
  <si>
    <t>tot check</t>
  </si>
  <si>
    <t>Adjustment</t>
  </si>
  <si>
    <t>A</t>
  </si>
  <si>
    <t>D</t>
  </si>
  <si>
    <t>=D-C</t>
  </si>
  <si>
    <t>Test Year Twelve Months Ended 3/31/2020</t>
  </si>
  <si>
    <t>Firm and Non-Firm Pt 2 Pt Transmision Revenues</t>
  </si>
  <si>
    <t>Adjustment to Increase PJM LSE OATT expense to reflect 2020 filed rates</t>
  </si>
  <si>
    <t xml:space="preserve">AEP LSE OATT PJM  Cost  </t>
  </si>
  <si>
    <t>2020 ATRR</t>
  </si>
  <si>
    <t>2019/2020 Filed ATRRs by AEP and other 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</si>
</sst>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_(* #,##0.0_);_(* \(#,##0.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b/>
      <sz val="10"/>
      <name val="MS Sans Serif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mediumGray">
        <fgColor indexed="22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6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3" fillId="0" borderId="0" applyNumberFormat="0" applyFont="0" applyFill="0" applyBorder="0" applyAlignment="0" applyProtection="0">
      <alignment horizontal="left"/>
    </xf>
    <xf numFmtId="15" fontId="3" fillId="0" borderId="0" applyFont="0" applyFill="0" applyBorder="0" applyAlignment="0" applyProtection="0"/>
    <xf numFmtId="4" fontId="3" fillId="0" borderId="0" applyFont="0" applyFill="0" applyBorder="0" applyAlignment="0" applyProtection="0"/>
    <xf numFmtId="0" fontId="4" fillId="0" borderId="2">
      <alignment horizontal="center"/>
    </xf>
    <xf numFmtId="3" fontId="3" fillId="0" borderId="0" applyFont="0" applyFill="0" applyBorder="0" applyAlignment="0" applyProtection="0"/>
    <xf numFmtId="0" fontId="3" fillId="2" borderId="0" applyNumberFormat="0" applyFont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72">
    <xf numFmtId="0" fontId="0" fillId="0" borderId="0" xfId="0"/>
    <xf numFmtId="164" fontId="0" fillId="0" borderId="0" xfId="1" applyNumberFormat="1" applyFont="1"/>
    <xf numFmtId="164" fontId="0" fillId="0" borderId="1" xfId="1" applyNumberFormat="1" applyFont="1" applyBorder="1"/>
    <xf numFmtId="3" fontId="0" fillId="0" borderId="0" xfId="0" applyNumberFormat="1"/>
    <xf numFmtId="164" fontId="0" fillId="0" borderId="0" xfId="0" applyNumberFormat="1"/>
    <xf numFmtId="0" fontId="0" fillId="0" borderId="0" xfId="0" applyBorder="1"/>
    <xf numFmtId="164" fontId="0" fillId="0" borderId="0" xfId="1" applyNumberFormat="1" applyFont="1" applyBorder="1"/>
    <xf numFmtId="0" fontId="0" fillId="0" borderId="1" xfId="0" applyBorder="1"/>
    <xf numFmtId="3" fontId="0" fillId="0" borderId="0" xfId="0" applyNumberFormat="1" applyBorder="1"/>
    <xf numFmtId="165" fontId="0" fillId="0" borderId="0" xfId="3" applyNumberFormat="1" applyFont="1" applyBorder="1"/>
    <xf numFmtId="0" fontId="0" fillId="0" borderId="0" xfId="0" applyBorder="1" applyAlignment="1">
      <alignment horizontal="center"/>
    </xf>
    <xf numFmtId="164" fontId="0" fillId="0" borderId="0" xfId="0" applyNumberFormat="1" applyBorder="1"/>
    <xf numFmtId="0" fontId="0" fillId="0" borderId="0" xfId="0"/>
    <xf numFmtId="0" fontId="5" fillId="3" borderId="0" xfId="13" applyFill="1"/>
    <xf numFmtId="0" fontId="5" fillId="3" borderId="0" xfId="13" applyFill="1" applyAlignment="1"/>
    <xf numFmtId="0" fontId="0" fillId="3" borderId="0" xfId="0" applyFill="1"/>
    <xf numFmtId="0" fontId="7" fillId="3" borderId="0" xfId="13" applyFont="1" applyFill="1"/>
    <xf numFmtId="0" fontId="5" fillId="3" borderId="1" xfId="13" applyFill="1" applyBorder="1" applyAlignment="1">
      <alignment horizontal="center" vertical="center" wrapText="1"/>
    </xf>
    <xf numFmtId="0" fontId="5" fillId="4" borderId="3" xfId="13" applyFill="1" applyBorder="1" applyAlignment="1">
      <alignment horizontal="center" vertical="center" wrapText="1"/>
    </xf>
    <xf numFmtId="0" fontId="5" fillId="3" borderId="0" xfId="13" applyFill="1" applyAlignment="1">
      <alignment horizontal="center"/>
    </xf>
    <xf numFmtId="165" fontId="5" fillId="3" borderId="0" xfId="14" applyNumberFormat="1" applyFont="1" applyFill="1" applyAlignment="1"/>
    <xf numFmtId="165" fontId="5" fillId="3" borderId="0" xfId="14" applyNumberFormat="1" applyFont="1" applyFill="1" applyAlignment="1">
      <alignment horizontal="center"/>
    </xf>
    <xf numFmtId="165" fontId="5" fillId="4" borderId="4" xfId="14" applyNumberFormat="1" applyFont="1" applyFill="1" applyBorder="1" applyAlignment="1">
      <alignment horizontal="center"/>
    </xf>
    <xf numFmtId="164" fontId="5" fillId="3" borderId="0" xfId="15" applyNumberFormat="1" applyFont="1" applyFill="1"/>
    <xf numFmtId="0" fontId="5" fillId="4" borderId="4" xfId="13" applyFill="1" applyBorder="1"/>
    <xf numFmtId="0" fontId="8" fillId="3" borderId="0" xfId="13" applyFont="1" applyFill="1"/>
    <xf numFmtId="164" fontId="5" fillId="4" borderId="4" xfId="15" applyNumberFormat="1" applyFont="1" applyFill="1" applyBorder="1"/>
    <xf numFmtId="43" fontId="5" fillId="3" borderId="0" xfId="3" applyFont="1" applyFill="1" applyAlignment="1">
      <alignment horizontal="center"/>
    </xf>
    <xf numFmtId="164" fontId="0" fillId="3" borderId="0" xfId="1" applyNumberFormat="1" applyFont="1" applyFill="1"/>
    <xf numFmtId="0" fontId="0" fillId="3" borderId="0" xfId="0" applyFill="1" applyAlignment="1">
      <alignment horizontal="center"/>
    </xf>
    <xf numFmtId="164" fontId="5" fillId="4" borderId="3" xfId="15" applyNumberFormat="1" applyFont="1" applyFill="1" applyBorder="1"/>
    <xf numFmtId="164" fontId="0" fillId="3" borderId="0" xfId="0" applyNumberFormat="1" applyFill="1"/>
    <xf numFmtId="164" fontId="0" fillId="0" borderId="1" xfId="0" applyNumberFormat="1" applyBorder="1"/>
    <xf numFmtId="0" fontId="0" fillId="0" borderId="0" xfId="0" applyFill="1"/>
    <xf numFmtId="164" fontId="0" fillId="0" borderId="0" xfId="0" applyNumberFormat="1" applyFill="1"/>
    <xf numFmtId="164" fontId="0" fillId="5" borderId="0" xfId="1" applyNumberFormat="1" applyFont="1" applyFill="1"/>
    <xf numFmtId="164" fontId="0" fillId="5" borderId="1" xfId="1" applyNumberFormat="1" applyFont="1" applyFill="1" applyBorder="1"/>
    <xf numFmtId="164" fontId="0" fillId="5" borderId="0" xfId="1" applyNumberFormat="1" applyFont="1" applyFill="1" applyBorder="1"/>
    <xf numFmtId="0" fontId="0" fillId="0" borderId="1" xfId="0" applyBorder="1" applyAlignment="1">
      <alignment horizontal="center"/>
    </xf>
    <xf numFmtId="0" fontId="0" fillId="0" borderId="0" xfId="0" applyFill="1" applyBorder="1"/>
    <xf numFmtId="9" fontId="0" fillId="0" borderId="0" xfId="2" applyFont="1"/>
    <xf numFmtId="44" fontId="10" fillId="0" borderId="0" xfId="1" applyFont="1" applyBorder="1"/>
    <xf numFmtId="164" fontId="0" fillId="0" borderId="0" xfId="1" quotePrefix="1" applyNumberFormat="1" applyFont="1" applyAlignment="1">
      <alignment horizontal="center"/>
    </xf>
    <xf numFmtId="164" fontId="0" fillId="0" borderId="0" xfId="1" applyNumberFormat="1" applyFont="1" applyAlignment="1">
      <alignment horizontal="center"/>
    </xf>
    <xf numFmtId="0" fontId="0" fillId="0" borderId="0" xfId="0" quotePrefix="1" applyAlignment="1">
      <alignment horizontal="center"/>
    </xf>
    <xf numFmtId="0" fontId="0" fillId="0" borderId="1" xfId="0" applyFill="1" applyBorder="1" applyAlignment="1">
      <alignment horizontal="center"/>
    </xf>
    <xf numFmtId="0" fontId="0" fillId="3" borderId="0" xfId="0" applyFill="1" applyBorder="1"/>
    <xf numFmtId="0" fontId="0" fillId="0" borderId="0" xfId="0" applyBorder="1" applyAlignment="1">
      <alignment horizontal="center"/>
    </xf>
    <xf numFmtId="9" fontId="0" fillId="0" borderId="0" xfId="0" applyNumberFormat="1"/>
    <xf numFmtId="44" fontId="0" fillId="0" borderId="0" xfId="0" applyNumberFormat="1" applyBorder="1"/>
    <xf numFmtId="0" fontId="9" fillId="0" borderId="0" xfId="0" applyFont="1" applyFill="1"/>
    <xf numFmtId="0" fontId="9" fillId="0" borderId="0" xfId="0" applyFont="1" applyFill="1" applyBorder="1"/>
    <xf numFmtId="0" fontId="0" fillId="0" borderId="0" xfId="0" applyFill="1" applyAlignment="1">
      <alignment horizontal="center"/>
    </xf>
    <xf numFmtId="164" fontId="0" fillId="0" borderId="0" xfId="1" applyNumberFormat="1" applyFont="1" applyFill="1" applyBorder="1"/>
    <xf numFmtId="165" fontId="0" fillId="0" borderId="0" xfId="3" applyNumberFormat="1" applyFont="1" applyFill="1"/>
    <xf numFmtId="10" fontId="0" fillId="0" borderId="0" xfId="2" applyNumberFormat="1" applyFont="1" applyFill="1"/>
    <xf numFmtId="164" fontId="0" fillId="0" borderId="1" xfId="1" applyNumberFormat="1" applyFont="1" applyFill="1" applyBorder="1"/>
    <xf numFmtId="166" fontId="0" fillId="0" borderId="0" xfId="3" applyNumberFormat="1" applyFont="1" applyFill="1"/>
    <xf numFmtId="165" fontId="0" fillId="0" borderId="0" xfId="0" applyNumberFormat="1" applyFill="1" applyBorder="1"/>
    <xf numFmtId="0" fontId="0" fillId="0" borderId="0" xfId="0" applyFill="1" applyBorder="1" applyAlignment="1">
      <alignment horizontal="center"/>
    </xf>
    <xf numFmtId="10" fontId="0" fillId="0" borderId="0" xfId="0" applyNumberFormat="1" applyFill="1" applyBorder="1"/>
    <xf numFmtId="165" fontId="0" fillId="0" borderId="0" xfId="3" applyNumberFormat="1" applyFont="1" applyFill="1" applyBorder="1"/>
    <xf numFmtId="0" fontId="0" fillId="0" borderId="0" xfId="0" applyFill="1" applyAlignment="1"/>
    <xf numFmtId="165" fontId="0" fillId="0" borderId="0" xfId="0" applyNumberFormat="1" applyFill="1"/>
    <xf numFmtId="165" fontId="10" fillId="0" borderId="0" xfId="3" applyNumberFormat="1" applyFont="1" applyFill="1" applyBorder="1"/>
    <xf numFmtId="0" fontId="0" fillId="0" borderId="0" xfId="0" quotePrefix="1" applyFill="1"/>
    <xf numFmtId="0" fontId="6" fillId="3" borderId="0" xfId="13" applyFont="1" applyFill="1" applyAlignment="1">
      <alignment horizontal="center"/>
    </xf>
    <xf numFmtId="0" fontId="7" fillId="3" borderId="0" xfId="13" applyFont="1" applyFill="1" applyAlignment="1">
      <alignment horizontal="center" wrapText="1"/>
    </xf>
    <xf numFmtId="0" fontId="5" fillId="3" borderId="1" xfId="13" applyFill="1" applyBorder="1" applyAlignment="1">
      <alignment horizontal="center" vertical="center" wrapText="1"/>
    </xf>
    <xf numFmtId="0" fontId="7" fillId="3" borderId="0" xfId="13" applyFont="1" applyFill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 applyBorder="1" applyAlignment="1">
      <alignment horizontal="center"/>
    </xf>
  </cellXfs>
  <cellStyles count="16">
    <cellStyle name="Comma" xfId="3" builtinId="3"/>
    <cellStyle name="Comma 2" xfId="5"/>
    <cellStyle name="Comma 6" xfId="14"/>
    <cellStyle name="Currency" xfId="1" builtinId="4"/>
    <cellStyle name="Currency 2" xfId="6"/>
    <cellStyle name="Currency 36" xfId="15"/>
    <cellStyle name="Normal" xfId="0" builtinId="0"/>
    <cellStyle name="Normal 102" xfId="13"/>
    <cellStyle name="Normal 2" xfId="4"/>
    <cellStyle name="Percent" xfId="2" builtinId="5"/>
    <cellStyle name="PSChar" xfId="7"/>
    <cellStyle name="PSDate" xfId="8"/>
    <cellStyle name="PSDec" xfId="9"/>
    <cellStyle name="PSHeading" xfId="10"/>
    <cellStyle name="PSInt" xfId="11"/>
    <cellStyle name="PSSpacer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7"/>
  <sheetViews>
    <sheetView tabSelected="1" workbookViewId="0">
      <selection activeCell="B7" sqref="B7:D7"/>
    </sheetView>
  </sheetViews>
  <sheetFormatPr defaultRowHeight="14.4" x14ac:dyDescent="0.3"/>
  <cols>
    <col min="3" max="3" width="34.88671875" customWidth="1"/>
    <col min="5" max="5" width="13.5546875" customWidth="1"/>
    <col min="7" max="7" width="14.88671875" customWidth="1"/>
    <col min="8" max="8" width="13.5546875" customWidth="1"/>
    <col min="9" max="9" width="14.33203125" customWidth="1"/>
    <col min="10" max="25" width="9.109375" style="15"/>
  </cols>
  <sheetData>
    <row r="1" spans="1:25" x14ac:dyDescent="0.3">
      <c r="A1" s="13"/>
      <c r="B1" s="13"/>
      <c r="C1" s="13"/>
      <c r="D1" s="13"/>
      <c r="E1" s="14"/>
      <c r="F1" s="14"/>
      <c r="G1" s="14"/>
      <c r="H1" s="14"/>
      <c r="I1" s="14"/>
      <c r="J1" s="14"/>
    </row>
    <row r="2" spans="1:25" ht="15.6" x14ac:dyDescent="0.3">
      <c r="A2" s="13"/>
      <c r="B2" s="66" t="s">
        <v>27</v>
      </c>
      <c r="C2" s="66"/>
      <c r="D2" s="66"/>
      <c r="E2" s="66"/>
      <c r="F2" s="66"/>
      <c r="G2" s="66"/>
      <c r="H2" s="66"/>
      <c r="I2" s="14"/>
      <c r="J2" s="14"/>
    </row>
    <row r="3" spans="1:25" x14ac:dyDescent="0.3">
      <c r="A3" s="13"/>
      <c r="B3" s="67" t="s">
        <v>70</v>
      </c>
      <c r="C3" s="67"/>
      <c r="D3" s="67"/>
      <c r="E3" s="67"/>
      <c r="F3" s="67"/>
      <c r="G3" s="67"/>
      <c r="H3" s="67"/>
      <c r="I3" s="14"/>
      <c r="J3" s="14"/>
    </row>
    <row r="4" spans="1:25" x14ac:dyDescent="0.3">
      <c r="A4" s="13"/>
      <c r="B4" s="69" t="s">
        <v>68</v>
      </c>
      <c r="C4" s="69"/>
      <c r="D4" s="69"/>
      <c r="E4" s="69"/>
      <c r="F4" s="69"/>
      <c r="G4" s="69"/>
      <c r="H4" s="69"/>
      <c r="I4" s="13"/>
      <c r="J4" s="13"/>
    </row>
    <row r="5" spans="1:25" x14ac:dyDescent="0.3">
      <c r="A5" s="15"/>
      <c r="B5" s="15"/>
      <c r="C5" s="15"/>
      <c r="D5" s="15"/>
      <c r="E5" s="15"/>
      <c r="F5" s="15"/>
      <c r="G5" s="15"/>
      <c r="H5" s="15"/>
      <c r="I5" s="15"/>
    </row>
    <row r="6" spans="1:25" x14ac:dyDescent="0.3">
      <c r="A6" s="15"/>
      <c r="B6" s="15"/>
      <c r="C6" s="15"/>
      <c r="D6" s="15"/>
      <c r="E6" s="15"/>
      <c r="F6" s="15"/>
      <c r="G6" s="15"/>
      <c r="H6" s="15"/>
      <c r="I6" s="15"/>
    </row>
    <row r="7" spans="1:25" ht="81.75" customHeight="1" x14ac:dyDescent="0.3">
      <c r="A7" s="17" t="s">
        <v>28</v>
      </c>
      <c r="B7" s="68" t="s">
        <v>29</v>
      </c>
      <c r="C7" s="68"/>
      <c r="D7" s="68"/>
      <c r="E7" s="17" t="s">
        <v>30</v>
      </c>
      <c r="F7" s="17"/>
      <c r="G7" s="17" t="s">
        <v>31</v>
      </c>
      <c r="H7" s="17" t="s">
        <v>32</v>
      </c>
      <c r="I7" s="18" t="s">
        <v>33</v>
      </c>
      <c r="J7" s="13"/>
    </row>
    <row r="8" spans="1:25" x14ac:dyDescent="0.3">
      <c r="A8" s="19"/>
      <c r="B8" s="19"/>
      <c r="C8" s="19"/>
      <c r="D8" s="13"/>
      <c r="E8" s="20"/>
      <c r="F8" s="21"/>
      <c r="G8" s="21"/>
      <c r="H8" s="21"/>
      <c r="I8" s="22"/>
      <c r="J8" s="13"/>
    </row>
    <row r="9" spans="1:25" x14ac:dyDescent="0.3">
      <c r="A9" s="13"/>
      <c r="B9" s="13"/>
      <c r="C9" s="13"/>
      <c r="D9" s="13"/>
      <c r="E9" s="23"/>
      <c r="F9" s="13"/>
      <c r="G9" s="13"/>
      <c r="H9" s="13"/>
      <c r="I9" s="24"/>
      <c r="J9" s="13"/>
    </row>
    <row r="10" spans="1:25" x14ac:dyDescent="0.3">
      <c r="A10" s="13"/>
      <c r="B10" s="25" t="s">
        <v>38</v>
      </c>
      <c r="C10" s="25"/>
      <c r="D10" s="13"/>
      <c r="E10" s="15"/>
      <c r="F10" s="15"/>
      <c r="G10" s="13"/>
      <c r="H10" s="13"/>
      <c r="I10" s="26"/>
      <c r="J10" s="13"/>
    </row>
    <row r="11" spans="1:25" s="12" customFormat="1" x14ac:dyDescent="0.3">
      <c r="A11" s="19">
        <v>1</v>
      </c>
      <c r="B11" s="15">
        <v>4561005</v>
      </c>
      <c r="C11" s="15" t="s">
        <v>69</v>
      </c>
      <c r="D11" s="13"/>
      <c r="E11" s="28">
        <f>'ADJ-Calc'!G7</f>
        <v>0</v>
      </c>
      <c r="F11" s="15"/>
      <c r="G11" s="13" t="s">
        <v>34</v>
      </c>
      <c r="H11" s="27">
        <v>1</v>
      </c>
      <c r="I11" s="26">
        <f>E11</f>
        <v>0</v>
      </c>
      <c r="J11" s="16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</row>
    <row r="12" spans="1:25" s="12" customFormat="1" x14ac:dyDescent="0.3">
      <c r="A12" s="19">
        <v>2</v>
      </c>
      <c r="B12" s="15">
        <v>4561002</v>
      </c>
      <c r="C12" s="15" t="s">
        <v>61</v>
      </c>
      <c r="D12" s="13"/>
      <c r="E12" s="28">
        <f>'ADJ-Calc'!G8</f>
        <v>0</v>
      </c>
      <c r="F12" s="15"/>
      <c r="G12" s="13" t="s">
        <v>34</v>
      </c>
      <c r="H12" s="27">
        <v>1</v>
      </c>
      <c r="I12" s="26">
        <f t="shared" ref="I12:I20" si="0">E12</f>
        <v>0</v>
      </c>
      <c r="J12" s="16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</row>
    <row r="13" spans="1:25" x14ac:dyDescent="0.3">
      <c r="A13" s="19">
        <v>3</v>
      </c>
      <c r="B13" s="15">
        <v>4561035</v>
      </c>
      <c r="C13" s="15" t="s">
        <v>0</v>
      </c>
      <c r="D13" s="13"/>
      <c r="E13" s="28">
        <f>'ADJ-Calc'!G9</f>
        <v>-2001111.8130484894</v>
      </c>
      <c r="F13" s="15"/>
      <c r="G13" s="13" t="s">
        <v>34</v>
      </c>
      <c r="H13" s="27">
        <v>1</v>
      </c>
      <c r="I13" s="26">
        <f t="shared" si="0"/>
        <v>-2001111.8130484894</v>
      </c>
      <c r="J13" s="16" t="s">
        <v>35</v>
      </c>
    </row>
    <row r="14" spans="1:25" x14ac:dyDescent="0.3">
      <c r="A14" s="19">
        <v>4</v>
      </c>
      <c r="B14" s="15">
        <v>4561036</v>
      </c>
      <c r="C14" s="15" t="s">
        <v>1</v>
      </c>
      <c r="D14" s="13"/>
      <c r="E14" s="28">
        <f>'ADJ-Calc'!G10</f>
        <v>-8413.162855542585</v>
      </c>
      <c r="F14" s="13"/>
      <c r="G14" s="13" t="s">
        <v>34</v>
      </c>
      <c r="H14" s="27">
        <v>1</v>
      </c>
      <c r="I14" s="26">
        <f t="shared" si="0"/>
        <v>-8413.162855542585</v>
      </c>
      <c r="J14" s="16" t="s">
        <v>35</v>
      </c>
    </row>
    <row r="15" spans="1:25" s="12" customFormat="1" x14ac:dyDescent="0.3">
      <c r="A15" s="19">
        <v>5</v>
      </c>
      <c r="B15" s="15">
        <v>4561060</v>
      </c>
      <c r="C15" s="15" t="s">
        <v>2</v>
      </c>
      <c r="D15" s="13"/>
      <c r="E15" s="28">
        <f>'ADJ-Calc'!G11</f>
        <v>-48662.143731374992</v>
      </c>
      <c r="F15" s="13"/>
      <c r="G15" s="13" t="s">
        <v>34</v>
      </c>
      <c r="H15" s="27">
        <v>1</v>
      </c>
      <c r="I15" s="26">
        <f t="shared" si="0"/>
        <v>-48662.143731374992</v>
      </c>
      <c r="J15" s="16" t="s">
        <v>35</v>
      </c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</row>
    <row r="16" spans="1:25" s="15" customFormat="1" x14ac:dyDescent="0.3">
      <c r="A16" s="19">
        <v>6</v>
      </c>
      <c r="B16" s="29">
        <v>5650012</v>
      </c>
      <c r="C16" s="15" t="s">
        <v>3</v>
      </c>
      <c r="E16" s="28">
        <f>'ADJ-Calc'!G14</f>
        <v>10039096.935463827</v>
      </c>
      <c r="G16" s="13" t="s">
        <v>34</v>
      </c>
      <c r="H16" s="27">
        <v>1</v>
      </c>
      <c r="I16" s="26">
        <f t="shared" si="0"/>
        <v>10039096.935463827</v>
      </c>
      <c r="J16" s="16" t="s">
        <v>36</v>
      </c>
    </row>
    <row r="17" spans="1:10" s="15" customFormat="1" x14ac:dyDescent="0.3">
      <c r="A17" s="19">
        <v>7</v>
      </c>
      <c r="B17" s="29">
        <v>5650016</v>
      </c>
      <c r="C17" s="15" t="s">
        <v>4</v>
      </c>
      <c r="E17" s="28">
        <f>'ADJ-Calc'!G15</f>
        <v>1897175.8894060254</v>
      </c>
      <c r="G17" s="13" t="s">
        <v>34</v>
      </c>
      <c r="H17" s="27">
        <v>1</v>
      </c>
      <c r="I17" s="26">
        <f t="shared" si="0"/>
        <v>1897175.8894060254</v>
      </c>
      <c r="J17" s="16" t="s">
        <v>36</v>
      </c>
    </row>
    <row r="18" spans="1:10" s="15" customFormat="1" x14ac:dyDescent="0.3">
      <c r="A18" s="19">
        <v>8</v>
      </c>
      <c r="B18" s="29">
        <v>5650019</v>
      </c>
      <c r="C18" s="15" t="s">
        <v>5</v>
      </c>
      <c r="E18" s="28">
        <f>'ADJ-Calc'!G16</f>
        <v>280178.6328403689</v>
      </c>
      <c r="G18" s="13" t="s">
        <v>34</v>
      </c>
      <c r="H18" s="27">
        <v>1</v>
      </c>
      <c r="I18" s="26">
        <f t="shared" si="0"/>
        <v>280178.6328403689</v>
      </c>
      <c r="J18" s="16" t="s">
        <v>36</v>
      </c>
    </row>
    <row r="19" spans="1:10" s="15" customFormat="1" x14ac:dyDescent="0.3">
      <c r="A19" s="19">
        <v>9</v>
      </c>
      <c r="B19" s="15">
        <v>5650021</v>
      </c>
      <c r="C19" s="15" t="s">
        <v>58</v>
      </c>
      <c r="E19" s="28">
        <f>'ADJ-Calc'!G17</f>
        <v>14532.051211491809</v>
      </c>
      <c r="F19" s="46"/>
      <c r="G19" s="13" t="s">
        <v>34</v>
      </c>
      <c r="H19" s="27">
        <v>1</v>
      </c>
      <c r="I19" s="26">
        <f t="shared" si="0"/>
        <v>14532.051211491809</v>
      </c>
      <c r="J19" s="16" t="s">
        <v>36</v>
      </c>
    </row>
    <row r="20" spans="1:10" s="15" customFormat="1" x14ac:dyDescent="0.3">
      <c r="A20" s="19">
        <v>10</v>
      </c>
      <c r="B20" s="15">
        <v>5650015</v>
      </c>
      <c r="C20" s="15" t="s">
        <v>59</v>
      </c>
      <c r="E20" s="28">
        <f>'ADJ-Calc'!G18</f>
        <v>9878.372257035604</v>
      </c>
      <c r="G20" s="13" t="s">
        <v>34</v>
      </c>
      <c r="H20" s="27">
        <v>1</v>
      </c>
      <c r="I20" s="30">
        <f t="shared" si="0"/>
        <v>9878.372257035604</v>
      </c>
      <c r="J20" s="16" t="s">
        <v>36</v>
      </c>
    </row>
    <row r="21" spans="1:10" s="15" customFormat="1" x14ac:dyDescent="0.3">
      <c r="B21" s="19"/>
      <c r="C21" s="13"/>
      <c r="I21" s="31">
        <f>SUM(I16:I20)-SUM(I11:I15)</f>
        <v>14299049.000814155</v>
      </c>
      <c r="J21" s="15" t="s">
        <v>37</v>
      </c>
    </row>
    <row r="22" spans="1:10" s="15" customFormat="1" x14ac:dyDescent="0.3">
      <c r="B22" s="19"/>
      <c r="C22" s="13"/>
      <c r="I22" s="31">
        <f>I21-'ADJ-Calc'!G23</f>
        <v>0</v>
      </c>
    </row>
    <row r="23" spans="1:10" s="15" customFormat="1" x14ac:dyDescent="0.3">
      <c r="B23" s="29"/>
    </row>
    <row r="24" spans="1:10" s="15" customFormat="1" x14ac:dyDescent="0.3"/>
    <row r="25" spans="1:10" s="15" customFormat="1" x14ac:dyDescent="0.3"/>
    <row r="26" spans="1:10" s="15" customFormat="1" x14ac:dyDescent="0.3"/>
    <row r="27" spans="1:10" s="15" customFormat="1" x14ac:dyDescent="0.3"/>
    <row r="28" spans="1:10" s="15" customFormat="1" x14ac:dyDescent="0.3"/>
    <row r="29" spans="1:10" s="15" customFormat="1" x14ac:dyDescent="0.3"/>
    <row r="30" spans="1:10" s="15" customFormat="1" x14ac:dyDescent="0.3"/>
    <row r="31" spans="1:10" s="15" customFormat="1" x14ac:dyDescent="0.3"/>
    <row r="32" spans="1:10" s="15" customFormat="1" x14ac:dyDescent="0.3"/>
    <row r="33" s="15" customFormat="1" x14ac:dyDescent="0.3"/>
    <row r="34" s="15" customFormat="1" x14ac:dyDescent="0.3"/>
    <row r="35" s="15" customFormat="1" x14ac:dyDescent="0.3"/>
    <row r="36" s="15" customFormat="1" x14ac:dyDescent="0.3"/>
    <row r="37" s="15" customFormat="1" x14ac:dyDescent="0.3"/>
    <row r="38" s="15" customFormat="1" x14ac:dyDescent="0.3"/>
    <row r="39" s="15" customFormat="1" x14ac:dyDescent="0.3"/>
    <row r="40" s="15" customFormat="1" x14ac:dyDescent="0.3"/>
    <row r="41" s="15" customFormat="1" x14ac:dyDescent="0.3"/>
    <row r="42" s="15" customFormat="1" x14ac:dyDescent="0.3"/>
    <row r="43" s="15" customFormat="1" x14ac:dyDescent="0.3"/>
    <row r="44" s="15" customFormat="1" x14ac:dyDescent="0.3"/>
    <row r="45" s="15" customFormat="1" x14ac:dyDescent="0.3"/>
    <row r="46" s="15" customFormat="1" x14ac:dyDescent="0.3"/>
    <row r="47" s="15" customFormat="1" x14ac:dyDescent="0.3"/>
  </sheetData>
  <mergeCells count="4">
    <mergeCell ref="B2:H2"/>
    <mergeCell ref="B3:H3"/>
    <mergeCell ref="B7:D7"/>
    <mergeCell ref="B4:H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"/>
  <sheetViews>
    <sheetView workbookViewId="0">
      <selection activeCell="G7" sqref="G7"/>
    </sheetView>
  </sheetViews>
  <sheetFormatPr defaultRowHeight="14.4" x14ac:dyDescent="0.3"/>
  <cols>
    <col min="1" max="1" width="12.44140625" customWidth="1"/>
    <col min="2" max="2" width="48" bestFit="1" customWidth="1"/>
    <col min="3" max="3" width="19.6640625" customWidth="1"/>
    <col min="4" max="4" width="20.109375" customWidth="1"/>
    <col min="5" max="5" width="8.5546875" style="12" customWidth="1"/>
    <col min="6" max="6" width="2.88671875" customWidth="1"/>
    <col min="7" max="7" width="15.109375" style="12" customWidth="1"/>
  </cols>
  <sheetData>
    <row r="1" spans="1:11" x14ac:dyDescent="0.3">
      <c r="A1" t="s">
        <v>26</v>
      </c>
    </row>
    <row r="5" spans="1:11" x14ac:dyDescent="0.3">
      <c r="C5" s="38" t="s">
        <v>6</v>
      </c>
      <c r="D5" s="38" t="s">
        <v>62</v>
      </c>
      <c r="E5" s="38"/>
      <c r="F5" s="7"/>
      <c r="G5" s="45" t="s">
        <v>64</v>
      </c>
      <c r="K5" s="48"/>
    </row>
    <row r="6" spans="1:11" x14ac:dyDescent="0.3">
      <c r="C6" s="42" t="s">
        <v>65</v>
      </c>
      <c r="D6" s="43" t="s">
        <v>66</v>
      </c>
      <c r="E6" s="43"/>
      <c r="G6" s="44" t="s">
        <v>67</v>
      </c>
    </row>
    <row r="7" spans="1:11" s="12" customFormat="1" x14ac:dyDescent="0.3">
      <c r="A7" s="12">
        <v>4561005</v>
      </c>
      <c r="B7" s="12" t="s">
        <v>60</v>
      </c>
      <c r="C7" s="1">
        <v>766099.98</v>
      </c>
      <c r="D7" s="1">
        <f>C7</f>
        <v>766099.98</v>
      </c>
      <c r="E7" s="1"/>
      <c r="F7" s="4"/>
      <c r="G7" s="4">
        <f>D7-C7</f>
        <v>0</v>
      </c>
      <c r="J7" s="40"/>
    </row>
    <row r="8" spans="1:11" s="12" customFormat="1" x14ac:dyDescent="0.3">
      <c r="A8" s="12">
        <v>4561002</v>
      </c>
      <c r="B8" s="12" t="s">
        <v>61</v>
      </c>
      <c r="C8" s="1">
        <v>-135211.87</v>
      </c>
      <c r="D8" s="1">
        <f>C8</f>
        <v>-135211.87</v>
      </c>
      <c r="E8" s="1"/>
      <c r="F8" s="4"/>
      <c r="G8" s="4">
        <f>D8-C8</f>
        <v>0</v>
      </c>
      <c r="J8" s="40"/>
    </row>
    <row r="9" spans="1:11" x14ac:dyDescent="0.3">
      <c r="A9">
        <v>4561035</v>
      </c>
      <c r="B9" t="s">
        <v>0</v>
      </c>
      <c r="C9" s="35">
        <v>-39632057.43</v>
      </c>
      <c r="D9" s="1">
        <f>H9*-$D$25</f>
        <v>-41633169.243048489</v>
      </c>
      <c r="E9" s="1"/>
      <c r="F9" s="4"/>
      <c r="G9" s="4">
        <f>D9-C9</f>
        <v>-2001111.8130484894</v>
      </c>
      <c r="H9" s="40">
        <f>-C9/$C$25</f>
        <v>0.4697498428034364</v>
      </c>
      <c r="J9" s="40"/>
    </row>
    <row r="10" spans="1:11" s="33" customFormat="1" x14ac:dyDescent="0.3">
      <c r="A10" s="33">
        <v>4561036</v>
      </c>
      <c r="B10" s="33" t="s">
        <v>1</v>
      </c>
      <c r="C10" s="35">
        <v>-166622.85</v>
      </c>
      <c r="D10" s="1">
        <f>H10*-$D$25</f>
        <v>-175036.01285554259</v>
      </c>
      <c r="E10" s="1"/>
      <c r="F10" s="34"/>
      <c r="G10" s="4">
        <f>D10-C10</f>
        <v>-8413.162855542585</v>
      </c>
      <c r="H10" s="40">
        <f>-C10/$C$25</f>
        <v>1.974943080691851E-3</v>
      </c>
      <c r="J10" s="40"/>
    </row>
    <row r="11" spans="1:11" x14ac:dyDescent="0.3">
      <c r="A11">
        <v>4561060</v>
      </c>
      <c r="B11" t="s">
        <v>2</v>
      </c>
      <c r="C11" s="36">
        <v>-963754.68</v>
      </c>
      <c r="D11" s="2">
        <f>H11*-$D$25</f>
        <v>-1012416.823731375</v>
      </c>
      <c r="E11" s="2"/>
      <c r="F11" s="32"/>
      <c r="G11" s="4">
        <f>D11-C11</f>
        <v>-48662.143731374992</v>
      </c>
      <c r="H11" s="40">
        <f>-C11/$C$25</f>
        <v>1.1423166971099038E-2</v>
      </c>
      <c r="J11" s="40"/>
    </row>
    <row r="12" spans="1:11" x14ac:dyDescent="0.3">
      <c r="A12" t="s">
        <v>7</v>
      </c>
      <c r="C12" s="1">
        <f>SUM(C6:C11)</f>
        <v>-40131546.850000001</v>
      </c>
      <c r="D12" s="1">
        <f>SUM(D7:D11)</f>
        <v>-42189733.969635412</v>
      </c>
      <c r="E12" s="1"/>
      <c r="F12" s="4"/>
      <c r="G12" s="1">
        <f>SUM(G7:G11)</f>
        <v>-2058187.1196354069</v>
      </c>
      <c r="H12" t="s">
        <v>40</v>
      </c>
      <c r="J12" s="40"/>
    </row>
    <row r="13" spans="1:11" x14ac:dyDescent="0.3">
      <c r="C13" s="1"/>
      <c r="D13" s="1"/>
      <c r="E13" s="1"/>
      <c r="J13" s="40"/>
    </row>
    <row r="14" spans="1:11" x14ac:dyDescent="0.3">
      <c r="A14">
        <v>5650012</v>
      </c>
      <c r="B14" t="s">
        <v>3</v>
      </c>
      <c r="C14" s="35">
        <v>-1140097.7399999995</v>
      </c>
      <c r="D14" s="6">
        <f>'2020 Rates'!I17</f>
        <v>8898999.1954638269</v>
      </c>
      <c r="E14" s="1"/>
      <c r="F14" s="4"/>
      <c r="G14" s="4">
        <f>D14-C14</f>
        <v>10039096.935463827</v>
      </c>
      <c r="H14" s="40"/>
      <c r="J14" s="40"/>
    </row>
    <row r="15" spans="1:11" x14ac:dyDescent="0.3">
      <c r="A15">
        <v>5650016</v>
      </c>
      <c r="B15" t="s">
        <v>4</v>
      </c>
      <c r="C15" s="35">
        <v>37573604.490000002</v>
      </c>
      <c r="D15" s="1">
        <f>H15*$D$25</f>
        <v>39470780.379406027</v>
      </c>
      <c r="E15" s="1"/>
      <c r="F15" s="4"/>
      <c r="G15" s="4">
        <f>D15-C15</f>
        <v>1897175.8894060254</v>
      </c>
      <c r="H15" s="40">
        <f>C15/$C$25</f>
        <v>0.44535146412498511</v>
      </c>
      <c r="J15" s="40"/>
    </row>
    <row r="16" spans="1:11" x14ac:dyDescent="0.3">
      <c r="A16">
        <v>5650019</v>
      </c>
      <c r="B16" t="s">
        <v>5</v>
      </c>
      <c r="C16" s="37">
        <v>5548943.1400000006</v>
      </c>
      <c r="D16" s="1">
        <f>H16*$D$25</f>
        <v>5829121.7728403695</v>
      </c>
      <c r="E16" s="1"/>
      <c r="F16" s="11"/>
      <c r="G16" s="4">
        <f>D16-C16</f>
        <v>280178.6328403689</v>
      </c>
      <c r="H16" s="40">
        <f>C16/$C$25</f>
        <v>6.5770372187821266E-2</v>
      </c>
      <c r="J16" s="40"/>
    </row>
    <row r="17" spans="1:10" s="12" customFormat="1" x14ac:dyDescent="0.3">
      <c r="A17" s="12">
        <v>5650021</v>
      </c>
      <c r="B17" s="12" t="s">
        <v>58</v>
      </c>
      <c r="C17" s="37">
        <v>287807.55</v>
      </c>
      <c r="D17" s="1">
        <f>H17*$D$25</f>
        <v>302339.6012114918</v>
      </c>
      <c r="E17" s="1"/>
      <c r="F17" s="11"/>
      <c r="G17" s="4">
        <f>D17-C17</f>
        <v>14532.051211491809</v>
      </c>
      <c r="H17" s="40">
        <f>C17/$C$25</f>
        <v>3.4113180121656422E-3</v>
      </c>
      <c r="J17" s="40"/>
    </row>
    <row r="18" spans="1:10" s="12" customFormat="1" x14ac:dyDescent="0.3">
      <c r="A18" s="12">
        <v>5650015</v>
      </c>
      <c r="B18" s="12" t="s">
        <v>59</v>
      </c>
      <c r="C18" s="36">
        <v>195641.34999999998</v>
      </c>
      <c r="D18" s="2">
        <f>H18*$D$25</f>
        <v>205519.72225703558</v>
      </c>
      <c r="E18" s="2"/>
      <c r="F18" s="32"/>
      <c r="G18" s="32">
        <f>D18-C18</f>
        <v>9878.372257035604</v>
      </c>
      <c r="H18" s="40">
        <f>C18/$C$25</f>
        <v>2.3188928198006015E-3</v>
      </c>
      <c r="J18" s="40"/>
    </row>
    <row r="19" spans="1:10" x14ac:dyDescent="0.3">
      <c r="A19" t="s">
        <v>8</v>
      </c>
      <c r="C19" s="1">
        <f>SUM(C14:C18)</f>
        <v>42465898.789999999</v>
      </c>
      <c r="D19" s="1">
        <f>SUM(D14:D18)</f>
        <v>54706760.671178743</v>
      </c>
      <c r="E19" s="1"/>
      <c r="F19" s="4"/>
      <c r="G19" s="1">
        <f>SUM(G14:G18)</f>
        <v>12240861.881178748</v>
      </c>
      <c r="H19" t="s">
        <v>39</v>
      </c>
    </row>
    <row r="20" spans="1:10" x14ac:dyDescent="0.3">
      <c r="A20" t="s">
        <v>9</v>
      </c>
      <c r="C20" s="1"/>
      <c r="D20" s="1"/>
      <c r="E20" s="1"/>
      <c r="F20" s="4"/>
      <c r="G20" s="4"/>
    </row>
    <row r="21" spans="1:10" x14ac:dyDescent="0.3">
      <c r="A21" t="s">
        <v>10</v>
      </c>
      <c r="C21" s="1">
        <f>SUM(C14:C17)-SUM(C7:C9,C11)</f>
        <v>82235181.439999998</v>
      </c>
      <c r="D21" s="1">
        <f>SUM(D14:D17)-SUM(D7:D9,D11)</f>
        <v>96515938.905701578</v>
      </c>
      <c r="E21" s="1"/>
      <c r="F21" s="1"/>
      <c r="G21" s="1">
        <f t="shared" ref="G21" si="0">SUM(G14:G17)-SUM(G7:G9,G11)</f>
        <v>14280757.465701576</v>
      </c>
      <c r="J21" s="5"/>
    </row>
    <row r="22" spans="1:10" x14ac:dyDescent="0.3">
      <c r="A22" t="s">
        <v>11</v>
      </c>
      <c r="C22" s="2">
        <f>-C10+C18</f>
        <v>362264.19999999995</v>
      </c>
      <c r="D22" s="2">
        <f>-D10+D18</f>
        <v>380555.73511257814</v>
      </c>
      <c r="E22" s="2"/>
      <c r="F22" s="2"/>
      <c r="G22" s="2">
        <f t="shared" ref="G22" si="1">-G10+G18</f>
        <v>18291.535112578189</v>
      </c>
    </row>
    <row r="23" spans="1:10" x14ac:dyDescent="0.3">
      <c r="A23" t="s">
        <v>12</v>
      </c>
      <c r="C23" s="1">
        <f>C22+C21</f>
        <v>82597445.640000001</v>
      </c>
      <c r="D23" s="1">
        <f>'2020 Rates'!H17</f>
        <v>96896494.640814155</v>
      </c>
      <c r="E23" s="1"/>
      <c r="F23" s="4"/>
      <c r="G23" s="1">
        <f>G19-G12</f>
        <v>14299049.000814155</v>
      </c>
    </row>
    <row r="24" spans="1:10" x14ac:dyDescent="0.3">
      <c r="E24" s="4"/>
      <c r="G24" s="4"/>
    </row>
    <row r="25" spans="1:10" x14ac:dyDescent="0.3">
      <c r="C25" s="3">
        <f>SUM(C15:C18)-SUM(C9:C11)</f>
        <v>84368431.49000001</v>
      </c>
      <c r="D25" s="4">
        <f>D23-D14+D8+D7</f>
        <v>88628383.555350333</v>
      </c>
      <c r="E25" s="4"/>
      <c r="G25" s="4">
        <f>D23-C23</f>
        <v>14299049.000814155</v>
      </c>
    </row>
    <row r="26" spans="1:10" x14ac:dyDescent="0.3">
      <c r="D26" s="4"/>
      <c r="E26" s="4"/>
    </row>
    <row r="27" spans="1:10" x14ac:dyDescent="0.3">
      <c r="A27" s="5"/>
      <c r="B27" s="5"/>
      <c r="C27" s="8"/>
      <c r="D27" s="41">
        <f>SUM(D14:D18)-SUM(D7:D11)-D23</f>
        <v>0</v>
      </c>
      <c r="E27" s="41"/>
      <c r="G27" s="41">
        <f>SUM(G14:G18)-SUM(G7:G11)-G23</f>
        <v>0</v>
      </c>
      <c r="H27" s="5" t="s">
        <v>63</v>
      </c>
    </row>
    <row r="28" spans="1:10" x14ac:dyDescent="0.3">
      <c r="A28" s="5"/>
      <c r="B28" s="5"/>
      <c r="C28" s="5"/>
      <c r="D28" s="41">
        <f>D23-D21-D22</f>
        <v>-4.6566128730773926E-10</v>
      </c>
      <c r="E28" s="41"/>
      <c r="G28" s="41">
        <f>G23-G21-G22</f>
        <v>2.3283064365386963E-10</v>
      </c>
      <c r="H28" s="5" t="s">
        <v>63</v>
      </c>
    </row>
    <row r="29" spans="1:10" x14ac:dyDescent="0.3">
      <c r="A29" s="5"/>
      <c r="B29" s="5"/>
      <c r="C29" s="9"/>
      <c r="D29" s="5"/>
      <c r="E29" s="5"/>
      <c r="F29" s="5"/>
      <c r="G29" s="11">
        <f>G23-G25</f>
        <v>0</v>
      </c>
      <c r="H29" s="5" t="s">
        <v>63</v>
      </c>
    </row>
    <row r="30" spans="1:10" x14ac:dyDescent="0.3">
      <c r="A30" s="5"/>
      <c r="B30" s="5"/>
      <c r="C30" s="10"/>
      <c r="D30" s="10"/>
      <c r="E30" s="47"/>
      <c r="F30" s="5"/>
      <c r="G30" s="49"/>
      <c r="H30" s="5"/>
    </row>
    <row r="31" spans="1:10" x14ac:dyDescent="0.3">
      <c r="A31" s="5"/>
      <c r="B31" s="5"/>
      <c r="C31" s="6"/>
      <c r="D31" s="6"/>
      <c r="E31" s="6"/>
      <c r="F31" s="5"/>
      <c r="G31" s="5"/>
      <c r="H31" s="5"/>
    </row>
    <row r="32" spans="1:10" x14ac:dyDescent="0.3">
      <c r="A32" s="5"/>
      <c r="B32" s="5"/>
      <c r="C32" s="6"/>
      <c r="D32" s="6"/>
      <c r="E32" s="6"/>
      <c r="F32" s="5"/>
      <c r="G32" s="5"/>
      <c r="H32" s="5"/>
    </row>
    <row r="33" spans="1:8" x14ac:dyDescent="0.3">
      <c r="A33" s="5"/>
      <c r="B33" s="5"/>
      <c r="C33" s="6"/>
      <c r="D33" s="6"/>
      <c r="E33" s="6"/>
      <c r="F33" s="5"/>
      <c r="G33" s="5"/>
      <c r="H33" s="5"/>
    </row>
    <row r="34" spans="1:8" x14ac:dyDescent="0.3">
      <c r="A34" s="5"/>
      <c r="B34" s="5"/>
      <c r="C34" s="6"/>
      <c r="D34" s="6"/>
      <c r="E34" s="6"/>
      <c r="F34" s="5"/>
      <c r="G34" s="5"/>
      <c r="H34" s="5"/>
    </row>
    <row r="35" spans="1:8" x14ac:dyDescent="0.3">
      <c r="A35" s="5"/>
      <c r="B35" s="5"/>
      <c r="C35" s="6"/>
      <c r="D35" s="6"/>
      <c r="E35" s="6"/>
      <c r="F35" s="5"/>
      <c r="G35" s="5"/>
      <c r="H35" s="5"/>
    </row>
    <row r="36" spans="1:8" x14ac:dyDescent="0.3">
      <c r="A36" s="5"/>
      <c r="B36" s="5"/>
      <c r="C36" s="6"/>
      <c r="D36" s="6"/>
      <c r="E36" s="6"/>
      <c r="F36" s="5"/>
      <c r="G36" s="5"/>
      <c r="H36" s="5"/>
    </row>
    <row r="37" spans="1:8" x14ac:dyDescent="0.3">
      <c r="A37" s="5"/>
      <c r="B37" s="5"/>
      <c r="C37" s="6"/>
      <c r="D37" s="6"/>
      <c r="E37" s="6"/>
      <c r="F37" s="5"/>
      <c r="G37" s="5"/>
      <c r="H37" s="5"/>
    </row>
    <row r="38" spans="1:8" x14ac:dyDescent="0.3">
      <c r="A38" s="5"/>
      <c r="B38" s="5"/>
      <c r="C38" s="6"/>
      <c r="D38" s="6"/>
      <c r="E38" s="6"/>
      <c r="F38" s="5"/>
      <c r="G38" s="5"/>
      <c r="H38" s="5"/>
    </row>
    <row r="39" spans="1:8" x14ac:dyDescent="0.3">
      <c r="A39" s="5"/>
      <c r="B39" s="5"/>
      <c r="C39" s="6"/>
      <c r="D39" s="6"/>
      <c r="E39" s="6"/>
      <c r="F39" s="5"/>
      <c r="G39" s="5"/>
      <c r="H39" s="5"/>
    </row>
    <row r="40" spans="1:8" x14ac:dyDescent="0.3">
      <c r="A40" s="5"/>
      <c r="B40" s="5"/>
      <c r="C40" s="6"/>
      <c r="D40" s="6"/>
      <c r="E40" s="6"/>
      <c r="F40" s="5"/>
      <c r="G40" s="5"/>
      <c r="H40" s="5"/>
    </row>
    <row r="41" spans="1:8" x14ac:dyDescent="0.3">
      <c r="A41" s="5"/>
      <c r="B41" s="5"/>
      <c r="C41" s="6"/>
      <c r="D41" s="6"/>
      <c r="E41" s="6"/>
      <c r="F41" s="11"/>
      <c r="G41" s="11"/>
      <c r="H41" s="5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22"/>
  <sheetViews>
    <sheetView workbookViewId="0">
      <selection activeCell="G26" sqref="G26"/>
    </sheetView>
  </sheetViews>
  <sheetFormatPr defaultColWidth="8.6640625" defaultRowHeight="14.4" x14ac:dyDescent="0.3"/>
  <cols>
    <col min="1" max="1" width="24.44140625" style="33" customWidth="1"/>
    <col min="2" max="3" width="12" style="33" customWidth="1"/>
    <col min="4" max="4" width="17.33203125" style="33" customWidth="1"/>
    <col min="5" max="6" width="12" style="33" customWidth="1"/>
    <col min="7" max="7" width="26.109375" style="33" bestFit="1" customWidth="1"/>
    <col min="8" max="8" width="17.109375" style="33" bestFit="1" customWidth="1"/>
    <col min="9" max="9" width="25.6640625" style="33" customWidth="1"/>
    <col min="10" max="10" width="19.109375" style="33" bestFit="1" customWidth="1"/>
    <col min="11" max="16384" width="8.6640625" style="33"/>
  </cols>
  <sheetData>
    <row r="1" spans="1:11" x14ac:dyDescent="0.3">
      <c r="A1" s="50" t="s">
        <v>71</v>
      </c>
    </row>
    <row r="2" spans="1:11" x14ac:dyDescent="0.3">
      <c r="A2" s="50"/>
    </row>
    <row r="3" spans="1:11" x14ac:dyDescent="0.3">
      <c r="G3" s="39"/>
      <c r="H3" s="39"/>
      <c r="I3" s="39"/>
      <c r="J3" s="39"/>
      <c r="K3" s="39"/>
    </row>
    <row r="4" spans="1:11" x14ac:dyDescent="0.3">
      <c r="B4" s="70" t="s">
        <v>55</v>
      </c>
      <c r="C4" s="70"/>
      <c r="D4" s="71"/>
      <c r="E4" s="71"/>
      <c r="G4" s="51" t="s">
        <v>42</v>
      </c>
      <c r="H4" s="39"/>
      <c r="I4" s="39"/>
      <c r="J4" s="39"/>
      <c r="K4" s="39"/>
    </row>
    <row r="5" spans="1:11" x14ac:dyDescent="0.3">
      <c r="A5" s="33" t="s">
        <v>13</v>
      </c>
      <c r="B5" s="52" t="s">
        <v>14</v>
      </c>
      <c r="C5" s="52" t="s">
        <v>18</v>
      </c>
      <c r="D5" s="52"/>
      <c r="E5" s="52"/>
      <c r="G5" s="39" t="s">
        <v>43</v>
      </c>
      <c r="H5" s="53">
        <v>871336638</v>
      </c>
      <c r="I5" s="39" t="s">
        <v>72</v>
      </c>
      <c r="J5" s="39"/>
      <c r="K5" s="39"/>
    </row>
    <row r="6" spans="1:11" x14ac:dyDescent="0.3">
      <c r="A6" s="33" t="s">
        <v>15</v>
      </c>
      <c r="B6" s="54">
        <v>19100.600000000002</v>
      </c>
      <c r="C6" s="55">
        <f>B6/B8</f>
        <v>0.84899479506976205</v>
      </c>
      <c r="D6" s="54"/>
      <c r="E6" s="55"/>
      <c r="G6" s="39" t="s">
        <v>44</v>
      </c>
      <c r="H6" s="53">
        <v>935533420</v>
      </c>
      <c r="I6" s="39" t="s">
        <v>72</v>
      </c>
      <c r="J6" s="39"/>
      <c r="K6" s="39"/>
    </row>
    <row r="7" spans="1:11" x14ac:dyDescent="0.3">
      <c r="A7" s="33" t="s">
        <v>16</v>
      </c>
      <c r="B7" s="54">
        <v>3397.3</v>
      </c>
      <c r="C7" s="55">
        <f>B7/B8</f>
        <v>0.15100520493023792</v>
      </c>
      <c r="D7" s="54"/>
      <c r="E7" s="55"/>
      <c r="G7" s="51" t="s">
        <v>45</v>
      </c>
      <c r="H7" s="56">
        <v>182724918.6022065</v>
      </c>
      <c r="I7" s="39" t="s">
        <v>73</v>
      </c>
      <c r="J7" s="39"/>
      <c r="K7" s="39"/>
    </row>
    <row r="8" spans="1:11" x14ac:dyDescent="0.3">
      <c r="B8" s="57">
        <f>SUM(B6:B7)</f>
        <v>22497.9</v>
      </c>
      <c r="C8" s="55"/>
      <c r="D8" s="54"/>
      <c r="G8" s="39" t="s">
        <v>46</v>
      </c>
      <c r="H8" s="58">
        <f>SUM(H5:H7)</f>
        <v>1989594976.6022065</v>
      </c>
      <c r="I8" s="39"/>
      <c r="J8" s="39"/>
      <c r="K8" s="39"/>
    </row>
    <row r="9" spans="1:11" x14ac:dyDescent="0.3">
      <c r="F9" s="39"/>
      <c r="G9" s="39"/>
      <c r="H9" s="59"/>
      <c r="I9" s="59"/>
      <c r="J9" s="39"/>
      <c r="K9" s="39"/>
    </row>
    <row r="10" spans="1:11" x14ac:dyDescent="0.3">
      <c r="B10" s="70" t="s">
        <v>56</v>
      </c>
      <c r="C10" s="70"/>
      <c r="D10" s="55"/>
      <c r="F10" s="39"/>
      <c r="G10" s="39" t="s">
        <v>47</v>
      </c>
      <c r="H10" s="60">
        <f>C6</f>
        <v>0.84899479506976205</v>
      </c>
      <c r="I10" s="60"/>
      <c r="J10" s="60"/>
      <c r="K10" s="39"/>
    </row>
    <row r="11" spans="1:11" x14ac:dyDescent="0.3">
      <c r="D11" s="55"/>
      <c r="F11" s="39"/>
      <c r="G11" s="39" t="s">
        <v>48</v>
      </c>
      <c r="H11" s="53">
        <f>H8*H10</f>
        <v>1689155779.4322183</v>
      </c>
      <c r="I11" s="58"/>
      <c r="J11" s="61"/>
      <c r="K11" s="39"/>
    </row>
    <row r="12" spans="1:11" x14ac:dyDescent="0.3">
      <c r="B12" s="70" t="s">
        <v>41</v>
      </c>
      <c r="C12" s="70"/>
      <c r="D12" s="59"/>
      <c r="E12" s="62"/>
      <c r="F12" s="39"/>
      <c r="G12" s="39"/>
      <c r="H12" s="39"/>
      <c r="I12" s="39"/>
      <c r="J12" s="39"/>
      <c r="K12" s="39"/>
    </row>
    <row r="13" spans="1:11" x14ac:dyDescent="0.3">
      <c r="A13" s="33" t="s">
        <v>17</v>
      </c>
      <c r="B13" s="52" t="s">
        <v>14</v>
      </c>
      <c r="C13" s="52" t="s">
        <v>18</v>
      </c>
      <c r="D13" s="52"/>
      <c r="E13" s="52"/>
      <c r="F13" s="39"/>
      <c r="G13" s="39"/>
      <c r="H13" s="60"/>
      <c r="I13" s="60"/>
      <c r="J13" s="60"/>
      <c r="K13" s="39"/>
    </row>
    <row r="14" spans="1:11" x14ac:dyDescent="0.3">
      <c r="A14" s="33" t="s">
        <v>19</v>
      </c>
      <c r="B14" s="54">
        <v>5081.8354166666677</v>
      </c>
      <c r="C14" s="55">
        <f t="shared" ref="C14:C18" si="0">B14/$B$20</f>
        <v>0.29568804366572921</v>
      </c>
      <c r="D14" s="63"/>
      <c r="E14" s="55"/>
      <c r="F14" s="39"/>
      <c r="G14" s="33" t="s">
        <v>49</v>
      </c>
      <c r="H14" s="53">
        <f t="shared" ref="H14:H16" si="1">$H$11*C14</f>
        <v>499463167.86697263</v>
      </c>
      <c r="I14" s="58"/>
      <c r="J14" s="64"/>
      <c r="K14" s="39"/>
    </row>
    <row r="15" spans="1:11" x14ac:dyDescent="0.3">
      <c r="A15" s="33" t="s">
        <v>20</v>
      </c>
      <c r="B15" s="54">
        <v>7324.4617500000013</v>
      </c>
      <c r="C15" s="55">
        <f t="shared" si="0"/>
        <v>0.42617589673585882</v>
      </c>
      <c r="D15" s="63"/>
      <c r="E15" s="55"/>
      <c r="F15" s="39"/>
      <c r="G15" s="39" t="s">
        <v>50</v>
      </c>
      <c r="H15" s="53">
        <f t="shared" si="1"/>
        <v>719877479.02608418</v>
      </c>
      <c r="I15" s="58"/>
      <c r="J15" s="64"/>
      <c r="K15" s="39"/>
    </row>
    <row r="16" spans="1:11" x14ac:dyDescent="0.3">
      <c r="A16" s="33" t="s">
        <v>21</v>
      </c>
      <c r="B16" s="54">
        <v>2919.9913333333334</v>
      </c>
      <c r="C16" s="55">
        <f t="shared" si="0"/>
        <v>0.16990052886060455</v>
      </c>
      <c r="D16" s="63"/>
      <c r="E16" s="55"/>
      <c r="F16" s="39"/>
      <c r="G16" s="39" t="s">
        <v>51</v>
      </c>
      <c r="H16" s="53">
        <f t="shared" si="1"/>
        <v>286988460.25348061</v>
      </c>
      <c r="I16" s="58"/>
      <c r="J16" s="64"/>
      <c r="K16" s="39"/>
    </row>
    <row r="17" spans="1:11" x14ac:dyDescent="0.3">
      <c r="A17" s="33" t="s">
        <v>22</v>
      </c>
      <c r="B17" s="54">
        <v>985.8825833333334</v>
      </c>
      <c r="C17" s="55">
        <f t="shared" si="0"/>
        <v>5.7363859402822105E-2</v>
      </c>
      <c r="D17" s="63"/>
      <c r="E17" s="55"/>
      <c r="F17" s="39"/>
      <c r="G17" s="39" t="s">
        <v>52</v>
      </c>
      <c r="H17" s="53">
        <f>$H$11*C17</f>
        <v>96896494.640814155</v>
      </c>
      <c r="I17" s="58">
        <f>H7*H10*C17</f>
        <v>8898999.1954638269</v>
      </c>
      <c r="J17" s="64"/>
      <c r="K17" s="39"/>
    </row>
    <row r="18" spans="1:11" x14ac:dyDescent="0.3">
      <c r="A18" s="33" t="s">
        <v>23</v>
      </c>
      <c r="B18" s="54">
        <v>551.38866666666661</v>
      </c>
      <c r="C18" s="55">
        <f t="shared" si="0"/>
        <v>3.2082706891964609E-2</v>
      </c>
      <c r="D18" s="63"/>
      <c r="E18" s="55"/>
      <c r="G18" s="39" t="s">
        <v>53</v>
      </c>
      <c r="H18" s="53">
        <f t="shared" ref="H18:H19" si="2">$H$11*C18</f>
        <v>54192689.766391881</v>
      </c>
      <c r="I18" s="58"/>
      <c r="J18" s="64"/>
      <c r="K18" s="39"/>
    </row>
    <row r="19" spans="1:11" x14ac:dyDescent="0.3">
      <c r="A19" s="33" t="s">
        <v>24</v>
      </c>
      <c r="B19" s="54">
        <v>322.91608333333335</v>
      </c>
      <c r="C19" s="55">
        <f>B19/$B$20</f>
        <v>1.8788964443020625E-2</v>
      </c>
      <c r="D19" s="63"/>
      <c r="E19" s="55"/>
      <c r="G19" s="39" t="s">
        <v>54</v>
      </c>
      <c r="H19" s="53">
        <f t="shared" si="2"/>
        <v>31737487.878474738</v>
      </c>
      <c r="I19" s="58"/>
      <c r="J19" s="64"/>
      <c r="K19" s="39"/>
    </row>
    <row r="20" spans="1:11" x14ac:dyDescent="0.3">
      <c r="A20" s="33" t="s">
        <v>25</v>
      </c>
      <c r="B20" s="54">
        <v>17186.475833333338</v>
      </c>
      <c r="C20" s="55">
        <v>0.99999999999999989</v>
      </c>
      <c r="D20" s="54"/>
      <c r="E20" s="55"/>
      <c r="G20" s="51"/>
      <c r="H20" s="61"/>
      <c r="I20" s="39"/>
      <c r="J20" s="39"/>
      <c r="K20" s="39"/>
    </row>
    <row r="21" spans="1:11" x14ac:dyDescent="0.3">
      <c r="G21" s="39" t="s">
        <v>57</v>
      </c>
      <c r="H21" s="58">
        <f>H11-SUM(H14:H19)</f>
        <v>0</v>
      </c>
      <c r="I21" s="39"/>
      <c r="J21" s="39"/>
      <c r="K21" s="39"/>
    </row>
    <row r="22" spans="1:11" x14ac:dyDescent="0.3">
      <c r="C22" s="34"/>
      <c r="D22" s="65"/>
    </row>
  </sheetData>
  <mergeCells count="4">
    <mergeCell ref="B4:C4"/>
    <mergeCell ref="D4:E4"/>
    <mergeCell ref="B12:C12"/>
    <mergeCell ref="B10:C10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e9c0b8d7-bdb4-4fd3-b62a-f50327aaefce" origin="userSelected">
  <element uid="936e22d5-45a7-4cb7-95ab-1aa8c7c88789" value=""/>
</sisl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135A8D66889804D93A541DC7FCD6740" ma:contentTypeVersion="1" ma:contentTypeDescription="Create a new document." ma:contentTypeScope="" ma:versionID="efd721c7cda02a20df6329f4e8d3d67f">
  <xsd:schema xmlns:xsd="http://www.w3.org/2001/XMLSchema" xmlns:xs="http://www.w3.org/2001/XMLSchema" xmlns:p="http://schemas.microsoft.com/office/2006/metadata/properties" xmlns:ns2="a1040523-5304-4b09-b6d4-64a124c994e2" targetNamespace="http://schemas.microsoft.com/office/2006/metadata/properties" ma:root="true" ma:fieldsID="600ce198b5c5104e6f0363384ebebfc8" ns2:_="">
    <xsd:import namespace="a1040523-5304-4b09-b6d4-64a124c994e2"/>
    <xsd:element name="properties">
      <xsd:complexType>
        <xsd:sequence>
          <xsd:element name="documentManagement">
            <xsd:complexType>
              <xsd:all>
                <xsd:element ref="ns2:Operating_x0020_Company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040523-5304-4b09-b6d4-64a124c994e2" elementFormDefault="qualified">
    <xsd:import namespace="http://schemas.microsoft.com/office/2006/documentManagement/types"/>
    <xsd:import namespace="http://schemas.microsoft.com/office/infopath/2007/PartnerControls"/>
    <xsd:element name="Operating_x0020_Company" ma:index="8" ma:displayName="Operating Company" ma:default="AEP Ohio" ma:format="Dropdown" ma:internalName="Operating_x0020_Company">
      <xsd:simpleType>
        <xsd:restriction base="dms:Choice">
          <xsd:enumeration value="AEP Ohio"/>
          <xsd:enumeration value="AEP Texas"/>
          <xsd:enumeration value="Appalachian Power - Tennessee"/>
          <xsd:enumeration value="Appalachian Power - Virginia"/>
          <xsd:enumeration value="Appalachian Power - West Virginia"/>
          <xsd:enumeration value="ETT"/>
          <xsd:enumeration value="FERC"/>
          <xsd:enumeration value="Indiana &amp; Michigan Power - Indiana"/>
          <xsd:enumeration value="Indiana &amp; Michigan Power - Michigan"/>
          <xsd:enumeration value="Kentucky Power"/>
          <xsd:enumeration value="PSO"/>
          <xsd:enumeration value="SWEPCO - Arkansas"/>
          <xsd:enumeration value="SWEPCO - Louisiana"/>
          <xsd:enumeration value="SWEPCO - Texas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perating_x0020_Company xmlns="a1040523-5304-4b09-b6d4-64a124c994e2">Kentucky Power</Operating_x0020_Company>
  </documentManagement>
</p:properties>
</file>

<file path=customXml/itemProps1.xml><?xml version="1.0" encoding="utf-8"?>
<ds:datastoreItem xmlns:ds="http://schemas.openxmlformats.org/officeDocument/2006/customXml" ds:itemID="{6ACA7306-4C0A-4746-BA33-44F2B58BE780}">
  <ds:schemaRefs>
    <ds:schemaRef ds:uri="http://www.w3.org/2001/XMLSchema"/>
    <ds:schemaRef ds:uri="http://www.boldonjames.com/2008/01/sie/internal/label"/>
  </ds:schemaRefs>
</ds:datastoreItem>
</file>

<file path=customXml/itemProps2.xml><?xml version="1.0" encoding="utf-8"?>
<ds:datastoreItem xmlns:ds="http://schemas.openxmlformats.org/officeDocument/2006/customXml" ds:itemID="{1BB54741-3C8A-4496-9B18-6F3E6E95D118}"/>
</file>

<file path=customXml/itemProps3.xml><?xml version="1.0" encoding="utf-8"?>
<ds:datastoreItem xmlns:ds="http://schemas.openxmlformats.org/officeDocument/2006/customXml" ds:itemID="{7E296A4D-CA3B-481A-9D5A-23FA2DE7CC3D}"/>
</file>

<file path=customXml/itemProps4.xml><?xml version="1.0" encoding="utf-8"?>
<ds:datastoreItem xmlns:ds="http://schemas.openxmlformats.org/officeDocument/2006/customXml" ds:itemID="{902585F9-5F4E-4D6C-83C6-DEE232B5BDB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Adjustment</vt:lpstr>
      <vt:lpstr>ADJ-Calc</vt:lpstr>
      <vt:lpstr>2020 Rates</vt:lpstr>
    </vt:vector>
  </TitlesOfParts>
  <Company>American Electric Power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Alex Vaughan</dc:creator>
  <cp:keywords/>
  <cp:lastModifiedBy>s012197</cp:lastModifiedBy>
  <dcterms:created xsi:type="dcterms:W3CDTF">2017-01-24T12:40:00Z</dcterms:created>
  <dcterms:modified xsi:type="dcterms:W3CDTF">2020-07-26T20:57:35Z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66945d7d-1be2-4ce2-96cf-0b5e82fdcea6</vt:lpwstr>
  </property>
  <property fmtid="{D5CDD505-2E9C-101B-9397-08002B2CF9AE}" pid="3" name="bjSaver">
    <vt:lpwstr>N1DSBWDQZIeY/VRw0Xy3fwx0B1BRPR0Y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policy="e9c0b8d7-bdb4-4fd3-b62a-f50327aaefce" origin="userSelected" xmlns="http://www.boldonj</vt:lpwstr>
  </property>
  <property fmtid="{D5CDD505-2E9C-101B-9397-08002B2CF9AE}" pid="5" name="bjDocumentLabelXML-0">
    <vt:lpwstr>ames.com/2008/01/sie/internal/label"&gt;&lt;element uid="936e22d5-45a7-4cb7-95ab-1aa8c7c88789" value="" /&gt;&lt;/sisl&gt;</vt:lpwstr>
  </property>
  <property fmtid="{D5CDD505-2E9C-101B-9397-08002B2CF9AE}" pid="6" name="bjDocumentSecurityLabel">
    <vt:lpwstr>Uncategorized</vt:lpwstr>
  </property>
  <property fmtid="{D5CDD505-2E9C-101B-9397-08002B2CF9AE}" pid="7" name="ContentTypeId">
    <vt:lpwstr>0x0101002135A8D66889804D93A541DC7FCD6740</vt:lpwstr>
  </property>
</Properties>
</file>