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Internal\01_Regulatory Services\02_Cases\2020 Cases\01 2020-00174 Base Rate Case\07_Discovery\KIUC-AG\Set 01\1-11\"/>
    </mc:Choice>
  </mc:AlternateContent>
  <bookViews>
    <workbookView xWindow="0" yWindow="0" windowWidth="28800" windowHeight="10500" tabRatio="892"/>
  </bookViews>
  <sheets>
    <sheet name="RP BRR v CRR" sheetId="2" r:id="rId1"/>
    <sheet name="RP CRR 2020" sheetId="4" r:id="rId2"/>
    <sheet name="RP CRR 2019" sheetId="1" r:id="rId3"/>
    <sheet name="RP CRR 2018" sheetId="9" r:id="rId4"/>
    <sheet name="RP CRR 2017" sheetId="10" r:id="rId5"/>
    <sheet name="RP CRR 2016" sheetId="11" r:id="rId6"/>
    <sheet name="2017-00179 BRR" sheetId="3" r:id="rId7"/>
    <sheet name="2014-00396 BRR" sheetId="5" r:id="rId8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E23" i="2"/>
  <c r="E33" i="2"/>
  <c r="E32" i="2"/>
  <c r="E31" i="2"/>
  <c r="E30" i="2"/>
  <c r="E29" i="2"/>
  <c r="E28" i="2"/>
  <c r="E27" i="2"/>
  <c r="E26" i="2"/>
  <c r="E25" i="2"/>
  <c r="E24" i="2"/>
  <c r="E22" i="2"/>
  <c r="E5" i="2"/>
  <c r="F36" i="9"/>
  <c r="F28" i="9"/>
  <c r="F29" i="9" s="1"/>
  <c r="F27" i="9"/>
  <c r="F11" i="9"/>
  <c r="F16" i="9" s="1"/>
  <c r="F19" i="9" s="1"/>
  <c r="F25" i="9" s="1"/>
  <c r="F30" i="9" l="1"/>
  <c r="F32" i="9" s="1"/>
  <c r="F33" i="9" s="1"/>
  <c r="F34" i="9" s="1"/>
  <c r="D83" i="2" l="1"/>
  <c r="D82" i="2"/>
  <c r="D81" i="2"/>
  <c r="D80" i="2"/>
  <c r="D79" i="2"/>
  <c r="D78" i="2"/>
  <c r="D77" i="2"/>
  <c r="D76" i="2"/>
  <c r="D75" i="2"/>
  <c r="D74" i="2"/>
  <c r="D73" i="2"/>
  <c r="D72" i="2"/>
  <c r="D33" i="2"/>
  <c r="D32" i="2"/>
  <c r="D31" i="2"/>
  <c r="D30" i="2"/>
  <c r="D29" i="2"/>
  <c r="D28" i="2"/>
  <c r="D27" i="2"/>
  <c r="D26" i="2"/>
  <c r="D25" i="2"/>
  <c r="D24" i="2"/>
  <c r="D23" i="2"/>
  <c r="D22" i="2"/>
  <c r="C33" i="2"/>
  <c r="C32" i="2"/>
  <c r="C31" i="2"/>
  <c r="C30" i="2"/>
  <c r="C29" i="2"/>
  <c r="C28" i="2"/>
  <c r="C27" i="2"/>
  <c r="C26" i="2"/>
  <c r="C25" i="2"/>
  <c r="C24" i="2"/>
  <c r="C23" i="2"/>
  <c r="N23" i="11"/>
  <c r="N24" i="11" s="1"/>
  <c r="N25" i="11" s="1"/>
  <c r="N26" i="11" s="1"/>
  <c r="N22" i="11"/>
  <c r="N20" i="11"/>
  <c r="N15" i="11"/>
  <c r="N12" i="11"/>
  <c r="N10" i="11"/>
  <c r="M23" i="11"/>
  <c r="M24" i="11" s="1"/>
  <c r="M25" i="11" s="1"/>
  <c r="M26" i="11" s="1"/>
  <c r="M22" i="11"/>
  <c r="M20" i="11"/>
  <c r="M15" i="11"/>
  <c r="M12" i="11"/>
  <c r="M10" i="11"/>
  <c r="L23" i="11"/>
  <c r="L24" i="11" s="1"/>
  <c r="L25" i="11" s="1"/>
  <c r="L26" i="11" s="1"/>
  <c r="L22" i="11"/>
  <c r="L20" i="11"/>
  <c r="L15" i="11"/>
  <c r="L12" i="11"/>
  <c r="L10" i="11"/>
  <c r="K23" i="11"/>
  <c r="K24" i="11" s="1"/>
  <c r="K25" i="11" s="1"/>
  <c r="K26" i="11" s="1"/>
  <c r="K22" i="11"/>
  <c r="K20" i="11"/>
  <c r="K15" i="11"/>
  <c r="K12" i="11"/>
  <c r="K10" i="11"/>
  <c r="J23" i="11"/>
  <c r="J24" i="11" s="1"/>
  <c r="J25" i="11" s="1"/>
  <c r="J26" i="11" s="1"/>
  <c r="J22" i="11"/>
  <c r="J20" i="11"/>
  <c r="J15" i="11"/>
  <c r="J12" i="11"/>
  <c r="J10" i="11"/>
  <c r="I23" i="11"/>
  <c r="I24" i="11" s="1"/>
  <c r="I25" i="11" s="1"/>
  <c r="I26" i="11" s="1"/>
  <c r="I22" i="11"/>
  <c r="I20" i="11"/>
  <c r="I15" i="11"/>
  <c r="I12" i="11"/>
  <c r="I10" i="11"/>
  <c r="H23" i="11"/>
  <c r="H24" i="11" s="1"/>
  <c r="H25" i="11" s="1"/>
  <c r="H26" i="11" s="1"/>
  <c r="H22" i="11"/>
  <c r="H20" i="11"/>
  <c r="H15" i="11"/>
  <c r="H12" i="11"/>
  <c r="H10" i="11"/>
  <c r="G23" i="11"/>
  <c r="G24" i="11" s="1"/>
  <c r="G25" i="11" s="1"/>
  <c r="G26" i="11" s="1"/>
  <c r="G22" i="11"/>
  <c r="G20" i="11"/>
  <c r="G15" i="11"/>
  <c r="G12" i="11"/>
  <c r="G10" i="11"/>
  <c r="F23" i="11"/>
  <c r="F24" i="11" s="1"/>
  <c r="F25" i="11" s="1"/>
  <c r="F26" i="11" s="1"/>
  <c r="F22" i="11"/>
  <c r="F20" i="11"/>
  <c r="F15" i="11"/>
  <c r="F12" i="11"/>
  <c r="F10" i="11"/>
  <c r="E24" i="11"/>
  <c r="E25" i="11" s="1"/>
  <c r="E26" i="11" s="1"/>
  <c r="E23" i="11"/>
  <c r="E22" i="11"/>
  <c r="E20" i="11"/>
  <c r="E15" i="11"/>
  <c r="E12" i="11"/>
  <c r="E10" i="11"/>
  <c r="D23" i="11"/>
  <c r="D24" i="11" s="1"/>
  <c r="D25" i="11" s="1"/>
  <c r="D26" i="11" s="1"/>
  <c r="D22" i="11"/>
  <c r="D20" i="11"/>
  <c r="D15" i="11"/>
  <c r="D12" i="11"/>
  <c r="D10" i="11"/>
  <c r="C23" i="11"/>
  <c r="C24" i="11" s="1"/>
  <c r="C22" i="11"/>
  <c r="C10" i="11"/>
  <c r="C12" i="11" s="1"/>
  <c r="C15" i="11" s="1"/>
  <c r="C20" i="11" s="1"/>
  <c r="C25" i="11" l="1"/>
  <c r="C26" i="11" s="1"/>
  <c r="C22" i="2" s="1"/>
  <c r="N23" i="10"/>
  <c r="N24" i="10" s="1"/>
  <c r="N25" i="10" s="1"/>
  <c r="N26" i="10" s="1"/>
  <c r="N22" i="10"/>
  <c r="N20" i="10"/>
  <c r="N15" i="10"/>
  <c r="N12" i="10"/>
  <c r="N10" i="10"/>
  <c r="M23" i="10"/>
  <c r="M24" i="10" s="1"/>
  <c r="M25" i="10" s="1"/>
  <c r="M26" i="10" s="1"/>
  <c r="M22" i="10"/>
  <c r="M20" i="10"/>
  <c r="M15" i="10"/>
  <c r="M12" i="10"/>
  <c r="M10" i="10"/>
  <c r="L23" i="10"/>
  <c r="L24" i="10" s="1"/>
  <c r="L25" i="10" s="1"/>
  <c r="L26" i="10" s="1"/>
  <c r="L22" i="10"/>
  <c r="L20" i="10"/>
  <c r="L15" i="10"/>
  <c r="L12" i="10"/>
  <c r="L10" i="10"/>
  <c r="K23" i="10"/>
  <c r="K24" i="10" s="1"/>
  <c r="K25" i="10" s="1"/>
  <c r="K26" i="10" s="1"/>
  <c r="K22" i="10"/>
  <c r="K20" i="10"/>
  <c r="K15" i="10"/>
  <c r="K12" i="10"/>
  <c r="K10" i="10"/>
  <c r="J23" i="10"/>
  <c r="J24" i="10" s="1"/>
  <c r="J25" i="10" s="1"/>
  <c r="J26" i="10" s="1"/>
  <c r="J22" i="10"/>
  <c r="J20" i="10"/>
  <c r="J15" i="10"/>
  <c r="J12" i="10"/>
  <c r="J10" i="10"/>
  <c r="I23" i="10"/>
  <c r="I24" i="10" s="1"/>
  <c r="I25" i="10" s="1"/>
  <c r="I26" i="10" s="1"/>
  <c r="I22" i="10"/>
  <c r="I20" i="10"/>
  <c r="I15" i="10"/>
  <c r="I12" i="10"/>
  <c r="I10" i="10"/>
  <c r="H23" i="10"/>
  <c r="H24" i="10" s="1"/>
  <c r="H25" i="10" s="1"/>
  <c r="H26" i="10" s="1"/>
  <c r="H22" i="10"/>
  <c r="H20" i="10"/>
  <c r="H15" i="10"/>
  <c r="H12" i="10"/>
  <c r="H10" i="10"/>
  <c r="G23" i="10"/>
  <c r="G24" i="10" s="1"/>
  <c r="G25" i="10" s="1"/>
  <c r="G26" i="10" s="1"/>
  <c r="G22" i="10"/>
  <c r="G20" i="10"/>
  <c r="G15" i="10"/>
  <c r="G12" i="10"/>
  <c r="G10" i="10"/>
  <c r="F23" i="10"/>
  <c r="F24" i="10" s="1"/>
  <c r="F25" i="10" s="1"/>
  <c r="F26" i="10" s="1"/>
  <c r="F22" i="10"/>
  <c r="F20" i="10"/>
  <c r="F15" i="10"/>
  <c r="F12" i="10"/>
  <c r="F10" i="10"/>
  <c r="E23" i="10"/>
  <c r="E24" i="10" s="1"/>
  <c r="E25" i="10" s="1"/>
  <c r="E26" i="10" s="1"/>
  <c r="E22" i="10"/>
  <c r="E20" i="10"/>
  <c r="E15" i="10"/>
  <c r="E12" i="10"/>
  <c r="E10" i="10"/>
  <c r="D23" i="10"/>
  <c r="D24" i="10" s="1"/>
  <c r="D25" i="10" s="1"/>
  <c r="D26" i="10" s="1"/>
  <c r="D22" i="10"/>
  <c r="D20" i="10"/>
  <c r="D15" i="10"/>
  <c r="D12" i="10"/>
  <c r="D10" i="10"/>
  <c r="C15" i="10"/>
  <c r="C20" i="10"/>
  <c r="C25" i="10" s="1"/>
  <c r="C22" i="10"/>
  <c r="C23" i="10"/>
  <c r="C24" i="10"/>
  <c r="C10" i="10"/>
  <c r="C12" i="10" s="1"/>
  <c r="P28" i="9"/>
  <c r="P29" i="9" s="1"/>
  <c r="P27" i="9"/>
  <c r="P30" i="9" s="1"/>
  <c r="P32" i="9" s="1"/>
  <c r="P33" i="9" s="1"/>
  <c r="P34" i="9" s="1"/>
  <c r="P36" i="9" s="1"/>
  <c r="P11" i="9"/>
  <c r="P16" i="9" s="1"/>
  <c r="P19" i="9" s="1"/>
  <c r="P25" i="9" s="1"/>
  <c r="O28" i="9"/>
  <c r="O29" i="9" s="1"/>
  <c r="O27" i="9"/>
  <c r="O30" i="9" s="1"/>
  <c r="O32" i="9" s="1"/>
  <c r="O33" i="9" s="1"/>
  <c r="O11" i="9"/>
  <c r="O16" i="9" s="1"/>
  <c r="O19" i="9" s="1"/>
  <c r="O25" i="9" s="1"/>
  <c r="N28" i="9"/>
  <c r="N29" i="9" s="1"/>
  <c r="N27" i="9"/>
  <c r="N19" i="9"/>
  <c r="N25" i="9" s="1"/>
  <c r="N16" i="9"/>
  <c r="N11" i="9"/>
  <c r="M28" i="9"/>
  <c r="M29" i="9" s="1"/>
  <c r="M27" i="9"/>
  <c r="M16" i="9"/>
  <c r="M19" i="9" s="1"/>
  <c r="M25" i="9" s="1"/>
  <c r="M11" i="9"/>
  <c r="L28" i="9"/>
  <c r="L29" i="9" s="1"/>
  <c r="L27" i="9"/>
  <c r="L30" i="9" s="1"/>
  <c r="L32" i="9" s="1"/>
  <c r="L33" i="9" s="1"/>
  <c r="L11" i="9"/>
  <c r="L16" i="9" s="1"/>
  <c r="L19" i="9" s="1"/>
  <c r="L25" i="9" s="1"/>
  <c r="K28" i="9"/>
  <c r="K29" i="9" s="1"/>
  <c r="K30" i="9" s="1"/>
  <c r="K32" i="9" s="1"/>
  <c r="K33" i="9" s="1"/>
  <c r="K34" i="9" s="1"/>
  <c r="K36" i="9" s="1"/>
  <c r="K27" i="9"/>
  <c r="K11" i="9"/>
  <c r="K16" i="9" s="1"/>
  <c r="K19" i="9" s="1"/>
  <c r="K25" i="9" s="1"/>
  <c r="J28" i="9"/>
  <c r="J29" i="9" s="1"/>
  <c r="J27" i="9"/>
  <c r="J30" i="9" s="1"/>
  <c r="J32" i="9" s="1"/>
  <c r="J33" i="9" s="1"/>
  <c r="J34" i="9" s="1"/>
  <c r="J36" i="9" s="1"/>
  <c r="J11" i="9"/>
  <c r="J16" i="9" s="1"/>
  <c r="J19" i="9" s="1"/>
  <c r="J25" i="9" s="1"/>
  <c r="I16" i="9"/>
  <c r="I19" i="9" s="1"/>
  <c r="I25" i="9" s="1"/>
  <c r="I11" i="9"/>
  <c r="I28" i="9"/>
  <c r="I29" i="9" s="1"/>
  <c r="I27" i="9"/>
  <c r="I30" i="9" s="1"/>
  <c r="I32" i="9" s="1"/>
  <c r="I33" i="9" s="1"/>
  <c r="L34" i="9" l="1"/>
  <c r="L36" i="9" s="1"/>
  <c r="O34" i="9"/>
  <c r="O36" i="9" s="1"/>
  <c r="C26" i="10"/>
  <c r="N30" i="9"/>
  <c r="N32" i="9" s="1"/>
  <c r="N33" i="9" s="1"/>
  <c r="N34" i="9" s="1"/>
  <c r="N36" i="9" s="1"/>
  <c r="M30" i="9"/>
  <c r="M32" i="9" s="1"/>
  <c r="M33" i="9" s="1"/>
  <c r="M34" i="9" s="1"/>
  <c r="M36" i="9" s="1"/>
  <c r="I34" i="9"/>
  <c r="I36" i="9" s="1"/>
  <c r="H28" i="9"/>
  <c r="H29" i="9" s="1"/>
  <c r="H27" i="9"/>
  <c r="H11" i="9"/>
  <c r="H16" i="9" s="1"/>
  <c r="H19" i="9" s="1"/>
  <c r="H25" i="9" s="1"/>
  <c r="G28" i="9"/>
  <c r="G29" i="9" s="1"/>
  <c r="G27" i="9"/>
  <c r="G16" i="9"/>
  <c r="G19" i="9" s="1"/>
  <c r="G25" i="9" s="1"/>
  <c r="G11" i="9"/>
  <c r="E33" i="9"/>
  <c r="E28" i="9"/>
  <c r="E29" i="9" s="1"/>
  <c r="E27" i="9"/>
  <c r="E11" i="9"/>
  <c r="E16" i="9" s="1"/>
  <c r="E19" i="9" s="1"/>
  <c r="E25" i="9" s="1"/>
  <c r="D33" i="9"/>
  <c r="D11" i="9"/>
  <c r="D28" i="9"/>
  <c r="D29" i="9" s="1"/>
  <c r="D27" i="9"/>
  <c r="D16" i="9"/>
  <c r="D19" i="9" s="1"/>
  <c r="D25" i="9" s="1"/>
  <c r="C11" i="9"/>
  <c r="G30" i="9" l="1"/>
  <c r="G32" i="9" s="1"/>
  <c r="G33" i="9" s="1"/>
  <c r="G34" i="9" s="1"/>
  <c r="G36" i="9" s="1"/>
  <c r="H30" i="9"/>
  <c r="H32" i="9" s="1"/>
  <c r="H33" i="9" s="1"/>
  <c r="H34" i="9" s="1"/>
  <c r="H36" i="9" s="1"/>
  <c r="E34" i="9"/>
  <c r="E36" i="9" s="1"/>
  <c r="E30" i="9"/>
  <c r="E32" i="9" s="1"/>
  <c r="D30" i="9"/>
  <c r="D32" i="9" s="1"/>
  <c r="D34" i="9" s="1"/>
  <c r="D36" i="9" s="1"/>
  <c r="C28" i="9"/>
  <c r="C27" i="9"/>
  <c r="C16" i="9"/>
  <c r="C19" i="9" s="1"/>
  <c r="C25" i="9" s="1"/>
  <c r="C27" i="1"/>
  <c r="C25" i="1"/>
  <c r="C19" i="1"/>
  <c r="C16" i="1"/>
  <c r="C11" i="1"/>
  <c r="C29" i="9" l="1"/>
  <c r="C30" i="9" s="1"/>
  <c r="C32" i="9" s="1"/>
  <c r="C34" i="9" s="1"/>
  <c r="C36" i="9" s="1"/>
  <c r="E34" i="2" s="1"/>
  <c r="D84" i="2"/>
  <c r="F33" i="2"/>
  <c r="F32" i="2"/>
  <c r="F31" i="2"/>
  <c r="F30" i="2"/>
  <c r="F29" i="2"/>
  <c r="F28" i="2"/>
  <c r="F27" i="2"/>
  <c r="F26" i="2"/>
  <c r="F25" i="2"/>
  <c r="F24" i="2"/>
  <c r="F23" i="2"/>
  <c r="G28" i="2"/>
  <c r="G27" i="2"/>
  <c r="G26" i="2"/>
  <c r="G25" i="2"/>
  <c r="G24" i="2"/>
  <c r="G23" i="2"/>
  <c r="G22" i="2"/>
  <c r="D34" i="2"/>
  <c r="C34" i="2"/>
  <c r="G34" i="2" l="1"/>
  <c r="F34" i="1" l="1"/>
  <c r="F35" i="1" s="1"/>
  <c r="F36" i="1" s="1"/>
  <c r="F33" i="1"/>
  <c r="F29" i="1"/>
  <c r="F28" i="1"/>
  <c r="F30" i="1" s="1"/>
  <c r="F27" i="1"/>
  <c r="F31" i="1" s="1"/>
  <c r="F25" i="1"/>
  <c r="F19" i="1"/>
  <c r="F16" i="1"/>
  <c r="F11" i="1"/>
  <c r="E33" i="1"/>
  <c r="E34" i="1" s="1"/>
  <c r="E35" i="1" s="1"/>
  <c r="E36" i="1" s="1"/>
  <c r="E29" i="1"/>
  <c r="E28" i="1"/>
  <c r="E30" i="1" s="1"/>
  <c r="E27" i="1"/>
  <c r="E31" i="1" s="1"/>
  <c r="E25" i="1"/>
  <c r="E19" i="1"/>
  <c r="E16" i="1"/>
  <c r="E11" i="1"/>
  <c r="K29" i="1"/>
  <c r="O29" i="1"/>
  <c r="N29" i="1"/>
  <c r="M29" i="1"/>
  <c r="L29" i="1"/>
  <c r="J29" i="1"/>
  <c r="I29" i="1"/>
  <c r="H29" i="1"/>
  <c r="G29" i="1"/>
  <c r="O28" i="1"/>
  <c r="N28" i="1"/>
  <c r="M28" i="1"/>
  <c r="L28" i="1"/>
  <c r="K28" i="1"/>
  <c r="J28" i="1"/>
  <c r="I28" i="1"/>
  <c r="H28" i="1"/>
  <c r="G28" i="1"/>
  <c r="C28" i="1"/>
  <c r="C29" i="1"/>
  <c r="E16" i="2"/>
  <c r="E50" i="2" s="1"/>
  <c r="E83" i="2" s="1"/>
  <c r="E15" i="2"/>
  <c r="E49" i="2" s="1"/>
  <c r="E82" i="2" s="1"/>
  <c r="E14" i="2"/>
  <c r="E48" i="2" s="1"/>
  <c r="E81" i="2" s="1"/>
  <c r="E13" i="2"/>
  <c r="E47" i="2" s="1"/>
  <c r="E80" i="2" s="1"/>
  <c r="E12" i="2"/>
  <c r="E46" i="2" s="1"/>
  <c r="E79" i="2" s="1"/>
  <c r="E11" i="2"/>
  <c r="E45" i="2" s="1"/>
  <c r="E78" i="2" s="1"/>
  <c r="E10" i="2"/>
  <c r="E44" i="2" s="1"/>
  <c r="E77" i="2" s="1"/>
  <c r="E9" i="2"/>
  <c r="E43" i="2" s="1"/>
  <c r="E76" i="2" s="1"/>
  <c r="E8" i="2"/>
  <c r="E42" i="2" s="1"/>
  <c r="E75" i="2" s="1"/>
  <c r="E7" i="2"/>
  <c r="E41" i="2" s="1"/>
  <c r="E74" i="2" s="1"/>
  <c r="E40" i="2"/>
  <c r="E73" i="2" s="1"/>
  <c r="E39" i="2"/>
  <c r="E72" i="2" s="1"/>
  <c r="F16" i="2"/>
  <c r="F50" i="2" s="1"/>
  <c r="F83" i="2" s="1"/>
  <c r="F15" i="2"/>
  <c r="F49" i="2" s="1"/>
  <c r="F82" i="2" s="1"/>
  <c r="F14" i="2"/>
  <c r="F48" i="2" s="1"/>
  <c r="F81" i="2" s="1"/>
  <c r="F13" i="2"/>
  <c r="F47" i="2" s="1"/>
  <c r="F80" i="2" s="1"/>
  <c r="F12" i="2"/>
  <c r="F46" i="2" s="1"/>
  <c r="F79" i="2" s="1"/>
  <c r="F11" i="2"/>
  <c r="F45" i="2" s="1"/>
  <c r="F78" i="2" s="1"/>
  <c r="F10" i="2"/>
  <c r="F44" i="2" s="1"/>
  <c r="F77" i="2" s="1"/>
  <c r="F9" i="2"/>
  <c r="F43" i="2" s="1"/>
  <c r="F76" i="2" s="1"/>
  <c r="F8" i="2"/>
  <c r="F42" i="2" s="1"/>
  <c r="F75" i="2" s="1"/>
  <c r="F7" i="2"/>
  <c r="F41" i="2" s="1"/>
  <c r="F74" i="2" s="1"/>
  <c r="F6" i="2"/>
  <c r="F40" i="2" s="1"/>
  <c r="F73" i="2" s="1"/>
  <c r="F5" i="2"/>
  <c r="G16" i="2"/>
  <c r="G15" i="2"/>
  <c r="G14" i="2"/>
  <c r="G13" i="2"/>
  <c r="G12" i="2"/>
  <c r="G11" i="2"/>
  <c r="G45" i="2" s="1"/>
  <c r="G78" i="2" s="1"/>
  <c r="G10" i="2"/>
  <c r="G44" i="2" s="1"/>
  <c r="G77" i="2" s="1"/>
  <c r="G9" i="2"/>
  <c r="G43" i="2" s="1"/>
  <c r="G76" i="2" s="1"/>
  <c r="G8" i="2"/>
  <c r="G42" i="2" s="1"/>
  <c r="G75" i="2" s="1"/>
  <c r="G7" i="2"/>
  <c r="G41" i="2" s="1"/>
  <c r="G74" i="2" s="1"/>
  <c r="G6" i="2"/>
  <c r="G40" i="2" s="1"/>
  <c r="G73" i="2" s="1"/>
  <c r="G5" i="2"/>
  <c r="G39" i="2" s="1"/>
  <c r="T24" i="5"/>
  <c r="I33" i="4"/>
  <c r="I34" i="4" s="1"/>
  <c r="I35" i="4" s="1"/>
  <c r="I36" i="4" s="1"/>
  <c r="I29" i="4"/>
  <c r="I28" i="4"/>
  <c r="I30" i="4" s="1"/>
  <c r="I27" i="4"/>
  <c r="I31" i="4" s="1"/>
  <c r="I25" i="4"/>
  <c r="I19" i="4"/>
  <c r="I16" i="4"/>
  <c r="I11" i="4"/>
  <c r="G72" i="2" l="1"/>
  <c r="G84" i="2" s="1"/>
  <c r="G51" i="2"/>
  <c r="E84" i="2"/>
  <c r="E51" i="2"/>
  <c r="C30" i="1"/>
  <c r="C31" i="1" s="1"/>
  <c r="C33" i="1" s="1"/>
  <c r="C34" i="1" s="1"/>
  <c r="H19" i="4"/>
  <c r="G19" i="4"/>
  <c r="F19" i="4"/>
  <c r="H33" i="4"/>
  <c r="H34" i="4" s="1"/>
  <c r="H29" i="4"/>
  <c r="H28" i="4"/>
  <c r="H30" i="4" s="1"/>
  <c r="H27" i="4"/>
  <c r="H31" i="4" s="1"/>
  <c r="H25" i="4"/>
  <c r="H16" i="4"/>
  <c r="H11" i="4"/>
  <c r="G33" i="4"/>
  <c r="G34" i="4" s="1"/>
  <c r="G29" i="4"/>
  <c r="G28" i="4"/>
  <c r="G30" i="4" s="1"/>
  <c r="G27" i="4"/>
  <c r="G31" i="4" s="1"/>
  <c r="G25" i="4"/>
  <c r="G16" i="4"/>
  <c r="G11" i="4"/>
  <c r="F33" i="4"/>
  <c r="F34" i="4" s="1"/>
  <c r="F29" i="4"/>
  <c r="F28" i="4"/>
  <c r="F30" i="4" s="1"/>
  <c r="F27" i="4"/>
  <c r="F31" i="4" s="1"/>
  <c r="F25" i="4"/>
  <c r="F16" i="4"/>
  <c r="F11" i="4"/>
  <c r="F35" i="4" l="1"/>
  <c r="F36" i="4" s="1"/>
  <c r="G35" i="4"/>
  <c r="G36" i="4" s="1"/>
  <c r="H35" i="4"/>
  <c r="H36" i="4" s="1"/>
  <c r="O24" i="5"/>
  <c r="G24" i="5"/>
  <c r="E24" i="5"/>
  <c r="K22" i="5"/>
  <c r="K21" i="5"/>
  <c r="K20" i="5"/>
  <c r="K19" i="5"/>
  <c r="K18" i="5"/>
  <c r="K17" i="5"/>
  <c r="K16" i="5"/>
  <c r="K15" i="5"/>
  <c r="K14" i="5"/>
  <c r="K13" i="5"/>
  <c r="U13" i="5" s="1"/>
  <c r="V13" i="5" s="1"/>
  <c r="I12" i="5"/>
  <c r="K12" i="5" s="1"/>
  <c r="U12" i="5" s="1"/>
  <c r="V12" i="5" s="1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M11" i="5"/>
  <c r="M12" i="5" s="1"/>
  <c r="I11" i="5"/>
  <c r="I8" i="5"/>
  <c r="K8" i="5" s="1"/>
  <c r="M8" i="5" s="1"/>
  <c r="O8" i="5" s="1"/>
  <c r="Q8" i="5" s="1"/>
  <c r="I24" i="5" l="1"/>
  <c r="C16" i="2"/>
  <c r="C50" i="2" s="1"/>
  <c r="C83" i="2" s="1"/>
  <c r="D16" i="2"/>
  <c r="D50" i="2" s="1"/>
  <c r="Q14" i="5"/>
  <c r="U14" i="5"/>
  <c r="V14" i="5" s="1"/>
  <c r="Q22" i="5"/>
  <c r="U22" i="5"/>
  <c r="V22" i="5" s="1"/>
  <c r="Q17" i="5"/>
  <c r="U17" i="5"/>
  <c r="V17" i="5" s="1"/>
  <c r="Q21" i="5"/>
  <c r="U21" i="5"/>
  <c r="V21" i="5" s="1"/>
  <c r="Q18" i="5"/>
  <c r="U18" i="5"/>
  <c r="V18" i="5" s="1"/>
  <c r="Q15" i="5"/>
  <c r="U15" i="5"/>
  <c r="V15" i="5" s="1"/>
  <c r="Q19" i="5"/>
  <c r="U19" i="5"/>
  <c r="V19" i="5" s="1"/>
  <c r="C15" i="2"/>
  <c r="C49" i="2" s="1"/>
  <c r="C82" i="2" s="1"/>
  <c r="D15" i="2"/>
  <c r="D49" i="2" s="1"/>
  <c r="Q16" i="5"/>
  <c r="U16" i="5"/>
  <c r="V16" i="5" s="1"/>
  <c r="Q20" i="5"/>
  <c r="U20" i="5"/>
  <c r="V20" i="5" s="1"/>
  <c r="Q12" i="5"/>
  <c r="M13" i="5"/>
  <c r="Q13" i="5" s="1"/>
  <c r="K11" i="5"/>
  <c r="U11" i="5" s="1"/>
  <c r="V11" i="5" s="1"/>
  <c r="E29" i="4"/>
  <c r="D29" i="4"/>
  <c r="C29" i="4"/>
  <c r="E28" i="4"/>
  <c r="E30" i="4" s="1"/>
  <c r="D28" i="4"/>
  <c r="D30" i="4" s="1"/>
  <c r="C28" i="4"/>
  <c r="E27" i="4"/>
  <c r="D27" i="4"/>
  <c r="C27" i="4"/>
  <c r="E11" i="4"/>
  <c r="E16" i="4" s="1"/>
  <c r="E19" i="4" s="1"/>
  <c r="E25" i="4" s="1"/>
  <c r="D11" i="4"/>
  <c r="D16" i="4" s="1"/>
  <c r="D19" i="4" s="1"/>
  <c r="D25" i="4" s="1"/>
  <c r="C11" i="4"/>
  <c r="C16" i="4" s="1"/>
  <c r="C19" i="4" s="1"/>
  <c r="C25" i="4" s="1"/>
  <c r="E17" i="2"/>
  <c r="F17" i="2"/>
  <c r="J22" i="3"/>
  <c r="I22" i="3"/>
  <c r="H20" i="3"/>
  <c r="H19" i="3"/>
  <c r="H18" i="3"/>
  <c r="H17" i="3"/>
  <c r="H16" i="3"/>
  <c r="H15" i="3"/>
  <c r="H14" i="3"/>
  <c r="H13" i="3"/>
  <c r="H12" i="3"/>
  <c r="H11" i="3"/>
  <c r="H10" i="3"/>
  <c r="H9" i="3"/>
  <c r="H22" i="3" s="1"/>
  <c r="K22" i="3"/>
  <c r="C22" i="3"/>
  <c r="C14" i="2" l="1"/>
  <c r="C48" i="2" s="1"/>
  <c r="C81" i="2" s="1"/>
  <c r="D14" i="2"/>
  <c r="D48" i="2" s="1"/>
  <c r="C11" i="2"/>
  <c r="C45" i="2" s="1"/>
  <c r="C78" i="2" s="1"/>
  <c r="D11" i="2"/>
  <c r="D45" i="2" s="1"/>
  <c r="C6" i="2"/>
  <c r="C40" i="2" s="1"/>
  <c r="C73" i="2" s="1"/>
  <c r="D6" i="2"/>
  <c r="D40" i="2" s="1"/>
  <c r="C12" i="2"/>
  <c r="C46" i="2" s="1"/>
  <c r="C79" i="2" s="1"/>
  <c r="D12" i="2"/>
  <c r="D46" i="2" s="1"/>
  <c r="C13" i="2"/>
  <c r="C47" i="2" s="1"/>
  <c r="C80" i="2" s="1"/>
  <c r="D13" i="2"/>
  <c r="D47" i="2" s="1"/>
  <c r="C7" i="2"/>
  <c r="C41" i="2" s="1"/>
  <c r="C74" i="2" s="1"/>
  <c r="D7" i="2"/>
  <c r="D41" i="2" s="1"/>
  <c r="C10" i="2"/>
  <c r="C44" i="2" s="1"/>
  <c r="C77" i="2" s="1"/>
  <c r="D10" i="2"/>
  <c r="D44" i="2" s="1"/>
  <c r="C9" i="2"/>
  <c r="C43" i="2" s="1"/>
  <c r="C76" i="2" s="1"/>
  <c r="D9" i="2"/>
  <c r="D43" i="2" s="1"/>
  <c r="C8" i="2"/>
  <c r="C42" i="2" s="1"/>
  <c r="C75" i="2" s="1"/>
  <c r="D8" i="2"/>
  <c r="D42" i="2" s="1"/>
  <c r="C5" i="2"/>
  <c r="C39" i="2" s="1"/>
  <c r="D5" i="2"/>
  <c r="G17" i="2"/>
  <c r="K24" i="5"/>
  <c r="U24" i="5" s="1"/>
  <c r="V24" i="5" s="1"/>
  <c r="Q11" i="5"/>
  <c r="Q24" i="5" s="1"/>
  <c r="M24" i="5"/>
  <c r="C35" i="1"/>
  <c r="C36" i="1" s="1"/>
  <c r="F22" i="2" s="1"/>
  <c r="D31" i="4"/>
  <c r="D33" i="4" s="1"/>
  <c r="D34" i="4" s="1"/>
  <c r="D35" i="4" s="1"/>
  <c r="D36" i="4" s="1"/>
  <c r="C30" i="4"/>
  <c r="C31" i="4" s="1"/>
  <c r="C33" i="4" s="1"/>
  <c r="C34" i="4" s="1"/>
  <c r="C35" i="4" s="1"/>
  <c r="C36" i="4" s="1"/>
  <c r="E31" i="4"/>
  <c r="E33" i="4" s="1"/>
  <c r="E34" i="4" s="1"/>
  <c r="E35" i="4" s="1"/>
  <c r="E36" i="4" s="1"/>
  <c r="C72" i="2" l="1"/>
  <c r="C84" i="2" s="1"/>
  <c r="C51" i="2"/>
  <c r="F34" i="2"/>
  <c r="F39" i="2"/>
  <c r="D17" i="2"/>
  <c r="D39" i="2"/>
  <c r="D51" i="2" s="1"/>
  <c r="C17" i="2"/>
  <c r="O27" i="1"/>
  <c r="N27" i="1"/>
  <c r="M27" i="1"/>
  <c r="L27" i="1"/>
  <c r="K27" i="1"/>
  <c r="J27" i="1"/>
  <c r="I27" i="1"/>
  <c r="H27" i="1"/>
  <c r="G27" i="1"/>
  <c r="O11" i="1"/>
  <c r="O16" i="1" s="1"/>
  <c r="O19" i="1" s="1"/>
  <c r="O25" i="1" s="1"/>
  <c r="N11" i="1"/>
  <c r="N16" i="1" s="1"/>
  <c r="N19" i="1" s="1"/>
  <c r="N25" i="1" s="1"/>
  <c r="M11" i="1"/>
  <c r="M16" i="1" s="1"/>
  <c r="M19" i="1" s="1"/>
  <c r="M25" i="1" s="1"/>
  <c r="L11" i="1"/>
  <c r="L16" i="1" s="1"/>
  <c r="L19" i="1" s="1"/>
  <c r="L25" i="1" s="1"/>
  <c r="K11" i="1"/>
  <c r="K16" i="1" s="1"/>
  <c r="K19" i="1" s="1"/>
  <c r="K25" i="1" s="1"/>
  <c r="J11" i="1"/>
  <c r="J16" i="1" s="1"/>
  <c r="J19" i="1" s="1"/>
  <c r="J25" i="1" s="1"/>
  <c r="I11" i="1"/>
  <c r="I16" i="1" s="1"/>
  <c r="I19" i="1" s="1"/>
  <c r="I25" i="1" s="1"/>
  <c r="H11" i="1"/>
  <c r="H16" i="1" s="1"/>
  <c r="H19" i="1" s="1"/>
  <c r="H25" i="1" s="1"/>
  <c r="G11" i="1"/>
  <c r="G16" i="1" s="1"/>
  <c r="G19" i="1" s="1"/>
  <c r="G25" i="1" s="1"/>
  <c r="F72" i="2" l="1"/>
  <c r="F84" i="2" s="1"/>
  <c r="F51" i="2"/>
  <c r="G30" i="1"/>
  <c r="G31" i="1" s="1"/>
  <c r="G33" i="1" s="1"/>
  <c r="G34" i="1" s="1"/>
  <c r="G35" i="1" s="1"/>
  <c r="G36" i="1" s="1"/>
  <c r="K30" i="1"/>
  <c r="K31" i="1" s="1"/>
  <c r="K33" i="1" s="1"/>
  <c r="K34" i="1" s="1"/>
  <c r="K35" i="1" s="1"/>
  <c r="K36" i="1" s="1"/>
  <c r="O30" i="1"/>
  <c r="O31" i="1" s="1"/>
  <c r="O33" i="1" s="1"/>
  <c r="O34" i="1" s="1"/>
  <c r="O35" i="1" s="1"/>
  <c r="O36" i="1" s="1"/>
  <c r="J30" i="1"/>
  <c r="J31" i="1" s="1"/>
  <c r="J33" i="1" s="1"/>
  <c r="J34" i="1" s="1"/>
  <c r="J35" i="1" s="1"/>
  <c r="J36" i="1" s="1"/>
  <c r="N30" i="1"/>
  <c r="N31" i="1" s="1"/>
  <c r="N33" i="1" s="1"/>
  <c r="N34" i="1" s="1"/>
  <c r="N35" i="1" s="1"/>
  <c r="N36" i="1" s="1"/>
  <c r="H30" i="1"/>
  <c r="H31" i="1" s="1"/>
  <c r="H33" i="1" s="1"/>
  <c r="H34" i="1" s="1"/>
  <c r="H35" i="1" s="1"/>
  <c r="H36" i="1" s="1"/>
  <c r="L30" i="1"/>
  <c r="L31" i="1" s="1"/>
  <c r="L33" i="1" s="1"/>
  <c r="L34" i="1" s="1"/>
  <c r="L35" i="1" s="1"/>
  <c r="L36" i="1" s="1"/>
  <c r="I30" i="1"/>
  <c r="I31" i="1" s="1"/>
  <c r="I33" i="1" s="1"/>
  <c r="I34" i="1" s="1"/>
  <c r="I35" i="1" s="1"/>
  <c r="I36" i="1" s="1"/>
  <c r="M30" i="1"/>
  <c r="M31" i="1" s="1"/>
  <c r="M33" i="1" s="1"/>
  <c r="M34" i="1" s="1"/>
  <c r="M35" i="1" s="1"/>
  <c r="M36" i="1" s="1"/>
</calcChain>
</file>

<file path=xl/sharedStrings.xml><?xml version="1.0" encoding="utf-8"?>
<sst xmlns="http://schemas.openxmlformats.org/spreadsheetml/2006/main" count="348" uniqueCount="105">
  <si>
    <t>Formula</t>
  </si>
  <si>
    <t>Cost Component</t>
  </si>
  <si>
    <t>Utility Plant at Original Cost Unit 1</t>
  </si>
  <si>
    <t>Utility Plant at Original Cost Unit 2</t>
  </si>
  <si>
    <t>Less Accumulated Depreciation</t>
  </si>
  <si>
    <t>Less Accumulated Deferred Income Tax</t>
  </si>
  <si>
    <t>Net Utility Plant</t>
  </si>
  <si>
    <t>Activated Carbon Inventory (1540025)</t>
  </si>
  <si>
    <t>Anhydrous Ammonia Inventory (1540028)</t>
  </si>
  <si>
    <t>Sodium Bicarbonate Inventory (1540029)</t>
  </si>
  <si>
    <t>Cash Working Capital Allowance</t>
  </si>
  <si>
    <t>Total Rate Base</t>
  </si>
  <si>
    <t>Weighted Average Cost of Capital</t>
  </si>
  <si>
    <t>Monthly Weighted Avg. Cost of Capital</t>
  </si>
  <si>
    <t>Monthly Return on Rate Base</t>
  </si>
  <si>
    <t>Monthly Sodium Bicarbonate (5020028)</t>
  </si>
  <si>
    <t>Monthly Brominated Activated Carbon (5020008)</t>
  </si>
  <si>
    <t>Monthly Anhydrous Ammonia (5020013)</t>
  </si>
  <si>
    <t>Monthly IN Air Emission Fee</t>
  </si>
  <si>
    <t>Property Tax *</t>
  </si>
  <si>
    <t xml:space="preserve"> $-   </t>
  </si>
  <si>
    <t>Total Monthly Operation Costs</t>
  </si>
  <si>
    <t>Monthly Maintenance Expense</t>
  </si>
  <si>
    <t>Total Monthly Maintenance Expense</t>
  </si>
  <si>
    <t>Monthly Depreciation Expense Unit 1</t>
  </si>
  <si>
    <t>Monthly Depreciation Expense Unit 2</t>
  </si>
  <si>
    <t>Total Monthly Other Expenses</t>
  </si>
  <si>
    <t>Total Monthly Operation, Maintenance, and Other Expenses</t>
  </si>
  <si>
    <t>O&amp;M for corresponding month of test year</t>
  </si>
  <si>
    <t xml:space="preserve">Difference in Base Level O&amp;M &amp; Current Month O&amp;M </t>
  </si>
  <si>
    <t>Total Revenue Requirement</t>
  </si>
  <si>
    <t>KPCo Share of Environmental Revenue Requirement</t>
  </si>
  <si>
    <t>* Indiana does not currently assess property taxes on environmental controls.</t>
  </si>
  <si>
    <t xml:space="preserve">As-Filed Rockport Environmental Costs </t>
  </si>
  <si>
    <t>Form 3.20</t>
  </si>
  <si>
    <t>Gross-up for Uncollectible Expense &amp; KPSC Maint Fee (Ln 25 * .005425)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</si>
  <si>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</si>
  <si>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</si>
  <si>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</si>
  <si>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</si>
  <si>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</si>
  <si>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</si>
  <si>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</si>
  <si>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</si>
  <si>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</si>
  <si>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</si>
  <si>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</si>
  <si>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</si>
  <si>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Rockport BRR</t>
  </si>
  <si>
    <t>As-Revised for Settlement Agreement</t>
  </si>
  <si>
    <t>January 18, 2019 Order in Case No. 2017-00179</t>
  </si>
  <si>
    <r>
      <t>Mitchell Non-</t>
    </r>
    <r>
      <rPr>
        <b/>
        <u/>
        <sz val="10"/>
        <rFont val="Times New Roman"/>
        <family val="1"/>
      </rPr>
      <t xml:space="preserve">FGD Costs        </t>
    </r>
  </si>
  <si>
    <r>
      <t xml:space="preserve">Kentucky Power's share of Rockport </t>
    </r>
    <r>
      <rPr>
        <b/>
        <u/>
        <sz val="10"/>
        <rFont val="Times New Roman"/>
        <family val="1"/>
      </rPr>
      <t>Environmental Costs</t>
    </r>
  </si>
  <si>
    <r>
      <rPr>
        <b/>
        <sz val="10"/>
        <rFont val="Times New Roman"/>
        <family val="1"/>
      </rPr>
      <t xml:space="preserve">Gains on Sale of </t>
    </r>
    <r>
      <rPr>
        <b/>
        <u/>
        <sz val="10"/>
        <rFont val="Times New Roman"/>
        <family val="1"/>
      </rPr>
      <t>Allowances</t>
    </r>
  </si>
  <si>
    <r>
      <rPr>
        <b/>
        <sz val="10"/>
        <rFont val="Times New Roman"/>
        <family val="1"/>
      </rPr>
      <t xml:space="preserve">Adjusted Environmental </t>
    </r>
    <r>
      <rPr>
        <b/>
        <u/>
        <sz val="10"/>
        <rFont val="Times New Roman"/>
        <family val="1"/>
      </rPr>
      <t>Base</t>
    </r>
  </si>
  <si>
    <t>Total</t>
  </si>
  <si>
    <t xml:space="preserve"> </t>
  </si>
  <si>
    <t>Ln</t>
  </si>
  <si>
    <t>No</t>
  </si>
  <si>
    <t>Month / Year</t>
  </si>
  <si>
    <t>(3) + (4) + (5)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</si>
  <si>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</si>
  <si>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</si>
  <si>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</si>
  <si>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</si>
  <si>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</si>
  <si>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</si>
  <si>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</si>
  <si>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</si>
  <si>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</si>
  <si>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</si>
  <si>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</si>
  <si>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</si>
  <si>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*</t>
  </si>
  <si>
    <t>Per Monthly ES Form 1.00, Line 1</t>
  </si>
  <si>
    <t xml:space="preserve">ES BRR as Approved in Case No. 2014-00396 </t>
  </si>
  <si>
    <t>By Order Dated June 22, 2015</t>
  </si>
  <si>
    <r>
      <t xml:space="preserve">Monthly Environmental </t>
    </r>
    <r>
      <rPr>
        <u/>
        <sz val="10"/>
        <rFont val="Times New Roman"/>
        <family val="1"/>
      </rPr>
      <t>Costs</t>
    </r>
  </si>
  <si>
    <r>
      <t xml:space="preserve">Adjustment for Pool </t>
    </r>
    <r>
      <rPr>
        <u/>
        <sz val="10"/>
        <rFont val="Times New Roman"/>
        <family val="1"/>
      </rPr>
      <t>Termination</t>
    </r>
  </si>
  <si>
    <r>
      <t xml:space="preserve">Adjustment to Remove Big </t>
    </r>
    <r>
      <rPr>
        <u/>
        <sz val="10"/>
        <rFont val="Times New Roman"/>
        <family val="1"/>
      </rPr>
      <t>Sandy</t>
    </r>
  </si>
  <si>
    <r>
      <t>Leaves only Test Year Rockport Expenses and Gains on</t>
    </r>
    <r>
      <rPr>
        <u/>
        <sz val="10"/>
        <rFont val="Times New Roman"/>
        <family val="1"/>
      </rPr>
      <t xml:space="preserve"> Allowances</t>
    </r>
  </si>
  <si>
    <r>
      <t>Include Mitchell Non-</t>
    </r>
    <r>
      <rPr>
        <u/>
        <sz val="10"/>
        <rFont val="Times New Roman"/>
        <family val="1"/>
      </rPr>
      <t>FGD</t>
    </r>
  </si>
  <si>
    <r>
      <t>Rockport Additional Test Year Expenses for O &amp; M, Depreciation,</t>
    </r>
    <r>
      <rPr>
        <u/>
        <sz val="10"/>
        <rFont val="Times New Roman"/>
        <family val="1"/>
      </rPr>
      <t xml:space="preserve"> and Return  </t>
    </r>
  </si>
  <si>
    <r>
      <rPr>
        <sz val="10"/>
        <rFont val="Times New Roman"/>
        <family val="1"/>
      </rPr>
      <t xml:space="preserve">Adjusted Environmental </t>
    </r>
    <r>
      <rPr>
        <u/>
        <sz val="10"/>
        <rFont val="Times New Roman"/>
        <family val="1"/>
      </rPr>
      <t>Base</t>
    </r>
  </si>
  <si>
    <t>Gains on Allowances Isolated</t>
  </si>
  <si>
    <t>Column (6) Less Gains on Allowances</t>
  </si>
  <si>
    <t>Approving Settlement Agreement Exhibit 4</t>
  </si>
  <si>
    <t>Jurisdictional Factor</t>
  </si>
  <si>
    <t>CRR Less BRR</t>
  </si>
  <si>
    <t>* The environmental surcharge recovers costs on a two month lag. AKA January expense month would be billed in March.</t>
  </si>
  <si>
    <t>Rockport Environmental Base Versus Environmental Surcharge Mechanism</t>
  </si>
  <si>
    <t>Pre 2017-00179 Jan 18, 2018 Order</t>
  </si>
  <si>
    <t>Post 2017-00179 Jan 18, 2018 Order</t>
  </si>
  <si>
    <t>Prior Period Adjustment</t>
  </si>
  <si>
    <t>Base Revenue Requirement (BRR) Attributable to Rockport</t>
  </si>
  <si>
    <t>Current Revenue Requirement (CRR) Attributable to Rockport</t>
  </si>
  <si>
    <t>Amount Recovered through the Environmental Surcharge By Expense Month*</t>
  </si>
  <si>
    <t>Staff Modified the As-Revised Settlement Agreement</t>
  </si>
  <si>
    <t>** When preparing the Environmental Surcharge Report for the month of March 2020, it was discovered that the Monthly Maintenance Expense for Rockport was overstated by $324,374.06 for the month of February 2020. This was addressed in the Company's April 20, 2020 Environmental Surcharge filing.</t>
  </si>
  <si>
    <t>Monthly Maintenance Expense**</t>
  </si>
  <si>
    <t>Utility Plant at Original Cost Unit 1**</t>
  </si>
  <si>
    <t>Utility Plant at Original Cost Unit 2**</t>
  </si>
  <si>
    <t>Monthly Depreciation Expense Unit 1**</t>
  </si>
  <si>
    <t>Monthly Depreciation Expense Unit 2**</t>
  </si>
  <si>
    <t>** Lines broken out to identify the information by Rockport Unit 1 and Unit 2. This change was necessary to comply with FERC's February 14, 2019 Order in Docket No. ER19-717-000 in which FERC approved depreciation rates for the two Rockport units.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</si>
</sst>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_);\(0\)"/>
    <numFmt numFmtId="166" formatCode="&quot;$&quot;#,##0"/>
    <numFmt numFmtId="167" formatCode="0.0%"/>
    <numFmt numFmtId="168" formatCode="_(* #,##0.000000_);_(* \(#,##0.000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Up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4" fillId="0" borderId="1" xfId="2" applyFont="1" applyBorder="1"/>
    <xf numFmtId="0" fontId="4" fillId="0" borderId="2" xfId="2" applyFont="1" applyBorder="1"/>
    <xf numFmtId="17" fontId="4" fillId="0" borderId="3" xfId="2" applyNumberFormat="1" applyFont="1" applyBorder="1" applyAlignment="1">
      <alignment horizontal="center" wrapText="1"/>
    </xf>
    <xf numFmtId="0" fontId="3" fillId="0" borderId="4" xfId="2" applyFont="1" applyFill="1" applyBorder="1"/>
    <xf numFmtId="0" fontId="3" fillId="0" borderId="5" xfId="2" applyFont="1" applyFill="1" applyBorder="1"/>
    <xf numFmtId="0" fontId="3" fillId="0" borderId="6" xfId="2" applyFont="1" applyFill="1" applyBorder="1"/>
    <xf numFmtId="164" fontId="6" fillId="0" borderId="6" xfId="3" applyNumberFormat="1" applyFont="1" applyFill="1" applyBorder="1"/>
    <xf numFmtId="164" fontId="3" fillId="0" borderId="6" xfId="2" applyNumberFormat="1" applyFont="1" applyFill="1" applyBorder="1"/>
    <xf numFmtId="164" fontId="4" fillId="2" borderId="7" xfId="2" applyNumberFormat="1" applyFont="1" applyFill="1" applyBorder="1"/>
    <xf numFmtId="164" fontId="6" fillId="0" borderId="6" xfId="2" applyNumberFormat="1" applyFont="1" applyFill="1" applyBorder="1"/>
    <xf numFmtId="164" fontId="3" fillId="0" borderId="8" xfId="2" applyNumberFormat="1" applyFont="1" applyFill="1" applyBorder="1"/>
    <xf numFmtId="0" fontId="4" fillId="0" borderId="4" xfId="2" applyFont="1" applyFill="1" applyBorder="1" applyAlignment="1">
      <alignment horizontal="right"/>
    </xf>
    <xf numFmtId="0" fontId="4" fillId="0" borderId="5" xfId="2" applyFont="1" applyFill="1" applyBorder="1"/>
    <xf numFmtId="164" fontId="4" fillId="2" borderId="9" xfId="2" applyNumberFormat="1" applyFont="1" applyFill="1" applyBorder="1"/>
    <xf numFmtId="164" fontId="3" fillId="2" borderId="6" xfId="2" applyNumberFormat="1" applyFont="1" applyFill="1" applyBorder="1"/>
    <xf numFmtId="0" fontId="3" fillId="0" borderId="4" xfId="2" applyFont="1" applyFill="1" applyBorder="1" applyAlignment="1">
      <alignment horizontal="right"/>
    </xf>
    <xf numFmtId="10" fontId="4" fillId="0" borderId="5" xfId="2" applyNumberFormat="1" applyFont="1" applyFill="1" applyBorder="1"/>
    <xf numFmtId="0" fontId="6" fillId="0" borderId="4" xfId="2" applyFont="1" applyFill="1" applyBorder="1" applyAlignment="1">
      <alignment horizontal="right"/>
    </xf>
    <xf numFmtId="164" fontId="4" fillId="2" borderId="6" xfId="2" applyNumberFormat="1" applyFont="1" applyFill="1" applyBorder="1"/>
    <xf numFmtId="164" fontId="3" fillId="0" borderId="6" xfId="5" applyNumberFormat="1" applyFont="1" applyBorder="1"/>
    <xf numFmtId="0" fontId="4" fillId="0" borderId="10" xfId="2" applyFont="1" applyFill="1" applyBorder="1" applyAlignment="1">
      <alignment horizontal="right"/>
    </xf>
    <xf numFmtId="9" fontId="4" fillId="0" borderId="11" xfId="2" applyNumberFormat="1" applyFont="1" applyFill="1" applyBorder="1"/>
    <xf numFmtId="164" fontId="4" fillId="2" borderId="12" xfId="2" applyNumberFormat="1" applyFont="1" applyFill="1" applyBorder="1"/>
    <xf numFmtId="0" fontId="8" fillId="0" borderId="0" xfId="6" applyFont="1" applyAlignment="1"/>
    <xf numFmtId="0" fontId="9" fillId="0" borderId="0" xfId="0" applyFont="1"/>
    <xf numFmtId="0" fontId="8" fillId="0" borderId="0" xfId="6" applyFont="1" applyAlignment="1">
      <alignment horizontal="center"/>
    </xf>
    <xf numFmtId="0" fontId="11" fillId="0" borderId="0" xfId="6" applyFont="1"/>
    <xf numFmtId="0" fontId="10" fillId="0" borderId="0" xfId="6" applyFont="1" applyAlignment="1">
      <alignment horizontal="center" wrapText="1"/>
    </xf>
    <xf numFmtId="0" fontId="8" fillId="0" borderId="0" xfId="6" applyFont="1"/>
    <xf numFmtId="165" fontId="8" fillId="0" borderId="0" xfId="6" applyNumberFormat="1" applyFont="1" applyFill="1" applyAlignment="1">
      <alignment horizontal="center"/>
    </xf>
    <xf numFmtId="165" fontId="8" fillId="0" borderId="0" xfId="6" applyNumberFormat="1" applyFont="1" applyAlignment="1">
      <alignment horizontal="center"/>
    </xf>
    <xf numFmtId="164" fontId="3" fillId="0" borderId="0" xfId="2" applyNumberFormat="1" applyFont="1" applyBorder="1"/>
    <xf numFmtId="164" fontId="3" fillId="0" borderId="0" xfId="1" applyNumberFormat="1" applyFont="1"/>
    <xf numFmtId="5" fontId="11" fillId="0" borderId="0" xfId="6" applyNumberFormat="1" applyFont="1"/>
    <xf numFmtId="166" fontId="11" fillId="0" borderId="0" xfId="6" applyNumberFormat="1" applyFont="1"/>
    <xf numFmtId="166" fontId="8" fillId="0" borderId="14" xfId="6" applyNumberFormat="1" applyFont="1" applyBorder="1"/>
    <xf numFmtId="5" fontId="8" fillId="0" borderId="14" xfId="6" applyNumberFormat="1" applyFont="1" applyBorder="1"/>
    <xf numFmtId="164" fontId="3" fillId="0" borderId="13" xfId="1" applyNumberFormat="1" applyFont="1" applyBorder="1"/>
    <xf numFmtId="164" fontId="2" fillId="0" borderId="0" xfId="0" applyNumberFormat="1" applyFont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 wrapText="1"/>
    </xf>
    <xf numFmtId="49" fontId="11" fillId="0" borderId="0" xfId="0" applyNumberFormat="1" applyFont="1" applyFill="1"/>
    <xf numFmtId="166" fontId="13" fillId="0" borderId="0" xfId="0" applyNumberFormat="1" applyFont="1" applyFill="1" applyBorder="1"/>
    <xf numFmtId="166" fontId="11" fillId="0" borderId="0" xfId="0" applyNumberFormat="1" applyFont="1" applyFill="1"/>
    <xf numFmtId="166" fontId="11" fillId="0" borderId="0" xfId="1" applyNumberFormat="1" applyFont="1" applyFill="1"/>
    <xf numFmtId="166" fontId="11" fillId="0" borderId="16" xfId="0" applyNumberFormat="1" applyFont="1" applyFill="1" applyBorder="1"/>
    <xf numFmtId="166" fontId="11" fillId="0" borderId="16" xfId="1" applyNumberFormat="1" applyFont="1" applyFill="1" applyBorder="1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166" fontId="3" fillId="0" borderId="0" xfId="0" applyNumberFormat="1" applyFont="1" applyFill="1" applyBorder="1"/>
    <xf numFmtId="166" fontId="3" fillId="0" borderId="0" xfId="1" applyNumberFormat="1" applyFont="1" applyFill="1"/>
    <xf numFmtId="5" fontId="3" fillId="0" borderId="0" xfId="0" applyNumberFormat="1" applyFont="1" applyFill="1"/>
    <xf numFmtId="49" fontId="3" fillId="0" borderId="0" xfId="0" applyNumberFormat="1" applyFont="1" applyFill="1"/>
    <xf numFmtId="166" fontId="3" fillId="0" borderId="16" xfId="0" applyNumberFormat="1" applyFont="1" applyFill="1" applyBorder="1"/>
    <xf numFmtId="5" fontId="3" fillId="0" borderId="16" xfId="0" applyNumberFormat="1" applyFont="1" applyFill="1" applyBorder="1"/>
    <xf numFmtId="166" fontId="3" fillId="0" borderId="14" xfId="0" applyNumberFormat="1" applyFont="1" applyFill="1" applyBorder="1"/>
    <xf numFmtId="5" fontId="3" fillId="0" borderId="14" xfId="0" applyNumberFormat="1" applyFont="1" applyFill="1" applyBorder="1"/>
    <xf numFmtId="5" fontId="3" fillId="0" borderId="0" xfId="0" applyNumberFormat="1" applyFont="1" applyFill="1" applyBorder="1"/>
    <xf numFmtId="164" fontId="3" fillId="0" borderId="0" xfId="2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6" fillId="0" borderId="6" xfId="4" applyNumberFormat="1" applyFont="1" applyFill="1" applyBorder="1"/>
    <xf numFmtId="164" fontId="3" fillId="3" borderId="13" xfId="1" applyNumberFormat="1" applyFont="1" applyFill="1" applyBorder="1"/>
    <xf numFmtId="0" fontId="11" fillId="0" borderId="6" xfId="2" applyFont="1" applyFill="1" applyBorder="1"/>
    <xf numFmtId="10" fontId="11" fillId="0" borderId="6" xfId="4" applyNumberFormat="1" applyFont="1" applyFill="1" applyBorder="1"/>
    <xf numFmtId="17" fontId="4" fillId="0" borderId="3" xfId="2" applyNumberFormat="1" applyFont="1" applyFill="1" applyBorder="1" applyAlignment="1">
      <alignment horizontal="center" wrapText="1"/>
    </xf>
    <xf numFmtId="164" fontId="6" fillId="0" borderId="5" xfId="3" applyNumberFormat="1" applyFont="1" applyFill="1" applyBorder="1"/>
    <xf numFmtId="164" fontId="3" fillId="0" borderId="5" xfId="2" applyNumberFormat="1" applyFont="1" applyFill="1" applyBorder="1"/>
    <xf numFmtId="164" fontId="6" fillId="0" borderId="5" xfId="2" applyNumberFormat="1" applyFont="1" applyFill="1" applyBorder="1"/>
    <xf numFmtId="164" fontId="3" fillId="0" borderId="17" xfId="2" applyNumberFormat="1" applyFont="1" applyFill="1" applyBorder="1"/>
    <xf numFmtId="0" fontId="11" fillId="0" borderId="5" xfId="2" applyFont="1" applyFill="1" applyBorder="1"/>
    <xf numFmtId="10" fontId="11" fillId="0" borderId="5" xfId="4" applyNumberFormat="1" applyFont="1" applyFill="1" applyBorder="1"/>
    <xf numFmtId="164" fontId="3" fillId="2" borderId="5" xfId="2" applyNumberFormat="1" applyFont="1" applyFill="1" applyBorder="1"/>
    <xf numFmtId="164" fontId="4" fillId="2" borderId="5" xfId="2" applyNumberFormat="1" applyFont="1" applyFill="1" applyBorder="1"/>
    <xf numFmtId="164" fontId="3" fillId="0" borderId="5" xfId="5" applyNumberFormat="1" applyFont="1" applyBorder="1"/>
    <xf numFmtId="164" fontId="4" fillId="2" borderId="18" xfId="2" applyNumberFormat="1" applyFont="1" applyFill="1" applyBorder="1"/>
    <xf numFmtId="17" fontId="4" fillId="0" borderId="2" xfId="2" applyNumberFormat="1" applyFont="1" applyBorder="1" applyAlignment="1">
      <alignment horizontal="center" wrapText="1"/>
    </xf>
    <xf numFmtId="17" fontId="4" fillId="0" borderId="2" xfId="2" applyNumberFormat="1" applyFont="1" applyFill="1" applyBorder="1" applyAlignment="1">
      <alignment horizontal="center" wrapText="1"/>
    </xf>
    <xf numFmtId="164" fontId="4" fillId="0" borderId="5" xfId="2" applyNumberFormat="1" applyFont="1" applyFill="1" applyBorder="1"/>
    <xf numFmtId="164" fontId="3" fillId="0" borderId="5" xfId="5" applyNumberFormat="1" applyFont="1" applyFill="1" applyBorder="1"/>
    <xf numFmtId="164" fontId="4" fillId="0" borderId="11" xfId="2" applyNumberFormat="1" applyFont="1" applyFill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7" fontId="3" fillId="0" borderId="13" xfId="1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Fill="1" applyBorder="1" applyAlignment="1">
      <alignment horizontal="center" wrapText="1"/>
    </xf>
    <xf numFmtId="168" fontId="4" fillId="0" borderId="0" xfId="11" applyNumberFormat="1" applyFont="1" applyFill="1" applyBorder="1"/>
    <xf numFmtId="0" fontId="4" fillId="0" borderId="3" xfId="2" applyFont="1" applyBorder="1"/>
    <xf numFmtId="0" fontId="4" fillId="0" borderId="6" xfId="2" applyFont="1" applyFill="1" applyBorder="1"/>
    <xf numFmtId="10" fontId="4" fillId="0" borderId="6" xfId="2" applyNumberFormat="1" applyFont="1" applyFill="1" applyBorder="1"/>
    <xf numFmtId="9" fontId="4" fillId="0" borderId="19" xfId="2" applyNumberFormat="1" applyFont="1" applyFill="1" applyBorder="1"/>
    <xf numFmtId="0" fontId="4" fillId="0" borderId="5" xfId="2" applyFont="1" applyFill="1" applyBorder="1" applyAlignment="1">
      <alignment horizontal="right"/>
    </xf>
    <xf numFmtId="0" fontId="3" fillId="0" borderId="5" xfId="2" applyFont="1" applyFill="1" applyBorder="1" applyAlignment="1">
      <alignment horizontal="right"/>
    </xf>
    <xf numFmtId="0" fontId="6" fillId="0" borderId="5" xfId="2" applyFont="1" applyFill="1" applyBorder="1" applyAlignment="1">
      <alignment horizontal="right"/>
    </xf>
    <xf numFmtId="0" fontId="4" fillId="0" borderId="11" xfId="2" applyFont="1" applyFill="1" applyBorder="1" applyAlignment="1">
      <alignment horizontal="right"/>
    </xf>
    <xf numFmtId="164" fontId="3" fillId="0" borderId="13" xfId="1" applyNumberFormat="1" applyFont="1" applyFill="1" applyBorder="1"/>
    <xf numFmtId="164" fontId="3" fillId="0" borderId="6" xfId="5" applyNumberFormat="1" applyFont="1" applyFill="1" applyBorder="1"/>
    <xf numFmtId="44" fontId="4" fillId="2" borderId="18" xfId="2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2" borderId="0" xfId="6" applyFont="1" applyFill="1" applyAlignment="1">
      <alignment horizontal="center"/>
    </xf>
    <xf numFmtId="0" fontId="8" fillId="0" borderId="0" xfId="6" applyFont="1" applyAlignment="1">
      <alignment horizontal="center"/>
    </xf>
    <xf numFmtId="0" fontId="8" fillId="0" borderId="0" xfId="6" applyFont="1" applyAlignment="1">
      <alignment horizontal="center" wrapText="1"/>
    </xf>
    <xf numFmtId="0" fontId="8" fillId="0" borderId="0" xfId="6" applyFont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4" fontId="2" fillId="0" borderId="0" xfId="0" applyNumberFormat="1" applyFont="1" applyFill="1"/>
    <xf numFmtId="0" fontId="3" fillId="0" borderId="0" xfId="0" applyFont="1" applyFill="1" applyAlignment="1">
      <alignment horizontal="left" vertical="top" wrapText="1"/>
    </xf>
    <xf numFmtId="164" fontId="3" fillId="0" borderId="0" xfId="0" applyNumberFormat="1" applyFont="1" applyFill="1"/>
    <xf numFmtId="164" fontId="3" fillId="0" borderId="0" xfId="0" applyNumberFormat="1" applyFont="1"/>
    <xf numFmtId="44" fontId="3" fillId="0" borderId="0" xfId="1" applyFont="1"/>
    <xf numFmtId="44" fontId="9" fillId="0" borderId="0" xfId="1" applyFont="1"/>
  </cellXfs>
  <cellStyles count="12">
    <cellStyle name="Comma" xfId="11" builtinId="3"/>
    <cellStyle name="Currency" xfId="1" builtinId="4"/>
    <cellStyle name="Currency 2" xfId="8"/>
    <cellStyle name="Currency 3" xfId="3"/>
    <cellStyle name="Normal" xfId="0" builtinId="0"/>
    <cellStyle name="Normal 105" xfId="6"/>
    <cellStyle name="Normal 2" xfId="7"/>
    <cellStyle name="Normal 2 2 6" xfId="5"/>
    <cellStyle name="Normal 4" xfId="2"/>
    <cellStyle name="Percent" xfId="10" builtinId="5"/>
    <cellStyle name="Percent 2" xfId="9"/>
    <cellStyle name="Percent 3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27</xdr:row>
      <xdr:rowOff>123825</xdr:rowOff>
    </xdr:from>
    <xdr:to>
      <xdr:col>21</xdr:col>
      <xdr:colOff>351037</xdr:colOff>
      <xdr:row>74</xdr:row>
      <xdr:rowOff>84778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4838700"/>
          <a:ext cx="11104762" cy="7571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showGridLines="0"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5" sqref="L5"/>
    </sheetView>
  </sheetViews>
  <sheetFormatPr defaultRowHeight="12.75" x14ac:dyDescent="0.2"/>
  <cols>
    <col min="1" max="1" width="9.140625" style="2" customWidth="1"/>
    <col min="2" max="2" width="3" style="2" customWidth="1"/>
    <col min="3" max="7" width="12.85546875" style="2" customWidth="1"/>
    <col min="8" max="16384" width="9.140625" style="2"/>
  </cols>
  <sheetData>
    <row r="1" spans="1:9" ht="24.75" customHeight="1" x14ac:dyDescent="0.2">
      <c r="A1" s="94"/>
      <c r="B1" s="94" t="s">
        <v>90</v>
      </c>
      <c r="C1" s="93"/>
      <c r="D1" s="93"/>
      <c r="E1" s="93"/>
      <c r="F1" s="93"/>
      <c r="G1" s="93"/>
    </row>
    <row r="2" spans="1:9" s="1" customFormat="1" x14ac:dyDescent="0.2">
      <c r="C2" s="116"/>
      <c r="D2" s="116"/>
      <c r="E2" s="116"/>
      <c r="F2" s="116"/>
      <c r="G2" s="116"/>
    </row>
    <row r="3" spans="1:9" s="1" customFormat="1" x14ac:dyDescent="0.2">
      <c r="C3" s="116" t="s">
        <v>94</v>
      </c>
      <c r="D3" s="116"/>
      <c r="E3" s="116"/>
      <c r="F3" s="116"/>
      <c r="G3" s="116"/>
    </row>
    <row r="4" spans="1:9" s="71" customFormat="1" ht="19.5" customHeight="1" x14ac:dyDescent="0.2">
      <c r="C4" s="71">
        <v>2016</v>
      </c>
      <c r="D4" s="71">
        <v>2017</v>
      </c>
      <c r="E4" s="71">
        <v>2018</v>
      </c>
      <c r="F4" s="71">
        <v>2019</v>
      </c>
      <c r="G4" s="71">
        <v>2020</v>
      </c>
      <c r="I4" s="72"/>
    </row>
    <row r="5" spans="1:9" x14ac:dyDescent="0.2">
      <c r="A5" s="2" t="s">
        <v>36</v>
      </c>
      <c r="C5" s="41">
        <f>'2014-00396 BRR'!$V$14</f>
        <v>50795.129270026606</v>
      </c>
      <c r="D5" s="41">
        <f>'2014-00396 BRR'!$V$14</f>
        <v>50795.129270026606</v>
      </c>
      <c r="E5" s="109">
        <f>('2017-00179 BRR'!$I$9*(14/31))+('2014-00396 BRR'!V14*(17/31))</f>
        <v>260088.59476098232</v>
      </c>
      <c r="F5" s="41">
        <f>'2017-00179 BRR'!$I$9</f>
        <v>514230.66</v>
      </c>
      <c r="G5" s="41">
        <f>'2017-00179 BRR'!$I$9</f>
        <v>514230.66</v>
      </c>
      <c r="H5" s="96"/>
      <c r="I5" s="96"/>
    </row>
    <row r="6" spans="1:9" x14ac:dyDescent="0.2">
      <c r="A6" s="2" t="s">
        <v>37</v>
      </c>
      <c r="C6" s="109">
        <f>'2014-00396 BRR'!$V$15</f>
        <v>71031.279841312018</v>
      </c>
      <c r="D6" s="109">
        <f>'2014-00396 BRR'!$V$15</f>
        <v>71031.279841312018</v>
      </c>
      <c r="E6" s="109">
        <f>('2014-00396 BRR'!V15*(17/31))+('2017-00179 BRR'!I10*(14/31))</f>
        <v>378162.20507426787</v>
      </c>
      <c r="F6" s="109">
        <f>'2017-00179 BRR'!$I$10</f>
        <v>751106.9</v>
      </c>
      <c r="G6" s="109">
        <f>'2017-00179 BRR'!$I$10</f>
        <v>751106.9</v>
      </c>
    </row>
    <row r="7" spans="1:9" x14ac:dyDescent="0.2">
      <c r="A7" s="2" t="s">
        <v>38</v>
      </c>
      <c r="C7" s="109">
        <f>'2014-00396 BRR'!$V$16</f>
        <v>111375.6594737359</v>
      </c>
      <c r="D7" s="109">
        <f>'2014-00396 BRR'!$V$16</f>
        <v>111375.6594737359</v>
      </c>
      <c r="E7" s="109">
        <f>'2017-00179 BRR'!$I$11</f>
        <v>749547.42</v>
      </c>
      <c r="F7" s="109">
        <f>'2017-00179 BRR'!$I$11</f>
        <v>749547.42</v>
      </c>
      <c r="G7" s="109">
        <f>'2017-00179 BRR'!$I$11</f>
        <v>749547.42</v>
      </c>
    </row>
    <row r="8" spans="1:9" x14ac:dyDescent="0.2">
      <c r="A8" s="2" t="s">
        <v>39</v>
      </c>
      <c r="C8" s="109">
        <f>'2014-00396 BRR'!$V$17</f>
        <v>123475.01794168777</v>
      </c>
      <c r="D8" s="109">
        <f>'2014-00396 BRR'!$V$17</f>
        <v>123475.01794168777</v>
      </c>
      <c r="E8" s="109">
        <f>'2017-00179 BRR'!$I$12</f>
        <v>901719.15</v>
      </c>
      <c r="F8" s="109">
        <f>'2017-00179 BRR'!$I$12</f>
        <v>901719.15</v>
      </c>
      <c r="G8" s="109">
        <f>'2017-00179 BRR'!$I$12</f>
        <v>901719.15</v>
      </c>
    </row>
    <row r="9" spans="1:9" x14ac:dyDescent="0.2">
      <c r="A9" s="2" t="s">
        <v>40</v>
      </c>
      <c r="C9" s="109">
        <f>'2014-00396 BRR'!$V$18</f>
        <v>127008.21265959038</v>
      </c>
      <c r="D9" s="109">
        <f>'2014-00396 BRR'!$V$18</f>
        <v>127008.21265959038</v>
      </c>
      <c r="E9" s="109">
        <f>'2017-00179 BRR'!$I$13</f>
        <v>902729.65</v>
      </c>
      <c r="F9" s="109">
        <f>'2017-00179 BRR'!$I$13</f>
        <v>902729.65</v>
      </c>
      <c r="G9" s="109">
        <f>'2017-00179 BRR'!$I$13</f>
        <v>902729.65</v>
      </c>
    </row>
    <row r="10" spans="1:9" x14ac:dyDescent="0.2">
      <c r="A10" s="2" t="s">
        <v>41</v>
      </c>
      <c r="C10" s="109">
        <f>'2014-00396 BRR'!$V$19</f>
        <v>103601.73095223992</v>
      </c>
      <c r="D10" s="109">
        <f>'2014-00396 BRR'!$V$19</f>
        <v>103601.73095223992</v>
      </c>
      <c r="E10" s="109">
        <f>'2017-00179 BRR'!$I$14</f>
        <v>890223.48</v>
      </c>
      <c r="F10" s="109">
        <f>'2017-00179 BRR'!$I$14</f>
        <v>890223.48</v>
      </c>
      <c r="G10" s="109">
        <f>'2017-00179 BRR'!$I$14</f>
        <v>890223.48</v>
      </c>
    </row>
    <row r="11" spans="1:9" x14ac:dyDescent="0.2">
      <c r="A11" s="2" t="s">
        <v>42</v>
      </c>
      <c r="C11" s="109">
        <f>'2014-00396 BRR'!$V$20</f>
        <v>73616.105971016455</v>
      </c>
      <c r="D11" s="109">
        <f>'2014-00396 BRR'!$V$20</f>
        <v>73616.105971016455</v>
      </c>
      <c r="E11" s="109">
        <f>'2017-00179 BRR'!$I$15</f>
        <v>761093.3</v>
      </c>
      <c r="F11" s="109">
        <f>'2017-00179 BRR'!$I$15</f>
        <v>761093.3</v>
      </c>
      <c r="G11" s="109">
        <f>'2017-00179 BRR'!$I$15</f>
        <v>761093.3</v>
      </c>
    </row>
    <row r="12" spans="1:9" x14ac:dyDescent="0.2">
      <c r="A12" s="2" t="s">
        <v>43</v>
      </c>
      <c r="C12" s="109">
        <f>'2014-00396 BRR'!$V$21</f>
        <v>71316.322055340599</v>
      </c>
      <c r="D12" s="109">
        <f>'2014-00396 BRR'!$V$21</f>
        <v>71316.322055340599</v>
      </c>
      <c r="E12" s="109">
        <f>'2017-00179 BRR'!$I$16</f>
        <v>838037.54</v>
      </c>
      <c r="F12" s="109">
        <f>'2017-00179 BRR'!$I$16</f>
        <v>838037.54</v>
      </c>
      <c r="G12" s="109">
        <f>'2017-00179 BRR'!$I$16</f>
        <v>838037.54</v>
      </c>
    </row>
    <row r="13" spans="1:9" x14ac:dyDescent="0.2">
      <c r="A13" s="2" t="s">
        <v>44</v>
      </c>
      <c r="C13" s="109">
        <f>'2014-00396 BRR'!$V$22</f>
        <v>73306.189723260424</v>
      </c>
      <c r="D13" s="109">
        <f>'2014-00396 BRR'!$V$22</f>
        <v>73306.189723260424</v>
      </c>
      <c r="E13" s="109">
        <f>'2017-00179 BRR'!$I$17</f>
        <v>853952.45</v>
      </c>
      <c r="F13" s="109">
        <f>'2017-00179 BRR'!$I$17</f>
        <v>853952.45</v>
      </c>
      <c r="G13" s="109">
        <f>'2017-00179 BRR'!$I$17</f>
        <v>853952.45</v>
      </c>
    </row>
    <row r="14" spans="1:9" x14ac:dyDescent="0.2">
      <c r="A14" s="2" t="s">
        <v>45</v>
      </c>
      <c r="C14" s="109">
        <f>'2014-00396 BRR'!$V$11</f>
        <v>168191.55444155444</v>
      </c>
      <c r="D14" s="109">
        <f>'2014-00396 BRR'!$V$11</f>
        <v>168191.55444155444</v>
      </c>
      <c r="E14" s="109">
        <f>'2017-00179 BRR'!$I$18</f>
        <v>934401.61</v>
      </c>
      <c r="F14" s="109">
        <f>'2017-00179 BRR'!$I$18</f>
        <v>934401.61</v>
      </c>
      <c r="G14" s="109">
        <f>'2017-00179 BRR'!$I$18</f>
        <v>934401.61</v>
      </c>
    </row>
    <row r="15" spans="1:9" x14ac:dyDescent="0.2">
      <c r="A15" s="2" t="s">
        <v>46</v>
      </c>
      <c r="C15" s="109">
        <f>'2014-00396 BRR'!$V$12</f>
        <v>80601.943763839721</v>
      </c>
      <c r="D15" s="109">
        <f>'2014-00396 BRR'!$V$12</f>
        <v>80601.943763839721</v>
      </c>
      <c r="E15" s="109">
        <f>'2017-00179 BRR'!$I$19</f>
        <v>848222.64</v>
      </c>
      <c r="F15" s="109">
        <f>'2017-00179 BRR'!$I$19</f>
        <v>848222.64</v>
      </c>
      <c r="G15" s="109">
        <f>'2017-00179 BRR'!$I$19</f>
        <v>848222.64</v>
      </c>
    </row>
    <row r="16" spans="1:9" x14ac:dyDescent="0.2">
      <c r="A16" s="2" t="s">
        <v>47</v>
      </c>
      <c r="C16" s="109">
        <f>'2014-00396 BRR'!$V$13</f>
        <v>62220.825537392273</v>
      </c>
      <c r="D16" s="109">
        <f>'2014-00396 BRR'!$V$13</f>
        <v>62220.825537392273</v>
      </c>
      <c r="E16" s="109">
        <f>'2017-00179 BRR'!$I$20</f>
        <v>814550.89</v>
      </c>
      <c r="F16" s="109">
        <f>'2017-00179 BRR'!$I$20</f>
        <v>814550.89</v>
      </c>
      <c r="G16" s="109">
        <f>'2017-00179 BRR'!$I$20</f>
        <v>814550.89</v>
      </c>
    </row>
    <row r="17" spans="1:7" s="1" customFormat="1" ht="11.25" customHeight="1" x14ac:dyDescent="0.2">
      <c r="A17" s="1" t="s">
        <v>55</v>
      </c>
      <c r="C17" s="129">
        <f>SUM(C5:C16)</f>
        <v>1116539.9716309966</v>
      </c>
      <c r="D17" s="129">
        <f>SUM(D5:D16)</f>
        <v>1116539.9716309966</v>
      </c>
      <c r="E17" s="129">
        <f>SUM(E5:E16)</f>
        <v>9132728.9298352506</v>
      </c>
      <c r="F17" s="129">
        <f>SUM(F5:F16)</f>
        <v>9759815.6900000013</v>
      </c>
      <c r="G17" s="129">
        <f>SUM(G5:G16)</f>
        <v>9759815.6900000013</v>
      </c>
    </row>
    <row r="18" spans="1:7" x14ac:dyDescent="0.2">
      <c r="C18" s="53"/>
      <c r="D18" s="53"/>
      <c r="E18" s="53"/>
      <c r="F18" s="53"/>
      <c r="G18" s="53"/>
    </row>
    <row r="19" spans="1:7" x14ac:dyDescent="0.2">
      <c r="C19" s="53"/>
      <c r="D19" s="53"/>
      <c r="E19" s="53"/>
      <c r="F19" s="53"/>
      <c r="G19" s="53"/>
    </row>
    <row r="20" spans="1:7" x14ac:dyDescent="0.2">
      <c r="C20" s="114" t="s">
        <v>95</v>
      </c>
      <c r="D20" s="114"/>
      <c r="E20" s="114"/>
      <c r="F20" s="114"/>
      <c r="G20" s="114"/>
    </row>
    <row r="21" spans="1:7" x14ac:dyDescent="0.2">
      <c r="C21" s="112">
        <v>2016</v>
      </c>
      <c r="D21" s="112">
        <v>2017</v>
      </c>
      <c r="E21" s="112">
        <v>2018</v>
      </c>
      <c r="F21" s="112">
        <v>2019</v>
      </c>
      <c r="G21" s="112">
        <v>2020</v>
      </c>
    </row>
    <row r="22" spans="1:7" x14ac:dyDescent="0.2">
      <c r="A22" s="2" t="s">
        <v>36</v>
      </c>
      <c r="C22" s="109">
        <f>HLOOKUP(A22,'RP CRR 2016'!$C$5:$N$26,22,FALSE)</f>
        <v>769654.85275674996</v>
      </c>
      <c r="D22" s="109">
        <f>HLOOKUP(A22,'RP CRR 2017'!$C$5:$N$26,22,FALSE)</f>
        <v>846169.36410441622</v>
      </c>
      <c r="E22" s="109">
        <f>('RP CRR 2018'!C36*(17/31))+('RP CRR 2018'!D36*(14/31))</f>
        <v>1003986.879434222</v>
      </c>
      <c r="F22" s="109">
        <f>HLOOKUP(A22,'RP CRR 2019'!$C$5:$O$36,32,FALSE)</f>
        <v>1127700.4941162516</v>
      </c>
      <c r="G22" s="109">
        <f>HLOOKUP(A22,'RP CRR 2020'!$C$5:$I$36,32,FALSE)</f>
        <v>1070946.3412753912</v>
      </c>
    </row>
    <row r="23" spans="1:7" x14ac:dyDescent="0.2">
      <c r="A23" s="2" t="s">
        <v>37</v>
      </c>
      <c r="C23" s="109">
        <f>HLOOKUP(A23,'RP CRR 2016'!$C$5:$N$26,22,FALSE)</f>
        <v>625402.70635473379</v>
      </c>
      <c r="D23" s="109">
        <f>HLOOKUP(A23,'RP CRR 2017'!$C$5:$N$26,22,FALSE)</f>
        <v>812107.12097093952</v>
      </c>
      <c r="E23" s="109">
        <f>('RP CRR 2018'!E36*(17/31))+('RP CRR 2018'!F36*(14/31))</f>
        <v>765800.84969210764</v>
      </c>
      <c r="F23" s="109">
        <f>HLOOKUP(A23,'RP CRR 2019'!$C$5:$O$36,32,FALSE)</f>
        <v>1357122.8644413629</v>
      </c>
      <c r="G23" s="109">
        <f>HLOOKUP(A23,'RP CRR 2020'!$C$5:$I$36,32,FALSE)</f>
        <v>1270244.7144211861</v>
      </c>
    </row>
    <row r="24" spans="1:7" x14ac:dyDescent="0.2">
      <c r="A24" s="2" t="s">
        <v>38</v>
      </c>
      <c r="C24" s="41">
        <f>HLOOKUP(A24,'RP CRR 2016'!$C$5:$N$26,22,FALSE)</f>
        <v>513684.0937494369</v>
      </c>
      <c r="D24" s="41">
        <f>HLOOKUP(A24,'RP CRR 2017'!$C$5:$N$26,22,FALSE)</f>
        <v>701793.40127350821</v>
      </c>
      <c r="E24" s="41">
        <f>HLOOKUP(A24,'RP CRR 2018'!$C$6:$P$36,31,FALSE)</f>
        <v>1153959.0456395927</v>
      </c>
      <c r="F24" s="41">
        <f>HLOOKUP(A24,'RP CRR 2019'!$C$5:$O$36,32,FALSE)</f>
        <v>1378597.9252830776</v>
      </c>
      <c r="G24" s="41">
        <f>HLOOKUP(A24,'RP CRR 2020'!$C$5:$I$36,32,FALSE)</f>
        <v>1157646.3812121341</v>
      </c>
    </row>
    <row r="25" spans="1:7" x14ac:dyDescent="0.2">
      <c r="A25" s="2" t="s">
        <v>39</v>
      </c>
      <c r="C25" s="41">
        <f>HLOOKUP(A25,'RP CRR 2016'!$C$5:$N$26,22,FALSE)</f>
        <v>750648.33430966013</v>
      </c>
      <c r="D25" s="41">
        <f>HLOOKUP(A25,'RP CRR 2017'!$C$5:$N$26,22,FALSE)</f>
        <v>607606.29139114986</v>
      </c>
      <c r="E25" s="41">
        <f>HLOOKUP(A25,'RP CRR 2018'!$C$6:$P$36,31,FALSE)</f>
        <v>1014620.9613217169</v>
      </c>
      <c r="F25" s="41">
        <f>HLOOKUP(A25,'RP CRR 2019'!$C$5:$O$36,32,FALSE)</f>
        <v>1515159.9980236508</v>
      </c>
      <c r="G25" s="41">
        <f>HLOOKUP(A25,'RP CRR 2020'!$C$5:$I$36,32,FALSE)</f>
        <v>1182419.4186290267</v>
      </c>
    </row>
    <row r="26" spans="1:7" x14ac:dyDescent="0.2">
      <c r="A26" s="2" t="s">
        <v>40</v>
      </c>
      <c r="C26" s="41">
        <f>HLOOKUP(A26,'RP CRR 2016'!$C$5:$N$26,22,FALSE)</f>
        <v>749054.35621777305</v>
      </c>
      <c r="D26" s="41">
        <f>HLOOKUP(A26,'RP CRR 2017'!$C$5:$N$26,22,FALSE)</f>
        <v>825310.63768513757</v>
      </c>
      <c r="E26" s="41">
        <f>HLOOKUP(A26,'RP CRR 2018'!$C$6:$P$36,31,FALSE)</f>
        <v>1081687.0695298114</v>
      </c>
      <c r="F26" s="41">
        <f>HLOOKUP(A26,'RP CRR 2019'!$C$5:$O$36,32,FALSE)</f>
        <v>1358359.8928618657</v>
      </c>
      <c r="G26" s="41">
        <f>HLOOKUP(A26,'RP CRR 2020'!$C$5:$I$36,32,FALSE)</f>
        <v>1071379.331190401</v>
      </c>
    </row>
    <row r="27" spans="1:7" x14ac:dyDescent="0.2">
      <c r="A27" s="2" t="s">
        <v>41</v>
      </c>
      <c r="C27" s="41">
        <f>HLOOKUP(A27,'RP CRR 2016'!$C$5:$N$26,22,FALSE)</f>
        <v>900931.15690565924</v>
      </c>
      <c r="D27" s="41">
        <f>HLOOKUP(A27,'RP CRR 2017'!$C$5:$N$26,22,FALSE)</f>
        <v>791963.32535751199</v>
      </c>
      <c r="E27" s="41">
        <f>HLOOKUP(A27,'RP CRR 2018'!$C$6:$P$36,31,FALSE)</f>
        <v>1202754.5431196671</v>
      </c>
      <c r="F27" s="41">
        <f>HLOOKUP(A27,'RP CRR 2019'!$C$5:$O$36,32,FALSE)</f>
        <v>1215274.5536446667</v>
      </c>
      <c r="G27" s="41">
        <f>HLOOKUP(A27,'RP CRR 2020'!$C$5:$I$36,32,FALSE)</f>
        <v>1228920.3250341539</v>
      </c>
    </row>
    <row r="28" spans="1:7" x14ac:dyDescent="0.2">
      <c r="A28" s="2" t="s">
        <v>42</v>
      </c>
      <c r="C28" s="41">
        <f>HLOOKUP(A28,'RP CRR 2016'!$C$5:$N$26,22,FALSE)</f>
        <v>901887.80529844202</v>
      </c>
      <c r="D28" s="41">
        <f>HLOOKUP(A28,'RP CRR 2017'!$C$5:$N$26,22,FALSE)</f>
        <v>961408.75721820397</v>
      </c>
      <c r="E28" s="41">
        <f>HLOOKUP(A28,'RP CRR 2018'!$C$6:$P$36,31,FALSE)</f>
        <v>1195589.4105742052</v>
      </c>
      <c r="F28" s="41">
        <f>HLOOKUP(A28,'RP CRR 2019'!$C$5:$O$36,32,FALSE)</f>
        <v>1526958.5116089233</v>
      </c>
      <c r="G28" s="41">
        <f>HLOOKUP(A28,'RP CRR 2020'!$C$5:$I$36,32,FALSE)</f>
        <v>2079424.8482054574</v>
      </c>
    </row>
    <row r="29" spans="1:7" x14ac:dyDescent="0.2">
      <c r="A29" s="2" t="s">
        <v>43</v>
      </c>
      <c r="C29" s="41">
        <f>HLOOKUP(A29,'RP CRR 2016'!$C$5:$N$26,22,FALSE)</f>
        <v>889761.36579258146</v>
      </c>
      <c r="D29" s="41">
        <f>HLOOKUP(A29,'RP CRR 2017'!$C$5:$N$26,22,FALSE)</f>
        <v>886557.68080540921</v>
      </c>
      <c r="E29" s="41">
        <f>HLOOKUP(A29,'RP CRR 2018'!$C$6:$P$36,31,FALSE)</f>
        <v>1082906.2619072017</v>
      </c>
      <c r="F29" s="41">
        <f>HLOOKUP(A29,'RP CRR 2019'!$C$5:$O$36,32,FALSE)</f>
        <v>1274049.2212243374</v>
      </c>
      <c r="G29" s="74"/>
    </row>
    <row r="30" spans="1:7" x14ac:dyDescent="0.2">
      <c r="A30" s="2" t="s">
        <v>44</v>
      </c>
      <c r="C30" s="41">
        <f>HLOOKUP(A30,'RP CRR 2016'!$C$5:$N$26,22,FALSE)</f>
        <v>760673.00807845534</v>
      </c>
      <c r="D30" s="41">
        <f>HLOOKUP(A30,'RP CRR 2017'!$C$5:$N$26,22,FALSE)</f>
        <v>908916.19132706372</v>
      </c>
      <c r="E30" s="41">
        <f>HLOOKUP(A30,'RP CRR 2018'!$C$6:$P$36,31,FALSE)</f>
        <v>1069680.7862779752</v>
      </c>
      <c r="F30" s="41">
        <f>HLOOKUP(A30,'RP CRR 2019'!$C$5:$O$36,32,FALSE)</f>
        <v>1259512.4758458794</v>
      </c>
      <c r="G30" s="74"/>
    </row>
    <row r="31" spans="1:7" x14ac:dyDescent="0.2">
      <c r="A31" s="2" t="s">
        <v>45</v>
      </c>
      <c r="C31" s="41">
        <f>HLOOKUP(A31,'RP CRR 2016'!$C$5:$N$26,22,FALSE)</f>
        <v>837019.93462449627</v>
      </c>
      <c r="D31" s="41">
        <f>HLOOKUP(A31,'RP CRR 2017'!$C$5:$N$26,22,FALSE)</f>
        <v>773384.46426864434</v>
      </c>
      <c r="E31" s="41">
        <f>HLOOKUP(A31,'RP CRR 2018'!$C$6:$P$36,31,FALSE)</f>
        <v>1079874.2366079707</v>
      </c>
      <c r="F31" s="41">
        <f>HLOOKUP(A31,'RP CRR 2019'!$C$5:$O$36,32,FALSE)</f>
        <v>1302646.2553528338</v>
      </c>
      <c r="G31" s="74"/>
    </row>
    <row r="32" spans="1:7" x14ac:dyDescent="0.2">
      <c r="A32" s="2" t="s">
        <v>46</v>
      </c>
      <c r="C32" s="41">
        <f>HLOOKUP(A32,'RP CRR 2016'!$C$5:$N$26,22,FALSE)</f>
        <v>852724.89777177945</v>
      </c>
      <c r="D32" s="41">
        <f>HLOOKUP(A32,'RP CRR 2017'!$C$5:$N$26,22,FALSE)</f>
        <v>672406.69949652755</v>
      </c>
      <c r="E32" s="41">
        <f>HLOOKUP(A32,'RP CRR 2018'!$C$6:$P$36,31,FALSE)</f>
        <v>1077348.6530662717</v>
      </c>
      <c r="F32" s="41">
        <f>HLOOKUP(A32,'RP CRR 2019'!$C$5:$O$36,32,FALSE)</f>
        <v>1279490.0119509811</v>
      </c>
      <c r="G32" s="74"/>
    </row>
    <row r="33" spans="1:7" x14ac:dyDescent="0.2">
      <c r="A33" s="2" t="s">
        <v>47</v>
      </c>
      <c r="C33" s="41">
        <f>HLOOKUP(A33,'RP CRR 2016'!$C$5:$N$26,22,FALSE)</f>
        <v>932940.306644556</v>
      </c>
      <c r="D33" s="41">
        <f>HLOOKUP(A33,'RP CRR 2017'!$C$5:$N$26,22,FALSE)</f>
        <v>1044560.6101751807</v>
      </c>
      <c r="E33" s="41">
        <f>HLOOKUP(A33,'RP CRR 2018'!$C$6:$P$36,31,FALSE)</f>
        <v>1093282.9098033013</v>
      </c>
      <c r="F33" s="41">
        <f>HLOOKUP(A33,'RP CRR 2019'!$C$5:$O$36,32,FALSE)</f>
        <v>1155859.2107066691</v>
      </c>
      <c r="G33" s="74"/>
    </row>
    <row r="34" spans="1:7" x14ac:dyDescent="0.2">
      <c r="A34" s="1" t="s">
        <v>55</v>
      </c>
      <c r="C34" s="42">
        <f>SUM(C22:C33)</f>
        <v>9484382.8185043223</v>
      </c>
      <c r="D34" s="42">
        <f>SUM(D22:D33)</f>
        <v>9832184.5440736935</v>
      </c>
      <c r="E34" s="42">
        <f>SUM(E22:E33)</f>
        <v>12821491.606974043</v>
      </c>
      <c r="F34" s="42">
        <f>SUM(F22:F33)</f>
        <v>15750731.4150605</v>
      </c>
      <c r="G34" s="42">
        <f>SUM(G22:G33)</f>
        <v>9060981.3599677496</v>
      </c>
    </row>
    <row r="37" spans="1:7" x14ac:dyDescent="0.2">
      <c r="C37" s="113" t="s">
        <v>88</v>
      </c>
      <c r="D37" s="114"/>
      <c r="E37" s="114"/>
      <c r="F37" s="114"/>
      <c r="G37" s="114"/>
    </row>
    <row r="38" spans="1:7" x14ac:dyDescent="0.2">
      <c r="C38" s="72">
        <v>2016</v>
      </c>
      <c r="D38" s="72">
        <v>2017</v>
      </c>
      <c r="E38" s="72">
        <v>2018</v>
      </c>
      <c r="F38" s="72">
        <v>2019</v>
      </c>
      <c r="G38" s="72">
        <v>2020</v>
      </c>
    </row>
    <row r="39" spans="1:7" x14ac:dyDescent="0.2">
      <c r="A39" s="2" t="s">
        <v>36</v>
      </c>
      <c r="C39" s="41">
        <f>C22-C5</f>
        <v>718859.72348672338</v>
      </c>
      <c r="D39" s="41">
        <f>D22-D5</f>
        <v>795374.23483438964</v>
      </c>
      <c r="E39" s="109">
        <f>E22-E5</f>
        <v>743898.28467323969</v>
      </c>
      <c r="F39" s="41">
        <f>F22-F5</f>
        <v>613469.83411625167</v>
      </c>
      <c r="G39" s="41">
        <f>G22-G5</f>
        <v>556715.68127539125</v>
      </c>
    </row>
    <row r="40" spans="1:7" x14ac:dyDescent="0.2">
      <c r="A40" s="2" t="s">
        <v>37</v>
      </c>
      <c r="C40" s="41">
        <f t="shared" ref="C40:C50" si="0">C23-C6</f>
        <v>554371.42651342181</v>
      </c>
      <c r="D40" s="41">
        <f t="shared" ref="D40:E50" si="1">D23-D6</f>
        <v>741075.84112962754</v>
      </c>
      <c r="E40" s="109">
        <f t="shared" si="1"/>
        <v>387638.64461783977</v>
      </c>
      <c r="F40" s="41">
        <f t="shared" ref="F40:F50" si="2">F23-F6</f>
        <v>606015.96444136288</v>
      </c>
      <c r="G40" s="41">
        <f t="shared" ref="G40:G45" si="3">G23-G6</f>
        <v>519137.81442118611</v>
      </c>
    </row>
    <row r="41" spans="1:7" x14ac:dyDescent="0.2">
      <c r="A41" s="2" t="s">
        <v>38</v>
      </c>
      <c r="C41" s="41">
        <f t="shared" si="0"/>
        <v>402308.434275701</v>
      </c>
      <c r="D41" s="41">
        <f t="shared" si="1"/>
        <v>590417.74179977225</v>
      </c>
      <c r="E41" s="109">
        <f t="shared" si="1"/>
        <v>404411.62563959265</v>
      </c>
      <c r="F41" s="41">
        <f t="shared" si="2"/>
        <v>629050.5052830776</v>
      </c>
      <c r="G41" s="41">
        <f t="shared" si="3"/>
        <v>408098.96121213411</v>
      </c>
    </row>
    <row r="42" spans="1:7" x14ac:dyDescent="0.2">
      <c r="A42" s="2" t="s">
        <v>39</v>
      </c>
      <c r="C42" s="41">
        <f t="shared" si="0"/>
        <v>627173.31636797241</v>
      </c>
      <c r="D42" s="41">
        <f t="shared" si="1"/>
        <v>484131.27344946208</v>
      </c>
      <c r="E42" s="109">
        <f t="shared" si="1"/>
        <v>112901.81132171687</v>
      </c>
      <c r="F42" s="41">
        <f t="shared" si="2"/>
        <v>613440.84802365082</v>
      </c>
      <c r="G42" s="41">
        <f t="shared" si="3"/>
        <v>280700.26862902672</v>
      </c>
    </row>
    <row r="43" spans="1:7" x14ac:dyDescent="0.2">
      <c r="A43" s="2" t="s">
        <v>40</v>
      </c>
      <c r="C43" s="41">
        <f t="shared" si="0"/>
        <v>622046.14355818264</v>
      </c>
      <c r="D43" s="41">
        <f t="shared" si="1"/>
        <v>698302.42502554716</v>
      </c>
      <c r="E43" s="109">
        <f t="shared" si="1"/>
        <v>178957.41952981136</v>
      </c>
      <c r="F43" s="41">
        <f t="shared" si="2"/>
        <v>455630.24286186567</v>
      </c>
      <c r="G43" s="41">
        <f t="shared" si="3"/>
        <v>168649.68119040097</v>
      </c>
    </row>
    <row r="44" spans="1:7" x14ac:dyDescent="0.2">
      <c r="A44" s="2" t="s">
        <v>41</v>
      </c>
      <c r="C44" s="41">
        <f t="shared" si="0"/>
        <v>797329.4259534193</v>
      </c>
      <c r="D44" s="41">
        <f t="shared" si="1"/>
        <v>688361.59440527204</v>
      </c>
      <c r="E44" s="109">
        <f t="shared" si="1"/>
        <v>312531.06311966712</v>
      </c>
      <c r="F44" s="41">
        <f t="shared" si="2"/>
        <v>325051.0736446667</v>
      </c>
      <c r="G44" s="41">
        <f t="shared" si="3"/>
        <v>338696.8450341539</v>
      </c>
    </row>
    <row r="45" spans="1:7" x14ac:dyDescent="0.2">
      <c r="A45" s="2" t="s">
        <v>42</v>
      </c>
      <c r="C45" s="41">
        <f t="shared" si="0"/>
        <v>828271.69932742557</v>
      </c>
      <c r="D45" s="41">
        <f t="shared" si="1"/>
        <v>887792.65124718752</v>
      </c>
      <c r="E45" s="41">
        <f t="shared" si="1"/>
        <v>434496.11057420517</v>
      </c>
      <c r="F45" s="41">
        <f t="shared" si="2"/>
        <v>765865.21160892327</v>
      </c>
      <c r="G45" s="41">
        <f t="shared" si="3"/>
        <v>1318331.5482054574</v>
      </c>
    </row>
    <row r="46" spans="1:7" x14ac:dyDescent="0.2">
      <c r="A46" s="2" t="s">
        <v>43</v>
      </c>
      <c r="C46" s="41">
        <f t="shared" si="0"/>
        <v>818445.04373724083</v>
      </c>
      <c r="D46" s="41">
        <f t="shared" si="1"/>
        <v>815241.35875006858</v>
      </c>
      <c r="E46" s="41">
        <f t="shared" si="1"/>
        <v>244868.72190720169</v>
      </c>
      <c r="F46" s="41">
        <f t="shared" si="2"/>
        <v>436011.68122433731</v>
      </c>
      <c r="G46" s="74"/>
    </row>
    <row r="47" spans="1:7" x14ac:dyDescent="0.2">
      <c r="A47" s="2" t="s">
        <v>44</v>
      </c>
      <c r="C47" s="41">
        <f t="shared" si="0"/>
        <v>687366.81835519488</v>
      </c>
      <c r="D47" s="41">
        <f t="shared" si="1"/>
        <v>835610.00160380325</v>
      </c>
      <c r="E47" s="41">
        <f t="shared" si="1"/>
        <v>215728.33627797524</v>
      </c>
      <c r="F47" s="41">
        <f t="shared" si="2"/>
        <v>405560.02584587946</v>
      </c>
      <c r="G47" s="74"/>
    </row>
    <row r="48" spans="1:7" x14ac:dyDescent="0.2">
      <c r="A48" s="2" t="s">
        <v>45</v>
      </c>
      <c r="C48" s="41">
        <f t="shared" si="0"/>
        <v>668828.38018294179</v>
      </c>
      <c r="D48" s="41">
        <f t="shared" si="1"/>
        <v>605192.90982708987</v>
      </c>
      <c r="E48" s="41">
        <f t="shared" si="1"/>
        <v>145472.62660797068</v>
      </c>
      <c r="F48" s="41">
        <f t="shared" si="2"/>
        <v>368244.64535283379</v>
      </c>
      <c r="G48" s="74"/>
    </row>
    <row r="49" spans="1:7" x14ac:dyDescent="0.2">
      <c r="A49" s="2" t="s">
        <v>46</v>
      </c>
      <c r="C49" s="41">
        <f t="shared" si="0"/>
        <v>772122.95400793967</v>
      </c>
      <c r="D49" s="41">
        <f t="shared" si="1"/>
        <v>591804.75573268789</v>
      </c>
      <c r="E49" s="41">
        <f t="shared" si="1"/>
        <v>229126.01306627167</v>
      </c>
      <c r="F49" s="41">
        <f t="shared" si="2"/>
        <v>431267.37195098109</v>
      </c>
      <c r="G49" s="74"/>
    </row>
    <row r="50" spans="1:7" x14ac:dyDescent="0.2">
      <c r="A50" s="2" t="s">
        <v>47</v>
      </c>
      <c r="C50" s="41">
        <f t="shared" si="0"/>
        <v>870719.48110716371</v>
      </c>
      <c r="D50" s="41">
        <f t="shared" si="1"/>
        <v>982339.78463778843</v>
      </c>
      <c r="E50" s="41">
        <f t="shared" si="1"/>
        <v>278732.01980330131</v>
      </c>
      <c r="F50" s="41">
        <f t="shared" si="2"/>
        <v>341308.32070666912</v>
      </c>
      <c r="G50" s="74"/>
    </row>
    <row r="51" spans="1:7" x14ac:dyDescent="0.2">
      <c r="A51" s="1" t="s">
        <v>55</v>
      </c>
      <c r="C51" s="42">
        <f>SUM(C39:C50)</f>
        <v>8367842.8468733262</v>
      </c>
      <c r="D51" s="42">
        <f>SUM(D39:D50)</f>
        <v>8715644.5724426974</v>
      </c>
      <c r="E51" s="42">
        <f>SUM(E39:E50)</f>
        <v>3688762.6771387933</v>
      </c>
      <c r="F51" s="42">
        <f>SUM(F39:F50)</f>
        <v>5990915.7250605002</v>
      </c>
      <c r="G51" s="42">
        <f>SUM(G39:G50)</f>
        <v>3590330.79996775</v>
      </c>
    </row>
    <row r="54" spans="1:7" x14ac:dyDescent="0.2">
      <c r="C54" s="114" t="s">
        <v>87</v>
      </c>
      <c r="D54" s="114"/>
      <c r="E54" s="114"/>
      <c r="F54" s="114"/>
      <c r="G54" s="114"/>
    </row>
    <row r="55" spans="1:7" x14ac:dyDescent="0.2">
      <c r="C55" s="72">
        <v>2016</v>
      </c>
      <c r="D55" s="72">
        <v>2017</v>
      </c>
      <c r="E55" s="72">
        <v>2018</v>
      </c>
      <c r="F55" s="72">
        <v>2019</v>
      </c>
      <c r="G55" s="72">
        <v>2020</v>
      </c>
    </row>
    <row r="56" spans="1:7" x14ac:dyDescent="0.2">
      <c r="A56" s="2" t="s">
        <v>36</v>
      </c>
      <c r="C56" s="95">
        <v>0.97399999999999998</v>
      </c>
      <c r="D56" s="95">
        <v>0.96199999999999997</v>
      </c>
      <c r="E56" s="95">
        <v>0.89</v>
      </c>
      <c r="F56" s="95">
        <v>0.9345</v>
      </c>
      <c r="G56" s="95">
        <v>0.96140000000000003</v>
      </c>
    </row>
    <row r="57" spans="1:7" x14ac:dyDescent="0.2">
      <c r="A57" s="2" t="s">
        <v>37</v>
      </c>
      <c r="C57" s="95">
        <v>0.97199999999999998</v>
      </c>
      <c r="D57" s="95">
        <v>0.97099999999999997</v>
      </c>
      <c r="E57" s="95">
        <v>0.96899999999999997</v>
      </c>
      <c r="F57" s="95">
        <v>0.9415</v>
      </c>
      <c r="G57" s="95">
        <v>0.96760000000000002</v>
      </c>
    </row>
    <row r="58" spans="1:7" x14ac:dyDescent="0.2">
      <c r="A58" s="2" t="s">
        <v>38</v>
      </c>
      <c r="C58" s="95">
        <v>0.96599999999999997</v>
      </c>
      <c r="D58" s="95">
        <v>0.95899999999999996</v>
      </c>
      <c r="E58" s="95">
        <v>0.98699999999999999</v>
      </c>
      <c r="F58" s="95">
        <v>0.94030000000000002</v>
      </c>
      <c r="G58" s="95">
        <v>0.97209999999999996</v>
      </c>
    </row>
    <row r="59" spans="1:7" x14ac:dyDescent="0.2">
      <c r="A59" s="2" t="s">
        <v>39</v>
      </c>
      <c r="C59" s="95">
        <v>0.97</v>
      </c>
      <c r="D59" s="95">
        <v>0.97299999999999998</v>
      </c>
      <c r="E59" s="95">
        <v>0.97799999999999998</v>
      </c>
      <c r="F59" s="95">
        <v>0.9355</v>
      </c>
      <c r="G59" s="95">
        <v>0.97160000000000002</v>
      </c>
    </row>
    <row r="60" spans="1:7" x14ac:dyDescent="0.2">
      <c r="A60" s="2" t="s">
        <v>40</v>
      </c>
      <c r="C60" s="95">
        <v>0.97499999999999998</v>
      </c>
      <c r="D60" s="95">
        <v>0.92500000000000004</v>
      </c>
      <c r="E60" s="95">
        <v>0.92</v>
      </c>
      <c r="F60" s="95">
        <v>0.95489999999999997</v>
      </c>
      <c r="G60" s="95">
        <v>0.95779999999999998</v>
      </c>
    </row>
    <row r="61" spans="1:7" x14ac:dyDescent="0.2">
      <c r="A61" s="2" t="s">
        <v>41</v>
      </c>
      <c r="C61" s="95">
        <v>0.88900000000000001</v>
      </c>
      <c r="D61" s="95">
        <v>0.89400000000000002</v>
      </c>
      <c r="E61" s="95">
        <v>0.94799999999999995</v>
      </c>
      <c r="F61" s="95">
        <v>0.95550000000000002</v>
      </c>
      <c r="G61" s="95">
        <v>0.95250000000000001</v>
      </c>
    </row>
    <row r="62" spans="1:7" x14ac:dyDescent="0.2">
      <c r="A62" s="2" t="s">
        <v>42</v>
      </c>
      <c r="C62" s="95">
        <v>0.84799999999999998</v>
      </c>
      <c r="D62" s="95">
        <v>0.83699999999999997</v>
      </c>
      <c r="E62" s="95">
        <v>0.877</v>
      </c>
      <c r="F62" s="95">
        <v>0.86409999999999998</v>
      </c>
      <c r="G62" s="95">
        <v>0.91859999999999997</v>
      </c>
    </row>
    <row r="63" spans="1:7" x14ac:dyDescent="0.2">
      <c r="A63" s="2" t="s">
        <v>43</v>
      </c>
      <c r="C63" s="95">
        <v>0.86399999999999999</v>
      </c>
      <c r="D63" s="95">
        <v>0.871</v>
      </c>
      <c r="E63" s="95">
        <v>0.85899999999999999</v>
      </c>
      <c r="F63" s="95">
        <v>0.92179999999999995</v>
      </c>
      <c r="G63" s="74"/>
    </row>
    <row r="64" spans="1:7" x14ac:dyDescent="0.2">
      <c r="A64" s="2" t="s">
        <v>44</v>
      </c>
      <c r="C64" s="95">
        <v>0.95499999999999996</v>
      </c>
      <c r="D64" s="95">
        <v>0.89700000000000002</v>
      </c>
      <c r="E64" s="95">
        <v>0.92200000000000004</v>
      </c>
      <c r="F64" s="95">
        <v>0.91669999999999996</v>
      </c>
      <c r="G64" s="74"/>
    </row>
    <row r="65" spans="1:7" x14ac:dyDescent="0.2">
      <c r="A65" s="2" t="s">
        <v>45</v>
      </c>
      <c r="C65" s="95">
        <v>0.93400000000000005</v>
      </c>
      <c r="D65" s="95">
        <v>0.79800000000000004</v>
      </c>
      <c r="E65" s="95">
        <v>0.90539999999999998</v>
      </c>
      <c r="F65" s="95">
        <v>0.95440000000000003</v>
      </c>
      <c r="G65" s="74"/>
    </row>
    <row r="66" spans="1:7" x14ac:dyDescent="0.2">
      <c r="A66" s="2" t="s">
        <v>46</v>
      </c>
      <c r="C66" s="95">
        <v>0.81599999999999995</v>
      </c>
      <c r="D66" s="95">
        <v>0.89100000000000001</v>
      </c>
      <c r="E66" s="95">
        <v>0.97419999999999995</v>
      </c>
      <c r="F66" s="95">
        <v>0.96660000000000001</v>
      </c>
      <c r="G66" s="74"/>
    </row>
    <row r="67" spans="1:7" x14ac:dyDescent="0.2">
      <c r="A67" s="2" t="s">
        <v>47</v>
      </c>
      <c r="C67" s="95">
        <v>0.90500000000000003</v>
      </c>
      <c r="D67" s="95">
        <v>0.89300000000000002</v>
      </c>
      <c r="E67" s="95">
        <v>0.97870000000000001</v>
      </c>
      <c r="F67" s="95">
        <v>0.97529999999999994</v>
      </c>
      <c r="G67" s="74"/>
    </row>
    <row r="68" spans="1:7" x14ac:dyDescent="0.2">
      <c r="A68" s="1"/>
    </row>
    <row r="70" spans="1:7" ht="27" customHeight="1" x14ac:dyDescent="0.2">
      <c r="C70" s="115" t="s">
        <v>96</v>
      </c>
      <c r="D70" s="115"/>
      <c r="E70" s="115"/>
      <c r="F70" s="115"/>
      <c r="G70" s="115"/>
    </row>
    <row r="71" spans="1:7" x14ac:dyDescent="0.2">
      <c r="C71" s="72">
        <v>2016</v>
      </c>
      <c r="D71" s="72">
        <v>2017</v>
      </c>
      <c r="E71" s="72">
        <v>2018</v>
      </c>
      <c r="F71" s="72">
        <v>2019</v>
      </c>
      <c r="G71" s="72">
        <v>2020</v>
      </c>
    </row>
    <row r="72" spans="1:7" x14ac:dyDescent="0.2">
      <c r="A72" s="2" t="s">
        <v>36</v>
      </c>
      <c r="C72" s="41">
        <f>C56*C39</f>
        <v>700169.37067606859</v>
      </c>
      <c r="D72" s="41">
        <f>D56*D39</f>
        <v>765150.01391068276</v>
      </c>
      <c r="E72" s="41">
        <f>E56*E39</f>
        <v>662069.47335918329</v>
      </c>
      <c r="F72" s="41">
        <f>F56*F39</f>
        <v>573287.55998163717</v>
      </c>
      <c r="G72" s="41">
        <f>G56*G39</f>
        <v>535226.45597816119</v>
      </c>
    </row>
    <row r="73" spans="1:7" x14ac:dyDescent="0.2">
      <c r="A73" s="2" t="s">
        <v>37</v>
      </c>
      <c r="C73" s="41">
        <f t="shared" ref="C73" si="4">C57*C40</f>
        <v>538849.02657104598</v>
      </c>
      <c r="D73" s="41">
        <f t="shared" ref="D73" si="5">D57*D40</f>
        <v>719584.6417368683</v>
      </c>
      <c r="E73" s="41">
        <f t="shared" ref="E73:F83" si="6">E57*E40</f>
        <v>375621.84663468675</v>
      </c>
      <c r="F73" s="41">
        <f t="shared" si="6"/>
        <v>570564.03052154311</v>
      </c>
      <c r="G73" s="41">
        <f t="shared" ref="G73:G78" si="7">G57*G40</f>
        <v>502317.74923393968</v>
      </c>
    </row>
    <row r="74" spans="1:7" x14ac:dyDescent="0.2">
      <c r="A74" s="2" t="s">
        <v>38</v>
      </c>
      <c r="C74" s="41">
        <f t="shared" ref="C74" si="8">C58*C41</f>
        <v>388629.94751032715</v>
      </c>
      <c r="D74" s="41">
        <f t="shared" ref="D74" si="9">D58*D41</f>
        <v>566210.61438598158</v>
      </c>
      <c r="E74" s="41">
        <f t="shared" si="6"/>
        <v>399154.27450627793</v>
      </c>
      <c r="F74" s="41">
        <f t="shared" si="6"/>
        <v>591496.19011767791</v>
      </c>
      <c r="G74" s="41">
        <f t="shared" si="7"/>
        <v>396713.00019431557</v>
      </c>
    </row>
    <row r="75" spans="1:7" x14ac:dyDescent="0.2">
      <c r="A75" s="2" t="s">
        <v>39</v>
      </c>
      <c r="C75" s="41">
        <f t="shared" ref="C75" si="10">C59*C42</f>
        <v>608358.11687693326</v>
      </c>
      <c r="D75" s="41">
        <f t="shared" ref="D75" si="11">D59*D42</f>
        <v>471059.72906632657</v>
      </c>
      <c r="E75" s="41">
        <f t="shared" si="6"/>
        <v>110417.9714726391</v>
      </c>
      <c r="F75" s="41">
        <f t="shared" si="6"/>
        <v>573873.91332612536</v>
      </c>
      <c r="G75" s="41">
        <f t="shared" si="7"/>
        <v>272728.38099996233</v>
      </c>
    </row>
    <row r="76" spans="1:7" x14ac:dyDescent="0.2">
      <c r="A76" s="2" t="s">
        <v>40</v>
      </c>
      <c r="C76" s="41">
        <f t="shared" ref="C76" si="12">C60*C43</f>
        <v>606494.98996922805</v>
      </c>
      <c r="D76" s="41">
        <f t="shared" ref="D76" si="13">D60*D43</f>
        <v>645929.74314863118</v>
      </c>
      <c r="E76" s="41">
        <f t="shared" si="6"/>
        <v>164640.82596742647</v>
      </c>
      <c r="F76" s="41">
        <f t="shared" si="6"/>
        <v>435081.31890879554</v>
      </c>
      <c r="G76" s="41">
        <f t="shared" si="7"/>
        <v>161532.66464416604</v>
      </c>
    </row>
    <row r="77" spans="1:7" x14ac:dyDescent="0.2">
      <c r="A77" s="2" t="s">
        <v>41</v>
      </c>
      <c r="C77" s="41">
        <f t="shared" ref="C77" si="14">C61*C44</f>
        <v>708825.85967258981</v>
      </c>
      <c r="D77" s="41">
        <f t="shared" ref="D77" si="15">D61*D44</f>
        <v>615395.26539831317</v>
      </c>
      <c r="E77" s="41">
        <f t="shared" si="6"/>
        <v>296279.44783744443</v>
      </c>
      <c r="F77" s="41">
        <f t="shared" si="6"/>
        <v>310586.30086747906</v>
      </c>
      <c r="G77" s="41">
        <f t="shared" si="7"/>
        <v>322608.74489503162</v>
      </c>
    </row>
    <row r="78" spans="1:7" x14ac:dyDescent="0.2">
      <c r="A78" s="2" t="s">
        <v>42</v>
      </c>
      <c r="C78" s="41">
        <f t="shared" ref="C78" si="16">C62*C45</f>
        <v>702374.40102965687</v>
      </c>
      <c r="D78" s="41">
        <f t="shared" ref="D78" si="17">D62*D45</f>
        <v>743082.44909389596</v>
      </c>
      <c r="E78" s="41">
        <f t="shared" si="6"/>
        <v>381053.08897357795</v>
      </c>
      <c r="F78" s="41">
        <f t="shared" si="6"/>
        <v>661784.12935127062</v>
      </c>
      <c r="G78" s="41">
        <f t="shared" si="7"/>
        <v>1211019.360181533</v>
      </c>
    </row>
    <row r="79" spans="1:7" x14ac:dyDescent="0.2">
      <c r="A79" s="2" t="s">
        <v>43</v>
      </c>
      <c r="C79" s="41">
        <f t="shared" ref="C79" si="18">C63*C46</f>
        <v>707136.51778897608</v>
      </c>
      <c r="D79" s="41">
        <f t="shared" ref="D79" si="19">D63*D46</f>
        <v>710075.22347130976</v>
      </c>
      <c r="E79" s="41">
        <f t="shared" si="6"/>
        <v>210342.23211828625</v>
      </c>
      <c r="F79" s="41">
        <f t="shared" si="6"/>
        <v>401915.56775259413</v>
      </c>
      <c r="G79" s="74"/>
    </row>
    <row r="80" spans="1:7" x14ac:dyDescent="0.2">
      <c r="A80" s="2" t="s">
        <v>44</v>
      </c>
      <c r="C80" s="41">
        <f t="shared" ref="C80" si="20">C64*C47</f>
        <v>656435.31152921112</v>
      </c>
      <c r="D80" s="41">
        <f t="shared" ref="D80" si="21">D64*D47</f>
        <v>749542.17143861158</v>
      </c>
      <c r="E80" s="41">
        <f t="shared" si="6"/>
        <v>198901.52604829316</v>
      </c>
      <c r="F80" s="41">
        <f t="shared" si="6"/>
        <v>371776.87569291767</v>
      </c>
      <c r="G80" s="74"/>
    </row>
    <row r="81" spans="1:7" x14ac:dyDescent="0.2">
      <c r="A81" s="2" t="s">
        <v>45</v>
      </c>
      <c r="C81" s="41">
        <f t="shared" ref="C81" si="22">C65*C48</f>
        <v>624685.70709086768</v>
      </c>
      <c r="D81" s="41">
        <f t="shared" ref="D81" si="23">D65*D48</f>
        <v>482943.94204201776</v>
      </c>
      <c r="E81" s="41">
        <f t="shared" si="6"/>
        <v>131710.91613085667</v>
      </c>
      <c r="F81" s="41">
        <f t="shared" si="6"/>
        <v>351452.68952474458</v>
      </c>
      <c r="G81" s="74"/>
    </row>
    <row r="82" spans="1:7" x14ac:dyDescent="0.2">
      <c r="A82" s="2" t="s">
        <v>46</v>
      </c>
      <c r="C82" s="41">
        <f t="shared" ref="C82" si="24">C66*C49</f>
        <v>630052.33047047874</v>
      </c>
      <c r="D82" s="41">
        <f t="shared" ref="D82" si="25">D66*D49</f>
        <v>527298.03735782497</v>
      </c>
      <c r="E82" s="41">
        <f t="shared" si="6"/>
        <v>223214.56192916186</v>
      </c>
      <c r="F82" s="41">
        <f t="shared" si="6"/>
        <v>416863.04172781832</v>
      </c>
      <c r="G82" s="74"/>
    </row>
    <row r="83" spans="1:7" x14ac:dyDescent="0.2">
      <c r="A83" s="2" t="s">
        <v>47</v>
      </c>
      <c r="C83" s="41">
        <f t="shared" ref="C83" si="26">C67*C50</f>
        <v>788001.13040198316</v>
      </c>
      <c r="D83" s="41">
        <f t="shared" ref="D83" si="27">D67*D50</f>
        <v>877229.42768154503</v>
      </c>
      <c r="E83" s="41">
        <f t="shared" si="6"/>
        <v>272795.02778149099</v>
      </c>
      <c r="F83" s="41">
        <f t="shared" si="6"/>
        <v>332878.0051852144</v>
      </c>
      <c r="G83" s="74"/>
    </row>
    <row r="84" spans="1:7" x14ac:dyDescent="0.2">
      <c r="A84" s="1" t="s">
        <v>55</v>
      </c>
      <c r="C84" s="42">
        <f>SUM(C72:C83)</f>
        <v>7660012.7095873663</v>
      </c>
      <c r="D84" s="42">
        <f>SUM(D72:D83)</f>
        <v>7873501.2587320087</v>
      </c>
      <c r="E84" s="42">
        <f>SUM(E72:E83)</f>
        <v>3426201.1927593248</v>
      </c>
      <c r="F84" s="42">
        <f>SUM(F72:F83)</f>
        <v>5591559.6229578191</v>
      </c>
      <c r="G84" s="42">
        <f>SUM(G72:G83)</f>
        <v>3402146.3561271094</v>
      </c>
    </row>
    <row r="87" spans="1:7" x14ac:dyDescent="0.2">
      <c r="C87" s="2" t="s">
        <v>89</v>
      </c>
    </row>
  </sheetData>
  <mergeCells count="6">
    <mergeCell ref="C37:G37"/>
    <mergeCell ref="C54:G54"/>
    <mergeCell ref="C70:G70"/>
    <mergeCell ref="C2:G2"/>
    <mergeCell ref="C3:G3"/>
    <mergeCell ref="C20:G20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37" sqref="I37"/>
    </sheetView>
  </sheetViews>
  <sheetFormatPr defaultRowHeight="12.75" x14ac:dyDescent="0.2"/>
  <cols>
    <col min="1" max="1" width="59.140625" style="2" customWidth="1"/>
    <col min="2" max="2" width="9.42578125" style="2" bestFit="1" customWidth="1"/>
    <col min="3" max="9" width="13.85546875" style="2" bestFit="1" customWidth="1"/>
    <col min="10" max="16384" width="9.140625" style="2"/>
  </cols>
  <sheetData>
    <row r="1" spans="1:9" x14ac:dyDescent="0.2">
      <c r="A1" s="1" t="s">
        <v>33</v>
      </c>
    </row>
    <row r="2" spans="1:9" x14ac:dyDescent="0.2">
      <c r="A2" s="1" t="s">
        <v>34</v>
      </c>
    </row>
    <row r="3" spans="1:9" x14ac:dyDescent="0.2">
      <c r="A3" s="3" t="s">
        <v>0</v>
      </c>
    </row>
    <row r="4" spans="1:9" ht="15.75" customHeight="1" thickBot="1" x14ac:dyDescent="0.25">
      <c r="A4" s="1"/>
      <c r="C4" s="117">
        <v>2020</v>
      </c>
      <c r="D4" s="117"/>
      <c r="E4" s="117"/>
      <c r="F4" s="117"/>
      <c r="G4" s="117"/>
      <c r="H4" s="117"/>
    </row>
    <row r="5" spans="1:9" x14ac:dyDescent="0.2">
      <c r="A5" s="4" t="s">
        <v>1</v>
      </c>
      <c r="B5" s="5"/>
      <c r="C5" s="6" t="s">
        <v>36</v>
      </c>
      <c r="D5" s="6" t="s">
        <v>37</v>
      </c>
      <c r="E5" s="6" t="s">
        <v>38</v>
      </c>
      <c r="F5" s="77" t="s">
        <v>39</v>
      </c>
      <c r="G5" s="77" t="s">
        <v>40</v>
      </c>
      <c r="H5" s="6" t="s">
        <v>41</v>
      </c>
      <c r="I5" s="6" t="s">
        <v>42</v>
      </c>
    </row>
    <row r="6" spans="1:9" x14ac:dyDescent="0.2">
      <c r="A6" s="7"/>
      <c r="B6" s="8"/>
      <c r="C6" s="9"/>
      <c r="D6" s="9"/>
      <c r="E6" s="9"/>
      <c r="F6" s="9"/>
      <c r="G6" s="9"/>
      <c r="H6" s="9"/>
      <c r="I6" s="9"/>
    </row>
    <row r="7" spans="1:9" x14ac:dyDescent="0.2">
      <c r="A7" s="7" t="s">
        <v>2</v>
      </c>
      <c r="B7" s="8"/>
      <c r="C7" s="10">
        <v>475033720</v>
      </c>
      <c r="D7" s="10">
        <v>478292171.98999995</v>
      </c>
      <c r="E7" s="10">
        <v>478585048.20999998</v>
      </c>
      <c r="F7" s="10">
        <v>478624288.66000003</v>
      </c>
      <c r="G7" s="10">
        <v>478799419.94999999</v>
      </c>
      <c r="H7" s="10">
        <v>478813008.96999997</v>
      </c>
      <c r="I7" s="10">
        <v>478850157.08999997</v>
      </c>
    </row>
    <row r="8" spans="1:9" x14ac:dyDescent="0.2">
      <c r="A8" s="7" t="s">
        <v>3</v>
      </c>
      <c r="B8" s="8"/>
      <c r="C8" s="10">
        <v>122723170</v>
      </c>
      <c r="D8" s="10">
        <v>122744470.75</v>
      </c>
      <c r="E8" s="10">
        <v>122742006.29000001</v>
      </c>
      <c r="F8" s="10">
        <v>122792834.31999999</v>
      </c>
      <c r="G8" s="10">
        <v>122798125.97</v>
      </c>
      <c r="H8" s="10">
        <v>122791808.88</v>
      </c>
      <c r="I8" s="10">
        <v>345505184.96999997</v>
      </c>
    </row>
    <row r="9" spans="1:9" x14ac:dyDescent="0.2">
      <c r="A9" s="7" t="s">
        <v>4</v>
      </c>
      <c r="B9" s="8"/>
      <c r="C9" s="11">
        <v>167380180</v>
      </c>
      <c r="D9" s="11">
        <v>173971794.29999995</v>
      </c>
      <c r="E9" s="11">
        <v>180617605.71999997</v>
      </c>
      <c r="F9" s="11">
        <v>187326261.70000002</v>
      </c>
      <c r="G9" s="11">
        <v>193806581.5</v>
      </c>
      <c r="H9" s="11">
        <v>200550697.79000002</v>
      </c>
      <c r="I9" s="11">
        <v>207340302.57000002</v>
      </c>
    </row>
    <row r="10" spans="1:9" x14ac:dyDescent="0.2">
      <c r="A10" s="7" t="s">
        <v>5</v>
      </c>
      <c r="B10" s="8"/>
      <c r="C10" s="11">
        <v>75946998</v>
      </c>
      <c r="D10" s="11">
        <v>73230822</v>
      </c>
      <c r="E10" s="11">
        <v>70950497</v>
      </c>
      <c r="F10" s="11">
        <v>68612472</v>
      </c>
      <c r="G10" s="11">
        <v>66357914</v>
      </c>
      <c r="H10" s="11">
        <v>64004680</v>
      </c>
      <c r="I10" s="11">
        <v>61635938</v>
      </c>
    </row>
    <row r="11" spans="1:9" ht="13.5" thickBot="1" x14ac:dyDescent="0.25">
      <c r="A11" s="7" t="s">
        <v>6</v>
      </c>
      <c r="B11" s="8"/>
      <c r="C11" s="12">
        <f t="shared" ref="C11:I11" si="0">C7+C8-C9-C10</f>
        <v>354429712</v>
      </c>
      <c r="D11" s="12">
        <f t="shared" si="0"/>
        <v>353834026.44000006</v>
      </c>
      <c r="E11" s="12">
        <f t="shared" si="0"/>
        <v>349758951.78000003</v>
      </c>
      <c r="F11" s="12">
        <f t="shared" si="0"/>
        <v>345478389.27999997</v>
      </c>
      <c r="G11" s="12">
        <f t="shared" si="0"/>
        <v>341433050.41999996</v>
      </c>
      <c r="H11" s="12">
        <f t="shared" si="0"/>
        <v>337049440.05999988</v>
      </c>
      <c r="I11" s="12">
        <f t="shared" si="0"/>
        <v>555379101.48999989</v>
      </c>
    </row>
    <row r="12" spans="1:9" ht="13.5" thickTop="1" x14ac:dyDescent="0.2">
      <c r="A12" s="7" t="s">
        <v>7</v>
      </c>
      <c r="B12" s="8"/>
      <c r="C12" s="13">
        <v>2217670</v>
      </c>
      <c r="D12" s="13">
        <v>2252013.15</v>
      </c>
      <c r="E12" s="13">
        <v>2198259.04</v>
      </c>
      <c r="F12" s="13">
        <v>2180479.4700000002</v>
      </c>
      <c r="G12" s="13">
        <v>2173203.2799999998</v>
      </c>
      <c r="H12" s="13">
        <v>2190498.85</v>
      </c>
      <c r="I12" s="13">
        <v>2233334.13</v>
      </c>
    </row>
    <row r="13" spans="1:9" x14ac:dyDescent="0.2">
      <c r="A13" s="7" t="s">
        <v>8</v>
      </c>
      <c r="B13" s="8"/>
      <c r="C13" s="13">
        <v>104378</v>
      </c>
      <c r="D13" s="13">
        <v>102632.38</v>
      </c>
      <c r="E13" s="13">
        <v>99420.59</v>
      </c>
      <c r="F13" s="13">
        <v>100236.82</v>
      </c>
      <c r="G13" s="13">
        <v>87420.36</v>
      </c>
      <c r="H13" s="13">
        <v>94491.13</v>
      </c>
      <c r="I13" s="13">
        <v>80905.540000000008</v>
      </c>
    </row>
    <row r="14" spans="1:9" x14ac:dyDescent="0.2">
      <c r="A14" s="7" t="s">
        <v>9</v>
      </c>
      <c r="B14" s="8"/>
      <c r="C14" s="13">
        <v>945493</v>
      </c>
      <c r="D14" s="13">
        <v>802902.02</v>
      </c>
      <c r="E14" s="13">
        <v>563251.89</v>
      </c>
      <c r="F14" s="13">
        <v>409824.5</v>
      </c>
      <c r="G14" s="13">
        <v>276165.96999999997</v>
      </c>
      <c r="H14" s="13">
        <v>582128.44999999995</v>
      </c>
      <c r="I14" s="13">
        <v>692034.74</v>
      </c>
    </row>
    <row r="15" spans="1:9" x14ac:dyDescent="0.2">
      <c r="A15" s="7" t="s">
        <v>10</v>
      </c>
      <c r="B15" s="8"/>
      <c r="C15" s="14">
        <v>231732</v>
      </c>
      <c r="D15" s="14">
        <v>264671</v>
      </c>
      <c r="E15" s="14">
        <v>258955</v>
      </c>
      <c r="F15" s="14">
        <v>259190</v>
      </c>
      <c r="G15" s="14">
        <v>249434</v>
      </c>
      <c r="H15" s="14">
        <v>248800</v>
      </c>
      <c r="I15" s="14">
        <v>242951</v>
      </c>
    </row>
    <row r="16" spans="1:9" ht="13.5" thickBot="1" x14ac:dyDescent="0.25">
      <c r="A16" s="15" t="s">
        <v>11</v>
      </c>
      <c r="B16" s="16"/>
      <c r="C16" s="17">
        <f t="shared" ref="C16:I16" si="1">SUM(C11:C15)</f>
        <v>357928985</v>
      </c>
      <c r="D16" s="17">
        <f t="shared" si="1"/>
        <v>357256244.99000001</v>
      </c>
      <c r="E16" s="17">
        <f t="shared" si="1"/>
        <v>352878838.30000001</v>
      </c>
      <c r="F16" s="17">
        <f t="shared" si="1"/>
        <v>348428120.06999999</v>
      </c>
      <c r="G16" s="17">
        <f t="shared" si="1"/>
        <v>344219274.02999997</v>
      </c>
      <c r="H16" s="17">
        <f t="shared" si="1"/>
        <v>340165358.48999989</v>
      </c>
      <c r="I16" s="17">
        <f t="shared" si="1"/>
        <v>558628326.89999986</v>
      </c>
    </row>
    <row r="17" spans="1:9" ht="13.5" thickTop="1" x14ac:dyDescent="0.2">
      <c r="A17" s="7" t="s">
        <v>12</v>
      </c>
      <c r="B17" s="8"/>
      <c r="C17" s="9"/>
      <c r="D17" s="9"/>
      <c r="E17" s="9"/>
      <c r="F17" s="9"/>
      <c r="G17" s="9"/>
      <c r="H17" s="9"/>
      <c r="I17" s="9"/>
    </row>
    <row r="18" spans="1:9" x14ac:dyDescent="0.2">
      <c r="A18" s="7" t="s">
        <v>13</v>
      </c>
      <c r="B18" s="8"/>
      <c r="C18" s="73">
        <v>7.5428333333333328E-3</v>
      </c>
      <c r="D18" s="73">
        <v>7.4530000000000004E-3</v>
      </c>
      <c r="E18" s="73">
        <v>6.6844166666666675E-3</v>
      </c>
      <c r="F18" s="73">
        <v>6.5439166666666666E-3</v>
      </c>
      <c r="G18" s="73">
        <v>6.3576666666666668E-3</v>
      </c>
      <c r="H18" s="73">
        <v>6.1616666666666669E-3</v>
      </c>
      <c r="I18" s="73">
        <v>5.4404166666666663E-3</v>
      </c>
    </row>
    <row r="19" spans="1:9" x14ac:dyDescent="0.2">
      <c r="A19" s="7" t="s">
        <v>14</v>
      </c>
      <c r="B19" s="8"/>
      <c r="C19" s="18">
        <f t="shared" ref="C19:I19" si="2">C16*C18</f>
        <v>2699798.6790241664</v>
      </c>
      <c r="D19" s="18">
        <f t="shared" si="2"/>
        <v>2662630.7939104703</v>
      </c>
      <c r="E19" s="18">
        <f t="shared" si="2"/>
        <v>2358789.1880464922</v>
      </c>
      <c r="F19" s="18">
        <f t="shared" si="2"/>
        <v>2280084.5820614076</v>
      </c>
      <c r="G19" s="18">
        <f t="shared" si="2"/>
        <v>2188431.4045247301</v>
      </c>
      <c r="H19" s="18">
        <f t="shared" si="2"/>
        <v>2095985.5505625494</v>
      </c>
      <c r="I19" s="18">
        <f t="shared" si="2"/>
        <v>3039170.860138874</v>
      </c>
    </row>
    <row r="20" spans="1:9" x14ac:dyDescent="0.2">
      <c r="A20" s="7" t="s">
        <v>15</v>
      </c>
      <c r="B20" s="8"/>
      <c r="C20" s="11">
        <v>154577</v>
      </c>
      <c r="D20" s="11">
        <v>1185544.22</v>
      </c>
      <c r="E20" s="11">
        <v>985664.98</v>
      </c>
      <c r="F20" s="11">
        <v>1155006.03</v>
      </c>
      <c r="G20" s="11">
        <v>637209</v>
      </c>
      <c r="H20" s="11">
        <v>1620428.52</v>
      </c>
      <c r="I20" s="11">
        <v>1116806.93</v>
      </c>
    </row>
    <row r="21" spans="1:9" x14ac:dyDescent="0.2">
      <c r="A21" s="7" t="s">
        <v>16</v>
      </c>
      <c r="B21" s="8"/>
      <c r="C21" s="11">
        <v>37308</v>
      </c>
      <c r="D21" s="11">
        <v>110325.86</v>
      </c>
      <c r="E21" s="11">
        <v>145905.60999999999</v>
      </c>
      <c r="F21" s="11">
        <v>205765.07</v>
      </c>
      <c r="G21" s="11">
        <v>135732.24</v>
      </c>
      <c r="H21" s="11">
        <v>248734.87</v>
      </c>
      <c r="I21" s="11">
        <v>190039.33</v>
      </c>
    </row>
    <row r="22" spans="1:9" x14ac:dyDescent="0.2">
      <c r="A22" s="7" t="s">
        <v>17</v>
      </c>
      <c r="B22" s="8"/>
      <c r="C22" s="11">
        <v>10901</v>
      </c>
      <c r="D22" s="11">
        <v>16824.939999999999</v>
      </c>
      <c r="E22" s="11">
        <v>25688.38</v>
      </c>
      <c r="F22" s="11">
        <v>35081.42</v>
      </c>
      <c r="G22" s="11">
        <v>26685.61</v>
      </c>
      <c r="H22" s="11">
        <v>53061.15</v>
      </c>
      <c r="I22" s="11">
        <v>45076.76</v>
      </c>
    </row>
    <row r="23" spans="1:9" x14ac:dyDescent="0.2">
      <c r="A23" s="7" t="s">
        <v>18</v>
      </c>
      <c r="B23" s="8"/>
      <c r="C23" s="11">
        <v>19844</v>
      </c>
      <c r="D23" s="11">
        <v>19843.75</v>
      </c>
      <c r="E23" s="11">
        <v>19843.75</v>
      </c>
      <c r="F23" s="11">
        <v>19843.75</v>
      </c>
      <c r="G23" s="11">
        <v>19843.75</v>
      </c>
      <c r="H23" s="11">
        <v>19843.75</v>
      </c>
      <c r="I23" s="11">
        <v>19843.75</v>
      </c>
    </row>
    <row r="24" spans="1:9" x14ac:dyDescent="0.2">
      <c r="A24" s="7" t="s">
        <v>19</v>
      </c>
      <c r="B24" s="8"/>
      <c r="C24" s="11" t="s">
        <v>20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ht="13.5" thickBot="1" x14ac:dyDescent="0.25">
      <c r="A25" s="15" t="s">
        <v>21</v>
      </c>
      <c r="B25" s="16"/>
      <c r="C25" s="17">
        <f t="shared" ref="C25:I25" si="3">SUM(C19:C24)</f>
        <v>2922428.6790241664</v>
      </c>
      <c r="D25" s="17">
        <f t="shared" si="3"/>
        <v>3995169.5639104703</v>
      </c>
      <c r="E25" s="17">
        <f t="shared" si="3"/>
        <v>3535891.9080464919</v>
      </c>
      <c r="F25" s="17">
        <f t="shared" si="3"/>
        <v>3695780.8520614072</v>
      </c>
      <c r="G25" s="17">
        <f t="shared" si="3"/>
        <v>3007902.0045247297</v>
      </c>
      <c r="H25" s="17">
        <f t="shared" si="3"/>
        <v>4038053.8405625494</v>
      </c>
      <c r="I25" s="17">
        <f t="shared" si="3"/>
        <v>4410937.6301388741</v>
      </c>
    </row>
    <row r="26" spans="1:9" ht="13.5" thickTop="1" x14ac:dyDescent="0.2">
      <c r="A26" s="7" t="s">
        <v>99</v>
      </c>
      <c r="B26" s="8"/>
      <c r="C26" s="13">
        <v>134932</v>
      </c>
      <c r="D26" s="13">
        <v>373056.81</v>
      </c>
      <c r="E26" s="13">
        <v>72613.509999999995</v>
      </c>
      <c r="F26" s="13">
        <v>83774.67</v>
      </c>
      <c r="G26" s="13">
        <v>34260.51</v>
      </c>
      <c r="H26" s="13">
        <v>54082.62</v>
      </c>
      <c r="I26" s="13">
        <v>40773.949999999997</v>
      </c>
    </row>
    <row r="27" spans="1:9" ht="13.5" thickBot="1" x14ac:dyDescent="0.25">
      <c r="A27" s="15" t="s">
        <v>23</v>
      </c>
      <c r="B27" s="16"/>
      <c r="C27" s="17">
        <f t="shared" ref="C27:I27" si="4">C26</f>
        <v>134932</v>
      </c>
      <c r="D27" s="17">
        <f t="shared" si="4"/>
        <v>373056.81</v>
      </c>
      <c r="E27" s="17">
        <f t="shared" si="4"/>
        <v>72613.509999999995</v>
      </c>
      <c r="F27" s="17">
        <f t="shared" si="4"/>
        <v>83774.67</v>
      </c>
      <c r="G27" s="17">
        <f t="shared" si="4"/>
        <v>34260.51</v>
      </c>
      <c r="H27" s="17">
        <f t="shared" si="4"/>
        <v>54082.62</v>
      </c>
      <c r="I27" s="17">
        <f t="shared" si="4"/>
        <v>40773.949999999997</v>
      </c>
    </row>
    <row r="28" spans="1:9" ht="13.5" thickTop="1" x14ac:dyDescent="0.2">
      <c r="A28" s="19" t="s">
        <v>24</v>
      </c>
      <c r="B28" s="20">
        <v>2.9499999999999998E-2</v>
      </c>
      <c r="C28" s="18">
        <f t="shared" ref="C28:I28" si="5">C7*$B$28/12</f>
        <v>1167791.2283333333</v>
      </c>
      <c r="D28" s="18">
        <f t="shared" si="5"/>
        <v>1175801.5894754163</v>
      </c>
      <c r="E28" s="18">
        <f t="shared" si="5"/>
        <v>1176521.5768495833</v>
      </c>
      <c r="F28" s="18">
        <f t="shared" si="5"/>
        <v>1176618.0429558333</v>
      </c>
      <c r="G28" s="18">
        <f t="shared" si="5"/>
        <v>1177048.5740437498</v>
      </c>
      <c r="H28" s="18">
        <f t="shared" si="5"/>
        <v>1177081.9803845831</v>
      </c>
      <c r="I28" s="18">
        <f t="shared" si="5"/>
        <v>1177173.3028462499</v>
      </c>
    </row>
    <row r="29" spans="1:9" x14ac:dyDescent="0.2">
      <c r="A29" s="19" t="s">
        <v>25</v>
      </c>
      <c r="B29" s="20">
        <v>0.2848</v>
      </c>
      <c r="C29" s="18">
        <f t="shared" ref="C29:I29" si="6">C8*$B$29/12</f>
        <v>2912629.9013333335</v>
      </c>
      <c r="D29" s="18">
        <f t="shared" si="6"/>
        <v>2913135.439133333</v>
      </c>
      <c r="E29" s="18">
        <f t="shared" si="6"/>
        <v>2913076.9492826667</v>
      </c>
      <c r="F29" s="18">
        <f t="shared" si="6"/>
        <v>2914283.2678613332</v>
      </c>
      <c r="G29" s="18">
        <f t="shared" si="6"/>
        <v>2914408.8563546669</v>
      </c>
      <c r="H29" s="18">
        <f t="shared" si="6"/>
        <v>2914258.9307519998</v>
      </c>
      <c r="I29" s="18">
        <f t="shared" si="6"/>
        <v>8199989.7232879996</v>
      </c>
    </row>
    <row r="30" spans="1:9" ht="13.5" thickBot="1" x14ac:dyDescent="0.25">
      <c r="A30" s="21" t="s">
        <v>26</v>
      </c>
      <c r="B30" s="16"/>
      <c r="C30" s="17">
        <f t="shared" ref="C30:I30" si="7">SUM(C28:C29)</f>
        <v>4080421.1296666665</v>
      </c>
      <c r="D30" s="17">
        <f t="shared" si="7"/>
        <v>4088937.0286087496</v>
      </c>
      <c r="E30" s="17">
        <f t="shared" si="7"/>
        <v>4089598.5261322502</v>
      </c>
      <c r="F30" s="17">
        <f t="shared" si="7"/>
        <v>4090901.3108171662</v>
      </c>
      <c r="G30" s="17">
        <f t="shared" si="7"/>
        <v>4091457.4303984167</v>
      </c>
      <c r="H30" s="17">
        <f t="shared" si="7"/>
        <v>4091340.911136583</v>
      </c>
      <c r="I30" s="17">
        <f t="shared" si="7"/>
        <v>9377163.0261342488</v>
      </c>
    </row>
    <row r="31" spans="1:9" ht="13.5" thickTop="1" x14ac:dyDescent="0.2">
      <c r="A31" s="21" t="s">
        <v>27</v>
      </c>
      <c r="B31" s="16"/>
      <c r="C31" s="22">
        <f t="shared" ref="C31:I31" si="8">SUM(C20:C24)+C27+C30</f>
        <v>4437983.1296666665</v>
      </c>
      <c r="D31" s="22">
        <f t="shared" si="8"/>
        <v>5794532.6086087497</v>
      </c>
      <c r="E31" s="22">
        <f t="shared" si="8"/>
        <v>5339314.7561322497</v>
      </c>
      <c r="F31" s="22">
        <f t="shared" si="8"/>
        <v>5590372.2508171666</v>
      </c>
      <c r="G31" s="22">
        <f t="shared" si="8"/>
        <v>4945188.540398417</v>
      </c>
      <c r="H31" s="22">
        <f t="shared" si="8"/>
        <v>6087491.8211365826</v>
      </c>
      <c r="I31" s="22">
        <f t="shared" si="8"/>
        <v>10789703.746134249</v>
      </c>
    </row>
    <row r="32" spans="1:9" x14ac:dyDescent="0.2">
      <c r="A32" s="21" t="s">
        <v>28</v>
      </c>
      <c r="B32" s="16"/>
      <c r="C32" s="23">
        <v>4095040</v>
      </c>
      <c r="D32" s="23">
        <v>3742054.5216000001</v>
      </c>
      <c r="E32" s="23">
        <v>1737730.0122639998</v>
      </c>
      <c r="F32" s="23">
        <v>3315848.5061280001</v>
      </c>
      <c r="G32" s="23">
        <v>3302989.5211306671</v>
      </c>
      <c r="H32" s="23">
        <v>4368635.5639520008</v>
      </c>
      <c r="I32" s="23">
        <v>4530217.0923840003</v>
      </c>
    </row>
    <row r="33" spans="1:9" ht="13.5" thickBot="1" x14ac:dyDescent="0.25">
      <c r="A33" s="21" t="s">
        <v>29</v>
      </c>
      <c r="B33" s="16"/>
      <c r="C33" s="17">
        <f t="shared" ref="C33:I33" si="9">C31-C32</f>
        <v>342943.1296666665</v>
      </c>
      <c r="D33" s="17">
        <f t="shared" si="9"/>
        <v>2052478.0870087496</v>
      </c>
      <c r="E33" s="17">
        <f t="shared" si="9"/>
        <v>3601584.7438682499</v>
      </c>
      <c r="F33" s="17">
        <f t="shared" si="9"/>
        <v>2274523.7446891665</v>
      </c>
      <c r="G33" s="17">
        <f t="shared" si="9"/>
        <v>1642199.01926775</v>
      </c>
      <c r="H33" s="17">
        <f t="shared" si="9"/>
        <v>1718856.2571845818</v>
      </c>
      <c r="I33" s="17">
        <f t="shared" si="9"/>
        <v>6259486.6537502492</v>
      </c>
    </row>
    <row r="34" spans="1:9" ht="13.5" thickTop="1" x14ac:dyDescent="0.2">
      <c r="A34" s="21" t="s">
        <v>35</v>
      </c>
      <c r="B34" s="16">
        <v>5.4250000000000001E-3</v>
      </c>
      <c r="C34" s="22">
        <f t="shared" ref="C34:I34" si="10">C33*$B$34</f>
        <v>1860.4664784416659</v>
      </c>
      <c r="D34" s="22">
        <f t="shared" si="10"/>
        <v>11134.693622022467</v>
      </c>
      <c r="E34" s="22">
        <f t="shared" si="10"/>
        <v>19538.597235485257</v>
      </c>
      <c r="F34" s="22">
        <f t="shared" si="10"/>
        <v>12339.29131493873</v>
      </c>
      <c r="G34" s="22">
        <f t="shared" si="10"/>
        <v>8908.9296795275441</v>
      </c>
      <c r="H34" s="22">
        <f t="shared" si="10"/>
        <v>9324.7951952263575</v>
      </c>
      <c r="I34" s="22">
        <f t="shared" si="10"/>
        <v>33957.7150965951</v>
      </c>
    </row>
    <row r="35" spans="1:9" x14ac:dyDescent="0.2">
      <c r="A35" s="21" t="s">
        <v>30</v>
      </c>
      <c r="B35" s="16"/>
      <c r="C35" s="22">
        <f t="shared" ref="C35:I35" si="11">C34+C30+C27+C25</f>
        <v>7139642.2751692748</v>
      </c>
      <c r="D35" s="22">
        <f t="shared" si="11"/>
        <v>8468298.0961412415</v>
      </c>
      <c r="E35" s="22">
        <f t="shared" si="11"/>
        <v>7717642.5414142273</v>
      </c>
      <c r="F35" s="22">
        <f t="shared" si="11"/>
        <v>7882796.1241935119</v>
      </c>
      <c r="G35" s="22">
        <f t="shared" si="11"/>
        <v>7142528.8746026736</v>
      </c>
      <c r="H35" s="22">
        <f t="shared" si="11"/>
        <v>8192802.1668943595</v>
      </c>
      <c r="I35" s="22">
        <f t="shared" si="11"/>
        <v>13862832.321369717</v>
      </c>
    </row>
    <row r="36" spans="1:9" ht="13.5" thickBot="1" x14ac:dyDescent="0.25">
      <c r="A36" s="24" t="s">
        <v>31</v>
      </c>
      <c r="B36" s="25">
        <v>0.15</v>
      </c>
      <c r="C36" s="26">
        <f t="shared" ref="C36:I36" si="12">C35*$B$36</f>
        <v>1070946.3412753912</v>
      </c>
      <c r="D36" s="26">
        <f t="shared" si="12"/>
        <v>1270244.7144211861</v>
      </c>
      <c r="E36" s="26">
        <f t="shared" si="12"/>
        <v>1157646.3812121341</v>
      </c>
      <c r="F36" s="26">
        <f t="shared" si="12"/>
        <v>1182419.4186290267</v>
      </c>
      <c r="G36" s="26">
        <f t="shared" si="12"/>
        <v>1071379.331190401</v>
      </c>
      <c r="H36" s="26">
        <f t="shared" si="12"/>
        <v>1228920.3250341539</v>
      </c>
      <c r="I36" s="26">
        <f t="shared" si="12"/>
        <v>2079424.8482054574</v>
      </c>
    </row>
    <row r="37" spans="1:9" s="53" customFormat="1" x14ac:dyDescent="0.2">
      <c r="I37" s="131"/>
    </row>
    <row r="38" spans="1:9" x14ac:dyDescent="0.2">
      <c r="A38" s="2" t="s">
        <v>32</v>
      </c>
    </row>
    <row r="39" spans="1:9" x14ac:dyDescent="0.2">
      <c r="A39" s="130" t="s">
        <v>98</v>
      </c>
      <c r="B39" s="130"/>
      <c r="C39" s="130"/>
      <c r="D39" s="130"/>
      <c r="E39" s="130"/>
      <c r="F39" s="130"/>
      <c r="G39" s="130"/>
      <c r="H39" s="130"/>
      <c r="I39" s="130"/>
    </row>
    <row r="40" spans="1:9" x14ac:dyDescent="0.2">
      <c r="A40" s="130"/>
      <c r="B40" s="130"/>
      <c r="C40" s="130"/>
      <c r="D40" s="130"/>
      <c r="E40" s="130"/>
      <c r="F40" s="130"/>
      <c r="G40" s="130"/>
      <c r="H40" s="130"/>
      <c r="I40" s="130"/>
    </row>
  </sheetData>
  <mergeCells count="2">
    <mergeCell ref="C4:H4"/>
    <mergeCell ref="A39:I40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2" sqref="C22"/>
    </sheetView>
  </sheetViews>
  <sheetFormatPr defaultRowHeight="12.75" x14ac:dyDescent="0.2"/>
  <cols>
    <col min="1" max="1" width="55.28515625" style="2" customWidth="1"/>
    <col min="2" max="2" width="9.42578125" style="2" bestFit="1" customWidth="1"/>
    <col min="3" max="3" width="13.5703125" style="2" bestFit="1" customWidth="1"/>
    <col min="4" max="4" width="10" style="55" customWidth="1"/>
    <col min="5" max="7" width="13.5703125" style="2" bestFit="1" customWidth="1"/>
    <col min="8" max="10" width="13.140625" style="2" bestFit="1" customWidth="1"/>
    <col min="11" max="15" width="13.85546875" style="2" bestFit="1" customWidth="1"/>
    <col min="16" max="16" width="10.7109375" style="2" bestFit="1" customWidth="1"/>
    <col min="17" max="16384" width="9.140625" style="2"/>
  </cols>
  <sheetData>
    <row r="1" spans="1:15" x14ac:dyDescent="0.2">
      <c r="A1" s="1" t="s">
        <v>33</v>
      </c>
    </row>
    <row r="2" spans="1:15" x14ac:dyDescent="0.2">
      <c r="A2" s="1" t="s">
        <v>34</v>
      </c>
    </row>
    <row r="3" spans="1:15" x14ac:dyDescent="0.2">
      <c r="A3" s="3" t="s">
        <v>0</v>
      </c>
    </row>
    <row r="4" spans="1:15" ht="15.75" customHeight="1" thickBot="1" x14ac:dyDescent="0.25">
      <c r="A4" s="1"/>
      <c r="C4" s="118">
        <v>2019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x14ac:dyDescent="0.2">
      <c r="A5" s="4" t="s">
        <v>1</v>
      </c>
      <c r="B5" s="5"/>
      <c r="C5" s="89" t="s">
        <v>36</v>
      </c>
      <c r="D5" s="89"/>
      <c r="E5" s="77" t="s">
        <v>37</v>
      </c>
      <c r="F5" s="89" t="s">
        <v>38</v>
      </c>
      <c r="G5" s="88" t="s">
        <v>39</v>
      </c>
      <c r="H5" s="6" t="s">
        <v>40</v>
      </c>
      <c r="I5" s="6" t="s">
        <v>41</v>
      </c>
      <c r="J5" s="6" t="s">
        <v>42</v>
      </c>
      <c r="K5" s="6" t="s">
        <v>43</v>
      </c>
      <c r="L5" s="6" t="s">
        <v>44</v>
      </c>
      <c r="M5" s="6" t="s">
        <v>45</v>
      </c>
      <c r="N5" s="6" t="s">
        <v>46</v>
      </c>
      <c r="O5" s="6" t="s">
        <v>47</v>
      </c>
    </row>
    <row r="6" spans="1:15" x14ac:dyDescent="0.2">
      <c r="A6" s="7"/>
      <c r="B6" s="8"/>
      <c r="C6" s="8"/>
      <c r="D6" s="8"/>
      <c r="E6" s="9"/>
      <c r="F6" s="8"/>
      <c r="G6" s="8"/>
      <c r="H6" s="9"/>
      <c r="I6" s="9"/>
      <c r="J6" s="9"/>
      <c r="K6" s="9"/>
      <c r="L6" s="9"/>
      <c r="M6" s="9"/>
      <c r="N6" s="9"/>
      <c r="O6" s="9"/>
    </row>
    <row r="7" spans="1:15" x14ac:dyDescent="0.2">
      <c r="A7" s="7" t="s">
        <v>100</v>
      </c>
      <c r="B7" s="8"/>
      <c r="C7" s="78">
        <v>596499406.13</v>
      </c>
      <c r="D7" s="78"/>
      <c r="E7" s="10">
        <v>474154955.40999991</v>
      </c>
      <c r="F7" s="78">
        <v>474186455.77999991</v>
      </c>
      <c r="G7" s="78">
        <v>474288300.92999995</v>
      </c>
      <c r="H7" s="10">
        <v>474243582.07999998</v>
      </c>
      <c r="I7" s="10">
        <v>474316844.71999997</v>
      </c>
      <c r="J7" s="10">
        <v>474309445.11999995</v>
      </c>
      <c r="K7" s="10">
        <v>474664388.86000001</v>
      </c>
      <c r="L7" s="10">
        <v>474590956.51999998</v>
      </c>
      <c r="M7" s="10">
        <v>474616878.02999997</v>
      </c>
      <c r="N7" s="10">
        <v>474711997.27999997</v>
      </c>
      <c r="O7" s="10">
        <v>474785897.98000002</v>
      </c>
    </row>
    <row r="8" spans="1:15" x14ac:dyDescent="0.2">
      <c r="A8" s="7" t="s">
        <v>101</v>
      </c>
      <c r="B8" s="8"/>
      <c r="C8" s="78"/>
      <c r="D8" s="78"/>
      <c r="E8" s="10">
        <v>122401625.76000001</v>
      </c>
      <c r="F8" s="78">
        <v>122401625.76000001</v>
      </c>
      <c r="G8" s="78">
        <v>122509112.12000002</v>
      </c>
      <c r="H8" s="10">
        <v>122509112.12000002</v>
      </c>
      <c r="I8" s="10">
        <v>122514749.72000001</v>
      </c>
      <c r="J8" s="10">
        <v>122504633.36000001</v>
      </c>
      <c r="K8" s="10">
        <v>122571931.68000002</v>
      </c>
      <c r="L8" s="10">
        <v>122571931.68000002</v>
      </c>
      <c r="M8" s="10">
        <v>122571931.68000002</v>
      </c>
      <c r="N8" s="10">
        <v>122638216.73</v>
      </c>
      <c r="O8" s="10">
        <v>122662151.99000001</v>
      </c>
    </row>
    <row r="9" spans="1:15" x14ac:dyDescent="0.2">
      <c r="A9" s="7" t="s">
        <v>4</v>
      </c>
      <c r="B9" s="8"/>
      <c r="C9" s="79">
        <v>117837437.20999999</v>
      </c>
      <c r="D9" s="79"/>
      <c r="E9" s="11">
        <v>121033716.87</v>
      </c>
      <c r="F9" s="79">
        <v>105819468.62</v>
      </c>
      <c r="G9" s="79">
        <v>111077976.11000001</v>
      </c>
      <c r="H9" s="11">
        <v>116969450.25000001</v>
      </c>
      <c r="I9" s="11">
        <v>116975695.68000001</v>
      </c>
      <c r="J9" s="11">
        <v>129010091.75</v>
      </c>
      <c r="K9" s="11">
        <v>135166097.13</v>
      </c>
      <c r="L9" s="11">
        <v>141501074.93000001</v>
      </c>
      <c r="M9" s="11">
        <v>147971447.77000001</v>
      </c>
      <c r="N9" s="11">
        <v>154362944.74000001</v>
      </c>
      <c r="O9" s="11">
        <v>160912217.40000001</v>
      </c>
    </row>
    <row r="10" spans="1:15" x14ac:dyDescent="0.2">
      <c r="A10" s="7" t="s">
        <v>5</v>
      </c>
      <c r="B10" s="8"/>
      <c r="C10" s="79">
        <v>86364009</v>
      </c>
      <c r="D10" s="79"/>
      <c r="E10" s="11">
        <v>85826068</v>
      </c>
      <c r="F10" s="79">
        <v>91729661</v>
      </c>
      <c r="G10" s="79">
        <v>90472706</v>
      </c>
      <c r="H10" s="11">
        <v>88972579</v>
      </c>
      <c r="I10" s="11">
        <v>89549367</v>
      </c>
      <c r="J10" s="11">
        <v>85910905</v>
      </c>
      <c r="K10" s="11">
        <v>84344505</v>
      </c>
      <c r="L10" s="11">
        <v>82685300</v>
      </c>
      <c r="M10" s="11">
        <v>80999210</v>
      </c>
      <c r="N10" s="11">
        <v>79343122</v>
      </c>
      <c r="O10" s="11">
        <v>77629248</v>
      </c>
    </row>
    <row r="11" spans="1:15" ht="13.5" thickBot="1" x14ac:dyDescent="0.25">
      <c r="A11" s="7" t="s">
        <v>6</v>
      </c>
      <c r="B11" s="8"/>
      <c r="C11" s="12">
        <f>C7+C8-C9-C10</f>
        <v>392297959.92000002</v>
      </c>
      <c r="D11" s="90"/>
      <c r="E11" s="12">
        <f>E7+E8-E9-E10</f>
        <v>389696796.29999995</v>
      </c>
      <c r="F11" s="12">
        <f>F7+F8-F9-F10</f>
        <v>399038951.91999996</v>
      </c>
      <c r="G11" s="12">
        <f>G7+G8-G9-G10</f>
        <v>395246730.93999994</v>
      </c>
      <c r="H11" s="12">
        <f t="shared" ref="H11:O11" si="0">H7+H8-H9-H10</f>
        <v>390810664.95000005</v>
      </c>
      <c r="I11" s="12">
        <f t="shared" si="0"/>
        <v>390306531.75999993</v>
      </c>
      <c r="J11" s="12">
        <f t="shared" si="0"/>
        <v>381893081.73000002</v>
      </c>
      <c r="K11" s="12">
        <f t="shared" si="0"/>
        <v>377725718.41000009</v>
      </c>
      <c r="L11" s="12">
        <f t="shared" si="0"/>
        <v>372976513.27000004</v>
      </c>
      <c r="M11" s="12">
        <f t="shared" si="0"/>
        <v>368218151.94000006</v>
      </c>
      <c r="N11" s="12">
        <f t="shared" si="0"/>
        <v>363644147.26999998</v>
      </c>
      <c r="O11" s="12">
        <f t="shared" si="0"/>
        <v>358906584.57000005</v>
      </c>
    </row>
    <row r="12" spans="1:15" ht="13.5" thickTop="1" x14ac:dyDescent="0.2">
      <c r="A12" s="7" t="s">
        <v>7</v>
      </c>
      <c r="B12" s="8"/>
      <c r="C12" s="80">
        <v>1870504.98</v>
      </c>
      <c r="D12" s="80"/>
      <c r="E12" s="13">
        <v>1931155.44</v>
      </c>
      <c r="F12" s="80">
        <v>1966167.96</v>
      </c>
      <c r="G12" s="80">
        <v>1980056.86</v>
      </c>
      <c r="H12" s="13">
        <v>2054408.22</v>
      </c>
      <c r="I12" s="13">
        <v>2033561.7</v>
      </c>
      <c r="J12" s="13">
        <v>2101943.12</v>
      </c>
      <c r="K12" s="13">
        <v>2113822.65</v>
      </c>
      <c r="L12" s="13">
        <v>2030655.28</v>
      </c>
      <c r="M12" s="13">
        <v>2068186.93</v>
      </c>
      <c r="N12" s="13">
        <v>2190982.73</v>
      </c>
      <c r="O12" s="13">
        <v>2189208.04</v>
      </c>
    </row>
    <row r="13" spans="1:15" x14ac:dyDescent="0.2">
      <c r="A13" s="7" t="s">
        <v>8</v>
      </c>
      <c r="B13" s="8"/>
      <c r="C13" s="80">
        <v>67805.56</v>
      </c>
      <c r="D13" s="80"/>
      <c r="E13" s="13">
        <v>100474.78</v>
      </c>
      <c r="F13" s="80">
        <v>77988.649999999994</v>
      </c>
      <c r="G13" s="80">
        <v>70775.149999999994</v>
      </c>
      <c r="H13" s="13">
        <v>69748.59</v>
      </c>
      <c r="I13" s="13">
        <v>70121.149999999994</v>
      </c>
      <c r="J13" s="13">
        <v>66351.490000000005</v>
      </c>
      <c r="K13" s="13">
        <v>35123.53</v>
      </c>
      <c r="L13" s="13">
        <v>-3.0000000000000002E-2</v>
      </c>
      <c r="M13" s="13">
        <v>-3.0000000000000002E-2</v>
      </c>
      <c r="N13" s="13">
        <v>42451.93</v>
      </c>
      <c r="O13" s="13">
        <v>106897.01</v>
      </c>
    </row>
    <row r="14" spans="1:15" x14ac:dyDescent="0.2">
      <c r="A14" s="7" t="s">
        <v>9</v>
      </c>
      <c r="B14" s="8"/>
      <c r="C14" s="80">
        <v>346439.92</v>
      </c>
      <c r="D14" s="80"/>
      <c r="E14" s="13">
        <v>339697.12</v>
      </c>
      <c r="F14" s="80">
        <v>532648.62</v>
      </c>
      <c r="G14" s="80">
        <v>470788.62</v>
      </c>
      <c r="H14" s="13">
        <v>580736.18999999994</v>
      </c>
      <c r="I14" s="13">
        <v>495797.76000000001</v>
      </c>
      <c r="J14" s="13">
        <v>845328.24</v>
      </c>
      <c r="K14" s="13">
        <v>935641.12</v>
      </c>
      <c r="L14" s="13">
        <v>686795.36</v>
      </c>
      <c r="M14" s="13">
        <v>691025.51</v>
      </c>
      <c r="N14" s="13">
        <v>556638.43000000005</v>
      </c>
      <c r="O14" s="13">
        <v>902323.70000000007</v>
      </c>
    </row>
    <row r="15" spans="1:15" x14ac:dyDescent="0.2">
      <c r="A15" s="7" t="s">
        <v>10</v>
      </c>
      <c r="B15" s="8"/>
      <c r="C15" s="81">
        <v>309198</v>
      </c>
      <c r="D15" s="79"/>
      <c r="E15" s="14">
        <v>313762</v>
      </c>
      <c r="F15" s="81">
        <v>319215</v>
      </c>
      <c r="G15" s="81">
        <v>323182</v>
      </c>
      <c r="H15" s="14">
        <v>324983</v>
      </c>
      <c r="I15" s="14">
        <v>324136</v>
      </c>
      <c r="J15" s="14">
        <v>316390</v>
      </c>
      <c r="K15" s="14">
        <v>319361</v>
      </c>
      <c r="L15" s="14">
        <v>282556</v>
      </c>
      <c r="M15" s="14">
        <v>286557</v>
      </c>
      <c r="N15" s="14">
        <v>233087</v>
      </c>
      <c r="O15" s="14">
        <v>227459</v>
      </c>
    </row>
    <row r="16" spans="1:15" ht="13.5" thickBot="1" x14ac:dyDescent="0.25">
      <c r="A16" s="15" t="s">
        <v>11</v>
      </c>
      <c r="B16" s="16"/>
      <c r="C16" s="12">
        <f>SUM(C11:C15)</f>
        <v>394891908.38000005</v>
      </c>
      <c r="D16" s="90"/>
      <c r="E16" s="12">
        <f>SUM(E11:E15)</f>
        <v>392381885.63999993</v>
      </c>
      <c r="F16" s="12">
        <f>SUM(F11:F15)</f>
        <v>401934972.14999992</v>
      </c>
      <c r="G16" s="12">
        <f>SUM(G11:G15)</f>
        <v>398091533.56999993</v>
      </c>
      <c r="H16" s="17">
        <f t="shared" ref="H16:O16" si="1">SUM(H11:H15)</f>
        <v>393840540.95000005</v>
      </c>
      <c r="I16" s="17">
        <f t="shared" si="1"/>
        <v>393230148.36999989</v>
      </c>
      <c r="J16" s="17">
        <f t="shared" si="1"/>
        <v>385223094.58000004</v>
      </c>
      <c r="K16" s="17">
        <f t="shared" si="1"/>
        <v>381129666.71000004</v>
      </c>
      <c r="L16" s="17">
        <f t="shared" si="1"/>
        <v>375976519.88000005</v>
      </c>
      <c r="M16" s="17">
        <f t="shared" si="1"/>
        <v>371263921.35000008</v>
      </c>
      <c r="N16" s="17">
        <f t="shared" si="1"/>
        <v>366667307.36000001</v>
      </c>
      <c r="O16" s="17">
        <f t="shared" si="1"/>
        <v>362332472.32000005</v>
      </c>
    </row>
    <row r="17" spans="1:15" ht="13.5" thickTop="1" x14ac:dyDescent="0.2">
      <c r="A17" s="7" t="s">
        <v>12</v>
      </c>
      <c r="B17" s="8"/>
      <c r="C17" s="82"/>
      <c r="D17" s="82"/>
      <c r="E17" s="75"/>
      <c r="F17" s="82"/>
      <c r="G17" s="82"/>
      <c r="H17" s="75"/>
      <c r="I17" s="75"/>
      <c r="J17" s="75"/>
      <c r="K17" s="75"/>
      <c r="L17" s="75"/>
      <c r="M17" s="75"/>
      <c r="N17" s="75"/>
      <c r="O17" s="75"/>
    </row>
    <row r="18" spans="1:15" x14ac:dyDescent="0.2">
      <c r="A18" s="7" t="s">
        <v>13</v>
      </c>
      <c r="B18" s="8"/>
      <c r="C18" s="83">
        <v>8.3412499999999997E-3</v>
      </c>
      <c r="D18" s="83"/>
      <c r="E18" s="76">
        <v>7.6086666666666664E-3</v>
      </c>
      <c r="F18" s="83">
        <v>7.6408333333333328E-3</v>
      </c>
      <c r="G18" s="83">
        <v>8.0643333333333331E-3</v>
      </c>
      <c r="H18" s="76">
        <v>8.3952499999999999E-3</v>
      </c>
      <c r="I18" s="76">
        <v>8.4462500000000006E-3</v>
      </c>
      <c r="J18" s="76">
        <v>7.6069166666666672E-3</v>
      </c>
      <c r="K18" s="76">
        <v>7.840999999999999E-3</v>
      </c>
      <c r="L18" s="76">
        <v>7.1926666666666667E-3</v>
      </c>
      <c r="M18" s="76">
        <v>7.9536666666666662E-3</v>
      </c>
      <c r="N18" s="76">
        <v>7.9787499999999997E-3</v>
      </c>
      <c r="O18" s="76">
        <v>8.0894166666666666E-3</v>
      </c>
    </row>
    <row r="19" spans="1:15" x14ac:dyDescent="0.2">
      <c r="A19" s="7" t="s">
        <v>14</v>
      </c>
      <c r="B19" s="8"/>
      <c r="C19" s="84">
        <f>C16*C18</f>
        <v>3293892.1307746754</v>
      </c>
      <c r="D19" s="79"/>
      <c r="E19" s="84">
        <f>E16*E18</f>
        <v>2985502.9738728795</v>
      </c>
      <c r="F19" s="84">
        <f>F16*F18</f>
        <v>3071118.1330361241</v>
      </c>
      <c r="G19" s="84">
        <f>G16*G18</f>
        <v>3210342.8238863358</v>
      </c>
      <c r="H19" s="18">
        <f t="shared" ref="H19:O19" si="2">H16*H18</f>
        <v>3306389.8014104879</v>
      </c>
      <c r="I19" s="18">
        <f t="shared" si="2"/>
        <v>3321320.1406701119</v>
      </c>
      <c r="J19" s="18">
        <f t="shared" si="2"/>
        <v>2930359.9785455121</v>
      </c>
      <c r="K19" s="18">
        <f t="shared" si="2"/>
        <v>2988437.7166731101</v>
      </c>
      <c r="L19" s="18">
        <f t="shared" si="2"/>
        <v>2704273.7819902138</v>
      </c>
      <c r="M19" s="18">
        <f t="shared" si="2"/>
        <v>2952909.4757774505</v>
      </c>
      <c r="N19" s="18">
        <f t="shared" si="2"/>
        <v>2925546.7785986001</v>
      </c>
      <c r="O19" s="18">
        <f t="shared" si="2"/>
        <v>2931058.340459947</v>
      </c>
    </row>
    <row r="20" spans="1:15" x14ac:dyDescent="0.2">
      <c r="A20" s="7" t="s">
        <v>15</v>
      </c>
      <c r="B20" s="8"/>
      <c r="C20" s="79">
        <v>1832291.77</v>
      </c>
      <c r="D20" s="79"/>
      <c r="E20" s="11">
        <v>1451791.7</v>
      </c>
      <c r="F20" s="79">
        <v>1537881.44</v>
      </c>
      <c r="G20" s="79">
        <v>2151426.5099999998</v>
      </c>
      <c r="H20" s="11">
        <v>1269701.8999999999</v>
      </c>
      <c r="I20" s="11">
        <v>455845.04</v>
      </c>
      <c r="J20" s="11">
        <v>2423908.46</v>
      </c>
      <c r="K20" s="11">
        <v>991824.24</v>
      </c>
      <c r="L20" s="11">
        <v>1172105.68</v>
      </c>
      <c r="M20" s="11">
        <v>1127280.08</v>
      </c>
      <c r="N20" s="11">
        <v>665293.98</v>
      </c>
      <c r="O20" s="11">
        <v>758752.45</v>
      </c>
    </row>
    <row r="21" spans="1:15" x14ac:dyDescent="0.2">
      <c r="A21" s="7" t="s">
        <v>16</v>
      </c>
      <c r="B21" s="8"/>
      <c r="C21" s="79">
        <v>468321.31</v>
      </c>
      <c r="D21" s="79"/>
      <c r="E21" s="11">
        <v>367023.14</v>
      </c>
      <c r="F21" s="79">
        <v>294780.99</v>
      </c>
      <c r="G21" s="79">
        <v>512574.22</v>
      </c>
      <c r="H21" s="11">
        <v>235487.24</v>
      </c>
      <c r="I21" s="11">
        <v>147872.31</v>
      </c>
      <c r="J21" s="11">
        <v>573844.22</v>
      </c>
      <c r="K21" s="11">
        <v>271202.36</v>
      </c>
      <c r="L21" s="11">
        <v>333568.94</v>
      </c>
      <c r="M21" s="11">
        <v>151413.5</v>
      </c>
      <c r="N21" s="11">
        <v>599483.52</v>
      </c>
      <c r="O21" s="11">
        <v>-281510.74</v>
      </c>
    </row>
    <row r="22" spans="1:15" x14ac:dyDescent="0.2">
      <c r="A22" s="7" t="s">
        <v>17</v>
      </c>
      <c r="B22" s="8"/>
      <c r="C22" s="79">
        <v>52477.13</v>
      </c>
      <c r="D22" s="79"/>
      <c r="E22" s="11">
        <v>30637.14</v>
      </c>
      <c r="F22" s="79">
        <v>54336.77</v>
      </c>
      <c r="G22" s="79">
        <v>32185.46</v>
      </c>
      <c r="H22" s="11">
        <v>25401.95</v>
      </c>
      <c r="I22" s="11">
        <v>21857.89</v>
      </c>
      <c r="J22" s="11">
        <v>56076.04</v>
      </c>
      <c r="K22" s="11">
        <v>46303.26</v>
      </c>
      <c r="L22" s="11">
        <v>36613.42</v>
      </c>
      <c r="M22" s="11">
        <v>1759.88</v>
      </c>
      <c r="N22" s="11">
        <v>1672.34</v>
      </c>
      <c r="O22" s="11">
        <v>2273.31</v>
      </c>
    </row>
    <row r="23" spans="1:15" x14ac:dyDescent="0.2">
      <c r="A23" s="7" t="s">
        <v>18</v>
      </c>
      <c r="B23" s="8"/>
      <c r="C23" s="79">
        <v>15625</v>
      </c>
      <c r="D23" s="79"/>
      <c r="E23" s="11">
        <v>15625</v>
      </c>
      <c r="F23" s="79">
        <v>15625</v>
      </c>
      <c r="G23" s="79">
        <v>15625</v>
      </c>
      <c r="H23" s="11">
        <v>15625</v>
      </c>
      <c r="I23" s="11">
        <v>15625</v>
      </c>
      <c r="J23" s="11">
        <v>15625</v>
      </c>
      <c r="K23" s="11">
        <v>15625</v>
      </c>
      <c r="L23" s="11">
        <v>15625</v>
      </c>
      <c r="M23" s="11">
        <v>15625</v>
      </c>
      <c r="N23" s="11">
        <v>15625</v>
      </c>
      <c r="O23" s="11">
        <v>15625</v>
      </c>
    </row>
    <row r="24" spans="1:15" x14ac:dyDescent="0.2">
      <c r="A24" s="7" t="s">
        <v>19</v>
      </c>
      <c r="B24" s="8"/>
      <c r="C24" s="79">
        <v>0</v>
      </c>
      <c r="D24" s="79"/>
      <c r="E24" s="11">
        <v>0</v>
      </c>
      <c r="F24" s="79">
        <v>0</v>
      </c>
      <c r="G24" s="79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3.5" thickBot="1" x14ac:dyDescent="0.25">
      <c r="A25" s="15" t="s">
        <v>21</v>
      </c>
      <c r="B25" s="16"/>
      <c r="C25" s="12">
        <f>SUM(C19:C24)</f>
        <v>5662607.3407746749</v>
      </c>
      <c r="D25" s="90"/>
      <c r="E25" s="12">
        <f>SUM(E19:E24)</f>
        <v>4850579.953872879</v>
      </c>
      <c r="F25" s="12">
        <f>SUM(F19:F24)</f>
        <v>4973742.3330361238</v>
      </c>
      <c r="G25" s="12">
        <f>SUM(G19:G24)</f>
        <v>5922154.0138863353</v>
      </c>
      <c r="H25" s="17">
        <f t="shared" ref="H25:O25" si="3">SUM(H19:H24)</f>
        <v>4852605.8914104877</v>
      </c>
      <c r="I25" s="17">
        <f t="shared" si="3"/>
        <v>3962520.3806701121</v>
      </c>
      <c r="J25" s="17">
        <f t="shared" si="3"/>
        <v>5999813.6985455118</v>
      </c>
      <c r="K25" s="17">
        <f t="shared" si="3"/>
        <v>4313392.57667311</v>
      </c>
      <c r="L25" s="17">
        <f t="shared" si="3"/>
        <v>4262186.8219902143</v>
      </c>
      <c r="M25" s="17">
        <f t="shared" si="3"/>
        <v>4248987.9357774509</v>
      </c>
      <c r="N25" s="17">
        <f t="shared" si="3"/>
        <v>4207621.6185985999</v>
      </c>
      <c r="O25" s="17">
        <f t="shared" si="3"/>
        <v>3426198.3604599466</v>
      </c>
    </row>
    <row r="26" spans="1:15" ht="13.5" thickTop="1" x14ac:dyDescent="0.2">
      <c r="A26" s="7" t="s">
        <v>22</v>
      </c>
      <c r="B26" s="8"/>
      <c r="C26" s="80">
        <v>104967.93</v>
      </c>
      <c r="D26" s="80"/>
      <c r="E26" s="13">
        <v>113758.59</v>
      </c>
      <c r="F26" s="80">
        <v>122560.52</v>
      </c>
      <c r="G26" s="80">
        <v>86115.25</v>
      </c>
      <c r="H26" s="13">
        <v>116528.47</v>
      </c>
      <c r="I26" s="13">
        <v>63375.31</v>
      </c>
      <c r="J26" s="13">
        <v>91783.92</v>
      </c>
      <c r="K26" s="13">
        <v>98637.16</v>
      </c>
      <c r="L26" s="13">
        <v>47191.77</v>
      </c>
      <c r="M26" s="13">
        <v>350457.36</v>
      </c>
      <c r="N26" s="13">
        <v>236546.47</v>
      </c>
      <c r="O26" s="13">
        <v>200248.37</v>
      </c>
    </row>
    <row r="27" spans="1:15" ht="13.5" thickBot="1" x14ac:dyDescent="0.25">
      <c r="A27" s="15" t="s">
        <v>23</v>
      </c>
      <c r="B27" s="16"/>
      <c r="C27" s="12">
        <f>C26</f>
        <v>104967.93</v>
      </c>
      <c r="D27" s="90"/>
      <c r="E27" s="12">
        <f>E26</f>
        <v>113758.59</v>
      </c>
      <c r="F27" s="12">
        <f>F26</f>
        <v>122560.52</v>
      </c>
      <c r="G27" s="12">
        <f>G26</f>
        <v>86115.25</v>
      </c>
      <c r="H27" s="17">
        <f t="shared" ref="H27:O27" si="4">H26</f>
        <v>116528.47</v>
      </c>
      <c r="I27" s="17">
        <f t="shared" si="4"/>
        <v>63375.31</v>
      </c>
      <c r="J27" s="17">
        <f t="shared" si="4"/>
        <v>91783.92</v>
      </c>
      <c r="K27" s="17">
        <f t="shared" si="4"/>
        <v>98637.16</v>
      </c>
      <c r="L27" s="17">
        <f t="shared" si="4"/>
        <v>47191.77</v>
      </c>
      <c r="M27" s="17">
        <f t="shared" si="4"/>
        <v>350457.36</v>
      </c>
      <c r="N27" s="17">
        <f t="shared" si="4"/>
        <v>236546.47</v>
      </c>
      <c r="O27" s="17">
        <f t="shared" si="4"/>
        <v>200248.37</v>
      </c>
    </row>
    <row r="28" spans="1:15" ht="13.5" thickTop="1" x14ac:dyDescent="0.2">
      <c r="A28" s="19" t="s">
        <v>102</v>
      </c>
      <c r="B28" s="20">
        <v>3.5200000000000002E-2</v>
      </c>
      <c r="C28" s="84">
        <f>C7*$B$28/12</f>
        <v>1749731.5913146669</v>
      </c>
      <c r="D28" s="20">
        <v>2.9499999999999998E-2</v>
      </c>
      <c r="E28" s="18">
        <f>E7*$D$28/12</f>
        <v>1165630.9320495829</v>
      </c>
      <c r="F28" s="18">
        <f>F7*$D$28/12</f>
        <v>1165708.3704591664</v>
      </c>
      <c r="G28" s="18">
        <f t="shared" ref="G28:O28" si="5">G7*$D$28/12</f>
        <v>1165958.7397862498</v>
      </c>
      <c r="H28" s="18">
        <f t="shared" si="5"/>
        <v>1165848.8059466665</v>
      </c>
      <c r="I28" s="18">
        <f t="shared" si="5"/>
        <v>1166028.9099366665</v>
      </c>
      <c r="J28" s="18">
        <f t="shared" si="5"/>
        <v>1166010.7192533331</v>
      </c>
      <c r="K28" s="18">
        <f t="shared" si="5"/>
        <v>1166883.2892808334</v>
      </c>
      <c r="L28" s="18">
        <f t="shared" si="5"/>
        <v>1166702.7681116664</v>
      </c>
      <c r="M28" s="18">
        <f t="shared" si="5"/>
        <v>1166766.4918237498</v>
      </c>
      <c r="N28" s="18">
        <f t="shared" si="5"/>
        <v>1167000.3266466665</v>
      </c>
      <c r="O28" s="18">
        <f t="shared" si="5"/>
        <v>1167181.9992008333</v>
      </c>
    </row>
    <row r="29" spans="1:15" x14ac:dyDescent="0.2">
      <c r="A29" s="19" t="s">
        <v>103</v>
      </c>
      <c r="B29" s="20"/>
      <c r="C29" s="84">
        <f>C8*$B$29/12</f>
        <v>0</v>
      </c>
      <c r="D29" s="20">
        <v>0.2848</v>
      </c>
      <c r="E29" s="18">
        <f>E8*$D$29/12</f>
        <v>2904998.584704</v>
      </c>
      <c r="F29" s="18">
        <f>F8*$D$29/12</f>
        <v>2904998.584704</v>
      </c>
      <c r="G29" s="18">
        <f t="shared" ref="G29:O29" si="6">G8*$D$29/12</f>
        <v>2907549.5943146669</v>
      </c>
      <c r="H29" s="18">
        <f t="shared" si="6"/>
        <v>2907549.5943146669</v>
      </c>
      <c r="I29" s="18">
        <f t="shared" si="6"/>
        <v>2907683.3933546669</v>
      </c>
      <c r="J29" s="18">
        <f t="shared" si="6"/>
        <v>2907443.2984106671</v>
      </c>
      <c r="K29" s="18">
        <f>K8*$D$29/12</f>
        <v>2909040.5118720005</v>
      </c>
      <c r="L29" s="18">
        <f t="shared" si="6"/>
        <v>2909040.5118720005</v>
      </c>
      <c r="M29" s="18">
        <f t="shared" si="6"/>
        <v>2909040.5118720005</v>
      </c>
      <c r="N29" s="18">
        <f t="shared" si="6"/>
        <v>2910613.6770586669</v>
      </c>
      <c r="O29" s="18">
        <f t="shared" si="6"/>
        <v>2911181.7405626667</v>
      </c>
    </row>
    <row r="30" spans="1:15" ht="13.5" thickBot="1" x14ac:dyDescent="0.25">
      <c r="A30" s="21" t="s">
        <v>26</v>
      </c>
      <c r="B30" s="16"/>
      <c r="C30" s="12">
        <f>SUM(C28:C29)</f>
        <v>1749731.5913146669</v>
      </c>
      <c r="D30" s="90"/>
      <c r="E30" s="12">
        <f>SUM(E28:E29)</f>
        <v>4070629.5167535832</v>
      </c>
      <c r="F30" s="12">
        <f>SUM(F28:F29)</f>
        <v>4070706.9551631664</v>
      </c>
      <c r="G30" s="12">
        <f>SUM(G28:G29)</f>
        <v>4073508.334100917</v>
      </c>
      <c r="H30" s="17">
        <f t="shared" ref="H30:O30" si="7">SUM(H28:H29)</f>
        <v>4073398.4002613332</v>
      </c>
      <c r="I30" s="17">
        <f t="shared" si="7"/>
        <v>4073712.3032913334</v>
      </c>
      <c r="J30" s="17">
        <f t="shared" si="7"/>
        <v>4073454.0176640004</v>
      </c>
      <c r="K30" s="17">
        <f t="shared" si="7"/>
        <v>4075923.8011528337</v>
      </c>
      <c r="L30" s="17">
        <f t="shared" si="7"/>
        <v>4075743.2799836667</v>
      </c>
      <c r="M30" s="17">
        <f t="shared" si="7"/>
        <v>4075807.0036957506</v>
      </c>
      <c r="N30" s="17">
        <f t="shared" si="7"/>
        <v>4077614.0037053335</v>
      </c>
      <c r="O30" s="17">
        <f t="shared" si="7"/>
        <v>4078363.7397635002</v>
      </c>
    </row>
    <row r="31" spans="1:15" ht="13.5" thickTop="1" x14ac:dyDescent="0.2">
      <c r="A31" s="21" t="s">
        <v>27</v>
      </c>
      <c r="B31" s="16"/>
      <c r="C31" s="85">
        <f>SUM(C20:C24)+C27+C30</f>
        <v>4223414.7313146666</v>
      </c>
      <c r="D31" s="90"/>
      <c r="E31" s="85">
        <f>SUM(E20:E24)+E27+E30</f>
        <v>6049465.0867535826</v>
      </c>
      <c r="F31" s="85">
        <f>SUM(F20:F24)+F27+F30</f>
        <v>6095891.6751631666</v>
      </c>
      <c r="G31" s="85">
        <f>SUM(G20:G24)+G27+G30</f>
        <v>6871434.7741009165</v>
      </c>
      <c r="H31" s="22">
        <f t="shared" ref="H31:O31" si="8">SUM(H20:H24)+H27+H30</f>
        <v>5736142.9602613328</v>
      </c>
      <c r="I31" s="22">
        <f t="shared" si="8"/>
        <v>4778287.8532913337</v>
      </c>
      <c r="J31" s="22">
        <f t="shared" si="8"/>
        <v>7234691.6576640001</v>
      </c>
      <c r="K31" s="22">
        <f t="shared" si="8"/>
        <v>5499515.8211528342</v>
      </c>
      <c r="L31" s="22">
        <f t="shared" si="8"/>
        <v>5680848.0899836663</v>
      </c>
      <c r="M31" s="22">
        <f t="shared" si="8"/>
        <v>5722342.8236957509</v>
      </c>
      <c r="N31" s="22">
        <f t="shared" si="8"/>
        <v>5596235.3137053335</v>
      </c>
      <c r="O31" s="22">
        <f t="shared" si="8"/>
        <v>4773752.1297634998</v>
      </c>
    </row>
    <row r="32" spans="1:15" x14ac:dyDescent="0.2">
      <c r="A32" s="21" t="s">
        <v>28</v>
      </c>
      <c r="B32" s="16"/>
      <c r="C32" s="86">
        <v>4095040.1655999999</v>
      </c>
      <c r="D32" s="91"/>
      <c r="E32" s="23">
        <v>3742054.5216000001</v>
      </c>
      <c r="F32" s="86">
        <v>1737730.0122639998</v>
      </c>
      <c r="G32" s="86">
        <v>3315848.5061280001</v>
      </c>
      <c r="H32" s="23">
        <v>3302989.5211306671</v>
      </c>
      <c r="I32" s="23">
        <v>4368635.5639520008</v>
      </c>
      <c r="J32" s="23">
        <v>4530217.0923840003</v>
      </c>
      <c r="K32" s="23">
        <v>4447361.5348906666</v>
      </c>
      <c r="L32" s="23">
        <v>3537444.0349333333</v>
      </c>
      <c r="M32" s="23">
        <v>4053021.2484533335</v>
      </c>
      <c r="N32" s="23">
        <v>4093687.7187546669</v>
      </c>
      <c r="O32" s="23">
        <v>4604609.0598373329</v>
      </c>
    </row>
    <row r="33" spans="1:16" ht="13.5" thickBot="1" x14ac:dyDescent="0.25">
      <c r="A33" s="21" t="s">
        <v>29</v>
      </c>
      <c r="B33" s="16"/>
      <c r="C33" s="12">
        <f>C31-C32</f>
        <v>128374.56571466662</v>
      </c>
      <c r="D33" s="90"/>
      <c r="E33" s="12">
        <f>E31-E32</f>
        <v>2307410.5651535825</v>
      </c>
      <c r="F33" s="12">
        <f>F31-F32</f>
        <v>4358161.6628991663</v>
      </c>
      <c r="G33" s="12">
        <f>G31-G32</f>
        <v>3555586.2679729164</v>
      </c>
      <c r="H33" s="17">
        <f t="shared" ref="H33:O33" si="9">H31-H32</f>
        <v>2433153.4391306657</v>
      </c>
      <c r="I33" s="17">
        <f t="shared" si="9"/>
        <v>409652.28933933284</v>
      </c>
      <c r="J33" s="17">
        <f t="shared" si="9"/>
        <v>2704474.5652799997</v>
      </c>
      <c r="K33" s="17">
        <f t="shared" si="9"/>
        <v>1052154.2862621676</v>
      </c>
      <c r="L33" s="17">
        <f t="shared" si="9"/>
        <v>2143404.055050333</v>
      </c>
      <c r="M33" s="17">
        <f t="shared" si="9"/>
        <v>1669321.5752424174</v>
      </c>
      <c r="N33" s="17">
        <f t="shared" si="9"/>
        <v>1502547.5949506667</v>
      </c>
      <c r="O33" s="17">
        <f t="shared" si="9"/>
        <v>169143.06992616691</v>
      </c>
    </row>
    <row r="34" spans="1:16" ht="13.5" thickTop="1" x14ac:dyDescent="0.2">
      <c r="A34" s="21" t="s">
        <v>35</v>
      </c>
      <c r="B34" s="16">
        <v>5.4250000000000001E-3</v>
      </c>
      <c r="C34" s="85">
        <f>C33*$B$34</f>
        <v>696.43201900206645</v>
      </c>
      <c r="D34" s="90"/>
      <c r="E34" s="85">
        <f>E33*$B$34</f>
        <v>12517.702315958186</v>
      </c>
      <c r="F34" s="85">
        <f>F33*$B$34</f>
        <v>23643.027021227979</v>
      </c>
      <c r="G34" s="85">
        <f>G33*$B$34</f>
        <v>19289.055503753072</v>
      </c>
      <c r="H34" s="22">
        <f t="shared" ref="H34:O34" si="10">H33*$B$34</f>
        <v>13199.857407283862</v>
      </c>
      <c r="I34" s="22">
        <f t="shared" si="10"/>
        <v>2222.3636696658809</v>
      </c>
      <c r="J34" s="22">
        <f t="shared" si="10"/>
        <v>14671.774516643998</v>
      </c>
      <c r="K34" s="22">
        <f t="shared" si="10"/>
        <v>5707.9370029722595</v>
      </c>
      <c r="L34" s="22">
        <f t="shared" si="10"/>
        <v>11627.966998648057</v>
      </c>
      <c r="M34" s="22">
        <f t="shared" si="10"/>
        <v>9056.069545690114</v>
      </c>
      <c r="N34" s="22">
        <f t="shared" si="10"/>
        <v>8151.3207026073669</v>
      </c>
      <c r="O34" s="22">
        <f t="shared" si="10"/>
        <v>917.60115434945544</v>
      </c>
    </row>
    <row r="35" spans="1:16" x14ac:dyDescent="0.2">
      <c r="A35" s="21" t="s">
        <v>30</v>
      </c>
      <c r="B35" s="16"/>
      <c r="C35" s="85">
        <f>C34+C30+C27+C25</f>
        <v>7518003.2941083442</v>
      </c>
      <c r="D35" s="90"/>
      <c r="E35" s="85">
        <f>E34+E30+E27+E25</f>
        <v>9047485.7629424203</v>
      </c>
      <c r="F35" s="85">
        <f>F34+F30+F27+F25</f>
        <v>9190652.8352205176</v>
      </c>
      <c r="G35" s="85">
        <f>G34+G30+G27+G25</f>
        <v>10101066.653491005</v>
      </c>
      <c r="H35" s="22">
        <f t="shared" ref="H35:O35" si="11">H34+H30+H27+H25</f>
        <v>9055732.6190791056</v>
      </c>
      <c r="I35" s="22">
        <f t="shared" si="11"/>
        <v>8101830.3576311115</v>
      </c>
      <c r="J35" s="22">
        <f t="shared" si="11"/>
        <v>10179723.410726156</v>
      </c>
      <c r="K35" s="22">
        <f t="shared" si="11"/>
        <v>8493661.4748289157</v>
      </c>
      <c r="L35" s="22">
        <f t="shared" si="11"/>
        <v>8396749.8389725294</v>
      </c>
      <c r="M35" s="22">
        <f t="shared" si="11"/>
        <v>8684308.3690188918</v>
      </c>
      <c r="N35" s="22">
        <f t="shared" si="11"/>
        <v>8529933.4130065404</v>
      </c>
      <c r="O35" s="22">
        <f t="shared" si="11"/>
        <v>7705728.0713777952</v>
      </c>
    </row>
    <row r="36" spans="1:16" ht="13.5" thickBot="1" x14ac:dyDescent="0.25">
      <c r="A36" s="24" t="s">
        <v>31</v>
      </c>
      <c r="B36" s="25">
        <v>0.15</v>
      </c>
      <c r="C36" s="87">
        <f>C35*$B$36</f>
        <v>1127700.4941162516</v>
      </c>
      <c r="D36" s="92"/>
      <c r="E36" s="87">
        <f>E35*$B$36</f>
        <v>1357122.8644413629</v>
      </c>
      <c r="F36" s="87">
        <f>F35*$B$36</f>
        <v>1378597.9252830776</v>
      </c>
      <c r="G36" s="87">
        <f>G35*$B$36</f>
        <v>1515159.9980236508</v>
      </c>
      <c r="H36" s="26">
        <f t="shared" ref="H36:O36" si="12">H35*$B$36</f>
        <v>1358359.8928618657</v>
      </c>
      <c r="I36" s="26">
        <f t="shared" si="12"/>
        <v>1215274.5536446667</v>
      </c>
      <c r="J36" s="26">
        <f t="shared" si="12"/>
        <v>1526958.5116089233</v>
      </c>
      <c r="K36" s="26">
        <f t="shared" si="12"/>
        <v>1274049.2212243374</v>
      </c>
      <c r="L36" s="26">
        <f t="shared" si="12"/>
        <v>1259512.4758458794</v>
      </c>
      <c r="M36" s="26">
        <f t="shared" si="12"/>
        <v>1302646.2553528338</v>
      </c>
      <c r="N36" s="26">
        <f t="shared" si="12"/>
        <v>1279490.0119509811</v>
      </c>
      <c r="O36" s="26">
        <f t="shared" si="12"/>
        <v>1155859.2107066691</v>
      </c>
      <c r="P36" s="132"/>
    </row>
    <row r="37" spans="1:16" s="53" customFormat="1" x14ac:dyDescent="0.2">
      <c r="D37" s="55"/>
    </row>
    <row r="38" spans="1:16" x14ac:dyDescent="0.2">
      <c r="A38" s="2" t="s">
        <v>32</v>
      </c>
    </row>
    <row r="39" spans="1:16" x14ac:dyDescent="0.2">
      <c r="A39" s="53" t="s">
        <v>104</v>
      </c>
    </row>
  </sheetData>
  <mergeCells count="1">
    <mergeCell ref="C4:O4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37" sqref="B37"/>
    </sheetView>
  </sheetViews>
  <sheetFormatPr defaultRowHeight="12.75" x14ac:dyDescent="0.2"/>
  <cols>
    <col min="1" max="1" width="56.28515625" style="2" customWidth="1"/>
    <col min="2" max="2" width="10.7109375" style="2" customWidth="1"/>
    <col min="3" max="16" width="14.7109375" style="2" customWidth="1"/>
    <col min="17" max="16384" width="9.140625" style="2"/>
  </cols>
  <sheetData>
    <row r="1" spans="1:16" x14ac:dyDescent="0.2">
      <c r="A1" s="1" t="s">
        <v>33</v>
      </c>
    </row>
    <row r="2" spans="1:16" x14ac:dyDescent="0.2">
      <c r="A2" s="1" t="s">
        <v>34</v>
      </c>
    </row>
    <row r="3" spans="1:16" x14ac:dyDescent="0.2">
      <c r="A3" s="3" t="s">
        <v>0</v>
      </c>
    </row>
    <row r="4" spans="1:16" s="98" customFormat="1" ht="42" customHeight="1" x14ac:dyDescent="0.2">
      <c r="A4" s="97"/>
      <c r="C4" s="99" t="s">
        <v>91</v>
      </c>
      <c r="D4" s="99" t="s">
        <v>92</v>
      </c>
      <c r="E4" s="99" t="s">
        <v>91</v>
      </c>
      <c r="F4" s="99" t="s">
        <v>92</v>
      </c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s="98" customFormat="1" ht="12" customHeight="1" thickBot="1" x14ac:dyDescent="0.25">
      <c r="A5" s="97"/>
      <c r="C5" s="119">
        <v>2018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6" x14ac:dyDescent="0.2">
      <c r="A6" s="5" t="s">
        <v>1</v>
      </c>
      <c r="B6" s="101"/>
      <c r="C6" s="89" t="s">
        <v>36</v>
      </c>
      <c r="D6" s="89" t="s">
        <v>36</v>
      </c>
      <c r="E6" s="77" t="s">
        <v>37</v>
      </c>
      <c r="F6" s="77" t="s">
        <v>37</v>
      </c>
      <c r="G6" s="89" t="s">
        <v>38</v>
      </c>
      <c r="H6" s="88" t="s">
        <v>39</v>
      </c>
      <c r="I6" s="6" t="s">
        <v>40</v>
      </c>
      <c r="J6" s="6" t="s">
        <v>41</v>
      </c>
      <c r="K6" s="6" t="s">
        <v>42</v>
      </c>
      <c r="L6" s="6" t="s">
        <v>43</v>
      </c>
      <c r="M6" s="6" t="s">
        <v>44</v>
      </c>
      <c r="N6" s="6" t="s">
        <v>45</v>
      </c>
      <c r="O6" s="6" t="s">
        <v>46</v>
      </c>
      <c r="P6" s="6" t="s">
        <v>47</v>
      </c>
    </row>
    <row r="7" spans="1:16" x14ac:dyDescent="0.2">
      <c r="A7" s="8"/>
      <c r="B7" s="9"/>
      <c r="C7" s="8"/>
      <c r="D7" s="8"/>
      <c r="E7" s="9"/>
      <c r="F7" s="9"/>
      <c r="G7" s="8"/>
      <c r="H7" s="8"/>
      <c r="I7" s="9"/>
      <c r="J7" s="9"/>
      <c r="K7" s="9"/>
      <c r="L7" s="9"/>
      <c r="M7" s="9"/>
      <c r="N7" s="9"/>
      <c r="O7" s="9"/>
      <c r="P7" s="9"/>
    </row>
    <row r="8" spans="1:16" x14ac:dyDescent="0.2">
      <c r="A8" s="8" t="s">
        <v>2</v>
      </c>
      <c r="B8" s="9"/>
      <c r="C8" s="78">
        <v>330831690.07000005</v>
      </c>
      <c r="D8" s="78">
        <v>595336405.55000007</v>
      </c>
      <c r="E8" s="10">
        <v>330852023.06</v>
      </c>
      <c r="F8" s="10">
        <v>595228505.49000001</v>
      </c>
      <c r="G8" s="78">
        <v>595228505.33000016</v>
      </c>
      <c r="H8" s="78">
        <v>595570490.28999996</v>
      </c>
      <c r="I8" s="10">
        <v>595686476.78000009</v>
      </c>
      <c r="J8" s="10">
        <v>595740508.18000007</v>
      </c>
      <c r="K8" s="10">
        <v>595773697.43000007</v>
      </c>
      <c r="L8" s="10">
        <v>595815387.95000005</v>
      </c>
      <c r="M8" s="10">
        <v>595899164.59000015</v>
      </c>
      <c r="N8" s="10">
        <v>595993020.51000011</v>
      </c>
      <c r="O8" s="10">
        <v>596087960.97000015</v>
      </c>
      <c r="P8" s="10">
        <v>596165390.04000008</v>
      </c>
    </row>
    <row r="9" spans="1:16" x14ac:dyDescent="0.2">
      <c r="A9" s="8" t="s">
        <v>4</v>
      </c>
      <c r="B9" s="9"/>
      <c r="C9" s="79">
        <v>74039953.879999995</v>
      </c>
      <c r="D9" s="79">
        <v>81207209.399999991</v>
      </c>
      <c r="E9" s="11">
        <v>75824609.75</v>
      </c>
      <c r="F9" s="11">
        <v>84261874.489999995</v>
      </c>
      <c r="G9" s="79">
        <v>87156980.329999998</v>
      </c>
      <c r="H9" s="79">
        <v>89663987.030000016</v>
      </c>
      <c r="I9" s="11">
        <v>92850747.189999998</v>
      </c>
      <c r="J9" s="11">
        <v>95967154.699999988</v>
      </c>
      <c r="K9" s="11">
        <v>98404582.359999999</v>
      </c>
      <c r="L9" s="11">
        <v>101582076.44000001</v>
      </c>
      <c r="M9" s="11">
        <v>104802469.09</v>
      </c>
      <c r="N9" s="11">
        <v>108107222.88</v>
      </c>
      <c r="O9" s="11">
        <v>111337970.42999999</v>
      </c>
      <c r="P9" s="11">
        <v>114619791.13000001</v>
      </c>
    </row>
    <row r="10" spans="1:16" x14ac:dyDescent="0.2">
      <c r="A10" s="8" t="s">
        <v>5</v>
      </c>
      <c r="B10" s="9"/>
      <c r="C10" s="79">
        <v>92170717</v>
      </c>
      <c r="D10" s="79">
        <v>92170717</v>
      </c>
      <c r="E10" s="11">
        <v>91651902</v>
      </c>
      <c r="F10" s="11">
        <v>95703985.489999995</v>
      </c>
      <c r="G10" s="79">
        <v>91209594</v>
      </c>
      <c r="H10" s="79">
        <v>90965920</v>
      </c>
      <c r="I10" s="11">
        <v>90439887</v>
      </c>
      <c r="J10" s="11">
        <v>89930384</v>
      </c>
      <c r="K10" s="11">
        <v>89654682</v>
      </c>
      <c r="L10" s="11">
        <v>89121762</v>
      </c>
      <c r="M10" s="11">
        <v>88581766</v>
      </c>
      <c r="N10" s="11">
        <v>88014362</v>
      </c>
      <c r="O10" s="11">
        <v>87473263</v>
      </c>
      <c r="P10" s="11">
        <v>86905025</v>
      </c>
    </row>
    <row r="11" spans="1:16" ht="13.5" thickBot="1" x14ac:dyDescent="0.25">
      <c r="A11" s="8" t="s">
        <v>6</v>
      </c>
      <c r="B11" s="9"/>
      <c r="C11" s="12">
        <f>C8+-C9-C10</f>
        <v>164621019.19000006</v>
      </c>
      <c r="D11" s="12">
        <f>D8+-D9-D10</f>
        <v>421958479.1500001</v>
      </c>
      <c r="E11" s="12">
        <f t="shared" ref="E11:P11" si="0">E8+-E9-E10</f>
        <v>163375511.31</v>
      </c>
      <c r="F11" s="12">
        <f t="shared" ref="F11" si="1">F8+-F9-F10</f>
        <v>415262645.50999999</v>
      </c>
      <c r="G11" s="12">
        <f t="shared" si="0"/>
        <v>416861931.00000018</v>
      </c>
      <c r="H11" s="12">
        <f t="shared" si="0"/>
        <v>414940583.25999993</v>
      </c>
      <c r="I11" s="12">
        <f t="shared" si="0"/>
        <v>412395842.59000009</v>
      </c>
      <c r="J11" s="12">
        <f t="shared" si="0"/>
        <v>409842969.48000008</v>
      </c>
      <c r="K11" s="12">
        <f t="shared" si="0"/>
        <v>407714433.07000005</v>
      </c>
      <c r="L11" s="12">
        <f t="shared" si="0"/>
        <v>405111549.51000005</v>
      </c>
      <c r="M11" s="12">
        <f t="shared" si="0"/>
        <v>402514929.50000012</v>
      </c>
      <c r="N11" s="12">
        <f t="shared" si="0"/>
        <v>399871435.63000011</v>
      </c>
      <c r="O11" s="12">
        <f t="shared" si="0"/>
        <v>397276727.54000014</v>
      </c>
      <c r="P11" s="12">
        <f t="shared" si="0"/>
        <v>394640573.91000009</v>
      </c>
    </row>
    <row r="12" spans="1:16" ht="13.5" thickTop="1" x14ac:dyDescent="0.2">
      <c r="A12" s="8" t="s">
        <v>7</v>
      </c>
      <c r="B12" s="9"/>
      <c r="C12" s="80"/>
      <c r="D12" s="80">
        <v>1849520.48</v>
      </c>
      <c r="E12" s="13"/>
      <c r="F12" s="13">
        <v>1829563</v>
      </c>
      <c r="G12" s="80">
        <v>1704396.63</v>
      </c>
      <c r="H12" s="80">
        <v>1794719.6</v>
      </c>
      <c r="I12" s="13">
        <v>1703377.68</v>
      </c>
      <c r="J12" s="13">
        <v>1626107.57</v>
      </c>
      <c r="K12" s="13">
        <v>1596830.42</v>
      </c>
      <c r="L12" s="13">
        <v>1699641.81</v>
      </c>
      <c r="M12" s="13">
        <v>1565507.62</v>
      </c>
      <c r="N12" s="13">
        <v>1674783.36</v>
      </c>
      <c r="O12" s="13">
        <v>1613568.02</v>
      </c>
      <c r="P12" s="13">
        <v>1810708.32</v>
      </c>
    </row>
    <row r="13" spans="1:16" x14ac:dyDescent="0.2">
      <c r="A13" s="8" t="s">
        <v>8</v>
      </c>
      <c r="B13" s="9"/>
      <c r="C13" s="80"/>
      <c r="D13" s="80">
        <v>92325.95</v>
      </c>
      <c r="E13" s="13"/>
      <c r="F13" s="13">
        <v>126155</v>
      </c>
      <c r="G13" s="80">
        <v>114322.12</v>
      </c>
      <c r="H13" s="80">
        <v>97168.28</v>
      </c>
      <c r="I13" s="13">
        <v>85147.06</v>
      </c>
      <c r="J13" s="13">
        <v>69423.83</v>
      </c>
      <c r="K13" s="13">
        <v>69977.81</v>
      </c>
      <c r="L13" s="13">
        <v>73456.39</v>
      </c>
      <c r="M13" s="13">
        <v>70886.48</v>
      </c>
      <c r="N13" s="13">
        <v>72704.2</v>
      </c>
      <c r="O13" s="13">
        <v>91277.08</v>
      </c>
      <c r="P13" s="13">
        <v>95297.900000000009</v>
      </c>
    </row>
    <row r="14" spans="1:16" x14ac:dyDescent="0.2">
      <c r="A14" s="8" t="s">
        <v>9</v>
      </c>
      <c r="B14" s="9"/>
      <c r="C14" s="80"/>
      <c r="D14" s="80">
        <v>1226309.48</v>
      </c>
      <c r="E14" s="13"/>
      <c r="F14" s="13">
        <v>1194729</v>
      </c>
      <c r="G14" s="80">
        <v>1165665.76</v>
      </c>
      <c r="H14" s="80">
        <v>1249943.3600000001</v>
      </c>
      <c r="I14" s="13">
        <v>1328900.68</v>
      </c>
      <c r="J14" s="13">
        <v>1154214.05</v>
      </c>
      <c r="K14" s="13">
        <v>142259.16</v>
      </c>
      <c r="L14" s="13">
        <v>409419.39</v>
      </c>
      <c r="M14" s="13">
        <v>140852.92000000001</v>
      </c>
      <c r="N14" s="13">
        <v>115797.36</v>
      </c>
      <c r="O14" s="13">
        <v>143087.28</v>
      </c>
      <c r="P14" s="13">
        <v>271074.64</v>
      </c>
    </row>
    <row r="15" spans="1:16" x14ac:dyDescent="0.2">
      <c r="A15" s="8" t="s">
        <v>10</v>
      </c>
      <c r="B15" s="9"/>
      <c r="C15" s="81">
        <v>4460244</v>
      </c>
      <c r="D15" s="81">
        <v>183127</v>
      </c>
      <c r="E15" s="14">
        <v>4342051</v>
      </c>
      <c r="F15" s="14">
        <v>181797</v>
      </c>
      <c r="G15" s="81">
        <v>171922</v>
      </c>
      <c r="H15" s="81">
        <v>166957</v>
      </c>
      <c r="I15" s="14">
        <v>132963</v>
      </c>
      <c r="J15" s="14">
        <v>130672</v>
      </c>
      <c r="K15" s="14">
        <v>141672</v>
      </c>
      <c r="L15" s="14">
        <v>140442</v>
      </c>
      <c r="M15" s="14">
        <v>175283</v>
      </c>
      <c r="N15" s="14">
        <v>210488</v>
      </c>
      <c r="O15" s="14">
        <v>284870</v>
      </c>
      <c r="P15" s="14">
        <v>302734</v>
      </c>
    </row>
    <row r="16" spans="1:16" ht="13.5" thickBot="1" x14ac:dyDescent="0.25">
      <c r="A16" s="105" t="s">
        <v>11</v>
      </c>
      <c r="B16" s="102"/>
      <c r="C16" s="12">
        <f>SUM(C11:C15)</f>
        <v>169081263.19000006</v>
      </c>
      <c r="D16" s="12">
        <f>SUM(D11:D15)</f>
        <v>425309762.06000012</v>
      </c>
      <c r="E16" s="12">
        <f t="shared" ref="E16:P16" si="2">SUM(E11:E15)</f>
        <v>167717562.31</v>
      </c>
      <c r="F16" s="12">
        <f t="shared" ref="F16" si="3">SUM(F11:F15)</f>
        <v>418594889.50999999</v>
      </c>
      <c r="G16" s="12">
        <f t="shared" si="2"/>
        <v>420018237.51000017</v>
      </c>
      <c r="H16" s="12">
        <f t="shared" si="2"/>
        <v>418249371.49999994</v>
      </c>
      <c r="I16" s="12">
        <f t="shared" si="2"/>
        <v>415646231.01000011</v>
      </c>
      <c r="J16" s="12">
        <f t="shared" si="2"/>
        <v>412823386.93000007</v>
      </c>
      <c r="K16" s="12">
        <f t="shared" si="2"/>
        <v>409665172.4600001</v>
      </c>
      <c r="L16" s="12">
        <f t="shared" si="2"/>
        <v>407434509.10000002</v>
      </c>
      <c r="M16" s="12">
        <f t="shared" si="2"/>
        <v>404467459.52000016</v>
      </c>
      <c r="N16" s="12">
        <f t="shared" si="2"/>
        <v>401945208.55000013</v>
      </c>
      <c r="O16" s="12">
        <f t="shared" si="2"/>
        <v>399409529.92000008</v>
      </c>
      <c r="P16" s="12">
        <f t="shared" si="2"/>
        <v>397120388.77000004</v>
      </c>
    </row>
    <row r="17" spans="1:16" ht="13.5" thickTop="1" x14ac:dyDescent="0.2">
      <c r="A17" s="8" t="s">
        <v>12</v>
      </c>
      <c r="B17" s="9"/>
      <c r="C17" s="82"/>
      <c r="D17" s="82"/>
      <c r="E17" s="75"/>
      <c r="F17" s="75"/>
      <c r="G17" s="82"/>
      <c r="H17" s="82"/>
      <c r="I17" s="75"/>
      <c r="J17" s="75"/>
      <c r="K17" s="75"/>
      <c r="L17" s="75"/>
      <c r="M17" s="75"/>
      <c r="N17" s="75"/>
      <c r="O17" s="75"/>
      <c r="P17" s="75"/>
    </row>
    <row r="18" spans="1:16" x14ac:dyDescent="0.2">
      <c r="A18" s="8" t="s">
        <v>13</v>
      </c>
      <c r="B18" s="9"/>
      <c r="C18" s="83">
        <v>6.6890000000000005E-3</v>
      </c>
      <c r="D18" s="83">
        <v>6.6890000000000005E-3</v>
      </c>
      <c r="E18" s="76">
        <v>6.8942500000000002E-3</v>
      </c>
      <c r="F18" s="76">
        <v>6.8942500000000002E-3</v>
      </c>
      <c r="G18" s="83">
        <v>7.245583333333333E-3</v>
      </c>
      <c r="H18" s="83">
        <v>7.4339166666666677E-3</v>
      </c>
      <c r="I18" s="76">
        <v>7.488333333333333E-3</v>
      </c>
      <c r="J18" s="76">
        <v>7.6338333333333336E-3</v>
      </c>
      <c r="K18" s="76">
        <v>7.1335833333333347E-3</v>
      </c>
      <c r="L18" s="76">
        <v>7.4113333333333331E-3</v>
      </c>
      <c r="M18" s="76">
        <v>7.6397500000000007E-3</v>
      </c>
      <c r="N18" s="76">
        <v>7.6397500000000007E-3</v>
      </c>
      <c r="O18" s="76">
        <v>7.9251666666666654E-3</v>
      </c>
      <c r="P18" s="76">
        <v>8.135333333333333E-3</v>
      </c>
    </row>
    <row r="19" spans="1:16" x14ac:dyDescent="0.2">
      <c r="A19" s="8" t="s">
        <v>14</v>
      </c>
      <c r="B19" s="9"/>
      <c r="C19" s="84">
        <f>C16*C18</f>
        <v>1130984.5694779104</v>
      </c>
      <c r="D19" s="84">
        <f>D16*D18</f>
        <v>2844896.9984193412</v>
      </c>
      <c r="E19" s="84">
        <f t="shared" ref="E19:P19" si="4">E16*E18</f>
        <v>1156286.8039557175</v>
      </c>
      <c r="F19" s="84">
        <f t="shared" ref="F19" si="5">F16*F18</f>
        <v>2885897.8170043174</v>
      </c>
      <c r="G19" s="84">
        <f t="shared" si="4"/>
        <v>3043277.1413984988</v>
      </c>
      <c r="H19" s="84">
        <f t="shared" si="4"/>
        <v>3109230.9736167085</v>
      </c>
      <c r="I19" s="84">
        <f t="shared" si="4"/>
        <v>3112497.5265465504</v>
      </c>
      <c r="J19" s="84">
        <f t="shared" si="4"/>
        <v>3151424.9319257988</v>
      </c>
      <c r="K19" s="84">
        <f t="shared" si="4"/>
        <v>2922380.6465077829</v>
      </c>
      <c r="L19" s="84">
        <f t="shared" si="4"/>
        <v>3019632.9584431336</v>
      </c>
      <c r="M19" s="84">
        <f t="shared" si="4"/>
        <v>3090030.2738679214</v>
      </c>
      <c r="N19" s="84">
        <f t="shared" si="4"/>
        <v>3070760.9070198638</v>
      </c>
      <c r="O19" s="84">
        <f t="shared" si="4"/>
        <v>3165387.0928709866</v>
      </c>
      <c r="P19" s="84">
        <f t="shared" si="4"/>
        <v>3230706.7361068735</v>
      </c>
    </row>
    <row r="20" spans="1:16" x14ac:dyDescent="0.2">
      <c r="A20" s="8" t="s">
        <v>15</v>
      </c>
      <c r="B20" s="9"/>
      <c r="C20" s="79">
        <v>2074288</v>
      </c>
      <c r="D20" s="79">
        <v>2074288</v>
      </c>
      <c r="E20" s="11">
        <v>1210103.29</v>
      </c>
      <c r="F20" s="11">
        <v>1210103.29</v>
      </c>
      <c r="G20" s="79">
        <v>1958030.0999999999</v>
      </c>
      <c r="H20" s="79">
        <v>1446168.14</v>
      </c>
      <c r="I20" s="11">
        <v>1561504.42</v>
      </c>
      <c r="J20" s="11">
        <v>2251944.85</v>
      </c>
      <c r="K20" s="11">
        <v>2591332.08</v>
      </c>
      <c r="L20" s="11">
        <v>1833473.51</v>
      </c>
      <c r="M20" s="11">
        <v>1514887.7</v>
      </c>
      <c r="N20" s="11">
        <v>1518135.2</v>
      </c>
      <c r="O20" s="11">
        <v>1197654.43</v>
      </c>
      <c r="P20" s="11">
        <v>1669169.12</v>
      </c>
    </row>
    <row r="21" spans="1:16" x14ac:dyDescent="0.2">
      <c r="A21" s="8" t="s">
        <v>16</v>
      </c>
      <c r="B21" s="9"/>
      <c r="C21" s="79">
        <v>1282685</v>
      </c>
      <c r="D21" s="79">
        <v>1282685</v>
      </c>
      <c r="E21" s="11">
        <v>547140.24</v>
      </c>
      <c r="F21" s="11">
        <v>547140.24</v>
      </c>
      <c r="G21" s="79">
        <v>779567.78</v>
      </c>
      <c r="H21" s="79">
        <v>356888.96</v>
      </c>
      <c r="I21" s="11">
        <v>580274.31000000006</v>
      </c>
      <c r="J21" s="11">
        <v>705497.87</v>
      </c>
      <c r="K21" s="11">
        <v>500650.1</v>
      </c>
      <c r="L21" s="11">
        <v>462899.46</v>
      </c>
      <c r="M21" s="11">
        <v>400134.73</v>
      </c>
      <c r="N21" s="11">
        <v>502310.19</v>
      </c>
      <c r="O21" s="11">
        <v>328103.38</v>
      </c>
      <c r="P21" s="11">
        <v>322307.32</v>
      </c>
    </row>
    <row r="22" spans="1:16" x14ac:dyDescent="0.2">
      <c r="A22" s="8" t="s">
        <v>17</v>
      </c>
      <c r="B22" s="9"/>
      <c r="C22" s="79"/>
      <c r="D22" s="79">
        <v>69780.820000000007</v>
      </c>
      <c r="E22" s="11"/>
      <c r="F22" s="11">
        <v>11891</v>
      </c>
      <c r="G22" s="79">
        <v>55914.29</v>
      </c>
      <c r="H22" s="79">
        <v>33009.83</v>
      </c>
      <c r="I22" s="11">
        <v>87582.170000000013</v>
      </c>
      <c r="J22" s="11">
        <v>73527.47</v>
      </c>
      <c r="K22" s="11">
        <v>36453.519999999997</v>
      </c>
      <c r="L22" s="11">
        <v>66492.850000000006</v>
      </c>
      <c r="M22" s="11">
        <v>18205.25</v>
      </c>
      <c r="N22" s="11">
        <v>25222.65</v>
      </c>
      <c r="O22" s="11">
        <v>63139.27</v>
      </c>
      <c r="P22" s="11">
        <v>59671.15</v>
      </c>
    </row>
    <row r="23" spans="1:16" x14ac:dyDescent="0.2">
      <c r="A23" s="8" t="s">
        <v>18</v>
      </c>
      <c r="B23" s="9"/>
      <c r="C23" s="79">
        <v>15625</v>
      </c>
      <c r="D23" s="79">
        <v>15625</v>
      </c>
      <c r="E23" s="11">
        <v>15625</v>
      </c>
      <c r="F23" s="11">
        <v>15625</v>
      </c>
      <c r="G23" s="79">
        <v>15625</v>
      </c>
      <c r="H23" s="79">
        <v>15625</v>
      </c>
      <c r="I23" s="11">
        <v>15625</v>
      </c>
      <c r="J23" s="11">
        <v>15625</v>
      </c>
      <c r="K23" s="11">
        <v>15625</v>
      </c>
      <c r="L23" s="11">
        <v>15625</v>
      </c>
      <c r="M23" s="11">
        <v>15625</v>
      </c>
      <c r="N23" s="11">
        <v>15625</v>
      </c>
      <c r="O23" s="11">
        <v>15625</v>
      </c>
      <c r="P23" s="11">
        <v>15625</v>
      </c>
    </row>
    <row r="24" spans="1:16" x14ac:dyDescent="0.2">
      <c r="A24" s="8" t="s">
        <v>19</v>
      </c>
      <c r="B24" s="9"/>
      <c r="C24" s="79">
        <v>0</v>
      </c>
      <c r="D24" s="79">
        <v>0</v>
      </c>
      <c r="E24" s="11">
        <v>0</v>
      </c>
      <c r="F24" s="11">
        <v>0</v>
      </c>
      <c r="G24" s="79">
        <v>0</v>
      </c>
      <c r="H24" s="79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13.5" thickBot="1" x14ac:dyDescent="0.25">
      <c r="A25" s="105" t="s">
        <v>21</v>
      </c>
      <c r="B25" s="102"/>
      <c r="C25" s="12">
        <f>SUM(C19:C24)</f>
        <v>4503582.5694779102</v>
      </c>
      <c r="D25" s="12">
        <f>SUM(D19:D24)</f>
        <v>6287275.818419341</v>
      </c>
      <c r="E25" s="12">
        <f t="shared" ref="E25:P25" si="6">SUM(E19:E24)</f>
        <v>2929155.3339557173</v>
      </c>
      <c r="F25" s="12">
        <f t="shared" ref="F25" si="7">SUM(F19:F24)</f>
        <v>4670657.3470043177</v>
      </c>
      <c r="G25" s="12">
        <f t="shared" si="6"/>
        <v>5852414.3113984987</v>
      </c>
      <c r="H25" s="12">
        <f t="shared" si="6"/>
        <v>4960922.9036167087</v>
      </c>
      <c r="I25" s="12">
        <f t="shared" si="6"/>
        <v>5357483.4265465513</v>
      </c>
      <c r="J25" s="12">
        <f t="shared" si="6"/>
        <v>6198020.1219257992</v>
      </c>
      <c r="K25" s="12">
        <f t="shared" si="6"/>
        <v>6066441.3465077821</v>
      </c>
      <c r="L25" s="12">
        <f t="shared" si="6"/>
        <v>5398123.7784431335</v>
      </c>
      <c r="M25" s="12">
        <f t="shared" si="6"/>
        <v>5038882.9538679216</v>
      </c>
      <c r="N25" s="12">
        <f t="shared" si="6"/>
        <v>5132053.9470198648</v>
      </c>
      <c r="O25" s="12">
        <f t="shared" si="6"/>
        <v>4769909.1728709862</v>
      </c>
      <c r="P25" s="12">
        <f t="shared" si="6"/>
        <v>5297479.3261068743</v>
      </c>
    </row>
    <row r="26" spans="1:16" ht="13.5" thickTop="1" x14ac:dyDescent="0.2">
      <c r="A26" s="8" t="s">
        <v>22</v>
      </c>
      <c r="B26" s="9"/>
      <c r="C26" s="80">
        <v>53254.290000000008</v>
      </c>
      <c r="D26" s="80">
        <v>53254.290000000008</v>
      </c>
      <c r="E26" s="13">
        <v>65146.790000000008</v>
      </c>
      <c r="F26" s="13">
        <v>77252</v>
      </c>
      <c r="G26" s="80">
        <v>78929.73</v>
      </c>
      <c r="H26" s="80">
        <v>54380.59</v>
      </c>
      <c r="I26" s="13">
        <v>102123</v>
      </c>
      <c r="J26" s="13">
        <v>70149.3</v>
      </c>
      <c r="K26" s="13">
        <v>153756.9</v>
      </c>
      <c r="L26" s="13">
        <v>74862.25</v>
      </c>
      <c r="M26" s="13">
        <v>341633.41</v>
      </c>
      <c r="N26" s="13">
        <v>318454.71000000002</v>
      </c>
      <c r="O26" s="13">
        <v>664304.62</v>
      </c>
      <c r="P26" s="13">
        <v>245271.78</v>
      </c>
    </row>
    <row r="27" spans="1:16" ht="13.5" thickBot="1" x14ac:dyDescent="0.25">
      <c r="A27" s="105" t="s">
        <v>23</v>
      </c>
      <c r="B27" s="102"/>
      <c r="C27" s="12">
        <f>C26</f>
        <v>53254.290000000008</v>
      </c>
      <c r="D27" s="12">
        <f>D26</f>
        <v>53254.290000000008</v>
      </c>
      <c r="E27" s="12">
        <f t="shared" ref="E27:H27" si="8">E26</f>
        <v>65146.790000000008</v>
      </c>
      <c r="F27" s="12">
        <f t="shared" ref="F27" si="9">F26</f>
        <v>77252</v>
      </c>
      <c r="G27" s="12">
        <f t="shared" si="8"/>
        <v>78929.73</v>
      </c>
      <c r="H27" s="12">
        <f t="shared" si="8"/>
        <v>54380.59</v>
      </c>
      <c r="I27" s="12">
        <f t="shared" ref="I27:J27" si="10">I26</f>
        <v>102123</v>
      </c>
      <c r="J27" s="12">
        <f t="shared" si="10"/>
        <v>70149.3</v>
      </c>
      <c r="K27" s="12">
        <f t="shared" ref="K27:L27" si="11">K26</f>
        <v>153756.9</v>
      </c>
      <c r="L27" s="12">
        <f t="shared" si="11"/>
        <v>74862.25</v>
      </c>
      <c r="M27" s="12">
        <f t="shared" ref="M27" si="12">M26</f>
        <v>341633.41</v>
      </c>
      <c r="N27" s="12">
        <f t="shared" ref="N27:O27" si="13">N26</f>
        <v>318454.71000000002</v>
      </c>
      <c r="O27" s="12">
        <f t="shared" si="13"/>
        <v>664304.62</v>
      </c>
      <c r="P27" s="12">
        <f t="shared" ref="P27" si="14">P26</f>
        <v>245271.78</v>
      </c>
    </row>
    <row r="28" spans="1:16" ht="13.5" thickTop="1" x14ac:dyDescent="0.2">
      <c r="A28" s="106" t="s">
        <v>24</v>
      </c>
      <c r="B28" s="103">
        <v>3.5200000000000002E-2</v>
      </c>
      <c r="C28" s="84">
        <f>C8*$B$28/12</f>
        <v>970439.62420533353</v>
      </c>
      <c r="D28" s="84">
        <f>D8*$B$28/12</f>
        <v>1746320.1229466668</v>
      </c>
      <c r="E28" s="84">
        <f t="shared" ref="E28" si="15">E8*$B$28/12</f>
        <v>970499.2676426667</v>
      </c>
      <c r="F28" s="84">
        <f t="shared" ref="F28" si="16">F8*$B$28/12</f>
        <v>1746003.6161040002</v>
      </c>
      <c r="G28" s="84">
        <f t="shared" ref="G28:H28" si="17">G8*$B$28/12</f>
        <v>1746003.6156346675</v>
      </c>
      <c r="H28" s="84">
        <f t="shared" si="17"/>
        <v>1747006.7715173333</v>
      </c>
      <c r="I28" s="84">
        <f t="shared" ref="I28:J28" si="18">I8*$B$28/12</f>
        <v>1747346.9985546672</v>
      </c>
      <c r="J28" s="84">
        <f t="shared" si="18"/>
        <v>1747505.4906613335</v>
      </c>
      <c r="K28" s="84">
        <f t="shared" ref="K28:L28" si="19">K8*$B$28/12</f>
        <v>1747602.8457946668</v>
      </c>
      <c r="L28" s="84">
        <f t="shared" si="19"/>
        <v>1747725.1379866668</v>
      </c>
      <c r="M28" s="84">
        <f t="shared" ref="M28:N28" si="20">M8*$B$28/12</f>
        <v>1747970.8827973341</v>
      </c>
      <c r="N28" s="84">
        <f t="shared" si="20"/>
        <v>1748246.1934960003</v>
      </c>
      <c r="O28" s="84">
        <f t="shared" ref="O28:P28" si="21">O8*$B$28/12</f>
        <v>1748524.6855120005</v>
      </c>
      <c r="P28" s="84">
        <f t="shared" si="21"/>
        <v>1748751.8107840002</v>
      </c>
    </row>
    <row r="29" spans="1:16" ht="13.5" thickBot="1" x14ac:dyDescent="0.25">
      <c r="A29" s="107" t="s">
        <v>26</v>
      </c>
      <c r="B29" s="102"/>
      <c r="C29" s="12">
        <f>SUM(C28:C28)</f>
        <v>970439.62420533353</v>
      </c>
      <c r="D29" s="12">
        <f>SUM(D28:D28)</f>
        <v>1746320.1229466668</v>
      </c>
      <c r="E29" s="12">
        <f t="shared" ref="E29:H29" si="22">SUM(E28:E28)</f>
        <v>970499.2676426667</v>
      </c>
      <c r="F29" s="12">
        <f t="shared" ref="F29" si="23">SUM(F28:F28)</f>
        <v>1746003.6161040002</v>
      </c>
      <c r="G29" s="12">
        <f t="shared" si="22"/>
        <v>1746003.6156346675</v>
      </c>
      <c r="H29" s="12">
        <f t="shared" si="22"/>
        <v>1747006.7715173333</v>
      </c>
      <c r="I29" s="12">
        <f t="shared" ref="I29:J29" si="24">SUM(I28:I28)</f>
        <v>1747346.9985546672</v>
      </c>
      <c r="J29" s="12">
        <f t="shared" si="24"/>
        <v>1747505.4906613335</v>
      </c>
      <c r="K29" s="12">
        <f t="shared" ref="K29:L29" si="25">SUM(K28:K28)</f>
        <v>1747602.8457946668</v>
      </c>
      <c r="L29" s="12">
        <f t="shared" si="25"/>
        <v>1747725.1379866668</v>
      </c>
      <c r="M29" s="12">
        <f t="shared" ref="M29:N29" si="26">SUM(M28:M28)</f>
        <v>1747970.8827973341</v>
      </c>
      <c r="N29" s="12">
        <f t="shared" si="26"/>
        <v>1748246.1934960003</v>
      </c>
      <c r="O29" s="12">
        <f t="shared" ref="O29:P29" si="27">SUM(O28:O28)</f>
        <v>1748524.6855120005</v>
      </c>
      <c r="P29" s="12">
        <f t="shared" si="27"/>
        <v>1748751.8107840002</v>
      </c>
    </row>
    <row r="30" spans="1:16" ht="13.5" thickTop="1" x14ac:dyDescent="0.2">
      <c r="A30" s="107" t="s">
        <v>27</v>
      </c>
      <c r="B30" s="102"/>
      <c r="C30" s="85">
        <f>SUM(C20:C24)+C27+C29</f>
        <v>4396291.9142053332</v>
      </c>
      <c r="D30" s="85">
        <f>SUM(D20:D24)+D27+D29</f>
        <v>5241953.2329466669</v>
      </c>
      <c r="E30" s="85">
        <f t="shared" ref="E30:H30" si="28">SUM(E20:E24)+E27+E29</f>
        <v>2808514.5876426669</v>
      </c>
      <c r="F30" s="85">
        <f t="shared" ref="F30" si="29">SUM(F20:F24)+F27+F29</f>
        <v>3608015.1461040005</v>
      </c>
      <c r="G30" s="85">
        <f t="shared" si="28"/>
        <v>4634070.5156346671</v>
      </c>
      <c r="H30" s="85">
        <f t="shared" si="28"/>
        <v>3653079.2915173331</v>
      </c>
      <c r="I30" s="85">
        <f t="shared" ref="I30:J30" si="30">SUM(I20:I24)+I27+I29</f>
        <v>4094455.8985546669</v>
      </c>
      <c r="J30" s="85">
        <f t="shared" si="30"/>
        <v>4864249.9806613335</v>
      </c>
      <c r="K30" s="85">
        <f t="shared" ref="K30:L30" si="31">SUM(K20:K24)+K27+K29</f>
        <v>5045420.4457946671</v>
      </c>
      <c r="L30" s="85">
        <f t="shared" si="31"/>
        <v>4201078.2079866668</v>
      </c>
      <c r="M30" s="85">
        <f t="shared" ref="M30:N30" si="32">SUM(M20:M24)+M27+M29</f>
        <v>4038456.9727973342</v>
      </c>
      <c r="N30" s="85">
        <f t="shared" si="32"/>
        <v>4127993.943496</v>
      </c>
      <c r="O30" s="85">
        <f t="shared" ref="O30:P30" si="33">SUM(O20:O24)+O27+O29</f>
        <v>4017351.3855120009</v>
      </c>
      <c r="P30" s="85">
        <f t="shared" si="33"/>
        <v>4060796.1807840001</v>
      </c>
    </row>
    <row r="31" spans="1:16" x14ac:dyDescent="0.2">
      <c r="A31" s="107" t="s">
        <v>28</v>
      </c>
      <c r="B31" s="102"/>
      <c r="C31" s="86"/>
      <c r="D31" s="86">
        <v>4095040</v>
      </c>
      <c r="E31" s="110"/>
      <c r="F31" s="110">
        <v>4095040</v>
      </c>
      <c r="G31" s="86">
        <v>1737730.0122639998</v>
      </c>
      <c r="H31" s="86">
        <v>3315848.5061280001</v>
      </c>
      <c r="I31" s="23">
        <v>3302989.5211306671</v>
      </c>
      <c r="J31" s="23">
        <v>4368635.5639520008</v>
      </c>
      <c r="K31" s="23">
        <v>4530217.0923840003</v>
      </c>
      <c r="L31" s="23">
        <v>4447361.5348906666</v>
      </c>
      <c r="M31" s="23">
        <v>3537444.0349333333</v>
      </c>
      <c r="N31" s="23">
        <v>4053021.2484533335</v>
      </c>
      <c r="O31" s="23">
        <v>4093687.7187546669</v>
      </c>
      <c r="P31" s="23">
        <v>4604609.0598373329</v>
      </c>
    </row>
    <row r="32" spans="1:16" ht="13.5" thickBot="1" x14ac:dyDescent="0.25">
      <c r="A32" s="107" t="s">
        <v>29</v>
      </c>
      <c r="B32" s="102"/>
      <c r="C32" s="12">
        <f>C30-C31</f>
        <v>4396291.9142053332</v>
      </c>
      <c r="D32" s="12">
        <f>D30-D31</f>
        <v>1146913.2329466669</v>
      </c>
      <c r="E32" s="12">
        <f t="shared" ref="E32:H32" si="34">E30-E31</f>
        <v>2808514.5876426669</v>
      </c>
      <c r="F32" s="12">
        <f t="shared" ref="F32" si="35">F30-F31</f>
        <v>-487024.85389599949</v>
      </c>
      <c r="G32" s="12">
        <f t="shared" si="34"/>
        <v>2896340.5033706673</v>
      </c>
      <c r="H32" s="12">
        <f t="shared" si="34"/>
        <v>337230.78538933303</v>
      </c>
      <c r="I32" s="12">
        <f t="shared" ref="I32:J32" si="36">I30-I31</f>
        <v>791466.37742399983</v>
      </c>
      <c r="J32" s="12">
        <f t="shared" si="36"/>
        <v>495614.41670933273</v>
      </c>
      <c r="K32" s="12">
        <f t="shared" ref="K32:L32" si="37">K30-K31</f>
        <v>515203.35341066681</v>
      </c>
      <c r="L32" s="12">
        <f t="shared" si="37"/>
        <v>-246283.32690399978</v>
      </c>
      <c r="M32" s="12">
        <f t="shared" ref="M32:N32" si="38">M30-M31</f>
        <v>501012.93786400091</v>
      </c>
      <c r="N32" s="12">
        <f t="shared" si="38"/>
        <v>74972.695042666513</v>
      </c>
      <c r="O32" s="12">
        <f t="shared" ref="O32:P32" si="39">O30-O31</f>
        <v>-76336.333242665976</v>
      </c>
      <c r="P32" s="12">
        <f t="shared" si="39"/>
        <v>-543812.87905333284</v>
      </c>
    </row>
    <row r="33" spans="1:16" ht="13.5" thickTop="1" x14ac:dyDescent="0.2">
      <c r="A33" s="107" t="s">
        <v>35</v>
      </c>
      <c r="B33" s="100">
        <v>5.4250000000000001E-3</v>
      </c>
      <c r="C33" s="85"/>
      <c r="D33" s="85">
        <f>D31*$B$33</f>
        <v>22215.592000000001</v>
      </c>
      <c r="E33" s="85">
        <f t="shared" ref="E33" si="40">E31*$B$33</f>
        <v>0</v>
      </c>
      <c r="F33" s="85">
        <f t="shared" ref="F33:P33" si="41">F32*$B$33</f>
        <v>-2642.1098323857973</v>
      </c>
      <c r="G33" s="85">
        <f t="shared" si="41"/>
        <v>15712.647230785871</v>
      </c>
      <c r="H33" s="85">
        <f t="shared" si="41"/>
        <v>1829.4770107371316</v>
      </c>
      <c r="I33" s="85">
        <f t="shared" si="41"/>
        <v>4293.7050975251996</v>
      </c>
      <c r="J33" s="85">
        <f t="shared" si="41"/>
        <v>2688.7082106481303</v>
      </c>
      <c r="K33" s="85">
        <f t="shared" si="41"/>
        <v>2794.9781922528673</v>
      </c>
      <c r="L33" s="85">
        <f t="shared" si="41"/>
        <v>-1336.0870484541988</v>
      </c>
      <c r="M33" s="85">
        <f t="shared" si="41"/>
        <v>2717.995187912205</v>
      </c>
      <c r="N33" s="85">
        <f t="shared" si="41"/>
        <v>406.72687060646587</v>
      </c>
      <c r="O33" s="85">
        <f t="shared" si="41"/>
        <v>-414.12460784146293</v>
      </c>
      <c r="P33" s="85">
        <f t="shared" si="41"/>
        <v>-2950.1848688643308</v>
      </c>
    </row>
    <row r="34" spans="1:16" x14ac:dyDescent="0.2">
      <c r="A34" s="107" t="s">
        <v>30</v>
      </c>
      <c r="B34" s="102"/>
      <c r="C34" s="85">
        <f t="shared" ref="C34:P34" si="42">C33+C29+C27+C25</f>
        <v>5527276.4836832434</v>
      </c>
      <c r="D34" s="85">
        <f t="shared" si="42"/>
        <v>8109065.8233660078</v>
      </c>
      <c r="E34" s="85">
        <f t="shared" si="42"/>
        <v>3964801.3915983839</v>
      </c>
      <c r="F34" s="85">
        <f t="shared" si="42"/>
        <v>6491270.8532759324</v>
      </c>
      <c r="G34" s="85">
        <f t="shared" si="42"/>
        <v>7693060.3042639522</v>
      </c>
      <c r="H34" s="85">
        <f t="shared" si="42"/>
        <v>6764139.7421447793</v>
      </c>
      <c r="I34" s="85">
        <f t="shared" si="42"/>
        <v>7211247.1301987432</v>
      </c>
      <c r="J34" s="85">
        <f t="shared" si="42"/>
        <v>8018363.6207977813</v>
      </c>
      <c r="K34" s="85">
        <f t="shared" si="42"/>
        <v>7970596.0704947021</v>
      </c>
      <c r="L34" s="85">
        <f t="shared" si="42"/>
        <v>7219375.0793813458</v>
      </c>
      <c r="M34" s="85">
        <f t="shared" si="42"/>
        <v>7131205.2418531682</v>
      </c>
      <c r="N34" s="85">
        <f t="shared" si="42"/>
        <v>7199161.5773864714</v>
      </c>
      <c r="O34" s="85">
        <f t="shared" si="42"/>
        <v>7182324.3537751455</v>
      </c>
      <c r="P34" s="85">
        <f t="shared" si="42"/>
        <v>7288552.7320220098</v>
      </c>
    </row>
    <row r="35" spans="1:16" x14ac:dyDescent="0.2">
      <c r="A35" s="107" t="s">
        <v>93</v>
      </c>
      <c r="B35" s="102"/>
      <c r="C35" s="85"/>
      <c r="D35" s="85"/>
      <c r="E35" s="85"/>
      <c r="F35" s="85">
        <v>-149</v>
      </c>
      <c r="G35" s="85"/>
      <c r="H35" s="85"/>
      <c r="I35" s="85"/>
      <c r="J35" s="85"/>
      <c r="K35" s="85"/>
      <c r="L35" s="85"/>
      <c r="M35" s="85"/>
      <c r="N35" s="85"/>
      <c r="O35" s="85"/>
      <c r="P35" s="85"/>
    </row>
    <row r="36" spans="1:16" ht="13.5" thickBot="1" x14ac:dyDescent="0.25">
      <c r="A36" s="108" t="s">
        <v>31</v>
      </c>
      <c r="B36" s="104">
        <v>0.15</v>
      </c>
      <c r="C36" s="87">
        <f>C34*$B$36</f>
        <v>829091.47255248646</v>
      </c>
      <c r="D36" s="87">
        <f>D34*$B$36</f>
        <v>1216359.8735049011</v>
      </c>
      <c r="E36" s="87">
        <f t="shared" ref="E36:H36" si="43">E34*$B$36</f>
        <v>594720.20873975754</v>
      </c>
      <c r="F36" s="111">
        <f>(F34*$B$36)+F35</f>
        <v>973541.62799138983</v>
      </c>
      <c r="G36" s="87">
        <f t="shared" si="43"/>
        <v>1153959.0456395927</v>
      </c>
      <c r="H36" s="87">
        <f t="shared" si="43"/>
        <v>1014620.9613217169</v>
      </c>
      <c r="I36" s="87">
        <f t="shared" ref="I36:J36" si="44">I34*$B$36</f>
        <v>1081687.0695298114</v>
      </c>
      <c r="J36" s="87">
        <f t="shared" si="44"/>
        <v>1202754.5431196671</v>
      </c>
      <c r="K36" s="87">
        <f t="shared" ref="K36:L36" si="45">K34*$B$36</f>
        <v>1195589.4105742052</v>
      </c>
      <c r="L36" s="87">
        <f t="shared" si="45"/>
        <v>1082906.2619072017</v>
      </c>
      <c r="M36" s="87">
        <f t="shared" ref="M36:N36" si="46">M34*$B$36</f>
        <v>1069680.7862779752</v>
      </c>
      <c r="N36" s="87">
        <f t="shared" si="46"/>
        <v>1079874.2366079707</v>
      </c>
      <c r="O36" s="87">
        <f t="shared" ref="O36:P36" si="47">O34*$B$36</f>
        <v>1077348.6530662717</v>
      </c>
      <c r="P36" s="87">
        <f t="shared" si="47"/>
        <v>1093282.9098033013</v>
      </c>
    </row>
    <row r="37" spans="1:16" s="53" customFormat="1" x14ac:dyDescent="0.2">
      <c r="P37" s="131"/>
    </row>
    <row r="38" spans="1:16" x14ac:dyDescent="0.2">
      <c r="A38" s="2" t="s">
        <v>32</v>
      </c>
      <c r="E38" s="53"/>
      <c r="F38" s="53"/>
      <c r="G38" s="133"/>
    </row>
    <row r="39" spans="1:16" x14ac:dyDescent="0.2">
      <c r="A39" s="53"/>
      <c r="E39" s="53"/>
      <c r="F39" s="53"/>
    </row>
  </sheetData>
  <mergeCells count="1">
    <mergeCell ref="C5:P5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O26" sqref="O26"/>
    </sheetView>
  </sheetViews>
  <sheetFormatPr defaultRowHeight="12.75" x14ac:dyDescent="0.2"/>
  <cols>
    <col min="1" max="1" width="56.28515625" style="2" customWidth="1"/>
    <col min="2" max="2" width="10.7109375" style="2" customWidth="1"/>
    <col min="3" max="14" width="14.7109375" style="2" customWidth="1"/>
    <col min="15" max="15" width="9.85546875" style="2" bestFit="1" customWidth="1"/>
    <col min="16" max="16384" width="9.140625" style="2"/>
  </cols>
  <sheetData>
    <row r="1" spans="1:14" x14ac:dyDescent="0.2">
      <c r="A1" s="1" t="s">
        <v>33</v>
      </c>
    </row>
    <row r="2" spans="1:14" x14ac:dyDescent="0.2">
      <c r="A2" s="1" t="s">
        <v>34</v>
      </c>
    </row>
    <row r="3" spans="1:14" x14ac:dyDescent="0.2">
      <c r="A3" s="3" t="s">
        <v>0</v>
      </c>
    </row>
    <row r="4" spans="1:14" s="98" customFormat="1" ht="12" customHeight="1" thickBot="1" x14ac:dyDescent="0.25">
      <c r="A4" s="97"/>
      <c r="C4" s="119">
        <v>2017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x14ac:dyDescent="0.2">
      <c r="A5" s="5" t="s">
        <v>1</v>
      </c>
      <c r="B5" s="101"/>
      <c r="C5" s="89" t="s">
        <v>36</v>
      </c>
      <c r="D5" s="77" t="s">
        <v>37</v>
      </c>
      <c r="E5" s="89" t="s">
        <v>38</v>
      </c>
      <c r="F5" s="88" t="s">
        <v>39</v>
      </c>
      <c r="G5" s="6" t="s">
        <v>40</v>
      </c>
      <c r="H5" s="6" t="s">
        <v>41</v>
      </c>
      <c r="I5" s="6" t="s">
        <v>42</v>
      </c>
      <c r="J5" s="6" t="s">
        <v>43</v>
      </c>
      <c r="K5" s="6" t="s">
        <v>44</v>
      </c>
      <c r="L5" s="6" t="s">
        <v>45</v>
      </c>
      <c r="M5" s="6" t="s">
        <v>46</v>
      </c>
      <c r="N5" s="6" t="s">
        <v>47</v>
      </c>
    </row>
    <row r="6" spans="1:14" x14ac:dyDescent="0.2">
      <c r="A6" s="8"/>
      <c r="B6" s="9"/>
      <c r="C6" s="8"/>
      <c r="D6" s="9"/>
      <c r="E6" s="8"/>
      <c r="F6" s="8"/>
      <c r="G6" s="9"/>
      <c r="H6" s="9"/>
      <c r="I6" s="9"/>
      <c r="J6" s="9"/>
      <c r="K6" s="9"/>
      <c r="L6" s="9"/>
      <c r="M6" s="9"/>
      <c r="N6" s="9"/>
    </row>
    <row r="7" spans="1:14" x14ac:dyDescent="0.2">
      <c r="A7" s="8" t="s">
        <v>2</v>
      </c>
      <c r="B7" s="9"/>
      <c r="C7" s="78">
        <v>316561760.56</v>
      </c>
      <c r="D7" s="10">
        <v>326759495.91000003</v>
      </c>
      <c r="E7" s="78">
        <v>326771461.91000003</v>
      </c>
      <c r="F7" s="78">
        <v>326778690.98000002</v>
      </c>
      <c r="G7" s="10">
        <v>326788398.07999998</v>
      </c>
      <c r="H7" s="10">
        <v>326791837.39999998</v>
      </c>
      <c r="I7" s="10">
        <v>326796928.49000001</v>
      </c>
      <c r="J7" s="10">
        <v>330558909.38</v>
      </c>
      <c r="K7" s="10">
        <v>330568777.98000002</v>
      </c>
      <c r="L7" s="10">
        <v>330665918.12</v>
      </c>
      <c r="M7" s="10">
        <v>330682917.74000001</v>
      </c>
      <c r="N7" s="10">
        <v>330722402.56999999</v>
      </c>
    </row>
    <row r="8" spans="1:14" x14ac:dyDescent="0.2">
      <c r="A8" s="8" t="s">
        <v>4</v>
      </c>
      <c r="B8" s="9"/>
      <c r="C8" s="79">
        <v>56182643.609999985</v>
      </c>
      <c r="D8" s="11">
        <v>58149815.099999994</v>
      </c>
      <c r="E8" s="79">
        <v>57061468.520000003</v>
      </c>
      <c r="F8" s="79">
        <v>58691141.959999993</v>
      </c>
      <c r="G8" s="11">
        <v>60461193.570000008</v>
      </c>
      <c r="H8" s="11">
        <v>62272766.979999997</v>
      </c>
      <c r="I8" s="11">
        <v>64090911.909999996</v>
      </c>
      <c r="J8" s="11">
        <v>65955831.890000008</v>
      </c>
      <c r="K8" s="11">
        <v>66754075.590000004</v>
      </c>
      <c r="L8" s="11">
        <v>68616140.770000011</v>
      </c>
      <c r="M8" s="11">
        <v>70479214.870000005</v>
      </c>
      <c r="N8" s="11">
        <v>72271415.789999992</v>
      </c>
    </row>
    <row r="9" spans="1:14" x14ac:dyDescent="0.2">
      <c r="A9" s="8" t="s">
        <v>5</v>
      </c>
      <c r="B9" s="9"/>
      <c r="C9" s="79">
        <v>46771514</v>
      </c>
      <c r="D9" s="11">
        <v>46526730</v>
      </c>
      <c r="E9" s="79">
        <v>46907836</v>
      </c>
      <c r="F9" s="79">
        <v>47238216</v>
      </c>
      <c r="G9" s="11">
        <v>47069575</v>
      </c>
      <c r="H9" s="11">
        <v>46886220</v>
      </c>
      <c r="I9" s="11">
        <v>47014257</v>
      </c>
      <c r="J9" s="11">
        <v>46897101</v>
      </c>
      <c r="K9" s="11">
        <v>47126394</v>
      </c>
      <c r="L9" s="11">
        <v>46875414</v>
      </c>
      <c r="M9" s="11">
        <v>46855220</v>
      </c>
      <c r="N9" s="11">
        <v>46743912</v>
      </c>
    </row>
    <row r="10" spans="1:14" ht="13.5" thickBot="1" x14ac:dyDescent="0.25">
      <c r="A10" s="8" t="s">
        <v>6</v>
      </c>
      <c r="B10" s="9"/>
      <c r="C10" s="12">
        <f t="shared" ref="C10:N10" si="0">C7+-C8-C9</f>
        <v>213607602.95000002</v>
      </c>
      <c r="D10" s="12">
        <f t="shared" si="0"/>
        <v>222082950.81000006</v>
      </c>
      <c r="E10" s="12">
        <f t="shared" si="0"/>
        <v>222802157.39000005</v>
      </c>
      <c r="F10" s="12">
        <f t="shared" si="0"/>
        <v>220849333.02000004</v>
      </c>
      <c r="G10" s="12">
        <f t="shared" si="0"/>
        <v>219257629.50999999</v>
      </c>
      <c r="H10" s="12">
        <f t="shared" si="0"/>
        <v>217632850.41999999</v>
      </c>
      <c r="I10" s="12">
        <f t="shared" si="0"/>
        <v>215691759.58000001</v>
      </c>
      <c r="J10" s="12">
        <f t="shared" si="0"/>
        <v>217705976.48999998</v>
      </c>
      <c r="K10" s="12">
        <f t="shared" si="0"/>
        <v>216688308.39000002</v>
      </c>
      <c r="L10" s="12">
        <f t="shared" si="0"/>
        <v>215174363.34999999</v>
      </c>
      <c r="M10" s="12">
        <f t="shared" si="0"/>
        <v>213348482.87</v>
      </c>
      <c r="N10" s="12">
        <f t="shared" si="0"/>
        <v>211707074.78</v>
      </c>
    </row>
    <row r="11" spans="1:14" ht="13.5" thickTop="1" x14ac:dyDescent="0.2">
      <c r="A11" s="8" t="s">
        <v>10</v>
      </c>
      <c r="B11" s="9"/>
      <c r="C11" s="81">
        <v>4217747</v>
      </c>
      <c r="D11" s="14">
        <v>4333801</v>
      </c>
      <c r="E11" s="81">
        <v>4490229</v>
      </c>
      <c r="F11" s="81">
        <v>4368459</v>
      </c>
      <c r="G11" s="14">
        <v>4431097</v>
      </c>
      <c r="H11" s="14">
        <v>4336855</v>
      </c>
      <c r="I11" s="14">
        <v>4582535</v>
      </c>
      <c r="J11" s="14">
        <v>4561915</v>
      </c>
      <c r="K11" s="14">
        <v>4668819</v>
      </c>
      <c r="L11" s="14">
        <v>4587497</v>
      </c>
      <c r="M11" s="14">
        <v>4412020</v>
      </c>
      <c r="N11" s="14">
        <v>4475083</v>
      </c>
    </row>
    <row r="12" spans="1:14" ht="13.5" thickBot="1" x14ac:dyDescent="0.25">
      <c r="A12" s="105" t="s">
        <v>11</v>
      </c>
      <c r="B12" s="102"/>
      <c r="C12" s="12">
        <f t="shared" ref="C12:N12" si="1">SUM(C10:C11)</f>
        <v>217825349.95000002</v>
      </c>
      <c r="D12" s="12">
        <f t="shared" si="1"/>
        <v>226416751.81000006</v>
      </c>
      <c r="E12" s="12">
        <f t="shared" si="1"/>
        <v>227292386.39000005</v>
      </c>
      <c r="F12" s="12">
        <f t="shared" si="1"/>
        <v>225217792.02000004</v>
      </c>
      <c r="G12" s="12">
        <f t="shared" si="1"/>
        <v>223688726.50999999</v>
      </c>
      <c r="H12" s="12">
        <f t="shared" si="1"/>
        <v>221969705.41999999</v>
      </c>
      <c r="I12" s="12">
        <f t="shared" si="1"/>
        <v>220274294.58000001</v>
      </c>
      <c r="J12" s="12">
        <f t="shared" si="1"/>
        <v>222267891.48999998</v>
      </c>
      <c r="K12" s="12">
        <f t="shared" si="1"/>
        <v>221357127.39000002</v>
      </c>
      <c r="L12" s="12">
        <f t="shared" si="1"/>
        <v>219761860.34999999</v>
      </c>
      <c r="M12" s="12">
        <f t="shared" si="1"/>
        <v>217760502.87</v>
      </c>
      <c r="N12" s="12">
        <f t="shared" si="1"/>
        <v>216182157.78</v>
      </c>
    </row>
    <row r="13" spans="1:14" ht="13.5" thickTop="1" x14ac:dyDescent="0.2">
      <c r="A13" s="8" t="s">
        <v>12</v>
      </c>
      <c r="B13" s="9"/>
      <c r="C13" s="82"/>
      <c r="D13" s="75"/>
      <c r="E13" s="82"/>
      <c r="F13" s="82"/>
      <c r="G13" s="75"/>
      <c r="H13" s="75"/>
      <c r="I13" s="75"/>
      <c r="J13" s="75"/>
      <c r="K13" s="75"/>
      <c r="L13" s="75"/>
      <c r="M13" s="75"/>
      <c r="N13" s="75"/>
    </row>
    <row r="14" spans="1:14" x14ac:dyDescent="0.2">
      <c r="A14" s="8" t="s">
        <v>13</v>
      </c>
      <c r="B14" s="9"/>
      <c r="C14" s="83">
        <v>7.0978333333333336E-3</v>
      </c>
      <c r="D14" s="76">
        <v>7.3845833333333333E-3</v>
      </c>
      <c r="E14" s="83">
        <v>7.2945833333333335E-3</v>
      </c>
      <c r="F14" s="83">
        <v>7.4499166666666672E-3</v>
      </c>
      <c r="G14" s="76">
        <v>7.4459166666666667E-3</v>
      </c>
      <c r="H14" s="76">
        <v>7.3573333333333338E-3</v>
      </c>
      <c r="I14" s="76">
        <v>6.9586666666666677E-3</v>
      </c>
      <c r="J14" s="76">
        <v>7.1312499999999996E-3</v>
      </c>
      <c r="K14" s="76">
        <v>7.3359166666666668E-3</v>
      </c>
      <c r="L14" s="76">
        <v>7.7827500000000006E-3</v>
      </c>
      <c r="M14" s="76">
        <v>8.0364166666666674E-3</v>
      </c>
      <c r="N14" s="76">
        <v>8.3922500000000004E-3</v>
      </c>
    </row>
    <row r="15" spans="1:14" x14ac:dyDescent="0.2">
      <c r="A15" s="8" t="s">
        <v>14</v>
      </c>
      <c r="B15" s="9"/>
      <c r="C15" s="84">
        <f t="shared" ref="C15:N15" si="2">C12*C14</f>
        <v>1546088.0297201085</v>
      </c>
      <c r="D15" s="84">
        <f t="shared" si="2"/>
        <v>1671993.3718035964</v>
      </c>
      <c r="E15" s="84">
        <f t="shared" si="2"/>
        <v>1658003.2535540545</v>
      </c>
      <c r="F15" s="84">
        <f t="shared" si="2"/>
        <v>1677853.7823996653</v>
      </c>
      <c r="G15" s="84">
        <f t="shared" si="2"/>
        <v>1665567.6168662508</v>
      </c>
      <c r="H15" s="84">
        <f t="shared" si="2"/>
        <v>1633105.1126767467</v>
      </c>
      <c r="I15" s="84">
        <f t="shared" si="2"/>
        <v>1532815.3912173603</v>
      </c>
      <c r="J15" s="84">
        <f t="shared" si="2"/>
        <v>1585047.9011880623</v>
      </c>
      <c r="K15" s="84">
        <f t="shared" si="2"/>
        <v>1623857.4401057577</v>
      </c>
      <c r="L15" s="84">
        <f t="shared" si="2"/>
        <v>1710351.6186389625</v>
      </c>
      <c r="M15" s="84">
        <f t="shared" si="2"/>
        <v>1750014.1346061828</v>
      </c>
      <c r="N15" s="84">
        <f t="shared" si="2"/>
        <v>1814254.713629205</v>
      </c>
    </row>
    <row r="16" spans="1:14" x14ac:dyDescent="0.2">
      <c r="A16" s="8" t="s">
        <v>15</v>
      </c>
      <c r="B16" s="9"/>
      <c r="C16" s="79">
        <v>1808911.45</v>
      </c>
      <c r="D16" s="11">
        <v>1525793.72</v>
      </c>
      <c r="E16" s="79">
        <v>1069645</v>
      </c>
      <c r="F16" s="79">
        <v>900366</v>
      </c>
      <c r="G16" s="11">
        <v>1613404</v>
      </c>
      <c r="H16" s="11">
        <v>1606469</v>
      </c>
      <c r="I16" s="11">
        <v>2291467</v>
      </c>
      <c r="J16" s="11">
        <v>1899611.33</v>
      </c>
      <c r="K16" s="11">
        <v>1415310</v>
      </c>
      <c r="L16" s="11">
        <v>1855278.6300000001</v>
      </c>
      <c r="M16" s="11">
        <v>1109667.1800000002</v>
      </c>
      <c r="N16" s="11">
        <v>2278685.0699999998</v>
      </c>
    </row>
    <row r="17" spans="1:16" x14ac:dyDescent="0.2">
      <c r="A17" s="8" t="s">
        <v>16</v>
      </c>
      <c r="B17" s="9"/>
      <c r="C17" s="79">
        <v>1220012.45</v>
      </c>
      <c r="D17" s="11">
        <v>1154247.27</v>
      </c>
      <c r="E17" s="79">
        <v>818887.58</v>
      </c>
      <c r="F17" s="79">
        <v>404218</v>
      </c>
      <c r="G17" s="11">
        <v>874814</v>
      </c>
      <c r="H17" s="11">
        <v>977491</v>
      </c>
      <c r="I17" s="11">
        <v>1545128</v>
      </c>
      <c r="J17" s="11">
        <v>1355755.94</v>
      </c>
      <c r="K17" s="11">
        <v>1972077</v>
      </c>
      <c r="L17" s="11">
        <v>567871.14</v>
      </c>
      <c r="M17" s="11">
        <v>569153.65</v>
      </c>
      <c r="N17" s="11">
        <v>1782694.21</v>
      </c>
    </row>
    <row r="18" spans="1:16" x14ac:dyDescent="0.2">
      <c r="A18" s="8" t="s">
        <v>18</v>
      </c>
      <c r="B18" s="9"/>
      <c r="C18" s="79">
        <v>15625</v>
      </c>
      <c r="D18" s="11">
        <v>15625</v>
      </c>
      <c r="E18" s="79">
        <v>15625</v>
      </c>
      <c r="F18" s="79">
        <v>15625</v>
      </c>
      <c r="G18" s="11">
        <v>15625</v>
      </c>
      <c r="H18" s="11">
        <v>15625</v>
      </c>
      <c r="I18" s="11">
        <v>15625</v>
      </c>
      <c r="J18" s="11">
        <v>15625</v>
      </c>
      <c r="K18" s="11">
        <v>15625</v>
      </c>
      <c r="L18" s="11">
        <v>15625</v>
      </c>
      <c r="M18" s="11">
        <v>15625</v>
      </c>
      <c r="N18" s="11">
        <v>15625</v>
      </c>
    </row>
    <row r="19" spans="1:16" x14ac:dyDescent="0.2">
      <c r="A19" s="8" t="s">
        <v>19</v>
      </c>
      <c r="B19" s="9"/>
      <c r="C19" s="79">
        <v>0</v>
      </c>
      <c r="D19" s="11">
        <v>0</v>
      </c>
      <c r="E19" s="79">
        <v>0</v>
      </c>
      <c r="F19" s="79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</row>
    <row r="20" spans="1:16" ht="13.5" thickBot="1" x14ac:dyDescent="0.25">
      <c r="A20" s="105" t="s">
        <v>21</v>
      </c>
      <c r="B20" s="102"/>
      <c r="C20" s="12">
        <f t="shared" ref="C20:N20" si="3">SUM(C15:C19)</f>
        <v>4590636.9297201084</v>
      </c>
      <c r="D20" s="12">
        <f t="shared" si="3"/>
        <v>4367659.3618035968</v>
      </c>
      <c r="E20" s="12">
        <f t="shared" si="3"/>
        <v>3562160.8335540546</v>
      </c>
      <c r="F20" s="12">
        <f t="shared" si="3"/>
        <v>2998062.7823996656</v>
      </c>
      <c r="G20" s="12">
        <f t="shared" si="3"/>
        <v>4169410.6168662505</v>
      </c>
      <c r="H20" s="12">
        <f t="shared" si="3"/>
        <v>4232690.1126767471</v>
      </c>
      <c r="I20" s="12">
        <f t="shared" si="3"/>
        <v>5385035.3912173603</v>
      </c>
      <c r="J20" s="12">
        <f t="shared" si="3"/>
        <v>4856040.1711880621</v>
      </c>
      <c r="K20" s="12">
        <f t="shared" si="3"/>
        <v>5026869.4401057577</v>
      </c>
      <c r="L20" s="12">
        <f t="shared" si="3"/>
        <v>4149126.3886389625</v>
      </c>
      <c r="M20" s="12">
        <f t="shared" si="3"/>
        <v>3444459.9646061831</v>
      </c>
      <c r="N20" s="12">
        <f t="shared" si="3"/>
        <v>5891258.993629205</v>
      </c>
    </row>
    <row r="21" spans="1:16" ht="13.5" thickTop="1" x14ac:dyDescent="0.2">
      <c r="A21" s="8" t="s">
        <v>22</v>
      </c>
      <c r="B21" s="9"/>
      <c r="C21" s="80">
        <v>121911</v>
      </c>
      <c r="D21" s="13">
        <v>87893.59</v>
      </c>
      <c r="E21" s="80">
        <v>157932.22</v>
      </c>
      <c r="F21" s="80">
        <v>94095</v>
      </c>
      <c r="G21" s="13">
        <v>374081</v>
      </c>
      <c r="H21" s="13">
        <v>88476</v>
      </c>
      <c r="I21" s="13">
        <v>65752</v>
      </c>
      <c r="J21" s="13">
        <v>84704.89999999998</v>
      </c>
      <c r="K21" s="13">
        <v>62903.42</v>
      </c>
      <c r="L21" s="13">
        <v>36816.68</v>
      </c>
      <c r="M21" s="13">
        <v>68248.14</v>
      </c>
      <c r="N21" s="13">
        <v>102359.36</v>
      </c>
    </row>
    <row r="22" spans="1:16" ht="13.5" thickBot="1" x14ac:dyDescent="0.25">
      <c r="A22" s="105" t="s">
        <v>23</v>
      </c>
      <c r="B22" s="102"/>
      <c r="C22" s="12">
        <f t="shared" ref="C22:N22" si="4">C21</f>
        <v>121911</v>
      </c>
      <c r="D22" s="12">
        <f t="shared" si="4"/>
        <v>87893.59</v>
      </c>
      <c r="E22" s="12">
        <f t="shared" si="4"/>
        <v>157932.22</v>
      </c>
      <c r="F22" s="12">
        <f t="shared" si="4"/>
        <v>94095</v>
      </c>
      <c r="G22" s="12">
        <f t="shared" si="4"/>
        <v>374081</v>
      </c>
      <c r="H22" s="12">
        <f t="shared" si="4"/>
        <v>88476</v>
      </c>
      <c r="I22" s="12">
        <f t="shared" si="4"/>
        <v>65752</v>
      </c>
      <c r="J22" s="12">
        <f t="shared" si="4"/>
        <v>84704.89999999998</v>
      </c>
      <c r="K22" s="12">
        <f t="shared" si="4"/>
        <v>62903.42</v>
      </c>
      <c r="L22" s="12">
        <f t="shared" si="4"/>
        <v>36816.68</v>
      </c>
      <c r="M22" s="12">
        <f t="shared" si="4"/>
        <v>68248.14</v>
      </c>
      <c r="N22" s="12">
        <f t="shared" si="4"/>
        <v>102359.36</v>
      </c>
    </row>
    <row r="23" spans="1:16" ht="13.5" thickTop="1" x14ac:dyDescent="0.2">
      <c r="A23" s="106" t="s">
        <v>24</v>
      </c>
      <c r="B23" s="103">
        <v>3.5200000000000002E-2</v>
      </c>
      <c r="C23" s="84">
        <f t="shared" ref="C23:N23" si="5">C7*$B$23/12</f>
        <v>928581.16430933343</v>
      </c>
      <c r="D23" s="84">
        <f t="shared" si="5"/>
        <v>958494.52133600006</v>
      </c>
      <c r="E23" s="84">
        <f t="shared" si="5"/>
        <v>958529.62160266691</v>
      </c>
      <c r="F23" s="84">
        <f t="shared" si="5"/>
        <v>958550.82687466685</v>
      </c>
      <c r="G23" s="84">
        <f t="shared" si="5"/>
        <v>958579.3010346666</v>
      </c>
      <c r="H23" s="84">
        <f t="shared" si="5"/>
        <v>958589.38970666658</v>
      </c>
      <c r="I23" s="84">
        <f t="shared" si="5"/>
        <v>958604.32357066672</v>
      </c>
      <c r="J23" s="84">
        <f t="shared" si="5"/>
        <v>969639.46751466673</v>
      </c>
      <c r="K23" s="84">
        <f t="shared" si="5"/>
        <v>969668.415408</v>
      </c>
      <c r="L23" s="84">
        <f t="shared" si="5"/>
        <v>969953.35981866671</v>
      </c>
      <c r="M23" s="84">
        <f t="shared" si="5"/>
        <v>970003.22537066683</v>
      </c>
      <c r="N23" s="84">
        <f t="shared" si="5"/>
        <v>970119.04753866664</v>
      </c>
    </row>
    <row r="24" spans="1:16" ht="13.5" thickBot="1" x14ac:dyDescent="0.25">
      <c r="A24" s="107" t="s">
        <v>26</v>
      </c>
      <c r="B24" s="102"/>
      <c r="C24" s="12">
        <f t="shared" ref="C24:N24" si="6">SUM(C23:C23)</f>
        <v>928581.16430933343</v>
      </c>
      <c r="D24" s="12">
        <f t="shared" si="6"/>
        <v>958494.52133600006</v>
      </c>
      <c r="E24" s="12">
        <f t="shared" si="6"/>
        <v>958529.62160266691</v>
      </c>
      <c r="F24" s="12">
        <f t="shared" si="6"/>
        <v>958550.82687466685</v>
      </c>
      <c r="G24" s="12">
        <f t="shared" si="6"/>
        <v>958579.3010346666</v>
      </c>
      <c r="H24" s="12">
        <f t="shared" si="6"/>
        <v>958589.38970666658</v>
      </c>
      <c r="I24" s="12">
        <f t="shared" si="6"/>
        <v>958604.32357066672</v>
      </c>
      <c r="J24" s="12">
        <f t="shared" si="6"/>
        <v>969639.46751466673</v>
      </c>
      <c r="K24" s="12">
        <f t="shared" si="6"/>
        <v>969668.415408</v>
      </c>
      <c r="L24" s="12">
        <f t="shared" si="6"/>
        <v>969953.35981866671</v>
      </c>
      <c r="M24" s="12">
        <f t="shared" si="6"/>
        <v>970003.22537066683</v>
      </c>
      <c r="N24" s="12">
        <f t="shared" si="6"/>
        <v>970119.04753866664</v>
      </c>
    </row>
    <row r="25" spans="1:16" ht="13.5" thickTop="1" x14ac:dyDescent="0.2">
      <c r="A25" s="107" t="s">
        <v>30</v>
      </c>
      <c r="B25" s="102"/>
      <c r="C25" s="85">
        <f t="shared" ref="C25:N25" si="7">C24+C22+C20</f>
        <v>5641129.0940294415</v>
      </c>
      <c r="D25" s="85">
        <f t="shared" si="7"/>
        <v>5414047.4731395971</v>
      </c>
      <c r="E25" s="85">
        <f t="shared" si="7"/>
        <v>4678622.6751567218</v>
      </c>
      <c r="F25" s="85">
        <f t="shared" si="7"/>
        <v>4050708.6092743324</v>
      </c>
      <c r="G25" s="85">
        <f t="shared" si="7"/>
        <v>5502070.9179009171</v>
      </c>
      <c r="H25" s="85">
        <f t="shared" si="7"/>
        <v>5279755.5023834137</v>
      </c>
      <c r="I25" s="85">
        <f t="shared" si="7"/>
        <v>6409391.7147880271</v>
      </c>
      <c r="J25" s="85">
        <f t="shared" si="7"/>
        <v>5910384.5387027282</v>
      </c>
      <c r="K25" s="85">
        <f t="shared" si="7"/>
        <v>6059441.275513758</v>
      </c>
      <c r="L25" s="85">
        <f t="shared" si="7"/>
        <v>5155896.4284576289</v>
      </c>
      <c r="M25" s="85">
        <f t="shared" si="7"/>
        <v>4482711.3299768502</v>
      </c>
      <c r="N25" s="85">
        <f t="shared" si="7"/>
        <v>6963737.4011678714</v>
      </c>
    </row>
    <row r="26" spans="1:16" ht="13.5" thickBot="1" x14ac:dyDescent="0.25">
      <c r="A26" s="108" t="s">
        <v>31</v>
      </c>
      <c r="B26" s="104">
        <v>0.15</v>
      </c>
      <c r="C26" s="87">
        <f t="shared" ref="C26:N26" si="8">C25*$B$26</f>
        <v>846169.36410441622</v>
      </c>
      <c r="D26" s="87">
        <f t="shared" si="8"/>
        <v>812107.12097093952</v>
      </c>
      <c r="E26" s="87">
        <f t="shared" si="8"/>
        <v>701793.40127350821</v>
      </c>
      <c r="F26" s="87">
        <f t="shared" si="8"/>
        <v>607606.29139114986</v>
      </c>
      <c r="G26" s="87">
        <f t="shared" si="8"/>
        <v>825310.63768513757</v>
      </c>
      <c r="H26" s="87">
        <f t="shared" si="8"/>
        <v>791963.32535751199</v>
      </c>
      <c r="I26" s="87">
        <f t="shared" si="8"/>
        <v>961408.75721820397</v>
      </c>
      <c r="J26" s="87">
        <f t="shared" si="8"/>
        <v>886557.68080540921</v>
      </c>
      <c r="K26" s="87">
        <f t="shared" si="8"/>
        <v>908916.19132706372</v>
      </c>
      <c r="L26" s="87">
        <f t="shared" si="8"/>
        <v>773384.46426864434</v>
      </c>
      <c r="M26" s="87">
        <f t="shared" si="8"/>
        <v>672406.69949652755</v>
      </c>
      <c r="N26" s="87">
        <f t="shared" si="8"/>
        <v>1044560.6101751807</v>
      </c>
      <c r="O26" s="132"/>
    </row>
    <row r="27" spans="1:16" s="53" customFormat="1" x14ac:dyDescent="0.2"/>
    <row r="28" spans="1:16" x14ac:dyDescent="0.2">
      <c r="A28" s="2" t="s">
        <v>32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x14ac:dyDescent="0.2">
      <c r="A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x14ac:dyDescent="0.2"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x14ac:dyDescent="0.2"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</sheetData>
  <mergeCells count="1">
    <mergeCell ref="C4:N4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7" sqref="G17"/>
    </sheetView>
  </sheetViews>
  <sheetFormatPr defaultRowHeight="12.75" x14ac:dyDescent="0.2"/>
  <cols>
    <col min="1" max="1" width="56.28515625" style="2" customWidth="1"/>
    <col min="2" max="2" width="10.7109375" style="2" customWidth="1"/>
    <col min="3" max="14" width="14.7109375" style="2" customWidth="1"/>
    <col min="15" max="15" width="9.85546875" style="2" bestFit="1" customWidth="1"/>
    <col min="16" max="16384" width="9.140625" style="2"/>
  </cols>
  <sheetData>
    <row r="1" spans="1:14" x14ac:dyDescent="0.2">
      <c r="A1" s="1" t="s">
        <v>33</v>
      </c>
    </row>
    <row r="2" spans="1:14" x14ac:dyDescent="0.2">
      <c r="A2" s="1" t="s">
        <v>34</v>
      </c>
    </row>
    <row r="3" spans="1:14" x14ac:dyDescent="0.2">
      <c r="A3" s="3" t="s">
        <v>0</v>
      </c>
    </row>
    <row r="4" spans="1:14" s="98" customFormat="1" ht="12" customHeight="1" thickBot="1" x14ac:dyDescent="0.25">
      <c r="A4" s="97"/>
      <c r="C4" s="119">
        <v>2017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x14ac:dyDescent="0.2">
      <c r="A5" s="5" t="s">
        <v>1</v>
      </c>
      <c r="B5" s="101"/>
      <c r="C5" s="89" t="s">
        <v>36</v>
      </c>
      <c r="D5" s="77" t="s">
        <v>37</v>
      </c>
      <c r="E5" s="89" t="s">
        <v>38</v>
      </c>
      <c r="F5" s="88" t="s">
        <v>39</v>
      </c>
      <c r="G5" s="6" t="s">
        <v>40</v>
      </c>
      <c r="H5" s="6" t="s">
        <v>41</v>
      </c>
      <c r="I5" s="6" t="s">
        <v>42</v>
      </c>
      <c r="J5" s="6" t="s">
        <v>43</v>
      </c>
      <c r="K5" s="6" t="s">
        <v>44</v>
      </c>
      <c r="L5" s="6" t="s">
        <v>45</v>
      </c>
      <c r="M5" s="6" t="s">
        <v>46</v>
      </c>
      <c r="N5" s="6" t="s">
        <v>47</v>
      </c>
    </row>
    <row r="6" spans="1:14" x14ac:dyDescent="0.2">
      <c r="A6" s="8"/>
      <c r="B6" s="9"/>
      <c r="C6" s="8"/>
      <c r="D6" s="9"/>
      <c r="E6" s="8"/>
      <c r="F6" s="8"/>
      <c r="G6" s="9"/>
      <c r="H6" s="9"/>
      <c r="I6" s="9"/>
      <c r="J6" s="9"/>
      <c r="K6" s="9"/>
      <c r="L6" s="9"/>
      <c r="M6" s="9"/>
      <c r="N6" s="9"/>
    </row>
    <row r="7" spans="1:14" x14ac:dyDescent="0.2">
      <c r="A7" s="8" t="s">
        <v>2</v>
      </c>
      <c r="B7" s="9"/>
      <c r="C7" s="78">
        <v>315789410</v>
      </c>
      <c r="D7" s="10">
        <v>315859760.46999997</v>
      </c>
      <c r="E7" s="78">
        <v>316423584.88999999</v>
      </c>
      <c r="F7" s="78">
        <v>316536150.98000008</v>
      </c>
      <c r="G7" s="10">
        <v>316118198.14000005</v>
      </c>
      <c r="H7" s="10">
        <v>316280168.42000008</v>
      </c>
      <c r="I7" s="10">
        <v>316286225.84000003</v>
      </c>
      <c r="J7" s="10">
        <v>316304243.73999995</v>
      </c>
      <c r="K7" s="10">
        <v>316322748.30000001</v>
      </c>
      <c r="L7" s="10">
        <v>315971334.69999999</v>
      </c>
      <c r="M7" s="10">
        <v>316083170.03000003</v>
      </c>
      <c r="N7" s="10">
        <v>316959541.99000001</v>
      </c>
    </row>
    <row r="8" spans="1:14" x14ac:dyDescent="0.2">
      <c r="A8" s="8" t="s">
        <v>4</v>
      </c>
      <c r="B8" s="9"/>
      <c r="C8" s="79">
        <v>35770610</v>
      </c>
      <c r="D8" s="11">
        <v>37275594.250000007</v>
      </c>
      <c r="E8" s="79">
        <v>38943091.850000009</v>
      </c>
      <c r="F8" s="79">
        <v>40532076.579999991</v>
      </c>
      <c r="G8" s="11">
        <v>42039012.919999987</v>
      </c>
      <c r="H8" s="11">
        <v>43551213.910000004</v>
      </c>
      <c r="I8" s="11">
        <v>45291051.380000003</v>
      </c>
      <c r="J8" s="11">
        <v>47047838.880000003</v>
      </c>
      <c r="K8" s="11">
        <v>48778372.729999997</v>
      </c>
      <c r="L8" s="11">
        <v>50641102.810000002</v>
      </c>
      <c r="M8" s="11">
        <v>52322799.980000004</v>
      </c>
      <c r="N8" s="11">
        <v>52496071.620000005</v>
      </c>
    </row>
    <row r="9" spans="1:14" x14ac:dyDescent="0.2">
      <c r="A9" s="8" t="s">
        <v>5</v>
      </c>
      <c r="B9" s="9"/>
      <c r="C9" s="79">
        <v>10926125</v>
      </c>
      <c r="D9" s="11">
        <v>49728123</v>
      </c>
      <c r="E9" s="79">
        <v>49403957</v>
      </c>
      <c r="F9" s="79">
        <v>48787767</v>
      </c>
      <c r="G9" s="11">
        <v>46852159</v>
      </c>
      <c r="H9" s="11">
        <v>46981911</v>
      </c>
      <c r="I9" s="11">
        <v>46706048</v>
      </c>
      <c r="J9" s="11">
        <v>48260852</v>
      </c>
      <c r="K9" s="11">
        <v>47975478</v>
      </c>
      <c r="L9" s="11">
        <v>47645132</v>
      </c>
      <c r="M9" s="11">
        <v>47503019</v>
      </c>
      <c r="N9" s="11">
        <v>47821147</v>
      </c>
    </row>
    <row r="10" spans="1:14" ht="13.5" thickBot="1" x14ac:dyDescent="0.25">
      <c r="A10" s="8" t="s">
        <v>6</v>
      </c>
      <c r="B10" s="9"/>
      <c r="C10" s="12">
        <f t="shared" ref="C10:N10" si="0">C7+-C8-C9</f>
        <v>269092675</v>
      </c>
      <c r="D10" s="12">
        <f t="shared" si="0"/>
        <v>228856043.21999997</v>
      </c>
      <c r="E10" s="12">
        <f t="shared" si="0"/>
        <v>228076536.03999996</v>
      </c>
      <c r="F10" s="12">
        <f t="shared" si="0"/>
        <v>227216307.4000001</v>
      </c>
      <c r="G10" s="12">
        <f t="shared" si="0"/>
        <v>227227026.22000003</v>
      </c>
      <c r="H10" s="12">
        <f t="shared" si="0"/>
        <v>225747043.51000005</v>
      </c>
      <c r="I10" s="12">
        <f t="shared" si="0"/>
        <v>224289126.46000004</v>
      </c>
      <c r="J10" s="12">
        <f t="shared" si="0"/>
        <v>220995552.85999995</v>
      </c>
      <c r="K10" s="12">
        <f t="shared" si="0"/>
        <v>219568897.57000002</v>
      </c>
      <c r="L10" s="12">
        <f t="shared" si="0"/>
        <v>217685099.88999999</v>
      </c>
      <c r="M10" s="12">
        <f t="shared" si="0"/>
        <v>216257351.05000001</v>
      </c>
      <c r="N10" s="12">
        <f t="shared" si="0"/>
        <v>216642323.37</v>
      </c>
    </row>
    <row r="11" spans="1:14" ht="13.5" thickTop="1" x14ac:dyDescent="0.2">
      <c r="A11" s="8" t="s">
        <v>10</v>
      </c>
      <c r="B11" s="9"/>
      <c r="C11" s="81">
        <v>3376320</v>
      </c>
      <c r="D11" s="14">
        <v>3606302</v>
      </c>
      <c r="E11" s="81">
        <v>3705728</v>
      </c>
      <c r="F11" s="81">
        <v>4002377</v>
      </c>
      <c r="G11" s="14">
        <v>4297573</v>
      </c>
      <c r="H11" s="14">
        <v>4407355</v>
      </c>
      <c r="I11" s="14">
        <v>4134556</v>
      </c>
      <c r="J11" s="14">
        <v>4076762</v>
      </c>
      <c r="K11" s="14">
        <v>3898097</v>
      </c>
      <c r="L11" s="14">
        <v>3822694</v>
      </c>
      <c r="M11" s="14">
        <v>3952542</v>
      </c>
      <c r="N11" s="14">
        <v>4143484</v>
      </c>
    </row>
    <row r="12" spans="1:14" ht="13.5" thickBot="1" x14ac:dyDescent="0.25">
      <c r="A12" s="105" t="s">
        <v>11</v>
      </c>
      <c r="B12" s="102"/>
      <c r="C12" s="12">
        <f t="shared" ref="C12:N12" si="1">SUM(C10:C11)</f>
        <v>272468995</v>
      </c>
      <c r="D12" s="12">
        <f t="shared" si="1"/>
        <v>232462345.21999997</v>
      </c>
      <c r="E12" s="12">
        <f t="shared" si="1"/>
        <v>231782264.03999996</v>
      </c>
      <c r="F12" s="12">
        <f t="shared" si="1"/>
        <v>231218684.4000001</v>
      </c>
      <c r="G12" s="12">
        <f t="shared" si="1"/>
        <v>231524599.22000003</v>
      </c>
      <c r="H12" s="12">
        <f t="shared" si="1"/>
        <v>230154398.51000005</v>
      </c>
      <c r="I12" s="12">
        <f t="shared" si="1"/>
        <v>228423682.46000004</v>
      </c>
      <c r="J12" s="12">
        <f t="shared" si="1"/>
        <v>225072314.85999995</v>
      </c>
      <c r="K12" s="12">
        <f t="shared" si="1"/>
        <v>223466994.57000002</v>
      </c>
      <c r="L12" s="12">
        <f t="shared" si="1"/>
        <v>221507793.88999999</v>
      </c>
      <c r="M12" s="12">
        <f t="shared" si="1"/>
        <v>220209893.05000001</v>
      </c>
      <c r="N12" s="12">
        <f t="shared" si="1"/>
        <v>220785807.37</v>
      </c>
    </row>
    <row r="13" spans="1:14" ht="13.5" thickTop="1" x14ac:dyDescent="0.2">
      <c r="A13" s="8" t="s">
        <v>12</v>
      </c>
      <c r="B13" s="9"/>
      <c r="C13" s="82"/>
      <c r="D13" s="75"/>
      <c r="E13" s="82"/>
      <c r="F13" s="82"/>
      <c r="G13" s="75"/>
      <c r="H13" s="75"/>
      <c r="I13" s="75"/>
      <c r="J13" s="75"/>
      <c r="K13" s="75"/>
      <c r="L13" s="75"/>
      <c r="M13" s="75"/>
      <c r="N13" s="75"/>
    </row>
    <row r="14" spans="1:14" x14ac:dyDescent="0.2">
      <c r="A14" s="8" t="s">
        <v>13</v>
      </c>
      <c r="B14" s="9"/>
      <c r="C14" s="83">
        <v>5.9909999999999998E-3</v>
      </c>
      <c r="D14" s="76">
        <v>5.9695833333333337E-3</v>
      </c>
      <c r="E14" s="83">
        <v>7.2728333333333325E-3</v>
      </c>
      <c r="F14" s="83">
        <v>7.2976666666666667E-3</v>
      </c>
      <c r="G14" s="76">
        <v>7.2976666666666667E-3</v>
      </c>
      <c r="H14" s="76">
        <v>7.1102499999999994E-3</v>
      </c>
      <c r="I14" s="76">
        <v>6.4846666666666664E-3</v>
      </c>
      <c r="J14" s="76">
        <v>6.5901666666666669E-3</v>
      </c>
      <c r="K14" s="76">
        <v>6.8582499999999998E-3</v>
      </c>
      <c r="L14" s="76">
        <v>6.8941666666666665E-3</v>
      </c>
      <c r="M14" s="76">
        <v>7.2255833333333339E-3</v>
      </c>
      <c r="N14" s="76">
        <v>7.3147499999999992E-3</v>
      </c>
    </row>
    <row r="15" spans="1:14" x14ac:dyDescent="0.2">
      <c r="A15" s="8" t="s">
        <v>14</v>
      </c>
      <c r="B15" s="9"/>
      <c r="C15" s="84">
        <f t="shared" ref="C15:N15" si="2">C12*C14</f>
        <v>1632361.7490449999</v>
      </c>
      <c r="D15" s="84">
        <f t="shared" si="2"/>
        <v>1387703.3416528916</v>
      </c>
      <c r="E15" s="84">
        <f t="shared" si="2"/>
        <v>1685713.7759855795</v>
      </c>
      <c r="F15" s="84">
        <f t="shared" si="2"/>
        <v>1687356.8858564007</v>
      </c>
      <c r="G15" s="84">
        <f t="shared" si="2"/>
        <v>1689589.3502411535</v>
      </c>
      <c r="H15" s="84">
        <f t="shared" si="2"/>
        <v>1636455.3120057278</v>
      </c>
      <c r="I15" s="84">
        <f t="shared" si="2"/>
        <v>1481251.4395256136</v>
      </c>
      <c r="J15" s="84">
        <f t="shared" si="2"/>
        <v>1483264.0669798765</v>
      </c>
      <c r="K15" s="84">
        <f t="shared" si="2"/>
        <v>1532592.5155097025</v>
      </c>
      <c r="L15" s="84">
        <f t="shared" si="2"/>
        <v>1527111.6490433081</v>
      </c>
      <c r="M15" s="84">
        <f t="shared" si="2"/>
        <v>1591144.933057196</v>
      </c>
      <c r="N15" s="84">
        <f t="shared" si="2"/>
        <v>1614992.9844597073</v>
      </c>
    </row>
    <row r="16" spans="1:14" x14ac:dyDescent="0.2">
      <c r="A16" s="8" t="s">
        <v>15</v>
      </c>
      <c r="B16" s="9"/>
      <c r="C16" s="79">
        <v>1385072</v>
      </c>
      <c r="D16" s="11">
        <v>1041394.02</v>
      </c>
      <c r="E16" s="79">
        <v>482385</v>
      </c>
      <c r="F16" s="79">
        <v>1258566.8</v>
      </c>
      <c r="G16" s="11">
        <v>1567432.87</v>
      </c>
      <c r="H16" s="11">
        <v>2062649</v>
      </c>
      <c r="I16" s="11">
        <v>2044090</v>
      </c>
      <c r="J16" s="11">
        <v>1984393</v>
      </c>
      <c r="K16" s="11">
        <v>1635464</v>
      </c>
      <c r="L16" s="11">
        <v>1789403</v>
      </c>
      <c r="M16" s="11">
        <v>1897438.52</v>
      </c>
      <c r="N16" s="11">
        <v>1985822.14</v>
      </c>
    </row>
    <row r="17" spans="1:16" x14ac:dyDescent="0.2">
      <c r="A17" s="8" t="s">
        <v>16</v>
      </c>
      <c r="B17" s="9"/>
      <c r="C17" s="79">
        <v>1153964</v>
      </c>
      <c r="D17" s="11">
        <v>723044.05</v>
      </c>
      <c r="E17" s="79">
        <v>248535</v>
      </c>
      <c r="F17" s="79">
        <v>1007572.68</v>
      </c>
      <c r="G17" s="11">
        <v>724827.83</v>
      </c>
      <c r="H17" s="11">
        <v>1253450</v>
      </c>
      <c r="I17" s="11">
        <v>1487249</v>
      </c>
      <c r="J17" s="11">
        <v>1452677</v>
      </c>
      <c r="K17" s="11">
        <v>852402</v>
      </c>
      <c r="L17" s="11">
        <v>1268403</v>
      </c>
      <c r="M17" s="11">
        <v>1206427.8999999999</v>
      </c>
      <c r="N17" s="11">
        <v>1530630</v>
      </c>
    </row>
    <row r="18" spans="1:16" x14ac:dyDescent="0.2">
      <c r="A18" s="8" t="s">
        <v>18</v>
      </c>
      <c r="B18" s="9"/>
      <c r="C18" s="79">
        <v>15625</v>
      </c>
      <c r="D18" s="11">
        <v>15625</v>
      </c>
      <c r="E18" s="79">
        <v>15625</v>
      </c>
      <c r="F18" s="79">
        <v>15625</v>
      </c>
      <c r="G18" s="11">
        <v>15625</v>
      </c>
      <c r="H18" s="11">
        <v>15625</v>
      </c>
      <c r="I18" s="11">
        <v>15625</v>
      </c>
      <c r="J18" s="11">
        <v>15625</v>
      </c>
      <c r="K18" s="11">
        <v>15625</v>
      </c>
      <c r="L18" s="11">
        <v>15625</v>
      </c>
      <c r="M18" s="11">
        <v>15625</v>
      </c>
      <c r="N18" s="11">
        <v>15625</v>
      </c>
    </row>
    <row r="19" spans="1:16" x14ac:dyDescent="0.2">
      <c r="A19" s="8" t="s">
        <v>19</v>
      </c>
      <c r="B19" s="9"/>
      <c r="C19" s="79">
        <v>0</v>
      </c>
      <c r="D19" s="11">
        <v>0</v>
      </c>
      <c r="E19" s="79">
        <v>0</v>
      </c>
      <c r="F19" s="79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</row>
    <row r="20" spans="1:16" ht="13.5" thickBot="1" x14ac:dyDescent="0.25">
      <c r="A20" s="105" t="s">
        <v>21</v>
      </c>
      <c r="B20" s="102"/>
      <c r="C20" s="12">
        <f t="shared" ref="C20:N20" si="3">SUM(C15:C19)</f>
        <v>4187022.7490449999</v>
      </c>
      <c r="D20" s="12">
        <f t="shared" si="3"/>
        <v>3167766.4116528919</v>
      </c>
      <c r="E20" s="12">
        <f t="shared" si="3"/>
        <v>2432258.7759855795</v>
      </c>
      <c r="F20" s="12">
        <f t="shared" si="3"/>
        <v>3969121.3658564012</v>
      </c>
      <c r="G20" s="12">
        <f t="shared" si="3"/>
        <v>3997475.0502411537</v>
      </c>
      <c r="H20" s="12">
        <f t="shared" si="3"/>
        <v>4968179.3120057276</v>
      </c>
      <c r="I20" s="12">
        <f t="shared" si="3"/>
        <v>5028215.4395256136</v>
      </c>
      <c r="J20" s="12">
        <f t="shared" si="3"/>
        <v>4935959.0669798767</v>
      </c>
      <c r="K20" s="12">
        <f t="shared" si="3"/>
        <v>4036083.5155097023</v>
      </c>
      <c r="L20" s="12">
        <f t="shared" si="3"/>
        <v>4600542.6490433086</v>
      </c>
      <c r="M20" s="12">
        <f t="shared" si="3"/>
        <v>4710636.3530571964</v>
      </c>
      <c r="N20" s="12">
        <f t="shared" si="3"/>
        <v>5147070.1244597072</v>
      </c>
    </row>
    <row r="21" spans="1:16" ht="13.5" thickTop="1" x14ac:dyDescent="0.2">
      <c r="A21" s="8" t="s">
        <v>22</v>
      </c>
      <c r="B21" s="9"/>
      <c r="C21" s="80">
        <v>17694</v>
      </c>
      <c r="D21" s="13">
        <v>75063</v>
      </c>
      <c r="E21" s="80">
        <v>64126</v>
      </c>
      <c r="F21" s="80">
        <v>106694.81999999999</v>
      </c>
      <c r="G21" s="13">
        <v>68940.61</v>
      </c>
      <c r="H21" s="13">
        <v>110273.24</v>
      </c>
      <c r="I21" s="13">
        <v>56597</v>
      </c>
      <c r="J21" s="13">
        <v>67957.59</v>
      </c>
      <c r="K21" s="13">
        <v>107189.81000000001</v>
      </c>
      <c r="L21" s="13">
        <v>52741</v>
      </c>
      <c r="M21" s="13">
        <v>47019</v>
      </c>
      <c r="N21" s="13">
        <v>142783.93000000002</v>
      </c>
    </row>
    <row r="22" spans="1:16" ht="13.5" thickBot="1" x14ac:dyDescent="0.25">
      <c r="A22" s="105" t="s">
        <v>23</v>
      </c>
      <c r="B22" s="102"/>
      <c r="C22" s="12">
        <f t="shared" ref="C22:N22" si="4">C21</f>
        <v>17694</v>
      </c>
      <c r="D22" s="12">
        <f t="shared" si="4"/>
        <v>75063</v>
      </c>
      <c r="E22" s="12">
        <f t="shared" si="4"/>
        <v>64126</v>
      </c>
      <c r="F22" s="12">
        <f t="shared" si="4"/>
        <v>106694.81999999999</v>
      </c>
      <c r="G22" s="12">
        <f t="shared" si="4"/>
        <v>68940.61</v>
      </c>
      <c r="H22" s="12">
        <f t="shared" si="4"/>
        <v>110273.24</v>
      </c>
      <c r="I22" s="12">
        <f t="shared" si="4"/>
        <v>56597</v>
      </c>
      <c r="J22" s="12">
        <f t="shared" si="4"/>
        <v>67957.59</v>
      </c>
      <c r="K22" s="12">
        <f t="shared" si="4"/>
        <v>107189.81000000001</v>
      </c>
      <c r="L22" s="12">
        <f t="shared" si="4"/>
        <v>52741</v>
      </c>
      <c r="M22" s="12">
        <f t="shared" si="4"/>
        <v>47019</v>
      </c>
      <c r="N22" s="12">
        <f t="shared" si="4"/>
        <v>142783.93000000002</v>
      </c>
    </row>
    <row r="23" spans="1:16" ht="13.5" thickTop="1" x14ac:dyDescent="0.2">
      <c r="A23" s="106" t="s">
        <v>24</v>
      </c>
      <c r="B23" s="103">
        <v>3.5200000000000002E-2</v>
      </c>
      <c r="C23" s="84">
        <f t="shared" ref="C23:N23" si="5">C7*$B$23/12</f>
        <v>926315.60266666673</v>
      </c>
      <c r="D23" s="84">
        <f t="shared" si="5"/>
        <v>926521.96404533333</v>
      </c>
      <c r="E23" s="84">
        <f t="shared" si="5"/>
        <v>928175.84901066672</v>
      </c>
      <c r="F23" s="84">
        <f t="shared" si="5"/>
        <v>928506.04287466698</v>
      </c>
      <c r="G23" s="84">
        <f t="shared" si="5"/>
        <v>927280.04787733359</v>
      </c>
      <c r="H23" s="84">
        <f t="shared" si="5"/>
        <v>927755.16069866705</v>
      </c>
      <c r="I23" s="84">
        <f t="shared" si="5"/>
        <v>927772.92913066689</v>
      </c>
      <c r="J23" s="84">
        <f t="shared" si="5"/>
        <v>927825.78163733322</v>
      </c>
      <c r="K23" s="84">
        <f t="shared" si="5"/>
        <v>927880.06168000016</v>
      </c>
      <c r="L23" s="84">
        <f t="shared" si="5"/>
        <v>926849.24845333339</v>
      </c>
      <c r="M23" s="84">
        <f t="shared" si="5"/>
        <v>927177.29875466682</v>
      </c>
      <c r="N23" s="84">
        <f t="shared" si="5"/>
        <v>929747.98983733344</v>
      </c>
    </row>
    <row r="24" spans="1:16" ht="13.5" thickBot="1" x14ac:dyDescent="0.25">
      <c r="A24" s="107" t="s">
        <v>26</v>
      </c>
      <c r="B24" s="102"/>
      <c r="C24" s="12">
        <f t="shared" ref="C24:N24" si="6">SUM(C23:C23)</f>
        <v>926315.60266666673</v>
      </c>
      <c r="D24" s="12">
        <f t="shared" si="6"/>
        <v>926521.96404533333</v>
      </c>
      <c r="E24" s="12">
        <f t="shared" si="6"/>
        <v>928175.84901066672</v>
      </c>
      <c r="F24" s="12">
        <f t="shared" si="6"/>
        <v>928506.04287466698</v>
      </c>
      <c r="G24" s="12">
        <f t="shared" si="6"/>
        <v>927280.04787733359</v>
      </c>
      <c r="H24" s="12">
        <f t="shared" si="6"/>
        <v>927755.16069866705</v>
      </c>
      <c r="I24" s="12">
        <f t="shared" si="6"/>
        <v>927772.92913066689</v>
      </c>
      <c r="J24" s="12">
        <f t="shared" si="6"/>
        <v>927825.78163733322</v>
      </c>
      <c r="K24" s="12">
        <f t="shared" si="6"/>
        <v>927880.06168000016</v>
      </c>
      <c r="L24" s="12">
        <f t="shared" si="6"/>
        <v>926849.24845333339</v>
      </c>
      <c r="M24" s="12">
        <f t="shared" si="6"/>
        <v>927177.29875466682</v>
      </c>
      <c r="N24" s="12">
        <f t="shared" si="6"/>
        <v>929747.98983733344</v>
      </c>
    </row>
    <row r="25" spans="1:16" ht="13.5" thickTop="1" x14ac:dyDescent="0.2">
      <c r="A25" s="107" t="s">
        <v>30</v>
      </c>
      <c r="B25" s="102"/>
      <c r="C25" s="85">
        <f t="shared" ref="C25:N25" si="7">C24+C22+C20</f>
        <v>5131032.3517116662</v>
      </c>
      <c r="D25" s="85">
        <f t="shared" si="7"/>
        <v>4169351.3756982251</v>
      </c>
      <c r="E25" s="85">
        <f t="shared" si="7"/>
        <v>3424560.6249962463</v>
      </c>
      <c r="F25" s="85">
        <f t="shared" si="7"/>
        <v>5004322.2287310679</v>
      </c>
      <c r="G25" s="85">
        <f t="shared" si="7"/>
        <v>4993695.7081184871</v>
      </c>
      <c r="H25" s="85">
        <f t="shared" si="7"/>
        <v>6006207.7127043949</v>
      </c>
      <c r="I25" s="85">
        <f t="shared" si="7"/>
        <v>6012585.3686562805</v>
      </c>
      <c r="J25" s="85">
        <f t="shared" si="7"/>
        <v>5931742.4386172099</v>
      </c>
      <c r="K25" s="85">
        <f t="shared" si="7"/>
        <v>5071153.3871897021</v>
      </c>
      <c r="L25" s="85">
        <f t="shared" si="7"/>
        <v>5580132.8974966416</v>
      </c>
      <c r="M25" s="85">
        <f t="shared" si="7"/>
        <v>5684832.6518118633</v>
      </c>
      <c r="N25" s="85">
        <f t="shared" si="7"/>
        <v>6219602.0442970404</v>
      </c>
    </row>
    <row r="26" spans="1:16" ht="13.5" thickBot="1" x14ac:dyDescent="0.25">
      <c r="A26" s="108" t="s">
        <v>31</v>
      </c>
      <c r="B26" s="104">
        <v>0.15</v>
      </c>
      <c r="C26" s="87">
        <f t="shared" ref="C26:N26" si="8">C25*$B$26</f>
        <v>769654.85275674996</v>
      </c>
      <c r="D26" s="87">
        <f t="shared" si="8"/>
        <v>625402.70635473379</v>
      </c>
      <c r="E26" s="87">
        <f t="shared" si="8"/>
        <v>513684.0937494369</v>
      </c>
      <c r="F26" s="87">
        <f t="shared" si="8"/>
        <v>750648.33430966013</v>
      </c>
      <c r="G26" s="87">
        <f t="shared" si="8"/>
        <v>749054.35621777305</v>
      </c>
      <c r="H26" s="87">
        <f t="shared" si="8"/>
        <v>900931.15690565924</v>
      </c>
      <c r="I26" s="87">
        <f t="shared" si="8"/>
        <v>901887.80529844202</v>
      </c>
      <c r="J26" s="87">
        <f t="shared" si="8"/>
        <v>889761.36579258146</v>
      </c>
      <c r="K26" s="87">
        <f t="shared" si="8"/>
        <v>760673.00807845534</v>
      </c>
      <c r="L26" s="87">
        <f t="shared" si="8"/>
        <v>837019.93462449627</v>
      </c>
      <c r="M26" s="87">
        <f t="shared" si="8"/>
        <v>852724.89777177945</v>
      </c>
      <c r="N26" s="87">
        <f t="shared" si="8"/>
        <v>932940.306644556</v>
      </c>
      <c r="O26" s="132"/>
    </row>
    <row r="27" spans="1:16" s="53" customFormat="1" x14ac:dyDescent="0.2"/>
    <row r="28" spans="1:16" x14ac:dyDescent="0.2">
      <c r="A28" s="2" t="s">
        <v>32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x14ac:dyDescent="0.2">
      <c r="A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x14ac:dyDescent="0.2"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x14ac:dyDescent="0.2"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</sheetData>
  <mergeCells count="1">
    <mergeCell ref="C4:N4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D27" sqref="D27"/>
    </sheetView>
  </sheetViews>
  <sheetFormatPr defaultRowHeight="15" x14ac:dyDescent="0.25"/>
  <cols>
    <col min="1" max="1" width="9.140625" style="1"/>
    <col min="2" max="2" width="2.28515625" style="1" customWidth="1"/>
    <col min="3" max="6" width="16.5703125" style="28" customWidth="1"/>
    <col min="7" max="7" width="5.28515625" style="28" customWidth="1"/>
    <col min="8" max="11" width="16.5703125" style="28" customWidth="1"/>
    <col min="12" max="13" width="9.140625" style="28"/>
    <col min="14" max="14" width="12.42578125" style="134" bestFit="1" customWidth="1"/>
    <col min="15" max="16384" width="9.140625" style="28"/>
  </cols>
  <sheetData>
    <row r="1" spans="1:12" x14ac:dyDescent="0.25">
      <c r="C1" s="121" t="s">
        <v>49</v>
      </c>
      <c r="D1" s="121"/>
      <c r="E1" s="121"/>
      <c r="F1" s="121"/>
      <c r="H1" s="120" t="s">
        <v>50</v>
      </c>
      <c r="I1" s="120"/>
      <c r="J1" s="120"/>
      <c r="K1" s="120"/>
      <c r="L1" s="27"/>
    </row>
    <row r="2" spans="1:12" x14ac:dyDescent="0.25">
      <c r="C2" s="29"/>
      <c r="D2" s="29"/>
      <c r="E2" s="29"/>
      <c r="F2" s="29"/>
      <c r="H2" s="120" t="s">
        <v>97</v>
      </c>
      <c r="I2" s="120"/>
      <c r="J2" s="120"/>
      <c r="K2" s="120"/>
      <c r="L2" s="29"/>
    </row>
    <row r="3" spans="1:12" ht="15" customHeight="1" x14ac:dyDescent="0.25">
      <c r="C3" s="122" t="s">
        <v>51</v>
      </c>
      <c r="D3" s="123" t="s">
        <v>52</v>
      </c>
      <c r="E3" s="30"/>
      <c r="F3" s="30"/>
      <c r="H3" s="122" t="s">
        <v>51</v>
      </c>
      <c r="I3" s="123" t="s">
        <v>52</v>
      </c>
      <c r="J3" s="30"/>
      <c r="K3" s="30"/>
      <c r="L3" s="30"/>
    </row>
    <row r="4" spans="1:12" x14ac:dyDescent="0.25">
      <c r="C4" s="122"/>
      <c r="D4" s="123"/>
      <c r="E4" s="30"/>
      <c r="F4" s="30"/>
      <c r="H4" s="122"/>
      <c r="I4" s="123"/>
      <c r="J4" s="30"/>
      <c r="K4" s="30"/>
      <c r="L4" s="30"/>
    </row>
    <row r="5" spans="1:12" ht="39" x14ac:dyDescent="0.25">
      <c r="C5" s="122"/>
      <c r="D5" s="123"/>
      <c r="E5" s="31" t="s">
        <v>53</v>
      </c>
      <c r="F5" s="31" t="s">
        <v>54</v>
      </c>
      <c r="H5" s="122"/>
      <c r="I5" s="123"/>
      <c r="J5" s="31" t="s">
        <v>53</v>
      </c>
      <c r="K5" s="31" t="s">
        <v>54</v>
      </c>
      <c r="L5" s="32"/>
    </row>
    <row r="6" spans="1:12" x14ac:dyDescent="0.25">
      <c r="C6" s="33"/>
      <c r="D6" s="34"/>
      <c r="E6" s="34"/>
      <c r="F6" s="34"/>
      <c r="H6" s="33"/>
      <c r="I6" s="34"/>
      <c r="J6" s="34"/>
      <c r="K6" s="34"/>
      <c r="L6" s="32"/>
    </row>
    <row r="7" spans="1:12" x14ac:dyDescent="0.25">
      <c r="C7" s="30"/>
      <c r="D7" s="30"/>
      <c r="E7" s="30"/>
      <c r="F7" s="30"/>
      <c r="H7" s="30"/>
      <c r="I7" s="30"/>
      <c r="J7" s="30"/>
      <c r="K7" s="30"/>
      <c r="L7" s="30"/>
    </row>
    <row r="8" spans="1:12" x14ac:dyDescent="0.25">
      <c r="C8" s="30"/>
      <c r="D8" s="30"/>
      <c r="E8" s="30"/>
      <c r="F8" s="30"/>
      <c r="H8" s="30"/>
      <c r="I8" s="30"/>
      <c r="J8" s="30"/>
      <c r="K8" s="30"/>
      <c r="L8" s="30"/>
    </row>
    <row r="9" spans="1:12" x14ac:dyDescent="0.25">
      <c r="A9" s="1" t="s">
        <v>36</v>
      </c>
      <c r="C9" s="35">
        <v>3242563.7725000004</v>
      </c>
      <c r="D9" s="36">
        <v>514230.66</v>
      </c>
      <c r="E9" s="36">
        <v>134076</v>
      </c>
      <c r="F9" s="37">
        <v>3622718.4325000006</v>
      </c>
      <c r="H9" s="70">
        <f>K9-J9-I9</f>
        <v>3016374.34</v>
      </c>
      <c r="I9" s="36">
        <v>514230.66</v>
      </c>
      <c r="J9" s="36">
        <v>134076</v>
      </c>
      <c r="K9" s="37">
        <v>3664681</v>
      </c>
      <c r="L9" s="30"/>
    </row>
    <row r="10" spans="1:12" x14ac:dyDescent="0.25">
      <c r="A10" s="1" t="s">
        <v>37</v>
      </c>
      <c r="C10" s="35">
        <v>3179120.4524999997</v>
      </c>
      <c r="D10" s="36">
        <v>751106.9</v>
      </c>
      <c r="E10" s="36">
        <v>0</v>
      </c>
      <c r="F10" s="37">
        <v>3930227.3524999996</v>
      </c>
      <c r="H10" s="70">
        <f t="shared" ref="H10:H20" si="0">K10-J10-I10</f>
        <v>2829910.1</v>
      </c>
      <c r="I10" s="36">
        <v>751106.9</v>
      </c>
      <c r="J10" s="36">
        <v>0</v>
      </c>
      <c r="K10" s="37">
        <v>3581017</v>
      </c>
      <c r="L10" s="30"/>
    </row>
    <row r="11" spans="1:12" x14ac:dyDescent="0.25">
      <c r="A11" s="1" t="s">
        <v>38</v>
      </c>
      <c r="C11" s="35">
        <v>3113440.7199999997</v>
      </c>
      <c r="D11" s="36">
        <v>749547.42</v>
      </c>
      <c r="E11" s="36">
        <v>0</v>
      </c>
      <c r="F11" s="37">
        <v>3862988.1399999997</v>
      </c>
      <c r="H11" s="70">
        <f t="shared" si="0"/>
        <v>2603476.58</v>
      </c>
      <c r="I11" s="36">
        <v>749547.42</v>
      </c>
      <c r="J11" s="36">
        <v>0</v>
      </c>
      <c r="K11" s="37">
        <v>3353024</v>
      </c>
      <c r="L11" s="30"/>
    </row>
    <row r="12" spans="1:12" x14ac:dyDescent="0.25">
      <c r="A12" s="1" t="s">
        <v>39</v>
      </c>
      <c r="C12" s="35">
        <v>3191902.2370182616</v>
      </c>
      <c r="D12" s="36">
        <v>901719.15</v>
      </c>
      <c r="E12" s="36">
        <v>0</v>
      </c>
      <c r="F12" s="37">
        <v>4093621.3870182615</v>
      </c>
      <c r="H12" s="70">
        <f t="shared" si="0"/>
        <v>2759854.85</v>
      </c>
      <c r="I12" s="36">
        <v>901719.15</v>
      </c>
      <c r="J12" s="36">
        <v>0</v>
      </c>
      <c r="K12" s="37">
        <v>3661574</v>
      </c>
      <c r="L12" s="30"/>
    </row>
    <row r="13" spans="1:12" x14ac:dyDescent="0.25">
      <c r="A13" s="1" t="s">
        <v>40</v>
      </c>
      <c r="C13" s="35">
        <v>3230438.8649332765</v>
      </c>
      <c r="D13" s="36">
        <v>902729.65</v>
      </c>
      <c r="E13" s="36">
        <v>119500</v>
      </c>
      <c r="F13" s="37">
        <v>4013668.5149332765</v>
      </c>
      <c r="H13" s="70">
        <f t="shared" si="0"/>
        <v>2572915.35</v>
      </c>
      <c r="I13" s="36">
        <v>902729.65</v>
      </c>
      <c r="J13" s="36">
        <v>119500</v>
      </c>
      <c r="K13" s="37">
        <v>3595145</v>
      </c>
      <c r="L13" s="30"/>
    </row>
    <row r="14" spans="1:12" x14ac:dyDescent="0.25">
      <c r="A14" s="1" t="s">
        <v>41</v>
      </c>
      <c r="C14" s="35">
        <v>3263197.8108003302</v>
      </c>
      <c r="D14" s="36">
        <v>890223.48</v>
      </c>
      <c r="E14" s="36">
        <v>0</v>
      </c>
      <c r="F14" s="37">
        <v>4153421.2908003302</v>
      </c>
      <c r="H14" s="70">
        <f t="shared" si="0"/>
        <v>2937108.52</v>
      </c>
      <c r="I14" s="36">
        <v>890223.48</v>
      </c>
      <c r="J14" s="36">
        <v>0</v>
      </c>
      <c r="K14" s="37">
        <v>3827332</v>
      </c>
      <c r="L14" s="30"/>
    </row>
    <row r="15" spans="1:12" x14ac:dyDescent="0.25">
      <c r="A15" s="1" t="s">
        <v>42</v>
      </c>
      <c r="C15" s="35">
        <v>3147050.101734234</v>
      </c>
      <c r="D15" s="36">
        <v>761093.3</v>
      </c>
      <c r="E15" s="36">
        <v>13073</v>
      </c>
      <c r="F15" s="37">
        <v>3895070.4017342338</v>
      </c>
      <c r="H15" s="70">
        <f t="shared" si="0"/>
        <v>2973153.7</v>
      </c>
      <c r="I15" s="36">
        <v>761093.3</v>
      </c>
      <c r="J15" s="36">
        <v>13073</v>
      </c>
      <c r="K15" s="37">
        <v>3747320</v>
      </c>
      <c r="L15" s="30"/>
    </row>
    <row r="16" spans="1:12" x14ac:dyDescent="0.25">
      <c r="A16" s="1" t="s">
        <v>43</v>
      </c>
      <c r="C16" s="35">
        <v>3243455.0581368161</v>
      </c>
      <c r="D16" s="36">
        <v>838037.54</v>
      </c>
      <c r="E16" s="36">
        <v>0</v>
      </c>
      <c r="F16" s="37">
        <v>4081492.5981368162</v>
      </c>
      <c r="H16" s="70">
        <f t="shared" si="0"/>
        <v>3050224.46</v>
      </c>
      <c r="I16" s="36">
        <v>838037.54</v>
      </c>
      <c r="J16" s="36">
        <v>0</v>
      </c>
      <c r="K16" s="37">
        <v>3888262</v>
      </c>
      <c r="L16" s="30"/>
    </row>
    <row r="17" spans="1:12" x14ac:dyDescent="0.25">
      <c r="A17" s="1" t="s">
        <v>44</v>
      </c>
      <c r="C17" s="35">
        <v>3118522.1127279457</v>
      </c>
      <c r="D17" s="36">
        <v>853952.45</v>
      </c>
      <c r="E17" s="36">
        <v>0</v>
      </c>
      <c r="F17" s="37">
        <v>3972474.5627279459</v>
      </c>
      <c r="H17" s="70">
        <f t="shared" si="0"/>
        <v>2782294.55</v>
      </c>
      <c r="I17" s="36">
        <v>853952.45</v>
      </c>
      <c r="J17" s="36">
        <v>0</v>
      </c>
      <c r="K17" s="37">
        <v>3636247</v>
      </c>
      <c r="L17" s="30"/>
    </row>
    <row r="18" spans="1:12" x14ac:dyDescent="0.25">
      <c r="A18" s="1" t="s">
        <v>45</v>
      </c>
      <c r="C18" s="35">
        <v>3207181.9187211217</v>
      </c>
      <c r="D18" s="36">
        <v>934401.61</v>
      </c>
      <c r="E18" s="36">
        <v>5100</v>
      </c>
      <c r="F18" s="37">
        <v>4136483.5287211216</v>
      </c>
      <c r="H18" s="70">
        <f t="shared" si="0"/>
        <v>2885195.39</v>
      </c>
      <c r="I18" s="36">
        <v>934401.61</v>
      </c>
      <c r="J18" s="36">
        <v>5100</v>
      </c>
      <c r="K18" s="37">
        <v>3824697</v>
      </c>
      <c r="L18" s="30"/>
    </row>
    <row r="19" spans="1:12" x14ac:dyDescent="0.25">
      <c r="A19" s="1" t="s">
        <v>46</v>
      </c>
      <c r="C19" s="35">
        <v>3069604.0941666667</v>
      </c>
      <c r="D19" s="36">
        <v>848222.64</v>
      </c>
      <c r="E19" s="36">
        <v>0</v>
      </c>
      <c r="F19" s="37">
        <v>3917826.7341666669</v>
      </c>
      <c r="H19" s="70">
        <f t="shared" si="0"/>
        <v>2869117.36</v>
      </c>
      <c r="I19" s="36">
        <v>848222.64</v>
      </c>
      <c r="J19" s="36">
        <v>0</v>
      </c>
      <c r="K19" s="37">
        <v>3717340</v>
      </c>
      <c r="L19" s="30"/>
    </row>
    <row r="20" spans="1:12" x14ac:dyDescent="0.25">
      <c r="A20" s="1" t="s">
        <v>47</v>
      </c>
      <c r="C20" s="35">
        <v>3018917.354166667</v>
      </c>
      <c r="D20" s="36">
        <v>814550.89</v>
      </c>
      <c r="E20" s="36">
        <v>0</v>
      </c>
      <c r="F20" s="37">
        <v>3833468.2441666671</v>
      </c>
      <c r="H20" s="70">
        <f t="shared" si="0"/>
        <v>3068126.11</v>
      </c>
      <c r="I20" s="36">
        <v>814550.89</v>
      </c>
      <c r="J20" s="36">
        <v>0</v>
      </c>
      <c r="K20" s="37">
        <v>3882677</v>
      </c>
      <c r="L20" s="30"/>
    </row>
    <row r="21" spans="1:12" x14ac:dyDescent="0.25">
      <c r="C21" s="38"/>
      <c r="D21" s="38"/>
      <c r="E21" s="38"/>
      <c r="F21" s="37"/>
      <c r="H21" s="38"/>
      <c r="I21" s="38"/>
      <c r="J21" s="38"/>
      <c r="K21" s="37"/>
      <c r="L21" s="30"/>
    </row>
    <row r="22" spans="1:12" ht="15.75" thickBot="1" x14ac:dyDescent="0.3">
      <c r="A22" s="1" t="s">
        <v>55</v>
      </c>
      <c r="C22" s="39">
        <f>SUM(C9:C21)</f>
        <v>38025394.49740532</v>
      </c>
      <c r="D22" s="39">
        <v>9759815.6900000013</v>
      </c>
      <c r="E22" s="39">
        <v>271749</v>
      </c>
      <c r="F22" s="40">
        <v>47513461.187405318</v>
      </c>
      <c r="H22" s="39">
        <f>SUM(H9:H21)</f>
        <v>34347751.310000002</v>
      </c>
      <c r="I22" s="39">
        <f>SUM(I9:I21)</f>
        <v>9759815.6900000013</v>
      </c>
      <c r="J22" s="39">
        <f>SUM(J9:J21)</f>
        <v>271749</v>
      </c>
      <c r="K22" s="40">
        <f>SUM(K9:K21)</f>
        <v>44379316</v>
      </c>
      <c r="L22" s="30"/>
    </row>
    <row r="23" spans="1:12" ht="15.75" thickTop="1" x14ac:dyDescent="0.25"/>
  </sheetData>
  <mergeCells count="7">
    <mergeCell ref="H1:K1"/>
    <mergeCell ref="C1:F1"/>
    <mergeCell ref="C3:C5"/>
    <mergeCell ref="D3:D5"/>
    <mergeCell ref="H3:H5"/>
    <mergeCell ref="I3:I5"/>
    <mergeCell ref="H2:K2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W24" sqref="W24"/>
    </sheetView>
  </sheetViews>
  <sheetFormatPr defaultRowHeight="12.75" x14ac:dyDescent="0.2"/>
  <cols>
    <col min="1" max="1" width="3.7109375" style="53" customWidth="1"/>
    <col min="2" max="2" width="1.7109375" style="53" customWidth="1"/>
    <col min="3" max="3" width="16.5703125" style="53" customWidth="1"/>
    <col min="4" max="4" width="1.7109375" style="53" customWidth="1"/>
    <col min="5" max="5" width="12.7109375" style="53" customWidth="1"/>
    <col min="6" max="6" width="1.7109375" style="53" customWidth="1"/>
    <col min="7" max="7" width="13" style="53" customWidth="1"/>
    <col min="8" max="8" width="1.7109375" style="53" customWidth="1"/>
    <col min="9" max="9" width="13.5703125" style="53" customWidth="1"/>
    <col min="10" max="10" width="1.7109375" style="53" customWidth="1"/>
    <col min="11" max="11" width="15.28515625" style="53" customWidth="1"/>
    <col min="12" max="12" width="1.7109375" style="53" customWidth="1"/>
    <col min="13" max="13" width="12.28515625" style="53" customWidth="1"/>
    <col min="14" max="14" width="1.7109375" style="53" customWidth="1"/>
    <col min="15" max="15" width="14.42578125" style="53" customWidth="1"/>
    <col min="16" max="16" width="1.7109375" style="53" customWidth="1"/>
    <col min="17" max="17" width="13.85546875" style="53" customWidth="1"/>
    <col min="18" max="18" width="5.140625" style="53" customWidth="1"/>
    <col min="19" max="19" width="1.42578125" style="53" customWidth="1"/>
    <col min="20" max="22" width="13.42578125" style="53" bestFit="1" customWidth="1"/>
    <col min="23" max="257" width="9.140625" style="53"/>
    <col min="258" max="258" width="3.7109375" style="53" customWidth="1"/>
    <col min="259" max="259" width="1.7109375" style="53" customWidth="1"/>
    <col min="260" max="260" width="16.5703125" style="53" customWidth="1"/>
    <col min="261" max="261" width="1.7109375" style="53" customWidth="1"/>
    <col min="262" max="262" width="12.7109375" style="53" customWidth="1"/>
    <col min="263" max="263" width="1.7109375" style="53" customWidth="1"/>
    <col min="264" max="264" width="13" style="53" customWidth="1"/>
    <col min="265" max="265" width="1.7109375" style="53" customWidth="1"/>
    <col min="266" max="266" width="13.5703125" style="53" customWidth="1"/>
    <col min="267" max="267" width="1.7109375" style="53" customWidth="1"/>
    <col min="268" max="268" width="15.28515625" style="53" customWidth="1"/>
    <col min="269" max="269" width="1.7109375" style="53" customWidth="1"/>
    <col min="270" max="270" width="12.28515625" style="53" customWidth="1"/>
    <col min="271" max="271" width="1.7109375" style="53" customWidth="1"/>
    <col min="272" max="272" width="14.42578125" style="53" customWidth="1"/>
    <col min="273" max="273" width="1.7109375" style="53" customWidth="1"/>
    <col min="274" max="274" width="13.85546875" style="53" customWidth="1"/>
    <col min="275" max="275" width="13.42578125" style="53" bestFit="1" customWidth="1"/>
    <col min="276" max="276" width="1.42578125" style="53" customWidth="1"/>
    <col min="277" max="277" width="13.42578125" style="53" bestFit="1" customWidth="1"/>
    <col min="278" max="513" width="9.140625" style="53"/>
    <col min="514" max="514" width="3.7109375" style="53" customWidth="1"/>
    <col min="515" max="515" width="1.7109375" style="53" customWidth="1"/>
    <col min="516" max="516" width="16.5703125" style="53" customWidth="1"/>
    <col min="517" max="517" width="1.7109375" style="53" customWidth="1"/>
    <col min="518" max="518" width="12.7109375" style="53" customWidth="1"/>
    <col min="519" max="519" width="1.7109375" style="53" customWidth="1"/>
    <col min="520" max="520" width="13" style="53" customWidth="1"/>
    <col min="521" max="521" width="1.7109375" style="53" customWidth="1"/>
    <col min="522" max="522" width="13.5703125" style="53" customWidth="1"/>
    <col min="523" max="523" width="1.7109375" style="53" customWidth="1"/>
    <col min="524" max="524" width="15.28515625" style="53" customWidth="1"/>
    <col min="525" max="525" width="1.7109375" style="53" customWidth="1"/>
    <col min="526" max="526" width="12.28515625" style="53" customWidth="1"/>
    <col min="527" max="527" width="1.7109375" style="53" customWidth="1"/>
    <col min="528" max="528" width="14.42578125" style="53" customWidth="1"/>
    <col min="529" max="529" width="1.7109375" style="53" customWidth="1"/>
    <col min="530" max="530" width="13.85546875" style="53" customWidth="1"/>
    <col min="531" max="531" width="13.42578125" style="53" bestFit="1" customWidth="1"/>
    <col min="532" max="532" width="1.42578125" style="53" customWidth="1"/>
    <col min="533" max="533" width="13.42578125" style="53" bestFit="1" customWidth="1"/>
    <col min="534" max="769" width="9.140625" style="53"/>
    <col min="770" max="770" width="3.7109375" style="53" customWidth="1"/>
    <col min="771" max="771" width="1.7109375" style="53" customWidth="1"/>
    <col min="772" max="772" width="16.5703125" style="53" customWidth="1"/>
    <col min="773" max="773" width="1.7109375" style="53" customWidth="1"/>
    <col min="774" max="774" width="12.7109375" style="53" customWidth="1"/>
    <col min="775" max="775" width="1.7109375" style="53" customWidth="1"/>
    <col min="776" max="776" width="13" style="53" customWidth="1"/>
    <col min="777" max="777" width="1.7109375" style="53" customWidth="1"/>
    <col min="778" max="778" width="13.5703125" style="53" customWidth="1"/>
    <col min="779" max="779" width="1.7109375" style="53" customWidth="1"/>
    <col min="780" max="780" width="15.28515625" style="53" customWidth="1"/>
    <col min="781" max="781" width="1.7109375" style="53" customWidth="1"/>
    <col min="782" max="782" width="12.28515625" style="53" customWidth="1"/>
    <col min="783" max="783" width="1.7109375" style="53" customWidth="1"/>
    <col min="784" max="784" width="14.42578125" style="53" customWidth="1"/>
    <col min="785" max="785" width="1.7109375" style="53" customWidth="1"/>
    <col min="786" max="786" width="13.85546875" style="53" customWidth="1"/>
    <col min="787" max="787" width="13.42578125" style="53" bestFit="1" customWidth="1"/>
    <col min="788" max="788" width="1.42578125" style="53" customWidth="1"/>
    <col min="789" max="789" width="13.42578125" style="53" bestFit="1" customWidth="1"/>
    <col min="790" max="1025" width="9.140625" style="53"/>
    <col min="1026" max="1026" width="3.7109375" style="53" customWidth="1"/>
    <col min="1027" max="1027" width="1.7109375" style="53" customWidth="1"/>
    <col min="1028" max="1028" width="16.5703125" style="53" customWidth="1"/>
    <col min="1029" max="1029" width="1.7109375" style="53" customWidth="1"/>
    <col min="1030" max="1030" width="12.7109375" style="53" customWidth="1"/>
    <col min="1031" max="1031" width="1.7109375" style="53" customWidth="1"/>
    <col min="1032" max="1032" width="13" style="53" customWidth="1"/>
    <col min="1033" max="1033" width="1.7109375" style="53" customWidth="1"/>
    <col min="1034" max="1034" width="13.5703125" style="53" customWidth="1"/>
    <col min="1035" max="1035" width="1.7109375" style="53" customWidth="1"/>
    <col min="1036" max="1036" width="15.28515625" style="53" customWidth="1"/>
    <col min="1037" max="1037" width="1.7109375" style="53" customWidth="1"/>
    <col min="1038" max="1038" width="12.28515625" style="53" customWidth="1"/>
    <col min="1039" max="1039" width="1.7109375" style="53" customWidth="1"/>
    <col min="1040" max="1040" width="14.42578125" style="53" customWidth="1"/>
    <col min="1041" max="1041" width="1.7109375" style="53" customWidth="1"/>
    <col min="1042" max="1042" width="13.85546875" style="53" customWidth="1"/>
    <col min="1043" max="1043" width="13.42578125" style="53" bestFit="1" customWidth="1"/>
    <col min="1044" max="1044" width="1.42578125" style="53" customWidth="1"/>
    <col min="1045" max="1045" width="13.42578125" style="53" bestFit="1" customWidth="1"/>
    <col min="1046" max="1281" width="9.140625" style="53"/>
    <col min="1282" max="1282" width="3.7109375" style="53" customWidth="1"/>
    <col min="1283" max="1283" width="1.7109375" style="53" customWidth="1"/>
    <col min="1284" max="1284" width="16.5703125" style="53" customWidth="1"/>
    <col min="1285" max="1285" width="1.7109375" style="53" customWidth="1"/>
    <col min="1286" max="1286" width="12.7109375" style="53" customWidth="1"/>
    <col min="1287" max="1287" width="1.7109375" style="53" customWidth="1"/>
    <col min="1288" max="1288" width="13" style="53" customWidth="1"/>
    <col min="1289" max="1289" width="1.7109375" style="53" customWidth="1"/>
    <col min="1290" max="1290" width="13.5703125" style="53" customWidth="1"/>
    <col min="1291" max="1291" width="1.7109375" style="53" customWidth="1"/>
    <col min="1292" max="1292" width="15.28515625" style="53" customWidth="1"/>
    <col min="1293" max="1293" width="1.7109375" style="53" customWidth="1"/>
    <col min="1294" max="1294" width="12.28515625" style="53" customWidth="1"/>
    <col min="1295" max="1295" width="1.7109375" style="53" customWidth="1"/>
    <col min="1296" max="1296" width="14.42578125" style="53" customWidth="1"/>
    <col min="1297" max="1297" width="1.7109375" style="53" customWidth="1"/>
    <col min="1298" max="1298" width="13.85546875" style="53" customWidth="1"/>
    <col min="1299" max="1299" width="13.42578125" style="53" bestFit="1" customWidth="1"/>
    <col min="1300" max="1300" width="1.42578125" style="53" customWidth="1"/>
    <col min="1301" max="1301" width="13.42578125" style="53" bestFit="1" customWidth="1"/>
    <col min="1302" max="1537" width="9.140625" style="53"/>
    <col min="1538" max="1538" width="3.7109375" style="53" customWidth="1"/>
    <col min="1539" max="1539" width="1.7109375" style="53" customWidth="1"/>
    <col min="1540" max="1540" width="16.5703125" style="53" customWidth="1"/>
    <col min="1541" max="1541" width="1.7109375" style="53" customWidth="1"/>
    <col min="1542" max="1542" width="12.7109375" style="53" customWidth="1"/>
    <col min="1543" max="1543" width="1.7109375" style="53" customWidth="1"/>
    <col min="1544" max="1544" width="13" style="53" customWidth="1"/>
    <col min="1545" max="1545" width="1.7109375" style="53" customWidth="1"/>
    <col min="1546" max="1546" width="13.5703125" style="53" customWidth="1"/>
    <col min="1547" max="1547" width="1.7109375" style="53" customWidth="1"/>
    <col min="1548" max="1548" width="15.28515625" style="53" customWidth="1"/>
    <col min="1549" max="1549" width="1.7109375" style="53" customWidth="1"/>
    <col min="1550" max="1550" width="12.28515625" style="53" customWidth="1"/>
    <col min="1551" max="1551" width="1.7109375" style="53" customWidth="1"/>
    <col min="1552" max="1552" width="14.42578125" style="53" customWidth="1"/>
    <col min="1553" max="1553" width="1.7109375" style="53" customWidth="1"/>
    <col min="1554" max="1554" width="13.85546875" style="53" customWidth="1"/>
    <col min="1555" max="1555" width="13.42578125" style="53" bestFit="1" customWidth="1"/>
    <col min="1556" max="1556" width="1.42578125" style="53" customWidth="1"/>
    <col min="1557" max="1557" width="13.42578125" style="53" bestFit="1" customWidth="1"/>
    <col min="1558" max="1793" width="9.140625" style="53"/>
    <col min="1794" max="1794" width="3.7109375" style="53" customWidth="1"/>
    <col min="1795" max="1795" width="1.7109375" style="53" customWidth="1"/>
    <col min="1796" max="1796" width="16.5703125" style="53" customWidth="1"/>
    <col min="1797" max="1797" width="1.7109375" style="53" customWidth="1"/>
    <col min="1798" max="1798" width="12.7109375" style="53" customWidth="1"/>
    <col min="1799" max="1799" width="1.7109375" style="53" customWidth="1"/>
    <col min="1800" max="1800" width="13" style="53" customWidth="1"/>
    <col min="1801" max="1801" width="1.7109375" style="53" customWidth="1"/>
    <col min="1802" max="1802" width="13.5703125" style="53" customWidth="1"/>
    <col min="1803" max="1803" width="1.7109375" style="53" customWidth="1"/>
    <col min="1804" max="1804" width="15.28515625" style="53" customWidth="1"/>
    <col min="1805" max="1805" width="1.7109375" style="53" customWidth="1"/>
    <col min="1806" max="1806" width="12.28515625" style="53" customWidth="1"/>
    <col min="1807" max="1807" width="1.7109375" style="53" customWidth="1"/>
    <col min="1808" max="1808" width="14.42578125" style="53" customWidth="1"/>
    <col min="1809" max="1809" width="1.7109375" style="53" customWidth="1"/>
    <col min="1810" max="1810" width="13.85546875" style="53" customWidth="1"/>
    <col min="1811" max="1811" width="13.42578125" style="53" bestFit="1" customWidth="1"/>
    <col min="1812" max="1812" width="1.42578125" style="53" customWidth="1"/>
    <col min="1813" max="1813" width="13.42578125" style="53" bestFit="1" customWidth="1"/>
    <col min="1814" max="2049" width="9.140625" style="53"/>
    <col min="2050" max="2050" width="3.7109375" style="53" customWidth="1"/>
    <col min="2051" max="2051" width="1.7109375" style="53" customWidth="1"/>
    <col min="2052" max="2052" width="16.5703125" style="53" customWidth="1"/>
    <col min="2053" max="2053" width="1.7109375" style="53" customWidth="1"/>
    <col min="2054" max="2054" width="12.7109375" style="53" customWidth="1"/>
    <col min="2055" max="2055" width="1.7109375" style="53" customWidth="1"/>
    <col min="2056" max="2056" width="13" style="53" customWidth="1"/>
    <col min="2057" max="2057" width="1.7109375" style="53" customWidth="1"/>
    <col min="2058" max="2058" width="13.5703125" style="53" customWidth="1"/>
    <col min="2059" max="2059" width="1.7109375" style="53" customWidth="1"/>
    <col min="2060" max="2060" width="15.28515625" style="53" customWidth="1"/>
    <col min="2061" max="2061" width="1.7109375" style="53" customWidth="1"/>
    <col min="2062" max="2062" width="12.28515625" style="53" customWidth="1"/>
    <col min="2063" max="2063" width="1.7109375" style="53" customWidth="1"/>
    <col min="2064" max="2064" width="14.42578125" style="53" customWidth="1"/>
    <col min="2065" max="2065" width="1.7109375" style="53" customWidth="1"/>
    <col min="2066" max="2066" width="13.85546875" style="53" customWidth="1"/>
    <col min="2067" max="2067" width="13.42578125" style="53" bestFit="1" customWidth="1"/>
    <col min="2068" max="2068" width="1.42578125" style="53" customWidth="1"/>
    <col min="2069" max="2069" width="13.42578125" style="53" bestFit="1" customWidth="1"/>
    <col min="2070" max="2305" width="9.140625" style="53"/>
    <col min="2306" max="2306" width="3.7109375" style="53" customWidth="1"/>
    <col min="2307" max="2307" width="1.7109375" style="53" customWidth="1"/>
    <col min="2308" max="2308" width="16.5703125" style="53" customWidth="1"/>
    <col min="2309" max="2309" width="1.7109375" style="53" customWidth="1"/>
    <col min="2310" max="2310" width="12.7109375" style="53" customWidth="1"/>
    <col min="2311" max="2311" width="1.7109375" style="53" customWidth="1"/>
    <col min="2312" max="2312" width="13" style="53" customWidth="1"/>
    <col min="2313" max="2313" width="1.7109375" style="53" customWidth="1"/>
    <col min="2314" max="2314" width="13.5703125" style="53" customWidth="1"/>
    <col min="2315" max="2315" width="1.7109375" style="53" customWidth="1"/>
    <col min="2316" max="2316" width="15.28515625" style="53" customWidth="1"/>
    <col min="2317" max="2317" width="1.7109375" style="53" customWidth="1"/>
    <col min="2318" max="2318" width="12.28515625" style="53" customWidth="1"/>
    <col min="2319" max="2319" width="1.7109375" style="53" customWidth="1"/>
    <col min="2320" max="2320" width="14.42578125" style="53" customWidth="1"/>
    <col min="2321" max="2321" width="1.7109375" style="53" customWidth="1"/>
    <col min="2322" max="2322" width="13.85546875" style="53" customWidth="1"/>
    <col min="2323" max="2323" width="13.42578125" style="53" bestFit="1" customWidth="1"/>
    <col min="2324" max="2324" width="1.42578125" style="53" customWidth="1"/>
    <col min="2325" max="2325" width="13.42578125" style="53" bestFit="1" customWidth="1"/>
    <col min="2326" max="2561" width="9.140625" style="53"/>
    <col min="2562" max="2562" width="3.7109375" style="53" customWidth="1"/>
    <col min="2563" max="2563" width="1.7109375" style="53" customWidth="1"/>
    <col min="2564" max="2564" width="16.5703125" style="53" customWidth="1"/>
    <col min="2565" max="2565" width="1.7109375" style="53" customWidth="1"/>
    <col min="2566" max="2566" width="12.7109375" style="53" customWidth="1"/>
    <col min="2567" max="2567" width="1.7109375" style="53" customWidth="1"/>
    <col min="2568" max="2568" width="13" style="53" customWidth="1"/>
    <col min="2569" max="2569" width="1.7109375" style="53" customWidth="1"/>
    <col min="2570" max="2570" width="13.5703125" style="53" customWidth="1"/>
    <col min="2571" max="2571" width="1.7109375" style="53" customWidth="1"/>
    <col min="2572" max="2572" width="15.28515625" style="53" customWidth="1"/>
    <col min="2573" max="2573" width="1.7109375" style="53" customWidth="1"/>
    <col min="2574" max="2574" width="12.28515625" style="53" customWidth="1"/>
    <col min="2575" max="2575" width="1.7109375" style="53" customWidth="1"/>
    <col min="2576" max="2576" width="14.42578125" style="53" customWidth="1"/>
    <col min="2577" max="2577" width="1.7109375" style="53" customWidth="1"/>
    <col min="2578" max="2578" width="13.85546875" style="53" customWidth="1"/>
    <col min="2579" max="2579" width="13.42578125" style="53" bestFit="1" customWidth="1"/>
    <col min="2580" max="2580" width="1.42578125" style="53" customWidth="1"/>
    <col min="2581" max="2581" width="13.42578125" style="53" bestFit="1" customWidth="1"/>
    <col min="2582" max="2817" width="9.140625" style="53"/>
    <col min="2818" max="2818" width="3.7109375" style="53" customWidth="1"/>
    <col min="2819" max="2819" width="1.7109375" style="53" customWidth="1"/>
    <col min="2820" max="2820" width="16.5703125" style="53" customWidth="1"/>
    <col min="2821" max="2821" width="1.7109375" style="53" customWidth="1"/>
    <col min="2822" max="2822" width="12.7109375" style="53" customWidth="1"/>
    <col min="2823" max="2823" width="1.7109375" style="53" customWidth="1"/>
    <col min="2824" max="2824" width="13" style="53" customWidth="1"/>
    <col min="2825" max="2825" width="1.7109375" style="53" customWidth="1"/>
    <col min="2826" max="2826" width="13.5703125" style="53" customWidth="1"/>
    <col min="2827" max="2827" width="1.7109375" style="53" customWidth="1"/>
    <col min="2828" max="2828" width="15.28515625" style="53" customWidth="1"/>
    <col min="2829" max="2829" width="1.7109375" style="53" customWidth="1"/>
    <col min="2830" max="2830" width="12.28515625" style="53" customWidth="1"/>
    <col min="2831" max="2831" width="1.7109375" style="53" customWidth="1"/>
    <col min="2832" max="2832" width="14.42578125" style="53" customWidth="1"/>
    <col min="2833" max="2833" width="1.7109375" style="53" customWidth="1"/>
    <col min="2834" max="2834" width="13.85546875" style="53" customWidth="1"/>
    <col min="2835" max="2835" width="13.42578125" style="53" bestFit="1" customWidth="1"/>
    <col min="2836" max="2836" width="1.42578125" style="53" customWidth="1"/>
    <col min="2837" max="2837" width="13.42578125" style="53" bestFit="1" customWidth="1"/>
    <col min="2838" max="3073" width="9.140625" style="53"/>
    <col min="3074" max="3074" width="3.7109375" style="53" customWidth="1"/>
    <col min="3075" max="3075" width="1.7109375" style="53" customWidth="1"/>
    <col min="3076" max="3076" width="16.5703125" style="53" customWidth="1"/>
    <col min="3077" max="3077" width="1.7109375" style="53" customWidth="1"/>
    <col min="3078" max="3078" width="12.7109375" style="53" customWidth="1"/>
    <col min="3079" max="3079" width="1.7109375" style="53" customWidth="1"/>
    <col min="3080" max="3080" width="13" style="53" customWidth="1"/>
    <col min="3081" max="3081" width="1.7109375" style="53" customWidth="1"/>
    <col min="3082" max="3082" width="13.5703125" style="53" customWidth="1"/>
    <col min="3083" max="3083" width="1.7109375" style="53" customWidth="1"/>
    <col min="3084" max="3084" width="15.28515625" style="53" customWidth="1"/>
    <col min="3085" max="3085" width="1.7109375" style="53" customWidth="1"/>
    <col min="3086" max="3086" width="12.28515625" style="53" customWidth="1"/>
    <col min="3087" max="3087" width="1.7109375" style="53" customWidth="1"/>
    <col min="3088" max="3088" width="14.42578125" style="53" customWidth="1"/>
    <col min="3089" max="3089" width="1.7109375" style="53" customWidth="1"/>
    <col min="3090" max="3090" width="13.85546875" style="53" customWidth="1"/>
    <col min="3091" max="3091" width="13.42578125" style="53" bestFit="1" customWidth="1"/>
    <col min="3092" max="3092" width="1.42578125" style="53" customWidth="1"/>
    <col min="3093" max="3093" width="13.42578125" style="53" bestFit="1" customWidth="1"/>
    <col min="3094" max="3329" width="9.140625" style="53"/>
    <col min="3330" max="3330" width="3.7109375" style="53" customWidth="1"/>
    <col min="3331" max="3331" width="1.7109375" style="53" customWidth="1"/>
    <col min="3332" max="3332" width="16.5703125" style="53" customWidth="1"/>
    <col min="3333" max="3333" width="1.7109375" style="53" customWidth="1"/>
    <col min="3334" max="3334" width="12.7109375" style="53" customWidth="1"/>
    <col min="3335" max="3335" width="1.7109375" style="53" customWidth="1"/>
    <col min="3336" max="3336" width="13" style="53" customWidth="1"/>
    <col min="3337" max="3337" width="1.7109375" style="53" customWidth="1"/>
    <col min="3338" max="3338" width="13.5703125" style="53" customWidth="1"/>
    <col min="3339" max="3339" width="1.7109375" style="53" customWidth="1"/>
    <col min="3340" max="3340" width="15.28515625" style="53" customWidth="1"/>
    <col min="3341" max="3341" width="1.7109375" style="53" customWidth="1"/>
    <col min="3342" max="3342" width="12.28515625" style="53" customWidth="1"/>
    <col min="3343" max="3343" width="1.7109375" style="53" customWidth="1"/>
    <col min="3344" max="3344" width="14.42578125" style="53" customWidth="1"/>
    <col min="3345" max="3345" width="1.7109375" style="53" customWidth="1"/>
    <col min="3346" max="3346" width="13.85546875" style="53" customWidth="1"/>
    <col min="3347" max="3347" width="13.42578125" style="53" bestFit="1" customWidth="1"/>
    <col min="3348" max="3348" width="1.42578125" style="53" customWidth="1"/>
    <col min="3349" max="3349" width="13.42578125" style="53" bestFit="1" customWidth="1"/>
    <col min="3350" max="3585" width="9.140625" style="53"/>
    <col min="3586" max="3586" width="3.7109375" style="53" customWidth="1"/>
    <col min="3587" max="3587" width="1.7109375" style="53" customWidth="1"/>
    <col min="3588" max="3588" width="16.5703125" style="53" customWidth="1"/>
    <col min="3589" max="3589" width="1.7109375" style="53" customWidth="1"/>
    <col min="3590" max="3590" width="12.7109375" style="53" customWidth="1"/>
    <col min="3591" max="3591" width="1.7109375" style="53" customWidth="1"/>
    <col min="3592" max="3592" width="13" style="53" customWidth="1"/>
    <col min="3593" max="3593" width="1.7109375" style="53" customWidth="1"/>
    <col min="3594" max="3594" width="13.5703125" style="53" customWidth="1"/>
    <col min="3595" max="3595" width="1.7109375" style="53" customWidth="1"/>
    <col min="3596" max="3596" width="15.28515625" style="53" customWidth="1"/>
    <col min="3597" max="3597" width="1.7109375" style="53" customWidth="1"/>
    <col min="3598" max="3598" width="12.28515625" style="53" customWidth="1"/>
    <col min="3599" max="3599" width="1.7109375" style="53" customWidth="1"/>
    <col min="3600" max="3600" width="14.42578125" style="53" customWidth="1"/>
    <col min="3601" max="3601" width="1.7109375" style="53" customWidth="1"/>
    <col min="3602" max="3602" width="13.85546875" style="53" customWidth="1"/>
    <col min="3603" max="3603" width="13.42578125" style="53" bestFit="1" customWidth="1"/>
    <col min="3604" max="3604" width="1.42578125" style="53" customWidth="1"/>
    <col min="3605" max="3605" width="13.42578125" style="53" bestFit="1" customWidth="1"/>
    <col min="3606" max="3841" width="9.140625" style="53"/>
    <col min="3842" max="3842" width="3.7109375" style="53" customWidth="1"/>
    <col min="3843" max="3843" width="1.7109375" style="53" customWidth="1"/>
    <col min="3844" max="3844" width="16.5703125" style="53" customWidth="1"/>
    <col min="3845" max="3845" width="1.7109375" style="53" customWidth="1"/>
    <col min="3846" max="3846" width="12.7109375" style="53" customWidth="1"/>
    <col min="3847" max="3847" width="1.7109375" style="53" customWidth="1"/>
    <col min="3848" max="3848" width="13" style="53" customWidth="1"/>
    <col min="3849" max="3849" width="1.7109375" style="53" customWidth="1"/>
    <col min="3850" max="3850" width="13.5703125" style="53" customWidth="1"/>
    <col min="3851" max="3851" width="1.7109375" style="53" customWidth="1"/>
    <col min="3852" max="3852" width="15.28515625" style="53" customWidth="1"/>
    <col min="3853" max="3853" width="1.7109375" style="53" customWidth="1"/>
    <col min="3854" max="3854" width="12.28515625" style="53" customWidth="1"/>
    <col min="3855" max="3855" width="1.7109375" style="53" customWidth="1"/>
    <col min="3856" max="3856" width="14.42578125" style="53" customWidth="1"/>
    <col min="3857" max="3857" width="1.7109375" style="53" customWidth="1"/>
    <col min="3858" max="3858" width="13.85546875" style="53" customWidth="1"/>
    <col min="3859" max="3859" width="13.42578125" style="53" bestFit="1" customWidth="1"/>
    <col min="3860" max="3860" width="1.42578125" style="53" customWidth="1"/>
    <col min="3861" max="3861" width="13.42578125" style="53" bestFit="1" customWidth="1"/>
    <col min="3862" max="4097" width="9.140625" style="53"/>
    <col min="4098" max="4098" width="3.7109375" style="53" customWidth="1"/>
    <col min="4099" max="4099" width="1.7109375" style="53" customWidth="1"/>
    <col min="4100" max="4100" width="16.5703125" style="53" customWidth="1"/>
    <col min="4101" max="4101" width="1.7109375" style="53" customWidth="1"/>
    <col min="4102" max="4102" width="12.7109375" style="53" customWidth="1"/>
    <col min="4103" max="4103" width="1.7109375" style="53" customWidth="1"/>
    <col min="4104" max="4104" width="13" style="53" customWidth="1"/>
    <col min="4105" max="4105" width="1.7109375" style="53" customWidth="1"/>
    <col min="4106" max="4106" width="13.5703125" style="53" customWidth="1"/>
    <col min="4107" max="4107" width="1.7109375" style="53" customWidth="1"/>
    <col min="4108" max="4108" width="15.28515625" style="53" customWidth="1"/>
    <col min="4109" max="4109" width="1.7109375" style="53" customWidth="1"/>
    <col min="4110" max="4110" width="12.28515625" style="53" customWidth="1"/>
    <col min="4111" max="4111" width="1.7109375" style="53" customWidth="1"/>
    <col min="4112" max="4112" width="14.42578125" style="53" customWidth="1"/>
    <col min="4113" max="4113" width="1.7109375" style="53" customWidth="1"/>
    <col min="4114" max="4114" width="13.85546875" style="53" customWidth="1"/>
    <col min="4115" max="4115" width="13.42578125" style="53" bestFit="1" customWidth="1"/>
    <col min="4116" max="4116" width="1.42578125" style="53" customWidth="1"/>
    <col min="4117" max="4117" width="13.42578125" style="53" bestFit="1" customWidth="1"/>
    <col min="4118" max="4353" width="9.140625" style="53"/>
    <col min="4354" max="4354" width="3.7109375" style="53" customWidth="1"/>
    <col min="4355" max="4355" width="1.7109375" style="53" customWidth="1"/>
    <col min="4356" max="4356" width="16.5703125" style="53" customWidth="1"/>
    <col min="4357" max="4357" width="1.7109375" style="53" customWidth="1"/>
    <col min="4358" max="4358" width="12.7109375" style="53" customWidth="1"/>
    <col min="4359" max="4359" width="1.7109375" style="53" customWidth="1"/>
    <col min="4360" max="4360" width="13" style="53" customWidth="1"/>
    <col min="4361" max="4361" width="1.7109375" style="53" customWidth="1"/>
    <col min="4362" max="4362" width="13.5703125" style="53" customWidth="1"/>
    <col min="4363" max="4363" width="1.7109375" style="53" customWidth="1"/>
    <col min="4364" max="4364" width="15.28515625" style="53" customWidth="1"/>
    <col min="4365" max="4365" width="1.7109375" style="53" customWidth="1"/>
    <col min="4366" max="4366" width="12.28515625" style="53" customWidth="1"/>
    <col min="4367" max="4367" width="1.7109375" style="53" customWidth="1"/>
    <col min="4368" max="4368" width="14.42578125" style="53" customWidth="1"/>
    <col min="4369" max="4369" width="1.7109375" style="53" customWidth="1"/>
    <col min="4370" max="4370" width="13.85546875" style="53" customWidth="1"/>
    <col min="4371" max="4371" width="13.42578125" style="53" bestFit="1" customWidth="1"/>
    <col min="4372" max="4372" width="1.42578125" style="53" customWidth="1"/>
    <col min="4373" max="4373" width="13.42578125" style="53" bestFit="1" customWidth="1"/>
    <col min="4374" max="4609" width="9.140625" style="53"/>
    <col min="4610" max="4610" width="3.7109375" style="53" customWidth="1"/>
    <col min="4611" max="4611" width="1.7109375" style="53" customWidth="1"/>
    <col min="4612" max="4612" width="16.5703125" style="53" customWidth="1"/>
    <col min="4613" max="4613" width="1.7109375" style="53" customWidth="1"/>
    <col min="4614" max="4614" width="12.7109375" style="53" customWidth="1"/>
    <col min="4615" max="4615" width="1.7109375" style="53" customWidth="1"/>
    <col min="4616" max="4616" width="13" style="53" customWidth="1"/>
    <col min="4617" max="4617" width="1.7109375" style="53" customWidth="1"/>
    <col min="4618" max="4618" width="13.5703125" style="53" customWidth="1"/>
    <col min="4619" max="4619" width="1.7109375" style="53" customWidth="1"/>
    <col min="4620" max="4620" width="15.28515625" style="53" customWidth="1"/>
    <col min="4621" max="4621" width="1.7109375" style="53" customWidth="1"/>
    <col min="4622" max="4622" width="12.28515625" style="53" customWidth="1"/>
    <col min="4623" max="4623" width="1.7109375" style="53" customWidth="1"/>
    <col min="4624" max="4624" width="14.42578125" style="53" customWidth="1"/>
    <col min="4625" max="4625" width="1.7109375" style="53" customWidth="1"/>
    <col min="4626" max="4626" width="13.85546875" style="53" customWidth="1"/>
    <col min="4627" max="4627" width="13.42578125" style="53" bestFit="1" customWidth="1"/>
    <col min="4628" max="4628" width="1.42578125" style="53" customWidth="1"/>
    <col min="4629" max="4629" width="13.42578125" style="53" bestFit="1" customWidth="1"/>
    <col min="4630" max="4865" width="9.140625" style="53"/>
    <col min="4866" max="4866" width="3.7109375" style="53" customWidth="1"/>
    <col min="4867" max="4867" width="1.7109375" style="53" customWidth="1"/>
    <col min="4868" max="4868" width="16.5703125" style="53" customWidth="1"/>
    <col min="4869" max="4869" width="1.7109375" style="53" customWidth="1"/>
    <col min="4870" max="4870" width="12.7109375" style="53" customWidth="1"/>
    <col min="4871" max="4871" width="1.7109375" style="53" customWidth="1"/>
    <col min="4872" max="4872" width="13" style="53" customWidth="1"/>
    <col min="4873" max="4873" width="1.7109375" style="53" customWidth="1"/>
    <col min="4874" max="4874" width="13.5703125" style="53" customWidth="1"/>
    <col min="4875" max="4875" width="1.7109375" style="53" customWidth="1"/>
    <col min="4876" max="4876" width="15.28515625" style="53" customWidth="1"/>
    <col min="4877" max="4877" width="1.7109375" style="53" customWidth="1"/>
    <col min="4878" max="4878" width="12.28515625" style="53" customWidth="1"/>
    <col min="4879" max="4879" width="1.7109375" style="53" customWidth="1"/>
    <col min="4880" max="4880" width="14.42578125" style="53" customWidth="1"/>
    <col min="4881" max="4881" width="1.7109375" style="53" customWidth="1"/>
    <col min="4882" max="4882" width="13.85546875" style="53" customWidth="1"/>
    <col min="4883" max="4883" width="13.42578125" style="53" bestFit="1" customWidth="1"/>
    <col min="4884" max="4884" width="1.42578125" style="53" customWidth="1"/>
    <col min="4885" max="4885" width="13.42578125" style="53" bestFit="1" customWidth="1"/>
    <col min="4886" max="5121" width="9.140625" style="53"/>
    <col min="5122" max="5122" width="3.7109375" style="53" customWidth="1"/>
    <col min="5123" max="5123" width="1.7109375" style="53" customWidth="1"/>
    <col min="5124" max="5124" width="16.5703125" style="53" customWidth="1"/>
    <col min="5125" max="5125" width="1.7109375" style="53" customWidth="1"/>
    <col min="5126" max="5126" width="12.7109375" style="53" customWidth="1"/>
    <col min="5127" max="5127" width="1.7109375" style="53" customWidth="1"/>
    <col min="5128" max="5128" width="13" style="53" customWidth="1"/>
    <col min="5129" max="5129" width="1.7109375" style="53" customWidth="1"/>
    <col min="5130" max="5130" width="13.5703125" style="53" customWidth="1"/>
    <col min="5131" max="5131" width="1.7109375" style="53" customWidth="1"/>
    <col min="5132" max="5132" width="15.28515625" style="53" customWidth="1"/>
    <col min="5133" max="5133" width="1.7109375" style="53" customWidth="1"/>
    <col min="5134" max="5134" width="12.28515625" style="53" customWidth="1"/>
    <col min="5135" max="5135" width="1.7109375" style="53" customWidth="1"/>
    <col min="5136" max="5136" width="14.42578125" style="53" customWidth="1"/>
    <col min="5137" max="5137" width="1.7109375" style="53" customWidth="1"/>
    <col min="5138" max="5138" width="13.85546875" style="53" customWidth="1"/>
    <col min="5139" max="5139" width="13.42578125" style="53" bestFit="1" customWidth="1"/>
    <col min="5140" max="5140" width="1.42578125" style="53" customWidth="1"/>
    <col min="5141" max="5141" width="13.42578125" style="53" bestFit="1" customWidth="1"/>
    <col min="5142" max="5377" width="9.140625" style="53"/>
    <col min="5378" max="5378" width="3.7109375" style="53" customWidth="1"/>
    <col min="5379" max="5379" width="1.7109375" style="53" customWidth="1"/>
    <col min="5380" max="5380" width="16.5703125" style="53" customWidth="1"/>
    <col min="5381" max="5381" width="1.7109375" style="53" customWidth="1"/>
    <col min="5382" max="5382" width="12.7109375" style="53" customWidth="1"/>
    <col min="5383" max="5383" width="1.7109375" style="53" customWidth="1"/>
    <col min="5384" max="5384" width="13" style="53" customWidth="1"/>
    <col min="5385" max="5385" width="1.7109375" style="53" customWidth="1"/>
    <col min="5386" max="5386" width="13.5703125" style="53" customWidth="1"/>
    <col min="5387" max="5387" width="1.7109375" style="53" customWidth="1"/>
    <col min="5388" max="5388" width="15.28515625" style="53" customWidth="1"/>
    <col min="5389" max="5389" width="1.7109375" style="53" customWidth="1"/>
    <col min="5390" max="5390" width="12.28515625" style="53" customWidth="1"/>
    <col min="5391" max="5391" width="1.7109375" style="53" customWidth="1"/>
    <col min="5392" max="5392" width="14.42578125" style="53" customWidth="1"/>
    <col min="5393" max="5393" width="1.7109375" style="53" customWidth="1"/>
    <col min="5394" max="5394" width="13.85546875" style="53" customWidth="1"/>
    <col min="5395" max="5395" width="13.42578125" style="53" bestFit="1" customWidth="1"/>
    <col min="5396" max="5396" width="1.42578125" style="53" customWidth="1"/>
    <col min="5397" max="5397" width="13.42578125" style="53" bestFit="1" customWidth="1"/>
    <col min="5398" max="5633" width="9.140625" style="53"/>
    <col min="5634" max="5634" width="3.7109375" style="53" customWidth="1"/>
    <col min="5635" max="5635" width="1.7109375" style="53" customWidth="1"/>
    <col min="5636" max="5636" width="16.5703125" style="53" customWidth="1"/>
    <col min="5637" max="5637" width="1.7109375" style="53" customWidth="1"/>
    <col min="5638" max="5638" width="12.7109375" style="53" customWidth="1"/>
    <col min="5639" max="5639" width="1.7109375" style="53" customWidth="1"/>
    <col min="5640" max="5640" width="13" style="53" customWidth="1"/>
    <col min="5641" max="5641" width="1.7109375" style="53" customWidth="1"/>
    <col min="5642" max="5642" width="13.5703125" style="53" customWidth="1"/>
    <col min="5643" max="5643" width="1.7109375" style="53" customWidth="1"/>
    <col min="5644" max="5644" width="15.28515625" style="53" customWidth="1"/>
    <col min="5645" max="5645" width="1.7109375" style="53" customWidth="1"/>
    <col min="5646" max="5646" width="12.28515625" style="53" customWidth="1"/>
    <col min="5647" max="5647" width="1.7109375" style="53" customWidth="1"/>
    <col min="5648" max="5648" width="14.42578125" style="53" customWidth="1"/>
    <col min="5649" max="5649" width="1.7109375" style="53" customWidth="1"/>
    <col min="5650" max="5650" width="13.85546875" style="53" customWidth="1"/>
    <col min="5651" max="5651" width="13.42578125" style="53" bestFit="1" customWidth="1"/>
    <col min="5652" max="5652" width="1.42578125" style="53" customWidth="1"/>
    <col min="5653" max="5653" width="13.42578125" style="53" bestFit="1" customWidth="1"/>
    <col min="5654" max="5889" width="9.140625" style="53"/>
    <col min="5890" max="5890" width="3.7109375" style="53" customWidth="1"/>
    <col min="5891" max="5891" width="1.7109375" style="53" customWidth="1"/>
    <col min="5892" max="5892" width="16.5703125" style="53" customWidth="1"/>
    <col min="5893" max="5893" width="1.7109375" style="53" customWidth="1"/>
    <col min="5894" max="5894" width="12.7109375" style="53" customWidth="1"/>
    <col min="5895" max="5895" width="1.7109375" style="53" customWidth="1"/>
    <col min="5896" max="5896" width="13" style="53" customWidth="1"/>
    <col min="5897" max="5897" width="1.7109375" style="53" customWidth="1"/>
    <col min="5898" max="5898" width="13.5703125" style="53" customWidth="1"/>
    <col min="5899" max="5899" width="1.7109375" style="53" customWidth="1"/>
    <col min="5900" max="5900" width="15.28515625" style="53" customWidth="1"/>
    <col min="5901" max="5901" width="1.7109375" style="53" customWidth="1"/>
    <col min="5902" max="5902" width="12.28515625" style="53" customWidth="1"/>
    <col min="5903" max="5903" width="1.7109375" style="53" customWidth="1"/>
    <col min="5904" max="5904" width="14.42578125" style="53" customWidth="1"/>
    <col min="5905" max="5905" width="1.7109375" style="53" customWidth="1"/>
    <col min="5906" max="5906" width="13.85546875" style="53" customWidth="1"/>
    <col min="5907" max="5907" width="13.42578125" style="53" bestFit="1" customWidth="1"/>
    <col min="5908" max="5908" width="1.42578125" style="53" customWidth="1"/>
    <col min="5909" max="5909" width="13.42578125" style="53" bestFit="1" customWidth="1"/>
    <col min="5910" max="6145" width="9.140625" style="53"/>
    <col min="6146" max="6146" width="3.7109375" style="53" customWidth="1"/>
    <col min="6147" max="6147" width="1.7109375" style="53" customWidth="1"/>
    <col min="6148" max="6148" width="16.5703125" style="53" customWidth="1"/>
    <col min="6149" max="6149" width="1.7109375" style="53" customWidth="1"/>
    <col min="6150" max="6150" width="12.7109375" style="53" customWidth="1"/>
    <col min="6151" max="6151" width="1.7109375" style="53" customWidth="1"/>
    <col min="6152" max="6152" width="13" style="53" customWidth="1"/>
    <col min="6153" max="6153" width="1.7109375" style="53" customWidth="1"/>
    <col min="6154" max="6154" width="13.5703125" style="53" customWidth="1"/>
    <col min="6155" max="6155" width="1.7109375" style="53" customWidth="1"/>
    <col min="6156" max="6156" width="15.28515625" style="53" customWidth="1"/>
    <col min="6157" max="6157" width="1.7109375" style="53" customWidth="1"/>
    <col min="6158" max="6158" width="12.28515625" style="53" customWidth="1"/>
    <col min="6159" max="6159" width="1.7109375" style="53" customWidth="1"/>
    <col min="6160" max="6160" width="14.42578125" style="53" customWidth="1"/>
    <col min="6161" max="6161" width="1.7109375" style="53" customWidth="1"/>
    <col min="6162" max="6162" width="13.85546875" style="53" customWidth="1"/>
    <col min="6163" max="6163" width="13.42578125" style="53" bestFit="1" customWidth="1"/>
    <col min="6164" max="6164" width="1.42578125" style="53" customWidth="1"/>
    <col min="6165" max="6165" width="13.42578125" style="53" bestFit="1" customWidth="1"/>
    <col min="6166" max="6401" width="9.140625" style="53"/>
    <col min="6402" max="6402" width="3.7109375" style="53" customWidth="1"/>
    <col min="6403" max="6403" width="1.7109375" style="53" customWidth="1"/>
    <col min="6404" max="6404" width="16.5703125" style="53" customWidth="1"/>
    <col min="6405" max="6405" width="1.7109375" style="53" customWidth="1"/>
    <col min="6406" max="6406" width="12.7109375" style="53" customWidth="1"/>
    <col min="6407" max="6407" width="1.7109375" style="53" customWidth="1"/>
    <col min="6408" max="6408" width="13" style="53" customWidth="1"/>
    <col min="6409" max="6409" width="1.7109375" style="53" customWidth="1"/>
    <col min="6410" max="6410" width="13.5703125" style="53" customWidth="1"/>
    <col min="6411" max="6411" width="1.7109375" style="53" customWidth="1"/>
    <col min="6412" max="6412" width="15.28515625" style="53" customWidth="1"/>
    <col min="6413" max="6413" width="1.7109375" style="53" customWidth="1"/>
    <col min="6414" max="6414" width="12.28515625" style="53" customWidth="1"/>
    <col min="6415" max="6415" width="1.7109375" style="53" customWidth="1"/>
    <col min="6416" max="6416" width="14.42578125" style="53" customWidth="1"/>
    <col min="6417" max="6417" width="1.7109375" style="53" customWidth="1"/>
    <col min="6418" max="6418" width="13.85546875" style="53" customWidth="1"/>
    <col min="6419" max="6419" width="13.42578125" style="53" bestFit="1" customWidth="1"/>
    <col min="6420" max="6420" width="1.42578125" style="53" customWidth="1"/>
    <col min="6421" max="6421" width="13.42578125" style="53" bestFit="1" customWidth="1"/>
    <col min="6422" max="6657" width="9.140625" style="53"/>
    <col min="6658" max="6658" width="3.7109375" style="53" customWidth="1"/>
    <col min="6659" max="6659" width="1.7109375" style="53" customWidth="1"/>
    <col min="6660" max="6660" width="16.5703125" style="53" customWidth="1"/>
    <col min="6661" max="6661" width="1.7109375" style="53" customWidth="1"/>
    <col min="6662" max="6662" width="12.7109375" style="53" customWidth="1"/>
    <col min="6663" max="6663" width="1.7109375" style="53" customWidth="1"/>
    <col min="6664" max="6664" width="13" style="53" customWidth="1"/>
    <col min="6665" max="6665" width="1.7109375" style="53" customWidth="1"/>
    <col min="6666" max="6666" width="13.5703125" style="53" customWidth="1"/>
    <col min="6667" max="6667" width="1.7109375" style="53" customWidth="1"/>
    <col min="6668" max="6668" width="15.28515625" style="53" customWidth="1"/>
    <col min="6669" max="6669" width="1.7109375" style="53" customWidth="1"/>
    <col min="6670" max="6670" width="12.28515625" style="53" customWidth="1"/>
    <col min="6671" max="6671" width="1.7109375" style="53" customWidth="1"/>
    <col min="6672" max="6672" width="14.42578125" style="53" customWidth="1"/>
    <col min="6673" max="6673" width="1.7109375" style="53" customWidth="1"/>
    <col min="6674" max="6674" width="13.85546875" style="53" customWidth="1"/>
    <col min="6675" max="6675" width="13.42578125" style="53" bestFit="1" customWidth="1"/>
    <col min="6676" max="6676" width="1.42578125" style="53" customWidth="1"/>
    <col min="6677" max="6677" width="13.42578125" style="53" bestFit="1" customWidth="1"/>
    <col min="6678" max="6913" width="9.140625" style="53"/>
    <col min="6914" max="6914" width="3.7109375" style="53" customWidth="1"/>
    <col min="6915" max="6915" width="1.7109375" style="53" customWidth="1"/>
    <col min="6916" max="6916" width="16.5703125" style="53" customWidth="1"/>
    <col min="6917" max="6917" width="1.7109375" style="53" customWidth="1"/>
    <col min="6918" max="6918" width="12.7109375" style="53" customWidth="1"/>
    <col min="6919" max="6919" width="1.7109375" style="53" customWidth="1"/>
    <col min="6920" max="6920" width="13" style="53" customWidth="1"/>
    <col min="6921" max="6921" width="1.7109375" style="53" customWidth="1"/>
    <col min="6922" max="6922" width="13.5703125" style="53" customWidth="1"/>
    <col min="6923" max="6923" width="1.7109375" style="53" customWidth="1"/>
    <col min="6924" max="6924" width="15.28515625" style="53" customWidth="1"/>
    <col min="6925" max="6925" width="1.7109375" style="53" customWidth="1"/>
    <col min="6926" max="6926" width="12.28515625" style="53" customWidth="1"/>
    <col min="6927" max="6927" width="1.7109375" style="53" customWidth="1"/>
    <col min="6928" max="6928" width="14.42578125" style="53" customWidth="1"/>
    <col min="6929" max="6929" width="1.7109375" style="53" customWidth="1"/>
    <col min="6930" max="6930" width="13.85546875" style="53" customWidth="1"/>
    <col min="6931" max="6931" width="13.42578125" style="53" bestFit="1" customWidth="1"/>
    <col min="6932" max="6932" width="1.42578125" style="53" customWidth="1"/>
    <col min="6933" max="6933" width="13.42578125" style="53" bestFit="1" customWidth="1"/>
    <col min="6934" max="7169" width="9.140625" style="53"/>
    <col min="7170" max="7170" width="3.7109375" style="53" customWidth="1"/>
    <col min="7171" max="7171" width="1.7109375" style="53" customWidth="1"/>
    <col min="7172" max="7172" width="16.5703125" style="53" customWidth="1"/>
    <col min="7173" max="7173" width="1.7109375" style="53" customWidth="1"/>
    <col min="7174" max="7174" width="12.7109375" style="53" customWidth="1"/>
    <col min="7175" max="7175" width="1.7109375" style="53" customWidth="1"/>
    <col min="7176" max="7176" width="13" style="53" customWidth="1"/>
    <col min="7177" max="7177" width="1.7109375" style="53" customWidth="1"/>
    <col min="7178" max="7178" width="13.5703125" style="53" customWidth="1"/>
    <col min="7179" max="7179" width="1.7109375" style="53" customWidth="1"/>
    <col min="7180" max="7180" width="15.28515625" style="53" customWidth="1"/>
    <col min="7181" max="7181" width="1.7109375" style="53" customWidth="1"/>
    <col min="7182" max="7182" width="12.28515625" style="53" customWidth="1"/>
    <col min="7183" max="7183" width="1.7109375" style="53" customWidth="1"/>
    <col min="7184" max="7184" width="14.42578125" style="53" customWidth="1"/>
    <col min="7185" max="7185" width="1.7109375" style="53" customWidth="1"/>
    <col min="7186" max="7186" width="13.85546875" style="53" customWidth="1"/>
    <col min="7187" max="7187" width="13.42578125" style="53" bestFit="1" customWidth="1"/>
    <col min="7188" max="7188" width="1.42578125" style="53" customWidth="1"/>
    <col min="7189" max="7189" width="13.42578125" style="53" bestFit="1" customWidth="1"/>
    <col min="7190" max="7425" width="9.140625" style="53"/>
    <col min="7426" max="7426" width="3.7109375" style="53" customWidth="1"/>
    <col min="7427" max="7427" width="1.7109375" style="53" customWidth="1"/>
    <col min="7428" max="7428" width="16.5703125" style="53" customWidth="1"/>
    <col min="7429" max="7429" width="1.7109375" style="53" customWidth="1"/>
    <col min="7430" max="7430" width="12.7109375" style="53" customWidth="1"/>
    <col min="7431" max="7431" width="1.7109375" style="53" customWidth="1"/>
    <col min="7432" max="7432" width="13" style="53" customWidth="1"/>
    <col min="7433" max="7433" width="1.7109375" style="53" customWidth="1"/>
    <col min="7434" max="7434" width="13.5703125" style="53" customWidth="1"/>
    <col min="7435" max="7435" width="1.7109375" style="53" customWidth="1"/>
    <col min="7436" max="7436" width="15.28515625" style="53" customWidth="1"/>
    <col min="7437" max="7437" width="1.7109375" style="53" customWidth="1"/>
    <col min="7438" max="7438" width="12.28515625" style="53" customWidth="1"/>
    <col min="7439" max="7439" width="1.7109375" style="53" customWidth="1"/>
    <col min="7440" max="7440" width="14.42578125" style="53" customWidth="1"/>
    <col min="7441" max="7441" width="1.7109375" style="53" customWidth="1"/>
    <col min="7442" max="7442" width="13.85546875" style="53" customWidth="1"/>
    <col min="7443" max="7443" width="13.42578125" style="53" bestFit="1" customWidth="1"/>
    <col min="7444" max="7444" width="1.42578125" style="53" customWidth="1"/>
    <col min="7445" max="7445" width="13.42578125" style="53" bestFit="1" customWidth="1"/>
    <col min="7446" max="7681" width="9.140625" style="53"/>
    <col min="7682" max="7682" width="3.7109375" style="53" customWidth="1"/>
    <col min="7683" max="7683" width="1.7109375" style="53" customWidth="1"/>
    <col min="7684" max="7684" width="16.5703125" style="53" customWidth="1"/>
    <col min="7685" max="7685" width="1.7109375" style="53" customWidth="1"/>
    <col min="7686" max="7686" width="12.7109375" style="53" customWidth="1"/>
    <col min="7687" max="7687" width="1.7109375" style="53" customWidth="1"/>
    <col min="7688" max="7688" width="13" style="53" customWidth="1"/>
    <col min="7689" max="7689" width="1.7109375" style="53" customWidth="1"/>
    <col min="7690" max="7690" width="13.5703125" style="53" customWidth="1"/>
    <col min="7691" max="7691" width="1.7109375" style="53" customWidth="1"/>
    <col min="7692" max="7692" width="15.28515625" style="53" customWidth="1"/>
    <col min="7693" max="7693" width="1.7109375" style="53" customWidth="1"/>
    <col min="7694" max="7694" width="12.28515625" style="53" customWidth="1"/>
    <col min="7695" max="7695" width="1.7109375" style="53" customWidth="1"/>
    <col min="7696" max="7696" width="14.42578125" style="53" customWidth="1"/>
    <col min="7697" max="7697" width="1.7109375" style="53" customWidth="1"/>
    <col min="7698" max="7698" width="13.85546875" style="53" customWidth="1"/>
    <col min="7699" max="7699" width="13.42578125" style="53" bestFit="1" customWidth="1"/>
    <col min="7700" max="7700" width="1.42578125" style="53" customWidth="1"/>
    <col min="7701" max="7701" width="13.42578125" style="53" bestFit="1" customWidth="1"/>
    <col min="7702" max="7937" width="9.140625" style="53"/>
    <col min="7938" max="7938" width="3.7109375" style="53" customWidth="1"/>
    <col min="7939" max="7939" width="1.7109375" style="53" customWidth="1"/>
    <col min="7940" max="7940" width="16.5703125" style="53" customWidth="1"/>
    <col min="7941" max="7941" width="1.7109375" style="53" customWidth="1"/>
    <col min="7942" max="7942" width="12.7109375" style="53" customWidth="1"/>
    <col min="7943" max="7943" width="1.7109375" style="53" customWidth="1"/>
    <col min="7944" max="7944" width="13" style="53" customWidth="1"/>
    <col min="7945" max="7945" width="1.7109375" style="53" customWidth="1"/>
    <col min="7946" max="7946" width="13.5703125" style="53" customWidth="1"/>
    <col min="7947" max="7947" width="1.7109375" style="53" customWidth="1"/>
    <col min="7948" max="7948" width="15.28515625" style="53" customWidth="1"/>
    <col min="7949" max="7949" width="1.7109375" style="53" customWidth="1"/>
    <col min="7950" max="7950" width="12.28515625" style="53" customWidth="1"/>
    <col min="7951" max="7951" width="1.7109375" style="53" customWidth="1"/>
    <col min="7952" max="7952" width="14.42578125" style="53" customWidth="1"/>
    <col min="7953" max="7953" width="1.7109375" style="53" customWidth="1"/>
    <col min="7954" max="7954" width="13.85546875" style="53" customWidth="1"/>
    <col min="7955" max="7955" width="13.42578125" style="53" bestFit="1" customWidth="1"/>
    <col min="7956" max="7956" width="1.42578125" style="53" customWidth="1"/>
    <col min="7957" max="7957" width="13.42578125" style="53" bestFit="1" customWidth="1"/>
    <col min="7958" max="8193" width="9.140625" style="53"/>
    <col min="8194" max="8194" width="3.7109375" style="53" customWidth="1"/>
    <col min="8195" max="8195" width="1.7109375" style="53" customWidth="1"/>
    <col min="8196" max="8196" width="16.5703125" style="53" customWidth="1"/>
    <col min="8197" max="8197" width="1.7109375" style="53" customWidth="1"/>
    <col min="8198" max="8198" width="12.7109375" style="53" customWidth="1"/>
    <col min="8199" max="8199" width="1.7109375" style="53" customWidth="1"/>
    <col min="8200" max="8200" width="13" style="53" customWidth="1"/>
    <col min="8201" max="8201" width="1.7109375" style="53" customWidth="1"/>
    <col min="8202" max="8202" width="13.5703125" style="53" customWidth="1"/>
    <col min="8203" max="8203" width="1.7109375" style="53" customWidth="1"/>
    <col min="8204" max="8204" width="15.28515625" style="53" customWidth="1"/>
    <col min="8205" max="8205" width="1.7109375" style="53" customWidth="1"/>
    <col min="8206" max="8206" width="12.28515625" style="53" customWidth="1"/>
    <col min="8207" max="8207" width="1.7109375" style="53" customWidth="1"/>
    <col min="8208" max="8208" width="14.42578125" style="53" customWidth="1"/>
    <col min="8209" max="8209" width="1.7109375" style="53" customWidth="1"/>
    <col min="8210" max="8210" width="13.85546875" style="53" customWidth="1"/>
    <col min="8211" max="8211" width="13.42578125" style="53" bestFit="1" customWidth="1"/>
    <col min="8212" max="8212" width="1.42578125" style="53" customWidth="1"/>
    <col min="8213" max="8213" width="13.42578125" style="53" bestFit="1" customWidth="1"/>
    <col min="8214" max="8449" width="9.140625" style="53"/>
    <col min="8450" max="8450" width="3.7109375" style="53" customWidth="1"/>
    <col min="8451" max="8451" width="1.7109375" style="53" customWidth="1"/>
    <col min="8452" max="8452" width="16.5703125" style="53" customWidth="1"/>
    <col min="8453" max="8453" width="1.7109375" style="53" customWidth="1"/>
    <col min="8454" max="8454" width="12.7109375" style="53" customWidth="1"/>
    <col min="8455" max="8455" width="1.7109375" style="53" customWidth="1"/>
    <col min="8456" max="8456" width="13" style="53" customWidth="1"/>
    <col min="8457" max="8457" width="1.7109375" style="53" customWidth="1"/>
    <col min="8458" max="8458" width="13.5703125" style="53" customWidth="1"/>
    <col min="8459" max="8459" width="1.7109375" style="53" customWidth="1"/>
    <col min="8460" max="8460" width="15.28515625" style="53" customWidth="1"/>
    <col min="8461" max="8461" width="1.7109375" style="53" customWidth="1"/>
    <col min="8462" max="8462" width="12.28515625" style="53" customWidth="1"/>
    <col min="8463" max="8463" width="1.7109375" style="53" customWidth="1"/>
    <col min="8464" max="8464" width="14.42578125" style="53" customWidth="1"/>
    <col min="8465" max="8465" width="1.7109375" style="53" customWidth="1"/>
    <col min="8466" max="8466" width="13.85546875" style="53" customWidth="1"/>
    <col min="8467" max="8467" width="13.42578125" style="53" bestFit="1" customWidth="1"/>
    <col min="8468" max="8468" width="1.42578125" style="53" customWidth="1"/>
    <col min="8469" max="8469" width="13.42578125" style="53" bestFit="1" customWidth="1"/>
    <col min="8470" max="8705" width="9.140625" style="53"/>
    <col min="8706" max="8706" width="3.7109375" style="53" customWidth="1"/>
    <col min="8707" max="8707" width="1.7109375" style="53" customWidth="1"/>
    <col min="8708" max="8708" width="16.5703125" style="53" customWidth="1"/>
    <col min="8709" max="8709" width="1.7109375" style="53" customWidth="1"/>
    <col min="8710" max="8710" width="12.7109375" style="53" customWidth="1"/>
    <col min="8711" max="8711" width="1.7109375" style="53" customWidth="1"/>
    <col min="8712" max="8712" width="13" style="53" customWidth="1"/>
    <col min="8713" max="8713" width="1.7109375" style="53" customWidth="1"/>
    <col min="8714" max="8714" width="13.5703125" style="53" customWidth="1"/>
    <col min="8715" max="8715" width="1.7109375" style="53" customWidth="1"/>
    <col min="8716" max="8716" width="15.28515625" style="53" customWidth="1"/>
    <col min="8717" max="8717" width="1.7109375" style="53" customWidth="1"/>
    <col min="8718" max="8718" width="12.28515625" style="53" customWidth="1"/>
    <col min="8719" max="8719" width="1.7109375" style="53" customWidth="1"/>
    <col min="8720" max="8720" width="14.42578125" style="53" customWidth="1"/>
    <col min="8721" max="8721" width="1.7109375" style="53" customWidth="1"/>
    <col min="8722" max="8722" width="13.85546875" style="53" customWidth="1"/>
    <col min="8723" max="8723" width="13.42578125" style="53" bestFit="1" customWidth="1"/>
    <col min="8724" max="8724" width="1.42578125" style="53" customWidth="1"/>
    <col min="8725" max="8725" width="13.42578125" style="53" bestFit="1" customWidth="1"/>
    <col min="8726" max="8961" width="9.140625" style="53"/>
    <col min="8962" max="8962" width="3.7109375" style="53" customWidth="1"/>
    <col min="8963" max="8963" width="1.7109375" style="53" customWidth="1"/>
    <col min="8964" max="8964" width="16.5703125" style="53" customWidth="1"/>
    <col min="8965" max="8965" width="1.7109375" style="53" customWidth="1"/>
    <col min="8966" max="8966" width="12.7109375" style="53" customWidth="1"/>
    <col min="8967" max="8967" width="1.7109375" style="53" customWidth="1"/>
    <col min="8968" max="8968" width="13" style="53" customWidth="1"/>
    <col min="8969" max="8969" width="1.7109375" style="53" customWidth="1"/>
    <col min="8970" max="8970" width="13.5703125" style="53" customWidth="1"/>
    <col min="8971" max="8971" width="1.7109375" style="53" customWidth="1"/>
    <col min="8972" max="8972" width="15.28515625" style="53" customWidth="1"/>
    <col min="8973" max="8973" width="1.7109375" style="53" customWidth="1"/>
    <col min="8974" max="8974" width="12.28515625" style="53" customWidth="1"/>
    <col min="8975" max="8975" width="1.7109375" style="53" customWidth="1"/>
    <col min="8976" max="8976" width="14.42578125" style="53" customWidth="1"/>
    <col min="8977" max="8977" width="1.7109375" style="53" customWidth="1"/>
    <col min="8978" max="8978" width="13.85546875" style="53" customWidth="1"/>
    <col min="8979" max="8979" width="13.42578125" style="53" bestFit="1" customWidth="1"/>
    <col min="8980" max="8980" width="1.42578125" style="53" customWidth="1"/>
    <col min="8981" max="8981" width="13.42578125" style="53" bestFit="1" customWidth="1"/>
    <col min="8982" max="9217" width="9.140625" style="53"/>
    <col min="9218" max="9218" width="3.7109375" style="53" customWidth="1"/>
    <col min="9219" max="9219" width="1.7109375" style="53" customWidth="1"/>
    <col min="9220" max="9220" width="16.5703125" style="53" customWidth="1"/>
    <col min="9221" max="9221" width="1.7109375" style="53" customWidth="1"/>
    <col min="9222" max="9222" width="12.7109375" style="53" customWidth="1"/>
    <col min="9223" max="9223" width="1.7109375" style="53" customWidth="1"/>
    <col min="9224" max="9224" width="13" style="53" customWidth="1"/>
    <col min="9225" max="9225" width="1.7109375" style="53" customWidth="1"/>
    <col min="9226" max="9226" width="13.5703125" style="53" customWidth="1"/>
    <col min="9227" max="9227" width="1.7109375" style="53" customWidth="1"/>
    <col min="9228" max="9228" width="15.28515625" style="53" customWidth="1"/>
    <col min="9229" max="9229" width="1.7109375" style="53" customWidth="1"/>
    <col min="9230" max="9230" width="12.28515625" style="53" customWidth="1"/>
    <col min="9231" max="9231" width="1.7109375" style="53" customWidth="1"/>
    <col min="9232" max="9232" width="14.42578125" style="53" customWidth="1"/>
    <col min="9233" max="9233" width="1.7109375" style="53" customWidth="1"/>
    <col min="9234" max="9234" width="13.85546875" style="53" customWidth="1"/>
    <col min="9235" max="9235" width="13.42578125" style="53" bestFit="1" customWidth="1"/>
    <col min="9236" max="9236" width="1.42578125" style="53" customWidth="1"/>
    <col min="9237" max="9237" width="13.42578125" style="53" bestFit="1" customWidth="1"/>
    <col min="9238" max="9473" width="9.140625" style="53"/>
    <col min="9474" max="9474" width="3.7109375" style="53" customWidth="1"/>
    <col min="9475" max="9475" width="1.7109375" style="53" customWidth="1"/>
    <col min="9476" max="9476" width="16.5703125" style="53" customWidth="1"/>
    <col min="9477" max="9477" width="1.7109375" style="53" customWidth="1"/>
    <col min="9478" max="9478" width="12.7109375" style="53" customWidth="1"/>
    <col min="9479" max="9479" width="1.7109375" style="53" customWidth="1"/>
    <col min="9480" max="9480" width="13" style="53" customWidth="1"/>
    <col min="9481" max="9481" width="1.7109375" style="53" customWidth="1"/>
    <col min="9482" max="9482" width="13.5703125" style="53" customWidth="1"/>
    <col min="9483" max="9483" width="1.7109375" style="53" customWidth="1"/>
    <col min="9484" max="9484" width="15.28515625" style="53" customWidth="1"/>
    <col min="9485" max="9485" width="1.7109375" style="53" customWidth="1"/>
    <col min="9486" max="9486" width="12.28515625" style="53" customWidth="1"/>
    <col min="9487" max="9487" width="1.7109375" style="53" customWidth="1"/>
    <col min="9488" max="9488" width="14.42578125" style="53" customWidth="1"/>
    <col min="9489" max="9489" width="1.7109375" style="53" customWidth="1"/>
    <col min="9490" max="9490" width="13.85546875" style="53" customWidth="1"/>
    <col min="9491" max="9491" width="13.42578125" style="53" bestFit="1" customWidth="1"/>
    <col min="9492" max="9492" width="1.42578125" style="53" customWidth="1"/>
    <col min="9493" max="9493" width="13.42578125" style="53" bestFit="1" customWidth="1"/>
    <col min="9494" max="9729" width="9.140625" style="53"/>
    <col min="9730" max="9730" width="3.7109375" style="53" customWidth="1"/>
    <col min="9731" max="9731" width="1.7109375" style="53" customWidth="1"/>
    <col min="9732" max="9732" width="16.5703125" style="53" customWidth="1"/>
    <col min="9733" max="9733" width="1.7109375" style="53" customWidth="1"/>
    <col min="9734" max="9734" width="12.7109375" style="53" customWidth="1"/>
    <col min="9735" max="9735" width="1.7109375" style="53" customWidth="1"/>
    <col min="9736" max="9736" width="13" style="53" customWidth="1"/>
    <col min="9737" max="9737" width="1.7109375" style="53" customWidth="1"/>
    <col min="9738" max="9738" width="13.5703125" style="53" customWidth="1"/>
    <col min="9739" max="9739" width="1.7109375" style="53" customWidth="1"/>
    <col min="9740" max="9740" width="15.28515625" style="53" customWidth="1"/>
    <col min="9741" max="9741" width="1.7109375" style="53" customWidth="1"/>
    <col min="9742" max="9742" width="12.28515625" style="53" customWidth="1"/>
    <col min="9743" max="9743" width="1.7109375" style="53" customWidth="1"/>
    <col min="9744" max="9744" width="14.42578125" style="53" customWidth="1"/>
    <col min="9745" max="9745" width="1.7109375" style="53" customWidth="1"/>
    <col min="9746" max="9746" width="13.85546875" style="53" customWidth="1"/>
    <col min="9747" max="9747" width="13.42578125" style="53" bestFit="1" customWidth="1"/>
    <col min="9748" max="9748" width="1.42578125" style="53" customWidth="1"/>
    <col min="9749" max="9749" width="13.42578125" style="53" bestFit="1" customWidth="1"/>
    <col min="9750" max="9985" width="9.140625" style="53"/>
    <col min="9986" max="9986" width="3.7109375" style="53" customWidth="1"/>
    <col min="9987" max="9987" width="1.7109375" style="53" customWidth="1"/>
    <col min="9988" max="9988" width="16.5703125" style="53" customWidth="1"/>
    <col min="9989" max="9989" width="1.7109375" style="53" customWidth="1"/>
    <col min="9990" max="9990" width="12.7109375" style="53" customWidth="1"/>
    <col min="9991" max="9991" width="1.7109375" style="53" customWidth="1"/>
    <col min="9992" max="9992" width="13" style="53" customWidth="1"/>
    <col min="9993" max="9993" width="1.7109375" style="53" customWidth="1"/>
    <col min="9994" max="9994" width="13.5703125" style="53" customWidth="1"/>
    <col min="9995" max="9995" width="1.7109375" style="53" customWidth="1"/>
    <col min="9996" max="9996" width="15.28515625" style="53" customWidth="1"/>
    <col min="9997" max="9997" width="1.7109375" style="53" customWidth="1"/>
    <col min="9998" max="9998" width="12.28515625" style="53" customWidth="1"/>
    <col min="9999" max="9999" width="1.7109375" style="53" customWidth="1"/>
    <col min="10000" max="10000" width="14.42578125" style="53" customWidth="1"/>
    <col min="10001" max="10001" width="1.7109375" style="53" customWidth="1"/>
    <col min="10002" max="10002" width="13.85546875" style="53" customWidth="1"/>
    <col min="10003" max="10003" width="13.42578125" style="53" bestFit="1" customWidth="1"/>
    <col min="10004" max="10004" width="1.42578125" style="53" customWidth="1"/>
    <col min="10005" max="10005" width="13.42578125" style="53" bestFit="1" customWidth="1"/>
    <col min="10006" max="10241" width="9.140625" style="53"/>
    <col min="10242" max="10242" width="3.7109375" style="53" customWidth="1"/>
    <col min="10243" max="10243" width="1.7109375" style="53" customWidth="1"/>
    <col min="10244" max="10244" width="16.5703125" style="53" customWidth="1"/>
    <col min="10245" max="10245" width="1.7109375" style="53" customWidth="1"/>
    <col min="10246" max="10246" width="12.7109375" style="53" customWidth="1"/>
    <col min="10247" max="10247" width="1.7109375" style="53" customWidth="1"/>
    <col min="10248" max="10248" width="13" style="53" customWidth="1"/>
    <col min="10249" max="10249" width="1.7109375" style="53" customWidth="1"/>
    <col min="10250" max="10250" width="13.5703125" style="53" customWidth="1"/>
    <col min="10251" max="10251" width="1.7109375" style="53" customWidth="1"/>
    <col min="10252" max="10252" width="15.28515625" style="53" customWidth="1"/>
    <col min="10253" max="10253" width="1.7109375" style="53" customWidth="1"/>
    <col min="10254" max="10254" width="12.28515625" style="53" customWidth="1"/>
    <col min="10255" max="10255" width="1.7109375" style="53" customWidth="1"/>
    <col min="10256" max="10256" width="14.42578125" style="53" customWidth="1"/>
    <col min="10257" max="10257" width="1.7109375" style="53" customWidth="1"/>
    <col min="10258" max="10258" width="13.85546875" style="53" customWidth="1"/>
    <col min="10259" max="10259" width="13.42578125" style="53" bestFit="1" customWidth="1"/>
    <col min="10260" max="10260" width="1.42578125" style="53" customWidth="1"/>
    <col min="10261" max="10261" width="13.42578125" style="53" bestFit="1" customWidth="1"/>
    <col min="10262" max="10497" width="9.140625" style="53"/>
    <col min="10498" max="10498" width="3.7109375" style="53" customWidth="1"/>
    <col min="10499" max="10499" width="1.7109375" style="53" customWidth="1"/>
    <col min="10500" max="10500" width="16.5703125" style="53" customWidth="1"/>
    <col min="10501" max="10501" width="1.7109375" style="53" customWidth="1"/>
    <col min="10502" max="10502" width="12.7109375" style="53" customWidth="1"/>
    <col min="10503" max="10503" width="1.7109375" style="53" customWidth="1"/>
    <col min="10504" max="10504" width="13" style="53" customWidth="1"/>
    <col min="10505" max="10505" width="1.7109375" style="53" customWidth="1"/>
    <col min="10506" max="10506" width="13.5703125" style="53" customWidth="1"/>
    <col min="10507" max="10507" width="1.7109375" style="53" customWidth="1"/>
    <col min="10508" max="10508" width="15.28515625" style="53" customWidth="1"/>
    <col min="10509" max="10509" width="1.7109375" style="53" customWidth="1"/>
    <col min="10510" max="10510" width="12.28515625" style="53" customWidth="1"/>
    <col min="10511" max="10511" width="1.7109375" style="53" customWidth="1"/>
    <col min="10512" max="10512" width="14.42578125" style="53" customWidth="1"/>
    <col min="10513" max="10513" width="1.7109375" style="53" customWidth="1"/>
    <col min="10514" max="10514" width="13.85546875" style="53" customWidth="1"/>
    <col min="10515" max="10515" width="13.42578125" style="53" bestFit="1" customWidth="1"/>
    <col min="10516" max="10516" width="1.42578125" style="53" customWidth="1"/>
    <col min="10517" max="10517" width="13.42578125" style="53" bestFit="1" customWidth="1"/>
    <col min="10518" max="10753" width="9.140625" style="53"/>
    <col min="10754" max="10754" width="3.7109375" style="53" customWidth="1"/>
    <col min="10755" max="10755" width="1.7109375" style="53" customWidth="1"/>
    <col min="10756" max="10756" width="16.5703125" style="53" customWidth="1"/>
    <col min="10757" max="10757" width="1.7109375" style="53" customWidth="1"/>
    <col min="10758" max="10758" width="12.7109375" style="53" customWidth="1"/>
    <col min="10759" max="10759" width="1.7109375" style="53" customWidth="1"/>
    <col min="10760" max="10760" width="13" style="53" customWidth="1"/>
    <col min="10761" max="10761" width="1.7109375" style="53" customWidth="1"/>
    <col min="10762" max="10762" width="13.5703125" style="53" customWidth="1"/>
    <col min="10763" max="10763" width="1.7109375" style="53" customWidth="1"/>
    <col min="10764" max="10764" width="15.28515625" style="53" customWidth="1"/>
    <col min="10765" max="10765" width="1.7109375" style="53" customWidth="1"/>
    <col min="10766" max="10766" width="12.28515625" style="53" customWidth="1"/>
    <col min="10767" max="10767" width="1.7109375" style="53" customWidth="1"/>
    <col min="10768" max="10768" width="14.42578125" style="53" customWidth="1"/>
    <col min="10769" max="10769" width="1.7109375" style="53" customWidth="1"/>
    <col min="10770" max="10770" width="13.85546875" style="53" customWidth="1"/>
    <col min="10771" max="10771" width="13.42578125" style="53" bestFit="1" customWidth="1"/>
    <col min="10772" max="10772" width="1.42578125" style="53" customWidth="1"/>
    <col min="10773" max="10773" width="13.42578125" style="53" bestFit="1" customWidth="1"/>
    <col min="10774" max="11009" width="9.140625" style="53"/>
    <col min="11010" max="11010" width="3.7109375" style="53" customWidth="1"/>
    <col min="11011" max="11011" width="1.7109375" style="53" customWidth="1"/>
    <col min="11012" max="11012" width="16.5703125" style="53" customWidth="1"/>
    <col min="11013" max="11013" width="1.7109375" style="53" customWidth="1"/>
    <col min="11014" max="11014" width="12.7109375" style="53" customWidth="1"/>
    <col min="11015" max="11015" width="1.7109375" style="53" customWidth="1"/>
    <col min="11016" max="11016" width="13" style="53" customWidth="1"/>
    <col min="11017" max="11017" width="1.7109375" style="53" customWidth="1"/>
    <col min="11018" max="11018" width="13.5703125" style="53" customWidth="1"/>
    <col min="11019" max="11019" width="1.7109375" style="53" customWidth="1"/>
    <col min="11020" max="11020" width="15.28515625" style="53" customWidth="1"/>
    <col min="11021" max="11021" width="1.7109375" style="53" customWidth="1"/>
    <col min="11022" max="11022" width="12.28515625" style="53" customWidth="1"/>
    <col min="11023" max="11023" width="1.7109375" style="53" customWidth="1"/>
    <col min="11024" max="11024" width="14.42578125" style="53" customWidth="1"/>
    <col min="11025" max="11025" width="1.7109375" style="53" customWidth="1"/>
    <col min="11026" max="11026" width="13.85546875" style="53" customWidth="1"/>
    <col min="11027" max="11027" width="13.42578125" style="53" bestFit="1" customWidth="1"/>
    <col min="11028" max="11028" width="1.42578125" style="53" customWidth="1"/>
    <col min="11029" max="11029" width="13.42578125" style="53" bestFit="1" customWidth="1"/>
    <col min="11030" max="11265" width="9.140625" style="53"/>
    <col min="11266" max="11266" width="3.7109375" style="53" customWidth="1"/>
    <col min="11267" max="11267" width="1.7109375" style="53" customWidth="1"/>
    <col min="11268" max="11268" width="16.5703125" style="53" customWidth="1"/>
    <col min="11269" max="11269" width="1.7109375" style="53" customWidth="1"/>
    <col min="11270" max="11270" width="12.7109375" style="53" customWidth="1"/>
    <col min="11271" max="11271" width="1.7109375" style="53" customWidth="1"/>
    <col min="11272" max="11272" width="13" style="53" customWidth="1"/>
    <col min="11273" max="11273" width="1.7109375" style="53" customWidth="1"/>
    <col min="11274" max="11274" width="13.5703125" style="53" customWidth="1"/>
    <col min="11275" max="11275" width="1.7109375" style="53" customWidth="1"/>
    <col min="11276" max="11276" width="15.28515625" style="53" customWidth="1"/>
    <col min="11277" max="11277" width="1.7109375" style="53" customWidth="1"/>
    <col min="11278" max="11278" width="12.28515625" style="53" customWidth="1"/>
    <col min="11279" max="11279" width="1.7109375" style="53" customWidth="1"/>
    <col min="11280" max="11280" width="14.42578125" style="53" customWidth="1"/>
    <col min="11281" max="11281" width="1.7109375" style="53" customWidth="1"/>
    <col min="11282" max="11282" width="13.85546875" style="53" customWidth="1"/>
    <col min="11283" max="11283" width="13.42578125" style="53" bestFit="1" customWidth="1"/>
    <col min="11284" max="11284" width="1.42578125" style="53" customWidth="1"/>
    <col min="11285" max="11285" width="13.42578125" style="53" bestFit="1" customWidth="1"/>
    <col min="11286" max="11521" width="9.140625" style="53"/>
    <col min="11522" max="11522" width="3.7109375" style="53" customWidth="1"/>
    <col min="11523" max="11523" width="1.7109375" style="53" customWidth="1"/>
    <col min="11524" max="11524" width="16.5703125" style="53" customWidth="1"/>
    <col min="11525" max="11525" width="1.7109375" style="53" customWidth="1"/>
    <col min="11526" max="11526" width="12.7109375" style="53" customWidth="1"/>
    <col min="11527" max="11527" width="1.7109375" style="53" customWidth="1"/>
    <col min="11528" max="11528" width="13" style="53" customWidth="1"/>
    <col min="11529" max="11529" width="1.7109375" style="53" customWidth="1"/>
    <col min="11530" max="11530" width="13.5703125" style="53" customWidth="1"/>
    <col min="11531" max="11531" width="1.7109375" style="53" customWidth="1"/>
    <col min="11532" max="11532" width="15.28515625" style="53" customWidth="1"/>
    <col min="11533" max="11533" width="1.7109375" style="53" customWidth="1"/>
    <col min="11534" max="11534" width="12.28515625" style="53" customWidth="1"/>
    <col min="11535" max="11535" width="1.7109375" style="53" customWidth="1"/>
    <col min="11536" max="11536" width="14.42578125" style="53" customWidth="1"/>
    <col min="11537" max="11537" width="1.7109375" style="53" customWidth="1"/>
    <col min="11538" max="11538" width="13.85546875" style="53" customWidth="1"/>
    <col min="11539" max="11539" width="13.42578125" style="53" bestFit="1" customWidth="1"/>
    <col min="11540" max="11540" width="1.42578125" style="53" customWidth="1"/>
    <col min="11541" max="11541" width="13.42578125" style="53" bestFit="1" customWidth="1"/>
    <col min="11542" max="11777" width="9.140625" style="53"/>
    <col min="11778" max="11778" width="3.7109375" style="53" customWidth="1"/>
    <col min="11779" max="11779" width="1.7109375" style="53" customWidth="1"/>
    <col min="11780" max="11780" width="16.5703125" style="53" customWidth="1"/>
    <col min="11781" max="11781" width="1.7109375" style="53" customWidth="1"/>
    <col min="11782" max="11782" width="12.7109375" style="53" customWidth="1"/>
    <col min="11783" max="11783" width="1.7109375" style="53" customWidth="1"/>
    <col min="11784" max="11784" width="13" style="53" customWidth="1"/>
    <col min="11785" max="11785" width="1.7109375" style="53" customWidth="1"/>
    <col min="11786" max="11786" width="13.5703125" style="53" customWidth="1"/>
    <col min="11787" max="11787" width="1.7109375" style="53" customWidth="1"/>
    <col min="11788" max="11788" width="15.28515625" style="53" customWidth="1"/>
    <col min="11789" max="11789" width="1.7109375" style="53" customWidth="1"/>
    <col min="11790" max="11790" width="12.28515625" style="53" customWidth="1"/>
    <col min="11791" max="11791" width="1.7109375" style="53" customWidth="1"/>
    <col min="11792" max="11792" width="14.42578125" style="53" customWidth="1"/>
    <col min="11793" max="11793" width="1.7109375" style="53" customWidth="1"/>
    <col min="11794" max="11794" width="13.85546875" style="53" customWidth="1"/>
    <col min="11795" max="11795" width="13.42578125" style="53" bestFit="1" customWidth="1"/>
    <col min="11796" max="11796" width="1.42578125" style="53" customWidth="1"/>
    <col min="11797" max="11797" width="13.42578125" style="53" bestFit="1" customWidth="1"/>
    <col min="11798" max="12033" width="9.140625" style="53"/>
    <col min="12034" max="12034" width="3.7109375" style="53" customWidth="1"/>
    <col min="12035" max="12035" width="1.7109375" style="53" customWidth="1"/>
    <col min="12036" max="12036" width="16.5703125" style="53" customWidth="1"/>
    <col min="12037" max="12037" width="1.7109375" style="53" customWidth="1"/>
    <col min="12038" max="12038" width="12.7109375" style="53" customWidth="1"/>
    <col min="12039" max="12039" width="1.7109375" style="53" customWidth="1"/>
    <col min="12040" max="12040" width="13" style="53" customWidth="1"/>
    <col min="12041" max="12041" width="1.7109375" style="53" customWidth="1"/>
    <col min="12042" max="12042" width="13.5703125" style="53" customWidth="1"/>
    <col min="12043" max="12043" width="1.7109375" style="53" customWidth="1"/>
    <col min="12044" max="12044" width="15.28515625" style="53" customWidth="1"/>
    <col min="12045" max="12045" width="1.7109375" style="53" customWidth="1"/>
    <col min="12046" max="12046" width="12.28515625" style="53" customWidth="1"/>
    <col min="12047" max="12047" width="1.7109375" style="53" customWidth="1"/>
    <col min="12048" max="12048" width="14.42578125" style="53" customWidth="1"/>
    <col min="12049" max="12049" width="1.7109375" style="53" customWidth="1"/>
    <col min="12050" max="12050" width="13.85546875" style="53" customWidth="1"/>
    <col min="12051" max="12051" width="13.42578125" style="53" bestFit="1" customWidth="1"/>
    <col min="12052" max="12052" width="1.42578125" style="53" customWidth="1"/>
    <col min="12053" max="12053" width="13.42578125" style="53" bestFit="1" customWidth="1"/>
    <col min="12054" max="12289" width="9.140625" style="53"/>
    <col min="12290" max="12290" width="3.7109375" style="53" customWidth="1"/>
    <col min="12291" max="12291" width="1.7109375" style="53" customWidth="1"/>
    <col min="12292" max="12292" width="16.5703125" style="53" customWidth="1"/>
    <col min="12293" max="12293" width="1.7109375" style="53" customWidth="1"/>
    <col min="12294" max="12294" width="12.7109375" style="53" customWidth="1"/>
    <col min="12295" max="12295" width="1.7109375" style="53" customWidth="1"/>
    <col min="12296" max="12296" width="13" style="53" customWidth="1"/>
    <col min="12297" max="12297" width="1.7109375" style="53" customWidth="1"/>
    <col min="12298" max="12298" width="13.5703125" style="53" customWidth="1"/>
    <col min="12299" max="12299" width="1.7109375" style="53" customWidth="1"/>
    <col min="12300" max="12300" width="15.28515625" style="53" customWidth="1"/>
    <col min="12301" max="12301" width="1.7109375" style="53" customWidth="1"/>
    <col min="12302" max="12302" width="12.28515625" style="53" customWidth="1"/>
    <col min="12303" max="12303" width="1.7109375" style="53" customWidth="1"/>
    <col min="12304" max="12304" width="14.42578125" style="53" customWidth="1"/>
    <col min="12305" max="12305" width="1.7109375" style="53" customWidth="1"/>
    <col min="12306" max="12306" width="13.85546875" style="53" customWidth="1"/>
    <col min="12307" max="12307" width="13.42578125" style="53" bestFit="1" customWidth="1"/>
    <col min="12308" max="12308" width="1.42578125" style="53" customWidth="1"/>
    <col min="12309" max="12309" width="13.42578125" style="53" bestFit="1" customWidth="1"/>
    <col min="12310" max="12545" width="9.140625" style="53"/>
    <col min="12546" max="12546" width="3.7109375" style="53" customWidth="1"/>
    <col min="12547" max="12547" width="1.7109375" style="53" customWidth="1"/>
    <col min="12548" max="12548" width="16.5703125" style="53" customWidth="1"/>
    <col min="12549" max="12549" width="1.7109375" style="53" customWidth="1"/>
    <col min="12550" max="12550" width="12.7109375" style="53" customWidth="1"/>
    <col min="12551" max="12551" width="1.7109375" style="53" customWidth="1"/>
    <col min="12552" max="12552" width="13" style="53" customWidth="1"/>
    <col min="12553" max="12553" width="1.7109375" style="53" customWidth="1"/>
    <col min="12554" max="12554" width="13.5703125" style="53" customWidth="1"/>
    <col min="12555" max="12555" width="1.7109375" style="53" customWidth="1"/>
    <col min="12556" max="12556" width="15.28515625" style="53" customWidth="1"/>
    <col min="12557" max="12557" width="1.7109375" style="53" customWidth="1"/>
    <col min="12558" max="12558" width="12.28515625" style="53" customWidth="1"/>
    <col min="12559" max="12559" width="1.7109375" style="53" customWidth="1"/>
    <col min="12560" max="12560" width="14.42578125" style="53" customWidth="1"/>
    <col min="12561" max="12561" width="1.7109375" style="53" customWidth="1"/>
    <col min="12562" max="12562" width="13.85546875" style="53" customWidth="1"/>
    <col min="12563" max="12563" width="13.42578125" style="53" bestFit="1" customWidth="1"/>
    <col min="12564" max="12564" width="1.42578125" style="53" customWidth="1"/>
    <col min="12565" max="12565" width="13.42578125" style="53" bestFit="1" customWidth="1"/>
    <col min="12566" max="12801" width="9.140625" style="53"/>
    <col min="12802" max="12802" width="3.7109375" style="53" customWidth="1"/>
    <col min="12803" max="12803" width="1.7109375" style="53" customWidth="1"/>
    <col min="12804" max="12804" width="16.5703125" style="53" customWidth="1"/>
    <col min="12805" max="12805" width="1.7109375" style="53" customWidth="1"/>
    <col min="12806" max="12806" width="12.7109375" style="53" customWidth="1"/>
    <col min="12807" max="12807" width="1.7109375" style="53" customWidth="1"/>
    <col min="12808" max="12808" width="13" style="53" customWidth="1"/>
    <col min="12809" max="12809" width="1.7109375" style="53" customWidth="1"/>
    <col min="12810" max="12810" width="13.5703125" style="53" customWidth="1"/>
    <col min="12811" max="12811" width="1.7109375" style="53" customWidth="1"/>
    <col min="12812" max="12812" width="15.28515625" style="53" customWidth="1"/>
    <col min="12813" max="12813" width="1.7109375" style="53" customWidth="1"/>
    <col min="12814" max="12814" width="12.28515625" style="53" customWidth="1"/>
    <col min="12815" max="12815" width="1.7109375" style="53" customWidth="1"/>
    <col min="12816" max="12816" width="14.42578125" style="53" customWidth="1"/>
    <col min="12817" max="12817" width="1.7109375" style="53" customWidth="1"/>
    <col min="12818" max="12818" width="13.85546875" style="53" customWidth="1"/>
    <col min="12819" max="12819" width="13.42578125" style="53" bestFit="1" customWidth="1"/>
    <col min="12820" max="12820" width="1.42578125" style="53" customWidth="1"/>
    <col min="12821" max="12821" width="13.42578125" style="53" bestFit="1" customWidth="1"/>
    <col min="12822" max="13057" width="9.140625" style="53"/>
    <col min="13058" max="13058" width="3.7109375" style="53" customWidth="1"/>
    <col min="13059" max="13059" width="1.7109375" style="53" customWidth="1"/>
    <col min="13060" max="13060" width="16.5703125" style="53" customWidth="1"/>
    <col min="13061" max="13061" width="1.7109375" style="53" customWidth="1"/>
    <col min="13062" max="13062" width="12.7109375" style="53" customWidth="1"/>
    <col min="13063" max="13063" width="1.7109375" style="53" customWidth="1"/>
    <col min="13064" max="13064" width="13" style="53" customWidth="1"/>
    <col min="13065" max="13065" width="1.7109375" style="53" customWidth="1"/>
    <col min="13066" max="13066" width="13.5703125" style="53" customWidth="1"/>
    <col min="13067" max="13067" width="1.7109375" style="53" customWidth="1"/>
    <col min="13068" max="13068" width="15.28515625" style="53" customWidth="1"/>
    <col min="13069" max="13069" width="1.7109375" style="53" customWidth="1"/>
    <col min="13070" max="13070" width="12.28515625" style="53" customWidth="1"/>
    <col min="13071" max="13071" width="1.7109375" style="53" customWidth="1"/>
    <col min="13072" max="13072" width="14.42578125" style="53" customWidth="1"/>
    <col min="13073" max="13073" width="1.7109375" style="53" customWidth="1"/>
    <col min="13074" max="13074" width="13.85546875" style="53" customWidth="1"/>
    <col min="13075" max="13075" width="13.42578125" style="53" bestFit="1" customWidth="1"/>
    <col min="13076" max="13076" width="1.42578125" style="53" customWidth="1"/>
    <col min="13077" max="13077" width="13.42578125" style="53" bestFit="1" customWidth="1"/>
    <col min="13078" max="13313" width="9.140625" style="53"/>
    <col min="13314" max="13314" width="3.7109375" style="53" customWidth="1"/>
    <col min="13315" max="13315" width="1.7109375" style="53" customWidth="1"/>
    <col min="13316" max="13316" width="16.5703125" style="53" customWidth="1"/>
    <col min="13317" max="13317" width="1.7109375" style="53" customWidth="1"/>
    <col min="13318" max="13318" width="12.7109375" style="53" customWidth="1"/>
    <col min="13319" max="13319" width="1.7109375" style="53" customWidth="1"/>
    <col min="13320" max="13320" width="13" style="53" customWidth="1"/>
    <col min="13321" max="13321" width="1.7109375" style="53" customWidth="1"/>
    <col min="13322" max="13322" width="13.5703125" style="53" customWidth="1"/>
    <col min="13323" max="13323" width="1.7109375" style="53" customWidth="1"/>
    <col min="13324" max="13324" width="15.28515625" style="53" customWidth="1"/>
    <col min="13325" max="13325" width="1.7109375" style="53" customWidth="1"/>
    <col min="13326" max="13326" width="12.28515625" style="53" customWidth="1"/>
    <col min="13327" max="13327" width="1.7109375" style="53" customWidth="1"/>
    <col min="13328" max="13328" width="14.42578125" style="53" customWidth="1"/>
    <col min="13329" max="13329" width="1.7109375" style="53" customWidth="1"/>
    <col min="13330" max="13330" width="13.85546875" style="53" customWidth="1"/>
    <col min="13331" max="13331" width="13.42578125" style="53" bestFit="1" customWidth="1"/>
    <col min="13332" max="13332" width="1.42578125" style="53" customWidth="1"/>
    <col min="13333" max="13333" width="13.42578125" style="53" bestFit="1" customWidth="1"/>
    <col min="13334" max="13569" width="9.140625" style="53"/>
    <col min="13570" max="13570" width="3.7109375" style="53" customWidth="1"/>
    <col min="13571" max="13571" width="1.7109375" style="53" customWidth="1"/>
    <col min="13572" max="13572" width="16.5703125" style="53" customWidth="1"/>
    <col min="13573" max="13573" width="1.7109375" style="53" customWidth="1"/>
    <col min="13574" max="13574" width="12.7109375" style="53" customWidth="1"/>
    <col min="13575" max="13575" width="1.7109375" style="53" customWidth="1"/>
    <col min="13576" max="13576" width="13" style="53" customWidth="1"/>
    <col min="13577" max="13577" width="1.7109375" style="53" customWidth="1"/>
    <col min="13578" max="13578" width="13.5703125" style="53" customWidth="1"/>
    <col min="13579" max="13579" width="1.7109375" style="53" customWidth="1"/>
    <col min="13580" max="13580" width="15.28515625" style="53" customWidth="1"/>
    <col min="13581" max="13581" width="1.7109375" style="53" customWidth="1"/>
    <col min="13582" max="13582" width="12.28515625" style="53" customWidth="1"/>
    <col min="13583" max="13583" width="1.7109375" style="53" customWidth="1"/>
    <col min="13584" max="13584" width="14.42578125" style="53" customWidth="1"/>
    <col min="13585" max="13585" width="1.7109375" style="53" customWidth="1"/>
    <col min="13586" max="13586" width="13.85546875" style="53" customWidth="1"/>
    <col min="13587" max="13587" width="13.42578125" style="53" bestFit="1" customWidth="1"/>
    <col min="13588" max="13588" width="1.42578125" style="53" customWidth="1"/>
    <col min="13589" max="13589" width="13.42578125" style="53" bestFit="1" customWidth="1"/>
    <col min="13590" max="13825" width="9.140625" style="53"/>
    <col min="13826" max="13826" width="3.7109375" style="53" customWidth="1"/>
    <col min="13827" max="13827" width="1.7109375" style="53" customWidth="1"/>
    <col min="13828" max="13828" width="16.5703125" style="53" customWidth="1"/>
    <col min="13829" max="13829" width="1.7109375" style="53" customWidth="1"/>
    <col min="13830" max="13830" width="12.7109375" style="53" customWidth="1"/>
    <col min="13831" max="13831" width="1.7109375" style="53" customWidth="1"/>
    <col min="13832" max="13832" width="13" style="53" customWidth="1"/>
    <col min="13833" max="13833" width="1.7109375" style="53" customWidth="1"/>
    <col min="13834" max="13834" width="13.5703125" style="53" customWidth="1"/>
    <col min="13835" max="13835" width="1.7109375" style="53" customWidth="1"/>
    <col min="13836" max="13836" width="15.28515625" style="53" customWidth="1"/>
    <col min="13837" max="13837" width="1.7109375" style="53" customWidth="1"/>
    <col min="13838" max="13838" width="12.28515625" style="53" customWidth="1"/>
    <col min="13839" max="13839" width="1.7109375" style="53" customWidth="1"/>
    <col min="13840" max="13840" width="14.42578125" style="53" customWidth="1"/>
    <col min="13841" max="13841" width="1.7109375" style="53" customWidth="1"/>
    <col min="13842" max="13842" width="13.85546875" style="53" customWidth="1"/>
    <col min="13843" max="13843" width="13.42578125" style="53" bestFit="1" customWidth="1"/>
    <col min="13844" max="13844" width="1.42578125" style="53" customWidth="1"/>
    <col min="13845" max="13845" width="13.42578125" style="53" bestFit="1" customWidth="1"/>
    <col min="13846" max="14081" width="9.140625" style="53"/>
    <col min="14082" max="14082" width="3.7109375" style="53" customWidth="1"/>
    <col min="14083" max="14083" width="1.7109375" style="53" customWidth="1"/>
    <col min="14084" max="14084" width="16.5703125" style="53" customWidth="1"/>
    <col min="14085" max="14085" width="1.7109375" style="53" customWidth="1"/>
    <col min="14086" max="14086" width="12.7109375" style="53" customWidth="1"/>
    <col min="14087" max="14087" width="1.7109375" style="53" customWidth="1"/>
    <col min="14088" max="14088" width="13" style="53" customWidth="1"/>
    <col min="14089" max="14089" width="1.7109375" style="53" customWidth="1"/>
    <col min="14090" max="14090" width="13.5703125" style="53" customWidth="1"/>
    <col min="14091" max="14091" width="1.7109375" style="53" customWidth="1"/>
    <col min="14092" max="14092" width="15.28515625" style="53" customWidth="1"/>
    <col min="14093" max="14093" width="1.7109375" style="53" customWidth="1"/>
    <col min="14094" max="14094" width="12.28515625" style="53" customWidth="1"/>
    <col min="14095" max="14095" width="1.7109375" style="53" customWidth="1"/>
    <col min="14096" max="14096" width="14.42578125" style="53" customWidth="1"/>
    <col min="14097" max="14097" width="1.7109375" style="53" customWidth="1"/>
    <col min="14098" max="14098" width="13.85546875" style="53" customWidth="1"/>
    <col min="14099" max="14099" width="13.42578125" style="53" bestFit="1" customWidth="1"/>
    <col min="14100" max="14100" width="1.42578125" style="53" customWidth="1"/>
    <col min="14101" max="14101" width="13.42578125" style="53" bestFit="1" customWidth="1"/>
    <col min="14102" max="14337" width="9.140625" style="53"/>
    <col min="14338" max="14338" width="3.7109375" style="53" customWidth="1"/>
    <col min="14339" max="14339" width="1.7109375" style="53" customWidth="1"/>
    <col min="14340" max="14340" width="16.5703125" style="53" customWidth="1"/>
    <col min="14341" max="14341" width="1.7109375" style="53" customWidth="1"/>
    <col min="14342" max="14342" width="12.7109375" style="53" customWidth="1"/>
    <col min="14343" max="14343" width="1.7109375" style="53" customWidth="1"/>
    <col min="14344" max="14344" width="13" style="53" customWidth="1"/>
    <col min="14345" max="14345" width="1.7109375" style="53" customWidth="1"/>
    <col min="14346" max="14346" width="13.5703125" style="53" customWidth="1"/>
    <col min="14347" max="14347" width="1.7109375" style="53" customWidth="1"/>
    <col min="14348" max="14348" width="15.28515625" style="53" customWidth="1"/>
    <col min="14349" max="14349" width="1.7109375" style="53" customWidth="1"/>
    <col min="14350" max="14350" width="12.28515625" style="53" customWidth="1"/>
    <col min="14351" max="14351" width="1.7109375" style="53" customWidth="1"/>
    <col min="14352" max="14352" width="14.42578125" style="53" customWidth="1"/>
    <col min="14353" max="14353" width="1.7109375" style="53" customWidth="1"/>
    <col min="14354" max="14354" width="13.85546875" style="53" customWidth="1"/>
    <col min="14355" max="14355" width="13.42578125" style="53" bestFit="1" customWidth="1"/>
    <col min="14356" max="14356" width="1.42578125" style="53" customWidth="1"/>
    <col min="14357" max="14357" width="13.42578125" style="53" bestFit="1" customWidth="1"/>
    <col min="14358" max="14593" width="9.140625" style="53"/>
    <col min="14594" max="14594" width="3.7109375" style="53" customWidth="1"/>
    <col min="14595" max="14595" width="1.7109375" style="53" customWidth="1"/>
    <col min="14596" max="14596" width="16.5703125" style="53" customWidth="1"/>
    <col min="14597" max="14597" width="1.7109375" style="53" customWidth="1"/>
    <col min="14598" max="14598" width="12.7109375" style="53" customWidth="1"/>
    <col min="14599" max="14599" width="1.7109375" style="53" customWidth="1"/>
    <col min="14600" max="14600" width="13" style="53" customWidth="1"/>
    <col min="14601" max="14601" width="1.7109375" style="53" customWidth="1"/>
    <col min="14602" max="14602" width="13.5703125" style="53" customWidth="1"/>
    <col min="14603" max="14603" width="1.7109375" style="53" customWidth="1"/>
    <col min="14604" max="14604" width="15.28515625" style="53" customWidth="1"/>
    <col min="14605" max="14605" width="1.7109375" style="53" customWidth="1"/>
    <col min="14606" max="14606" width="12.28515625" style="53" customWidth="1"/>
    <col min="14607" max="14607" width="1.7109375" style="53" customWidth="1"/>
    <col min="14608" max="14608" width="14.42578125" style="53" customWidth="1"/>
    <col min="14609" max="14609" width="1.7109375" style="53" customWidth="1"/>
    <col min="14610" max="14610" width="13.85546875" style="53" customWidth="1"/>
    <col min="14611" max="14611" width="13.42578125" style="53" bestFit="1" customWidth="1"/>
    <col min="14612" max="14612" width="1.42578125" style="53" customWidth="1"/>
    <col min="14613" max="14613" width="13.42578125" style="53" bestFit="1" customWidth="1"/>
    <col min="14614" max="14849" width="9.140625" style="53"/>
    <col min="14850" max="14850" width="3.7109375" style="53" customWidth="1"/>
    <col min="14851" max="14851" width="1.7109375" style="53" customWidth="1"/>
    <col min="14852" max="14852" width="16.5703125" style="53" customWidth="1"/>
    <col min="14853" max="14853" width="1.7109375" style="53" customWidth="1"/>
    <col min="14854" max="14854" width="12.7109375" style="53" customWidth="1"/>
    <col min="14855" max="14855" width="1.7109375" style="53" customWidth="1"/>
    <col min="14856" max="14856" width="13" style="53" customWidth="1"/>
    <col min="14857" max="14857" width="1.7109375" style="53" customWidth="1"/>
    <col min="14858" max="14858" width="13.5703125" style="53" customWidth="1"/>
    <col min="14859" max="14859" width="1.7109375" style="53" customWidth="1"/>
    <col min="14860" max="14860" width="15.28515625" style="53" customWidth="1"/>
    <col min="14861" max="14861" width="1.7109375" style="53" customWidth="1"/>
    <col min="14862" max="14862" width="12.28515625" style="53" customWidth="1"/>
    <col min="14863" max="14863" width="1.7109375" style="53" customWidth="1"/>
    <col min="14864" max="14864" width="14.42578125" style="53" customWidth="1"/>
    <col min="14865" max="14865" width="1.7109375" style="53" customWidth="1"/>
    <col min="14866" max="14866" width="13.85546875" style="53" customWidth="1"/>
    <col min="14867" max="14867" width="13.42578125" style="53" bestFit="1" customWidth="1"/>
    <col min="14868" max="14868" width="1.42578125" style="53" customWidth="1"/>
    <col min="14869" max="14869" width="13.42578125" style="53" bestFit="1" customWidth="1"/>
    <col min="14870" max="15105" width="9.140625" style="53"/>
    <col min="15106" max="15106" width="3.7109375" style="53" customWidth="1"/>
    <col min="15107" max="15107" width="1.7109375" style="53" customWidth="1"/>
    <col min="15108" max="15108" width="16.5703125" style="53" customWidth="1"/>
    <col min="15109" max="15109" width="1.7109375" style="53" customWidth="1"/>
    <col min="15110" max="15110" width="12.7109375" style="53" customWidth="1"/>
    <col min="15111" max="15111" width="1.7109375" style="53" customWidth="1"/>
    <col min="15112" max="15112" width="13" style="53" customWidth="1"/>
    <col min="15113" max="15113" width="1.7109375" style="53" customWidth="1"/>
    <col min="15114" max="15114" width="13.5703125" style="53" customWidth="1"/>
    <col min="15115" max="15115" width="1.7109375" style="53" customWidth="1"/>
    <col min="15116" max="15116" width="15.28515625" style="53" customWidth="1"/>
    <col min="15117" max="15117" width="1.7109375" style="53" customWidth="1"/>
    <col min="15118" max="15118" width="12.28515625" style="53" customWidth="1"/>
    <col min="15119" max="15119" width="1.7109375" style="53" customWidth="1"/>
    <col min="15120" max="15120" width="14.42578125" style="53" customWidth="1"/>
    <col min="15121" max="15121" width="1.7109375" style="53" customWidth="1"/>
    <col min="15122" max="15122" width="13.85546875" style="53" customWidth="1"/>
    <col min="15123" max="15123" width="13.42578125" style="53" bestFit="1" customWidth="1"/>
    <col min="15124" max="15124" width="1.42578125" style="53" customWidth="1"/>
    <col min="15125" max="15125" width="13.42578125" style="53" bestFit="1" customWidth="1"/>
    <col min="15126" max="15361" width="9.140625" style="53"/>
    <col min="15362" max="15362" width="3.7109375" style="53" customWidth="1"/>
    <col min="15363" max="15363" width="1.7109375" style="53" customWidth="1"/>
    <col min="15364" max="15364" width="16.5703125" style="53" customWidth="1"/>
    <col min="15365" max="15365" width="1.7109375" style="53" customWidth="1"/>
    <col min="15366" max="15366" width="12.7109375" style="53" customWidth="1"/>
    <col min="15367" max="15367" width="1.7109375" style="53" customWidth="1"/>
    <col min="15368" max="15368" width="13" style="53" customWidth="1"/>
    <col min="15369" max="15369" width="1.7109375" style="53" customWidth="1"/>
    <col min="15370" max="15370" width="13.5703125" style="53" customWidth="1"/>
    <col min="15371" max="15371" width="1.7109375" style="53" customWidth="1"/>
    <col min="15372" max="15372" width="15.28515625" style="53" customWidth="1"/>
    <col min="15373" max="15373" width="1.7109375" style="53" customWidth="1"/>
    <col min="15374" max="15374" width="12.28515625" style="53" customWidth="1"/>
    <col min="15375" max="15375" width="1.7109375" style="53" customWidth="1"/>
    <col min="15376" max="15376" width="14.42578125" style="53" customWidth="1"/>
    <col min="15377" max="15377" width="1.7109375" style="53" customWidth="1"/>
    <col min="15378" max="15378" width="13.85546875" style="53" customWidth="1"/>
    <col min="15379" max="15379" width="13.42578125" style="53" bestFit="1" customWidth="1"/>
    <col min="15380" max="15380" width="1.42578125" style="53" customWidth="1"/>
    <col min="15381" max="15381" width="13.42578125" style="53" bestFit="1" customWidth="1"/>
    <col min="15382" max="15617" width="9.140625" style="53"/>
    <col min="15618" max="15618" width="3.7109375" style="53" customWidth="1"/>
    <col min="15619" max="15619" width="1.7109375" style="53" customWidth="1"/>
    <col min="15620" max="15620" width="16.5703125" style="53" customWidth="1"/>
    <col min="15621" max="15621" width="1.7109375" style="53" customWidth="1"/>
    <col min="15622" max="15622" width="12.7109375" style="53" customWidth="1"/>
    <col min="15623" max="15623" width="1.7109375" style="53" customWidth="1"/>
    <col min="15624" max="15624" width="13" style="53" customWidth="1"/>
    <col min="15625" max="15625" width="1.7109375" style="53" customWidth="1"/>
    <col min="15626" max="15626" width="13.5703125" style="53" customWidth="1"/>
    <col min="15627" max="15627" width="1.7109375" style="53" customWidth="1"/>
    <col min="15628" max="15628" width="15.28515625" style="53" customWidth="1"/>
    <col min="15629" max="15629" width="1.7109375" style="53" customWidth="1"/>
    <col min="15630" max="15630" width="12.28515625" style="53" customWidth="1"/>
    <col min="15631" max="15631" width="1.7109375" style="53" customWidth="1"/>
    <col min="15632" max="15632" width="14.42578125" style="53" customWidth="1"/>
    <col min="15633" max="15633" width="1.7109375" style="53" customWidth="1"/>
    <col min="15634" max="15634" width="13.85546875" style="53" customWidth="1"/>
    <col min="15635" max="15635" width="13.42578125" style="53" bestFit="1" customWidth="1"/>
    <col min="15636" max="15636" width="1.42578125" style="53" customWidth="1"/>
    <col min="15637" max="15637" width="13.42578125" style="53" bestFit="1" customWidth="1"/>
    <col min="15638" max="15873" width="9.140625" style="53"/>
    <col min="15874" max="15874" width="3.7109375" style="53" customWidth="1"/>
    <col min="15875" max="15875" width="1.7109375" style="53" customWidth="1"/>
    <col min="15876" max="15876" width="16.5703125" style="53" customWidth="1"/>
    <col min="15877" max="15877" width="1.7109375" style="53" customWidth="1"/>
    <col min="15878" max="15878" width="12.7109375" style="53" customWidth="1"/>
    <col min="15879" max="15879" width="1.7109375" style="53" customWidth="1"/>
    <col min="15880" max="15880" width="13" style="53" customWidth="1"/>
    <col min="15881" max="15881" width="1.7109375" style="53" customWidth="1"/>
    <col min="15882" max="15882" width="13.5703125" style="53" customWidth="1"/>
    <col min="15883" max="15883" width="1.7109375" style="53" customWidth="1"/>
    <col min="15884" max="15884" width="15.28515625" style="53" customWidth="1"/>
    <col min="15885" max="15885" width="1.7109375" style="53" customWidth="1"/>
    <col min="15886" max="15886" width="12.28515625" style="53" customWidth="1"/>
    <col min="15887" max="15887" width="1.7109375" style="53" customWidth="1"/>
    <col min="15888" max="15888" width="14.42578125" style="53" customWidth="1"/>
    <col min="15889" max="15889" width="1.7109375" style="53" customWidth="1"/>
    <col min="15890" max="15890" width="13.85546875" style="53" customWidth="1"/>
    <col min="15891" max="15891" width="13.42578125" style="53" bestFit="1" customWidth="1"/>
    <col min="15892" max="15892" width="1.42578125" style="53" customWidth="1"/>
    <col min="15893" max="15893" width="13.42578125" style="53" bestFit="1" customWidth="1"/>
    <col min="15894" max="16129" width="9.140625" style="53"/>
    <col min="16130" max="16130" width="3.7109375" style="53" customWidth="1"/>
    <col min="16131" max="16131" width="1.7109375" style="53" customWidth="1"/>
    <col min="16132" max="16132" width="16.5703125" style="53" customWidth="1"/>
    <col min="16133" max="16133" width="1.7109375" style="53" customWidth="1"/>
    <col min="16134" max="16134" width="12.7109375" style="53" customWidth="1"/>
    <col min="16135" max="16135" width="1.7109375" style="53" customWidth="1"/>
    <col min="16136" max="16136" width="13" style="53" customWidth="1"/>
    <col min="16137" max="16137" width="1.7109375" style="53" customWidth="1"/>
    <col min="16138" max="16138" width="13.5703125" style="53" customWidth="1"/>
    <col min="16139" max="16139" width="1.7109375" style="53" customWidth="1"/>
    <col min="16140" max="16140" width="15.28515625" style="53" customWidth="1"/>
    <col min="16141" max="16141" width="1.7109375" style="53" customWidth="1"/>
    <col min="16142" max="16142" width="12.28515625" style="53" customWidth="1"/>
    <col min="16143" max="16143" width="1.7109375" style="53" customWidth="1"/>
    <col min="16144" max="16144" width="14.42578125" style="53" customWidth="1"/>
    <col min="16145" max="16145" width="1.7109375" style="53" customWidth="1"/>
    <col min="16146" max="16146" width="13.85546875" style="53" customWidth="1"/>
    <col min="16147" max="16147" width="13.42578125" style="53" bestFit="1" customWidth="1"/>
    <col min="16148" max="16148" width="1.42578125" style="53" customWidth="1"/>
    <col min="16149" max="16149" width="13.42578125" style="53" bestFit="1" customWidth="1"/>
    <col min="16150" max="16384" width="9.140625" style="53"/>
  </cols>
  <sheetData>
    <row r="1" spans="1:22" x14ac:dyDescent="0.2">
      <c r="A1" s="126" t="s">
        <v>75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22" x14ac:dyDescent="0.2">
      <c r="A2" s="126" t="s">
        <v>76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22" x14ac:dyDescent="0.2">
      <c r="A3" s="126" t="s">
        <v>86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5" spans="1:22" x14ac:dyDescent="0.2">
      <c r="A5" s="56"/>
      <c r="B5" s="56"/>
      <c r="C5" s="56"/>
      <c r="D5" s="56"/>
      <c r="E5" s="124" t="s">
        <v>77</v>
      </c>
      <c r="F5" s="57"/>
      <c r="G5" s="127" t="s">
        <v>78</v>
      </c>
      <c r="H5" s="56"/>
      <c r="I5" s="127" t="s">
        <v>79</v>
      </c>
      <c r="J5" s="56"/>
      <c r="K5" s="124" t="s">
        <v>80</v>
      </c>
      <c r="L5" s="56"/>
      <c r="M5" s="127" t="s">
        <v>81</v>
      </c>
      <c r="N5" s="56"/>
      <c r="O5" s="125" t="s">
        <v>82</v>
      </c>
      <c r="P5" s="56"/>
      <c r="Q5" s="43" t="s">
        <v>56</v>
      </c>
      <c r="R5" s="54"/>
      <c r="T5" s="124" t="s">
        <v>84</v>
      </c>
      <c r="U5" s="124" t="s">
        <v>85</v>
      </c>
      <c r="V5" s="46"/>
    </row>
    <row r="6" spans="1:22" ht="12.75" customHeight="1" x14ac:dyDescent="0.2">
      <c r="A6" s="56" t="s">
        <v>57</v>
      </c>
      <c r="B6" s="56"/>
      <c r="C6" s="56"/>
      <c r="D6" s="56"/>
      <c r="E6" s="124"/>
      <c r="F6" s="57"/>
      <c r="G6" s="128"/>
      <c r="H6" s="56"/>
      <c r="I6" s="127"/>
      <c r="J6" s="56"/>
      <c r="K6" s="125"/>
      <c r="L6" s="56"/>
      <c r="M6" s="128"/>
      <c r="N6" s="56"/>
      <c r="O6" s="125"/>
      <c r="P6" s="56"/>
      <c r="Q6" s="43" t="s">
        <v>56</v>
      </c>
      <c r="R6" s="54"/>
      <c r="T6" s="125"/>
      <c r="U6" s="125"/>
      <c r="V6" s="46"/>
    </row>
    <row r="7" spans="1:22" ht="38.25" customHeight="1" x14ac:dyDescent="0.2">
      <c r="A7" s="44" t="s">
        <v>58</v>
      </c>
      <c r="B7" s="44"/>
      <c r="C7" s="44" t="s">
        <v>59</v>
      </c>
      <c r="D7" s="44"/>
      <c r="E7" s="124"/>
      <c r="F7" s="45"/>
      <c r="G7" s="128"/>
      <c r="H7" s="44"/>
      <c r="I7" s="127"/>
      <c r="J7" s="44"/>
      <c r="K7" s="125"/>
      <c r="L7" s="44"/>
      <c r="M7" s="128"/>
      <c r="N7" s="44"/>
      <c r="O7" s="125"/>
      <c r="P7" s="44"/>
      <c r="Q7" s="46" t="s">
        <v>83</v>
      </c>
      <c r="R7" s="54"/>
      <c r="T7" s="125"/>
      <c r="U7" s="125"/>
      <c r="V7" s="46" t="s">
        <v>48</v>
      </c>
    </row>
    <row r="8" spans="1:22" x14ac:dyDescent="0.2">
      <c r="A8" s="58">
        <v>-1</v>
      </c>
      <c r="B8" s="58"/>
      <c r="C8" s="58">
        <v>-2</v>
      </c>
      <c r="D8" s="58"/>
      <c r="E8" s="58">
        <v>-3</v>
      </c>
      <c r="F8" s="59"/>
      <c r="G8" s="59">
        <v>-4</v>
      </c>
      <c r="H8" s="58"/>
      <c r="I8" s="58">
        <f t="shared" ref="I8:Q8" si="0">G8-1</f>
        <v>-5</v>
      </c>
      <c r="J8" s="58"/>
      <c r="K8" s="58">
        <f t="shared" si="0"/>
        <v>-6</v>
      </c>
      <c r="L8" s="58"/>
      <c r="M8" s="58">
        <f t="shared" si="0"/>
        <v>-7</v>
      </c>
      <c r="N8" s="58"/>
      <c r="O8" s="58">
        <f t="shared" si="0"/>
        <v>-8</v>
      </c>
      <c r="P8" s="58"/>
      <c r="Q8" s="58">
        <f t="shared" si="0"/>
        <v>-9</v>
      </c>
      <c r="R8" s="54"/>
    </row>
    <row r="9" spans="1:22" x14ac:dyDescent="0.2">
      <c r="F9" s="55"/>
      <c r="G9" s="55"/>
      <c r="K9" s="43" t="s">
        <v>60</v>
      </c>
      <c r="M9" s="60"/>
      <c r="R9" s="54"/>
    </row>
    <row r="10" spans="1:22" x14ac:dyDescent="0.2">
      <c r="F10" s="55"/>
      <c r="G10" s="55"/>
      <c r="K10" s="43"/>
      <c r="M10" s="60"/>
      <c r="R10" s="54"/>
    </row>
    <row r="11" spans="1:22" x14ac:dyDescent="0.2">
      <c r="A11" s="53">
        <v>1</v>
      </c>
      <c r="C11" s="47" t="s">
        <v>61</v>
      </c>
      <c r="E11" s="60">
        <v>2588033.13</v>
      </c>
      <c r="F11" s="61"/>
      <c r="G11" s="48">
        <v>-884674</v>
      </c>
      <c r="H11" s="60"/>
      <c r="I11" s="60">
        <f>-2557605-G11</f>
        <v>-1672931</v>
      </c>
      <c r="J11" s="60"/>
      <c r="K11" s="60">
        <f t="shared" ref="K11:K22" si="1">SUM(E11+G11+I11)</f>
        <v>30428.129999999888</v>
      </c>
      <c r="L11" s="60"/>
      <c r="M11" s="62">
        <f>AVERAGE(M14:M23)</f>
        <v>2814766.7506649191</v>
      </c>
      <c r="N11" s="60"/>
      <c r="O11" s="60">
        <v>137763.42444155455</v>
      </c>
      <c r="P11" s="60"/>
      <c r="Q11" s="63">
        <f t="shared" ref="Q11:Q22" si="2">SUM(K11:P11)</f>
        <v>2982958.3051064736</v>
      </c>
      <c r="R11" s="54"/>
      <c r="T11" s="60">
        <v>0</v>
      </c>
      <c r="U11" s="60">
        <f>K11-T11</f>
        <v>30428.129999999888</v>
      </c>
      <c r="V11" s="60">
        <f t="shared" ref="V11:V22" si="3">O11+U11</f>
        <v>168191.55444155444</v>
      </c>
    </row>
    <row r="12" spans="1:22" x14ac:dyDescent="0.2">
      <c r="A12" s="53">
        <f t="shared" ref="A12:A22" si="4">A11+1</f>
        <v>2</v>
      </c>
      <c r="C12" s="47" t="s">
        <v>62</v>
      </c>
      <c r="E12" s="60">
        <v>2574766.1799999997</v>
      </c>
      <c r="F12" s="61"/>
      <c r="G12" s="48">
        <v>-873779</v>
      </c>
      <c r="H12" s="60"/>
      <c r="I12" s="60">
        <f>-2560099-G12</f>
        <v>-1686320</v>
      </c>
      <c r="J12" s="60"/>
      <c r="K12" s="60">
        <f t="shared" si="1"/>
        <v>14667.179999999702</v>
      </c>
      <c r="L12" s="60"/>
      <c r="M12" s="62">
        <f>M11</f>
        <v>2814766.7506649191</v>
      </c>
      <c r="N12" s="60"/>
      <c r="O12" s="60">
        <v>65934.763763840019</v>
      </c>
      <c r="P12" s="60"/>
      <c r="Q12" s="63">
        <f t="shared" si="2"/>
        <v>2895368.6944287587</v>
      </c>
      <c r="R12" s="54"/>
      <c r="T12" s="60">
        <v>0</v>
      </c>
      <c r="U12" s="60">
        <f t="shared" ref="U12:U24" si="5">K12-T12</f>
        <v>14667.179999999702</v>
      </c>
      <c r="V12" s="60">
        <f t="shared" si="3"/>
        <v>80601.943763839721</v>
      </c>
    </row>
    <row r="13" spans="1:22" x14ac:dyDescent="0.2">
      <c r="A13" s="53">
        <f t="shared" si="4"/>
        <v>3</v>
      </c>
      <c r="C13" s="47" t="s">
        <v>63</v>
      </c>
      <c r="E13" s="60">
        <v>3956729.7800000003</v>
      </c>
      <c r="F13" s="61"/>
      <c r="G13" s="48">
        <v>-921717</v>
      </c>
      <c r="H13" s="60"/>
      <c r="I13" s="60">
        <v>-3000383</v>
      </c>
      <c r="J13" s="60"/>
      <c r="K13" s="60">
        <f t="shared" si="1"/>
        <v>34629.780000000261</v>
      </c>
      <c r="L13" s="60"/>
      <c r="M13" s="62">
        <f>M12</f>
        <v>2814766.7506649191</v>
      </c>
      <c r="N13" s="60"/>
      <c r="O13" s="60">
        <v>27591.045537392009</v>
      </c>
      <c r="P13" s="60"/>
      <c r="Q13" s="63">
        <f t="shared" si="2"/>
        <v>2876987.5762023116</v>
      </c>
      <c r="R13" s="54"/>
      <c r="T13" s="60">
        <v>0</v>
      </c>
      <c r="U13" s="60">
        <f t="shared" si="5"/>
        <v>34629.780000000261</v>
      </c>
      <c r="V13" s="60">
        <f t="shared" si="3"/>
        <v>62220.825537392273</v>
      </c>
    </row>
    <row r="14" spans="1:22" x14ac:dyDescent="0.2">
      <c r="A14" s="53">
        <f t="shared" si="4"/>
        <v>4</v>
      </c>
      <c r="C14" s="47" t="s">
        <v>64</v>
      </c>
      <c r="E14" s="60">
        <v>2819234.0201650346</v>
      </c>
      <c r="F14" s="61"/>
      <c r="G14" s="61">
        <v>0</v>
      </c>
      <c r="H14" s="60"/>
      <c r="I14" s="60">
        <v>-2789805</v>
      </c>
      <c r="J14" s="60"/>
      <c r="K14" s="60">
        <f t="shared" si="1"/>
        <v>29429.02016503457</v>
      </c>
      <c r="L14" s="60"/>
      <c r="M14" s="50">
        <v>2586943.7752449163</v>
      </c>
      <c r="N14" s="60"/>
      <c r="O14" s="60">
        <v>29919.109104992032</v>
      </c>
      <c r="P14" s="60"/>
      <c r="Q14" s="63">
        <f t="shared" si="2"/>
        <v>2646291.9045149428</v>
      </c>
      <c r="R14" s="54"/>
      <c r="T14" s="60">
        <v>8553</v>
      </c>
      <c r="U14" s="60">
        <f t="shared" si="5"/>
        <v>20876.02016503457</v>
      </c>
      <c r="V14" s="60">
        <f t="shared" si="3"/>
        <v>50795.129270026606</v>
      </c>
    </row>
    <row r="15" spans="1:22" x14ac:dyDescent="0.2">
      <c r="A15" s="53">
        <f t="shared" si="4"/>
        <v>5</v>
      </c>
      <c r="C15" s="47" t="s">
        <v>65</v>
      </c>
      <c r="E15" s="60">
        <v>2727758</v>
      </c>
      <c r="F15" s="61"/>
      <c r="G15" s="61">
        <v>0</v>
      </c>
      <c r="H15" s="60"/>
      <c r="I15" s="60">
        <v>-2688504</v>
      </c>
      <c r="J15" s="60"/>
      <c r="K15" s="60">
        <f t="shared" si="1"/>
        <v>39254</v>
      </c>
      <c r="L15" s="60"/>
      <c r="M15" s="50">
        <v>2553628.4487485588</v>
      </c>
      <c r="N15" s="60"/>
      <c r="O15" s="60">
        <v>31777.279841312022</v>
      </c>
      <c r="P15" s="60"/>
      <c r="Q15" s="63">
        <f t="shared" si="2"/>
        <v>2624659.728589871</v>
      </c>
      <c r="R15" s="54"/>
      <c r="T15" s="60">
        <v>0</v>
      </c>
      <c r="U15" s="60">
        <f t="shared" si="5"/>
        <v>39254</v>
      </c>
      <c r="V15" s="60">
        <f t="shared" si="3"/>
        <v>71031.279841312018</v>
      </c>
    </row>
    <row r="16" spans="1:22" x14ac:dyDescent="0.2">
      <c r="A16" s="53">
        <f t="shared" si="4"/>
        <v>6</v>
      </c>
      <c r="C16" s="47" t="s">
        <v>66</v>
      </c>
      <c r="E16" s="60">
        <v>2361529.3589273039</v>
      </c>
      <c r="F16" s="61"/>
      <c r="G16" s="61">
        <v>0</v>
      </c>
      <c r="H16" s="60"/>
      <c r="I16" s="60">
        <v>-2321728</v>
      </c>
      <c r="J16" s="60"/>
      <c r="K16" s="60">
        <f t="shared" si="1"/>
        <v>39801.358927303925</v>
      </c>
      <c r="L16" s="60"/>
      <c r="M16" s="50">
        <v>2625235.3133682841</v>
      </c>
      <c r="N16" s="60"/>
      <c r="O16" s="60">
        <v>71957.300546431972</v>
      </c>
      <c r="P16" s="60"/>
      <c r="Q16" s="63">
        <f t="shared" si="2"/>
        <v>2736993.97284202</v>
      </c>
      <c r="R16" s="54"/>
      <c r="T16" s="60">
        <v>383</v>
      </c>
      <c r="U16" s="60">
        <f t="shared" si="5"/>
        <v>39418.358927303925</v>
      </c>
      <c r="V16" s="60">
        <f t="shared" si="3"/>
        <v>111375.6594737359</v>
      </c>
    </row>
    <row r="17" spans="1:22" x14ac:dyDescent="0.2">
      <c r="A17" s="53">
        <f t="shared" si="4"/>
        <v>7</v>
      </c>
      <c r="C17" s="47" t="s">
        <v>67</v>
      </c>
      <c r="E17" s="60">
        <v>2844327.4093017518</v>
      </c>
      <c r="F17" s="61"/>
      <c r="G17" s="61">
        <v>0</v>
      </c>
      <c r="H17" s="60"/>
      <c r="I17" s="60">
        <v>-2804712</v>
      </c>
      <c r="J17" s="60"/>
      <c r="K17" s="60">
        <f t="shared" si="1"/>
        <v>39615.409301751759</v>
      </c>
      <c r="L17" s="60"/>
      <c r="M17" s="50">
        <v>2672378.4908070103</v>
      </c>
      <c r="N17" s="60"/>
      <c r="O17" s="60">
        <v>83859.608639936007</v>
      </c>
      <c r="P17" s="60"/>
      <c r="Q17" s="63">
        <f t="shared" si="2"/>
        <v>2795853.508748698</v>
      </c>
      <c r="R17" s="54"/>
      <c r="T17" s="60">
        <v>0</v>
      </c>
      <c r="U17" s="60">
        <f t="shared" si="5"/>
        <v>39615.409301751759</v>
      </c>
      <c r="V17" s="60">
        <f t="shared" si="3"/>
        <v>123475.01794168777</v>
      </c>
    </row>
    <row r="18" spans="1:22" x14ac:dyDescent="0.2">
      <c r="A18" s="53">
        <f t="shared" si="4"/>
        <v>8</v>
      </c>
      <c r="C18" s="47" t="s">
        <v>68</v>
      </c>
      <c r="E18" s="60">
        <v>2450432.7842433983</v>
      </c>
      <c r="F18" s="61"/>
      <c r="G18" s="61">
        <v>0</v>
      </c>
      <c r="H18" s="60"/>
      <c r="I18" s="60">
        <v>-2409658</v>
      </c>
      <c r="J18" s="60"/>
      <c r="K18" s="60">
        <f t="shared" si="1"/>
        <v>40774.784243398346</v>
      </c>
      <c r="L18" s="60"/>
      <c r="M18" s="50">
        <v>2655200.4090112359</v>
      </c>
      <c r="N18" s="60"/>
      <c r="O18" s="60">
        <v>86233.428416192037</v>
      </c>
      <c r="P18" s="60"/>
      <c r="Q18" s="63">
        <f t="shared" si="2"/>
        <v>2782208.6216708263</v>
      </c>
      <c r="R18" s="54"/>
      <c r="T18" s="60">
        <v>0</v>
      </c>
      <c r="U18" s="60">
        <f t="shared" si="5"/>
        <v>40774.784243398346</v>
      </c>
      <c r="V18" s="60">
        <f t="shared" si="3"/>
        <v>127008.21265959038</v>
      </c>
    </row>
    <row r="19" spans="1:22" x14ac:dyDescent="0.2">
      <c r="A19" s="53">
        <f t="shared" si="4"/>
        <v>9</v>
      </c>
      <c r="C19" s="47" t="s">
        <v>69</v>
      </c>
      <c r="E19" s="60">
        <v>2788300.8569583199</v>
      </c>
      <c r="F19" s="61"/>
      <c r="G19" s="61">
        <v>0</v>
      </c>
      <c r="H19" s="60"/>
      <c r="I19" s="60">
        <v>-2749455</v>
      </c>
      <c r="J19" s="60"/>
      <c r="K19" s="60">
        <f t="shared" si="1"/>
        <v>38845.856958319899</v>
      </c>
      <c r="L19" s="60"/>
      <c r="M19" s="50">
        <v>2619495.8950052951</v>
      </c>
      <c r="N19" s="60"/>
      <c r="O19" s="60">
        <v>64755.873993920017</v>
      </c>
      <c r="P19" s="60"/>
      <c r="Q19" s="63">
        <f t="shared" si="2"/>
        <v>2723097.6259575351</v>
      </c>
      <c r="R19" s="54"/>
      <c r="T19" s="60">
        <v>0</v>
      </c>
      <c r="U19" s="60">
        <f t="shared" si="5"/>
        <v>38845.856958319899</v>
      </c>
      <c r="V19" s="60">
        <f t="shared" si="3"/>
        <v>103601.73095223992</v>
      </c>
    </row>
    <row r="20" spans="1:22" x14ac:dyDescent="0.2">
      <c r="A20" s="53">
        <f t="shared" si="4"/>
        <v>10</v>
      </c>
      <c r="C20" s="47" t="s">
        <v>70</v>
      </c>
      <c r="E20" s="60">
        <v>2675317.7252854644</v>
      </c>
      <c r="F20" s="61"/>
      <c r="G20" s="61">
        <v>0</v>
      </c>
      <c r="H20" s="60"/>
      <c r="I20" s="60">
        <v>-2638192</v>
      </c>
      <c r="J20" s="60"/>
      <c r="K20" s="60">
        <f t="shared" si="1"/>
        <v>37125.725285464432</v>
      </c>
      <c r="L20" s="60"/>
      <c r="M20" s="50">
        <v>3343224.2713714843</v>
      </c>
      <c r="N20" s="60"/>
      <c r="O20" s="60">
        <v>36490.380685552016</v>
      </c>
      <c r="P20" s="60"/>
      <c r="Q20" s="63">
        <f t="shared" si="2"/>
        <v>3416840.3773425007</v>
      </c>
      <c r="R20" s="54"/>
      <c r="T20" s="60">
        <v>0</v>
      </c>
      <c r="U20" s="60">
        <f t="shared" si="5"/>
        <v>37125.725285464432</v>
      </c>
      <c r="V20" s="60">
        <f t="shared" si="3"/>
        <v>73616.105971016455</v>
      </c>
    </row>
    <row r="21" spans="1:22" x14ac:dyDescent="0.2">
      <c r="A21" s="53">
        <f t="shared" si="4"/>
        <v>11</v>
      </c>
      <c r="C21" s="47" t="s">
        <v>71</v>
      </c>
      <c r="E21" s="60">
        <v>2796291.8311855006</v>
      </c>
      <c r="F21" s="61"/>
      <c r="G21" s="61">
        <v>0</v>
      </c>
      <c r="H21" s="60"/>
      <c r="I21" s="60">
        <v>-2758034</v>
      </c>
      <c r="J21" s="60"/>
      <c r="K21" s="60">
        <f t="shared" si="1"/>
        <v>38257.831185500603</v>
      </c>
      <c r="L21" s="60"/>
      <c r="M21" s="50">
        <v>3113126.3072994906</v>
      </c>
      <c r="N21" s="60"/>
      <c r="O21" s="60">
        <v>33058.490869839996</v>
      </c>
      <c r="P21" s="60"/>
      <c r="Q21" s="63">
        <f t="shared" si="2"/>
        <v>3184442.6293548313</v>
      </c>
      <c r="R21" s="54"/>
      <c r="T21" s="60">
        <v>0</v>
      </c>
      <c r="U21" s="60">
        <f t="shared" si="5"/>
        <v>38257.831185500603</v>
      </c>
      <c r="V21" s="60">
        <f t="shared" si="3"/>
        <v>71316.322055340599</v>
      </c>
    </row>
    <row r="22" spans="1:22" x14ac:dyDescent="0.2">
      <c r="A22" s="53">
        <f t="shared" si="4"/>
        <v>12</v>
      </c>
      <c r="C22" s="47" t="s">
        <v>72</v>
      </c>
      <c r="E22" s="51">
        <v>2146708.4829089246</v>
      </c>
      <c r="F22" s="61"/>
      <c r="G22" s="65">
        <v>0</v>
      </c>
      <c r="H22" s="60"/>
      <c r="I22" s="65">
        <v>-2108067</v>
      </c>
      <c r="J22" s="60"/>
      <c r="K22" s="65">
        <f t="shared" si="1"/>
        <v>38641.482908924576</v>
      </c>
      <c r="L22" s="60"/>
      <c r="M22" s="52">
        <v>3163667.8451279956</v>
      </c>
      <c r="N22" s="60"/>
      <c r="O22" s="65">
        <v>34664.706814335848</v>
      </c>
      <c r="P22" s="60"/>
      <c r="Q22" s="66">
        <f t="shared" si="2"/>
        <v>3236974.0348512558</v>
      </c>
      <c r="R22" s="54"/>
      <c r="T22" s="66">
        <v>0</v>
      </c>
      <c r="U22" s="66">
        <f t="shared" si="5"/>
        <v>38641.482908924576</v>
      </c>
      <c r="V22" s="66">
        <f t="shared" si="3"/>
        <v>73306.189723260424</v>
      </c>
    </row>
    <row r="23" spans="1:22" x14ac:dyDescent="0.2">
      <c r="C23" s="64"/>
      <c r="E23" s="60"/>
      <c r="F23" s="61"/>
      <c r="G23" s="61"/>
      <c r="H23" s="60"/>
      <c r="I23" s="60"/>
      <c r="J23" s="60"/>
      <c r="K23" s="49" t="s">
        <v>56</v>
      </c>
      <c r="L23" s="60"/>
      <c r="M23" s="62"/>
      <c r="N23" s="60"/>
      <c r="O23" s="60"/>
      <c r="P23" s="60"/>
      <c r="R23" s="54"/>
      <c r="T23" s="49"/>
      <c r="U23" s="49"/>
      <c r="V23" s="49"/>
    </row>
    <row r="24" spans="1:22" ht="13.5" thickBot="1" x14ac:dyDescent="0.25">
      <c r="C24" s="53" t="s">
        <v>55</v>
      </c>
      <c r="E24" s="67">
        <f>SUM(E11:E22)</f>
        <v>32729429.558975693</v>
      </c>
      <c r="F24" s="61"/>
      <c r="G24" s="67">
        <f>SUM(G11:G22)</f>
        <v>-2680170</v>
      </c>
      <c r="H24" s="60"/>
      <c r="I24" s="67">
        <f>SUM(I11:I22)</f>
        <v>-29627789</v>
      </c>
      <c r="J24" s="60"/>
      <c r="K24" s="67">
        <f>SUM(K11:K22)</f>
        <v>421470.55897569796</v>
      </c>
      <c r="L24" s="60"/>
      <c r="M24" s="67">
        <f>SUM(M11:M23)</f>
        <v>33777201.007979028</v>
      </c>
      <c r="N24" s="60"/>
      <c r="O24" s="67">
        <f>SUM(O11:O22)</f>
        <v>704005.4126552986</v>
      </c>
      <c r="P24" s="60"/>
      <c r="Q24" s="68">
        <f>SUM(Q11:Q22)</f>
        <v>34902676.979610018</v>
      </c>
      <c r="R24" s="54"/>
      <c r="T24" s="68">
        <f>SUM(T11:T22)</f>
        <v>8936</v>
      </c>
      <c r="U24" s="68">
        <f t="shared" si="5"/>
        <v>412534.55897569796</v>
      </c>
      <c r="V24" s="68">
        <f>O24+U24</f>
        <v>1116539.9716309966</v>
      </c>
    </row>
    <row r="25" spans="1:22" ht="13.5" thickTop="1" x14ac:dyDescent="0.2">
      <c r="E25" s="69"/>
      <c r="F25" s="55"/>
      <c r="G25" s="69"/>
      <c r="Q25" s="69"/>
      <c r="R25" s="54"/>
    </row>
    <row r="26" spans="1:22" x14ac:dyDescent="0.2">
      <c r="B26" s="53" t="s">
        <v>73</v>
      </c>
      <c r="C26" s="53" t="s">
        <v>74</v>
      </c>
      <c r="R26" s="54"/>
    </row>
    <row r="27" spans="1:22" x14ac:dyDescent="0.2">
      <c r="R27" s="54"/>
    </row>
  </sheetData>
  <mergeCells count="11">
    <mergeCell ref="T5:T7"/>
    <mergeCell ref="U5:U7"/>
    <mergeCell ref="A3:Q3"/>
    <mergeCell ref="O5:O7"/>
    <mergeCell ref="A1:Q1"/>
    <mergeCell ref="A2:Q2"/>
    <mergeCell ref="E5:E7"/>
    <mergeCell ref="G5:G7"/>
    <mergeCell ref="I5:I7"/>
    <mergeCell ref="K5:K7"/>
    <mergeCell ref="M5:M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RP BRR v CRR</vt:lpstr>
      <vt:lpstr>RP CRR 2020</vt:lpstr>
      <vt:lpstr>RP CRR 2019</vt:lpstr>
      <vt:lpstr>RP CRR 2018</vt:lpstr>
      <vt:lpstr>RP CRR 2017</vt:lpstr>
      <vt:lpstr>RP CRR 2016</vt:lpstr>
      <vt:lpstr>2017-00179 BRR</vt:lpstr>
      <vt:lpstr>2014-00396 BRR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s290792</dc:creator>
  <cp:lastModifiedBy>s290792</cp:lastModifiedBy>
  <dcterms:created xsi:type="dcterms:W3CDTF">2020-08-13T19:46:56Z</dcterms:created>
  <dcterms:modified xsi:type="dcterms:W3CDTF">2020-08-21T14:42:48Z</dcterms:modified>
</cp:coreProperties>
</file>