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Final Schedules\"/>
    </mc:Choice>
  </mc:AlternateContent>
  <bookViews>
    <workbookView xWindow="-170" yWindow="860" windowWidth="7490" windowHeight="6050" tabRatio="729"/>
  </bookViews>
  <sheets>
    <sheet name="Summary" sheetId="6" r:id="rId1"/>
    <sheet name="CFIT Schedules" sheetId="2" r:id="rId2"/>
    <sheet name="DFIT-Per Books as Adjusted" sheetId="4" r:id="rId3"/>
    <sheet name="DFIT Computations" sheetId="1" r:id="rId4"/>
    <sheet name="SIT Schedules" sheetId="5" r:id="rId5"/>
  </sheets>
  <definedNames>
    <definedName name="_xlnm.Print_Area" localSheetId="1">'CFIT Schedules'!$A$14:$N$323</definedName>
    <definedName name="_xlnm.Print_Area" localSheetId="3">'DFIT Computations'!$A$22:$O$314</definedName>
    <definedName name="_xlnm.Print_Area" localSheetId="2">'DFIT-Per Books as Adjusted'!$A$22:$N$323</definedName>
    <definedName name="_xlnm.Print_Area" localSheetId="4">'SIT Schedules'!$A$11:$N$161</definedName>
    <definedName name="_xlnm.Print_Area" localSheetId="0">Summary!$A$14:$N$44</definedName>
    <definedName name="_xlnm.Print_Titles" localSheetId="1">'CFIT Schedules'!$1:$13</definedName>
    <definedName name="_xlnm.Print_Titles" localSheetId="3">'DFIT Computations'!$1:$13</definedName>
    <definedName name="_xlnm.Print_Titles" localSheetId="2">'DFIT-Per Books as Adjusted'!$1:$13</definedName>
    <definedName name="_xlnm.Print_Titles" localSheetId="4">'SIT Schedules'!$1:$10</definedName>
    <definedName name="_xlnm.Print_Titles" localSheetId="0">Summary!$1:$13</definedName>
  </definedNames>
  <calcPr calcId="162913" iterate="1" iterateCount="200" iterateDelta="0.01"/>
</workbook>
</file>

<file path=xl/calcChain.xml><?xml version="1.0" encoding="utf-8"?>
<calcChain xmlns="http://schemas.openxmlformats.org/spreadsheetml/2006/main">
  <c r="M4" i="2" l="1"/>
  <c r="E90" i="1" l="1"/>
  <c r="D90" i="4"/>
  <c r="M237" i="2"/>
  <c r="I237" i="2"/>
  <c r="H237" i="2"/>
  <c r="G237" i="2"/>
  <c r="F237" i="2"/>
  <c r="D237" i="2"/>
  <c r="N238" i="1" l="1"/>
  <c r="J238" i="1"/>
  <c r="I238" i="1"/>
  <c r="H238" i="1"/>
  <c r="G238" i="1"/>
  <c r="F238" i="1"/>
  <c r="E238" i="1"/>
  <c r="D238" i="1"/>
  <c r="C238" i="1"/>
  <c r="D237" i="1"/>
  <c r="D233" i="1"/>
  <c r="D231" i="1"/>
  <c r="D222" i="1"/>
  <c r="D176" i="1"/>
  <c r="D171" i="1"/>
  <c r="D253" i="4"/>
  <c r="D255" i="1"/>
  <c r="E237" i="2" l="1"/>
  <c r="C219" i="4" l="1"/>
  <c r="M161" i="2" l="1"/>
  <c r="J161" i="2" l="1"/>
  <c r="K161" i="2" s="1"/>
  <c r="M193" i="4" l="1"/>
  <c r="L193" i="4"/>
  <c r="I196" i="1"/>
  <c r="G196" i="1"/>
  <c r="H196" i="1" s="1"/>
  <c r="J196" i="1" s="1"/>
  <c r="F196" i="1"/>
  <c r="M196" i="1"/>
  <c r="K196" i="1"/>
  <c r="E196" i="1"/>
  <c r="D146" i="4"/>
  <c r="D244" i="4"/>
  <c r="D239" i="4"/>
  <c r="D220" i="4"/>
  <c r="D198" i="4"/>
  <c r="D184" i="4"/>
  <c r="D182" i="4"/>
  <c r="D181" i="4"/>
  <c r="D144" i="4"/>
  <c r="D113" i="4"/>
  <c r="D112" i="4"/>
  <c r="D104" i="4"/>
  <c r="D103" i="4"/>
  <c r="D83" i="4"/>
  <c r="D79" i="4"/>
  <c r="D75" i="4"/>
  <c r="D70" i="4"/>
  <c r="D69" i="4"/>
  <c r="D67" i="4"/>
  <c r="D66" i="4"/>
  <c r="D54" i="4"/>
  <c r="D52" i="4"/>
  <c r="D49" i="4"/>
  <c r="D40" i="4"/>
  <c r="D42" i="4"/>
  <c r="D27" i="4"/>
  <c r="D25" i="4"/>
  <c r="C200" i="4"/>
  <c r="L196" i="1" l="1"/>
  <c r="F191" i="4" l="1"/>
  <c r="F189" i="4"/>
  <c r="F188" i="4"/>
  <c r="H168" i="4"/>
  <c r="F27" i="4"/>
  <c r="F226" i="1"/>
  <c r="H226" i="1" s="1"/>
  <c r="J226" i="1" s="1"/>
  <c r="M226" i="1"/>
  <c r="N191" i="1"/>
  <c r="M191" i="4" s="1"/>
  <c r="N189" i="1"/>
  <c r="M189" i="4" s="1"/>
  <c r="N188" i="1"/>
  <c r="M188" i="4" s="1"/>
  <c r="N36" i="1"/>
  <c r="M36" i="4" s="1"/>
  <c r="N33" i="1"/>
  <c r="N27" i="1"/>
  <c r="M27" i="4" s="1"/>
  <c r="N26" i="1"/>
  <c r="N24" i="1"/>
  <c r="I109" i="1"/>
  <c r="G109" i="1"/>
  <c r="F109" i="4" s="1"/>
  <c r="G108" i="1"/>
  <c r="I108" i="1"/>
  <c r="N109" i="1"/>
  <c r="M109" i="4" s="1"/>
  <c r="M109" i="1"/>
  <c r="L109" i="4" s="1"/>
  <c r="N89" i="1"/>
  <c r="M89" i="4" s="1"/>
  <c r="M89" i="1"/>
  <c r="L89" i="4" s="1"/>
  <c r="I89" i="1"/>
  <c r="G89" i="1"/>
  <c r="F89" i="4" s="1"/>
  <c r="N88" i="1"/>
  <c r="M88" i="4" s="1"/>
  <c r="M88" i="1"/>
  <c r="L88" i="4" s="1"/>
  <c r="I88" i="1"/>
  <c r="G88" i="1"/>
  <c r="F88" i="4" s="1"/>
  <c r="M36" i="1"/>
  <c r="I36" i="1"/>
  <c r="G36" i="1"/>
  <c r="F36" i="4" s="1"/>
  <c r="M27" i="1"/>
  <c r="I274" i="1"/>
  <c r="I273" i="1"/>
  <c r="I272" i="1"/>
  <c r="I271" i="1"/>
  <c r="I270" i="1"/>
  <c r="I269" i="1"/>
  <c r="I268" i="1"/>
  <c r="I264" i="1"/>
  <c r="I263" i="1"/>
  <c r="I262" i="1"/>
  <c r="I261" i="1"/>
  <c r="I260" i="1"/>
  <c r="I259" i="1"/>
  <c r="I258" i="1"/>
  <c r="I257" i="1"/>
  <c r="I256" i="1"/>
  <c r="I255" i="1"/>
  <c r="I254" i="1"/>
  <c r="I246" i="1"/>
  <c r="I242" i="1"/>
  <c r="I241" i="1"/>
  <c r="I233" i="1"/>
  <c r="I222" i="1"/>
  <c r="I221" i="1"/>
  <c r="H221" i="4" s="1"/>
  <c r="I220" i="1"/>
  <c r="I206" i="1"/>
  <c r="I205" i="1"/>
  <c r="I204" i="1"/>
  <c r="I203" i="1"/>
  <c r="I202" i="1"/>
  <c r="I201" i="1"/>
  <c r="I200" i="1"/>
  <c r="I199" i="1"/>
  <c r="I198" i="1"/>
  <c r="I197" i="1"/>
  <c r="I195" i="1"/>
  <c r="I194" i="1"/>
  <c r="I193" i="1"/>
  <c r="I192" i="1"/>
  <c r="I185" i="1"/>
  <c r="I184" i="1"/>
  <c r="I183" i="1"/>
  <c r="I182" i="1"/>
  <c r="I181" i="1"/>
  <c r="I180" i="1"/>
  <c r="I171" i="1"/>
  <c r="I170" i="1"/>
  <c r="H170" i="4" s="1"/>
  <c r="I169" i="1"/>
  <c r="H169" i="4" s="1"/>
  <c r="I168" i="1"/>
  <c r="I167" i="1"/>
  <c r="H167" i="4" s="1"/>
  <c r="I166" i="1"/>
  <c r="H166" i="4" s="1"/>
  <c r="I165" i="1"/>
  <c r="H165" i="4" s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7" i="1"/>
  <c r="I106" i="1"/>
  <c r="I105" i="1"/>
  <c r="I104" i="1"/>
  <c r="I103" i="1"/>
  <c r="I102" i="1"/>
  <c r="I94" i="1"/>
  <c r="I93" i="1"/>
  <c r="I87" i="1"/>
  <c r="I83" i="1"/>
  <c r="I79" i="1"/>
  <c r="I69" i="1"/>
  <c r="I68" i="1"/>
  <c r="I67" i="1"/>
  <c r="I65" i="1"/>
  <c r="I60" i="1"/>
  <c r="I53" i="1"/>
  <c r="I51" i="1"/>
  <c r="I48" i="1"/>
  <c r="I47" i="1"/>
  <c r="I37" i="1"/>
  <c r="I35" i="1"/>
  <c r="I32" i="1"/>
  <c r="I31" i="1"/>
  <c r="I30" i="1"/>
  <c r="I29" i="1"/>
  <c r="I28" i="1"/>
  <c r="I25" i="1"/>
  <c r="I23" i="1"/>
  <c r="I90" i="1" l="1"/>
  <c r="E195" i="1" l="1"/>
  <c r="E194" i="1"/>
  <c r="C108" i="5" l="1"/>
  <c r="C56" i="5"/>
  <c r="I107" i="5" l="1"/>
  <c r="N274" i="1" l="1"/>
  <c r="N273" i="1"/>
  <c r="N272" i="1"/>
  <c r="N271" i="1"/>
  <c r="N270" i="1"/>
  <c r="N269" i="1"/>
  <c r="N268" i="1"/>
  <c r="N264" i="1"/>
  <c r="N263" i="1"/>
  <c r="N262" i="1"/>
  <c r="N261" i="1"/>
  <c r="N260" i="1"/>
  <c r="N259" i="1"/>
  <c r="N258" i="1"/>
  <c r="N257" i="1"/>
  <c r="N256" i="1"/>
  <c r="N255" i="1"/>
  <c r="N254" i="1"/>
  <c r="N246" i="1"/>
  <c r="N242" i="1"/>
  <c r="N241" i="1"/>
  <c r="F236" i="1"/>
  <c r="H236" i="1" s="1"/>
  <c r="J236" i="1" s="1"/>
  <c r="M236" i="1"/>
  <c r="N233" i="1"/>
  <c r="N231" i="1"/>
  <c r="N221" i="1"/>
  <c r="M221" i="4" s="1"/>
  <c r="G221" i="1"/>
  <c r="F221" i="4" s="1"/>
  <c r="M221" i="1"/>
  <c r="L221" i="4" s="1"/>
  <c r="N220" i="1"/>
  <c r="N205" i="1"/>
  <c r="N204" i="1"/>
  <c r="N203" i="1"/>
  <c r="N202" i="1"/>
  <c r="N201" i="1"/>
  <c r="N200" i="1"/>
  <c r="N199" i="1"/>
  <c r="N198" i="1"/>
  <c r="N197" i="1"/>
  <c r="N192" i="1"/>
  <c r="M191" i="1"/>
  <c r="L191" i="4" s="1"/>
  <c r="M189" i="1"/>
  <c r="L189" i="4" s="1"/>
  <c r="M188" i="1"/>
  <c r="L188" i="4" s="1"/>
  <c r="N185" i="1"/>
  <c r="N184" i="1"/>
  <c r="N183" i="1"/>
  <c r="N182" i="1"/>
  <c r="N181" i="1"/>
  <c r="N180" i="1"/>
  <c r="G170" i="1"/>
  <c r="G169" i="1"/>
  <c r="F169" i="4" s="1"/>
  <c r="G168" i="1"/>
  <c r="F168" i="4" s="1"/>
  <c r="G167" i="1"/>
  <c r="F167" i="4" s="1"/>
  <c r="G166" i="1"/>
  <c r="G165" i="1"/>
  <c r="F165" i="4" s="1"/>
  <c r="N171" i="1"/>
  <c r="N170" i="1"/>
  <c r="M170" i="4" s="1"/>
  <c r="N169" i="1"/>
  <c r="M169" i="4" s="1"/>
  <c r="N168" i="1"/>
  <c r="M168" i="4" s="1"/>
  <c r="N167" i="1"/>
  <c r="M167" i="4" s="1"/>
  <c r="N166" i="1"/>
  <c r="M166" i="4" s="1"/>
  <c r="N165" i="1"/>
  <c r="M165" i="4" s="1"/>
  <c r="M170" i="1"/>
  <c r="L170" i="4" s="1"/>
  <c r="M169" i="1"/>
  <c r="M168" i="1"/>
  <c r="M167" i="1"/>
  <c r="L167" i="4" s="1"/>
  <c r="M166" i="1"/>
  <c r="L166" i="4" s="1"/>
  <c r="M165" i="1"/>
  <c r="L165" i="4" s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1" i="1"/>
  <c r="N110" i="1"/>
  <c r="N108" i="1"/>
  <c r="N107" i="1"/>
  <c r="N106" i="1"/>
  <c r="N105" i="1"/>
  <c r="N104" i="1"/>
  <c r="N103" i="1"/>
  <c r="N102" i="1"/>
  <c r="N94" i="1"/>
  <c r="N93" i="1"/>
  <c r="N87" i="1"/>
  <c r="N90" i="1" s="1"/>
  <c r="N83" i="1"/>
  <c r="N79" i="1"/>
  <c r="N69" i="1"/>
  <c r="N68" i="1"/>
  <c r="N67" i="1"/>
  <c r="N65" i="1"/>
  <c r="N60" i="1"/>
  <c r="N53" i="1"/>
  <c r="N51" i="1"/>
  <c r="N47" i="1"/>
  <c r="N37" i="1"/>
  <c r="N35" i="1"/>
  <c r="N32" i="1"/>
  <c r="N31" i="1"/>
  <c r="N30" i="1"/>
  <c r="N29" i="1"/>
  <c r="N28" i="1"/>
  <c r="N25" i="1"/>
  <c r="N23" i="1"/>
  <c r="L168" i="4" l="1"/>
  <c r="L169" i="4"/>
  <c r="F170" i="4"/>
  <c r="F166" i="4"/>
  <c r="D70" i="1" l="1"/>
  <c r="D66" i="1"/>
  <c r="D54" i="1"/>
  <c r="D52" i="1"/>
  <c r="D50" i="1"/>
  <c r="D49" i="1"/>
  <c r="C221" i="1"/>
  <c r="D221" i="1" s="1"/>
  <c r="F221" i="1" s="1"/>
  <c r="H221" i="1" s="1"/>
  <c r="J221" i="1" s="1"/>
  <c r="D223" i="4" l="1"/>
  <c r="E221" i="4" l="1"/>
  <c r="E193" i="4"/>
  <c r="E191" i="4"/>
  <c r="E190" i="4"/>
  <c r="E189" i="4"/>
  <c r="E188" i="4"/>
  <c r="E170" i="4"/>
  <c r="E169" i="4"/>
  <c r="E168" i="4"/>
  <c r="E167" i="4"/>
  <c r="E166" i="4"/>
  <c r="E165" i="4"/>
  <c r="E109" i="4"/>
  <c r="H89" i="4"/>
  <c r="E89" i="4"/>
  <c r="E88" i="4"/>
  <c r="E83" i="4"/>
  <c r="E69" i="4"/>
  <c r="E68" i="4"/>
  <c r="E67" i="4"/>
  <c r="E66" i="4"/>
  <c r="E65" i="4"/>
  <c r="E54" i="4"/>
  <c r="E53" i="4"/>
  <c r="E52" i="4"/>
  <c r="E51" i="4"/>
  <c r="E50" i="4"/>
  <c r="E49" i="4"/>
  <c r="E48" i="4"/>
  <c r="E47" i="4"/>
  <c r="E46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129" i="2"/>
  <c r="E89" i="2"/>
  <c r="C89" i="1" s="1"/>
  <c r="D89" i="1" s="1"/>
  <c r="F89" i="1" s="1"/>
  <c r="H89" i="1" s="1"/>
  <c r="J89" i="1" s="1"/>
  <c r="E88" i="2"/>
  <c r="C88" i="1" s="1"/>
  <c r="D88" i="1" s="1"/>
  <c r="F88" i="1" s="1"/>
  <c r="H88" i="1" s="1"/>
  <c r="J88" i="1" s="1"/>
  <c r="E87" i="2"/>
  <c r="E83" i="2"/>
  <c r="E68" i="2"/>
  <c r="E67" i="2"/>
  <c r="E66" i="2"/>
  <c r="E79" i="2"/>
  <c r="G165" i="4" l="1"/>
  <c r="I165" i="4" s="1"/>
  <c r="G166" i="4"/>
  <c r="I166" i="4" s="1"/>
  <c r="G170" i="4"/>
  <c r="I170" i="4" s="1"/>
  <c r="G191" i="4"/>
  <c r="I191" i="4" s="1"/>
  <c r="G169" i="4"/>
  <c r="I169" i="4" s="1"/>
  <c r="G27" i="4"/>
  <c r="I27" i="4" s="1"/>
  <c r="G36" i="4"/>
  <c r="I36" i="4" s="1"/>
  <c r="G167" i="4"/>
  <c r="I167" i="4" s="1"/>
  <c r="G188" i="4"/>
  <c r="I188" i="4" s="1"/>
  <c r="G109" i="4"/>
  <c r="I109" i="4" s="1"/>
  <c r="G168" i="4"/>
  <c r="I168" i="4" s="1"/>
  <c r="G189" i="4"/>
  <c r="I189" i="4" s="1"/>
  <c r="G221" i="4"/>
  <c r="I221" i="4" s="1"/>
  <c r="G89" i="4"/>
  <c r="I89" i="4" s="1"/>
  <c r="J196" i="2" l="1"/>
  <c r="J191" i="2"/>
  <c r="E191" i="2"/>
  <c r="J189" i="2"/>
  <c r="E189" i="2"/>
  <c r="J188" i="2"/>
  <c r="E188" i="2"/>
  <c r="E170" i="2"/>
  <c r="E169" i="2"/>
  <c r="G168" i="2"/>
  <c r="I168" i="2" s="1"/>
  <c r="E168" i="2"/>
  <c r="C168" i="1" s="1"/>
  <c r="D168" i="1" s="1"/>
  <c r="F168" i="1" s="1"/>
  <c r="H168" i="1" s="1"/>
  <c r="J168" i="1" s="1"/>
  <c r="E167" i="2"/>
  <c r="E166" i="2"/>
  <c r="E165" i="2"/>
  <c r="J170" i="2"/>
  <c r="J169" i="2"/>
  <c r="J168" i="2"/>
  <c r="J167" i="2"/>
  <c r="J166" i="2"/>
  <c r="J165" i="2"/>
  <c r="G167" i="2" l="1"/>
  <c r="I167" i="2" s="1"/>
  <c r="C167" i="1"/>
  <c r="D167" i="1" s="1"/>
  <c r="F167" i="1" s="1"/>
  <c r="H167" i="1" s="1"/>
  <c r="J167" i="1" s="1"/>
  <c r="G170" i="2"/>
  <c r="I170" i="2" s="1"/>
  <c r="C170" i="1"/>
  <c r="D170" i="1" s="1"/>
  <c r="F170" i="1" s="1"/>
  <c r="H170" i="1" s="1"/>
  <c r="J170" i="1" s="1"/>
  <c r="G165" i="2"/>
  <c r="I165" i="2" s="1"/>
  <c r="C165" i="1"/>
  <c r="D165" i="1" s="1"/>
  <c r="F165" i="1" s="1"/>
  <c r="H165" i="1" s="1"/>
  <c r="J165" i="1" s="1"/>
  <c r="G166" i="2"/>
  <c r="I166" i="2" s="1"/>
  <c r="K166" i="2" s="1"/>
  <c r="N166" i="2" s="1"/>
  <c r="C166" i="1"/>
  <c r="D166" i="1" s="1"/>
  <c r="F166" i="1" s="1"/>
  <c r="H166" i="1" s="1"/>
  <c r="J166" i="1" s="1"/>
  <c r="G169" i="2"/>
  <c r="I169" i="2" s="1"/>
  <c r="C169" i="1"/>
  <c r="D169" i="1" s="1"/>
  <c r="F169" i="1" s="1"/>
  <c r="H169" i="1" s="1"/>
  <c r="J169" i="1" s="1"/>
  <c r="G188" i="2"/>
  <c r="I188" i="2" s="1"/>
  <c r="K188" i="2" s="1"/>
  <c r="N188" i="2" s="1"/>
  <c r="C188" i="1"/>
  <c r="D188" i="1" s="1"/>
  <c r="F188" i="1" s="1"/>
  <c r="H188" i="1" s="1"/>
  <c r="J188" i="1" s="1"/>
  <c r="G191" i="2"/>
  <c r="I191" i="2" s="1"/>
  <c r="K191" i="2" s="1"/>
  <c r="N191" i="2" s="1"/>
  <c r="C191" i="1"/>
  <c r="D191" i="1" s="1"/>
  <c r="F191" i="1" s="1"/>
  <c r="H191" i="1" s="1"/>
  <c r="J191" i="1" s="1"/>
  <c r="G189" i="2"/>
  <c r="I189" i="2" s="1"/>
  <c r="K189" i="2" s="1"/>
  <c r="N189" i="2" s="1"/>
  <c r="C189" i="1"/>
  <c r="D189" i="1" s="1"/>
  <c r="F189" i="1" s="1"/>
  <c r="H189" i="1" s="1"/>
  <c r="J189" i="1" s="1"/>
  <c r="K169" i="2"/>
  <c r="N169" i="2" s="1"/>
  <c r="K165" i="2"/>
  <c r="N165" i="2" s="1"/>
  <c r="K170" i="2"/>
  <c r="N170" i="2" s="1"/>
  <c r="K167" i="2"/>
  <c r="N167" i="2" s="1"/>
  <c r="K168" i="2"/>
  <c r="N168" i="2" s="1"/>
  <c r="C121" i="5" l="1"/>
  <c r="N286" i="2"/>
  <c r="N285" i="2"/>
  <c r="J235" i="2"/>
  <c r="E235" i="2"/>
  <c r="J225" i="2"/>
  <c r="G225" i="2"/>
  <c r="I225" i="2" s="1"/>
  <c r="E225" i="2"/>
  <c r="C226" i="1" s="1"/>
  <c r="J220" i="2"/>
  <c r="E220" i="2"/>
  <c r="G220" i="2" s="1"/>
  <c r="I220" i="2" s="1"/>
  <c r="K220" i="2" s="1"/>
  <c r="N220" i="2" s="1"/>
  <c r="J218" i="2"/>
  <c r="J217" i="2"/>
  <c r="J215" i="2"/>
  <c r="J213" i="2"/>
  <c r="J212" i="2"/>
  <c r="J210" i="2"/>
  <c r="J209" i="2"/>
  <c r="J207" i="2"/>
  <c r="J206" i="2"/>
  <c r="J109" i="2"/>
  <c r="E109" i="2"/>
  <c r="J89" i="2"/>
  <c r="G89" i="2"/>
  <c r="I89" i="2" s="1"/>
  <c r="J88" i="2"/>
  <c r="G88" i="2"/>
  <c r="I88" i="2" s="1"/>
  <c r="K88" i="2" s="1"/>
  <c r="N88" i="2" s="1"/>
  <c r="J36" i="2"/>
  <c r="E36" i="2"/>
  <c r="C36" i="1" s="1"/>
  <c r="D36" i="1" s="1"/>
  <c r="F36" i="1" s="1"/>
  <c r="H36" i="1" s="1"/>
  <c r="J36" i="1" s="1"/>
  <c r="J27" i="2"/>
  <c r="E27" i="2"/>
  <c r="K89" i="2" l="1"/>
  <c r="N89" i="2" s="1"/>
  <c r="K225" i="2"/>
  <c r="G109" i="2"/>
  <c r="I109" i="2" s="1"/>
  <c r="C109" i="1"/>
  <c r="D109" i="1" s="1"/>
  <c r="F109" i="1" s="1"/>
  <c r="H109" i="1" s="1"/>
  <c r="J109" i="1" s="1"/>
  <c r="G235" i="2"/>
  <c r="I235" i="2" s="1"/>
  <c r="K235" i="2" s="1"/>
  <c r="N235" i="2" s="1"/>
  <c r="C236" i="1"/>
  <c r="G27" i="2"/>
  <c r="I27" i="2" s="1"/>
  <c r="K27" i="2" s="1"/>
  <c r="N27" i="2" s="1"/>
  <c r="C27" i="1"/>
  <c r="D27" i="1" s="1"/>
  <c r="F27" i="1" s="1"/>
  <c r="H27" i="1" s="1"/>
  <c r="J27" i="1" s="1"/>
  <c r="G36" i="2"/>
  <c r="I36" i="2" s="1"/>
  <c r="K36" i="2" s="1"/>
  <c r="N36" i="2" s="1"/>
  <c r="K109" i="2"/>
  <c r="N109" i="2" s="1"/>
  <c r="D51" i="5"/>
  <c r="N225" i="2" l="1"/>
  <c r="C30" i="5"/>
  <c r="C103" i="5"/>
  <c r="C83" i="5"/>
  <c r="C51" i="5"/>
  <c r="D286" i="2" l="1"/>
  <c r="E286" i="2" s="1"/>
  <c r="G286" i="2" s="1"/>
  <c r="I286" i="2" s="1"/>
  <c r="D285" i="2"/>
  <c r="E285" i="2" s="1"/>
  <c r="G285" i="2" s="1"/>
  <c r="I285" i="2" s="1"/>
  <c r="C290" i="2"/>
  <c r="C14" i="2"/>
  <c r="M217" i="4" l="1"/>
  <c r="M215" i="4"/>
  <c r="M212" i="4"/>
  <c r="M209" i="4"/>
  <c r="N219" i="1"/>
  <c r="M219" i="4" s="1"/>
  <c r="N218" i="1"/>
  <c r="M218" i="4" s="1"/>
  <c r="N216" i="1"/>
  <c r="M216" i="4" s="1"/>
  <c r="N214" i="1"/>
  <c r="M214" i="4" s="1"/>
  <c r="N213" i="1"/>
  <c r="M213" i="4" s="1"/>
  <c r="N211" i="1"/>
  <c r="M211" i="4" s="1"/>
  <c r="N210" i="1"/>
  <c r="M210" i="4" s="1"/>
  <c r="N208" i="1"/>
  <c r="M208" i="4" s="1"/>
  <c r="N207" i="1"/>
  <c r="M207" i="4" s="1"/>
  <c r="N206" i="1"/>
  <c r="I219" i="1"/>
  <c r="H219" i="4" s="1"/>
  <c r="I218" i="1"/>
  <c r="H218" i="4" s="1"/>
  <c r="I217" i="1"/>
  <c r="H217" i="4" s="1"/>
  <c r="I216" i="1"/>
  <c r="H216" i="4" s="1"/>
  <c r="I215" i="1"/>
  <c r="H215" i="4" s="1"/>
  <c r="I214" i="1"/>
  <c r="H214" i="4" s="1"/>
  <c r="I213" i="1"/>
  <c r="H213" i="4" s="1"/>
  <c r="I212" i="1"/>
  <c r="H212" i="4" s="1"/>
  <c r="I211" i="1"/>
  <c r="H211" i="4" s="1"/>
  <c r="I210" i="1"/>
  <c r="H210" i="4" s="1"/>
  <c r="I209" i="1"/>
  <c r="H209" i="4" s="1"/>
  <c r="I208" i="1"/>
  <c r="H208" i="4" s="1"/>
  <c r="I207" i="1"/>
  <c r="H207" i="4" s="1"/>
  <c r="M219" i="1"/>
  <c r="L219" i="4" s="1"/>
  <c r="M218" i="1"/>
  <c r="L218" i="4" s="1"/>
  <c r="M217" i="1"/>
  <c r="L217" i="4" s="1"/>
  <c r="M216" i="1"/>
  <c r="L216" i="4" s="1"/>
  <c r="M215" i="1"/>
  <c r="L215" i="4" s="1"/>
  <c r="M214" i="1"/>
  <c r="L214" i="4" s="1"/>
  <c r="M213" i="1"/>
  <c r="L213" i="4" s="1"/>
  <c r="M212" i="1"/>
  <c r="L212" i="4" s="1"/>
  <c r="M211" i="1"/>
  <c r="L211" i="4" s="1"/>
  <c r="M210" i="1"/>
  <c r="L210" i="4" s="1"/>
  <c r="M209" i="1"/>
  <c r="L209" i="4" s="1"/>
  <c r="M208" i="1"/>
  <c r="L208" i="4" s="1"/>
  <c r="M207" i="1"/>
  <c r="L207" i="4" s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C218" i="1"/>
  <c r="D218" i="1" s="1"/>
  <c r="F218" i="1" s="1"/>
  <c r="C217" i="1"/>
  <c r="D217" i="1" s="1"/>
  <c r="F217" i="1" s="1"/>
  <c r="C214" i="1"/>
  <c r="D214" i="1" s="1"/>
  <c r="F214" i="1" s="1"/>
  <c r="C209" i="1"/>
  <c r="D209" i="1" s="1"/>
  <c r="F209" i="1" s="1"/>
  <c r="J216" i="2"/>
  <c r="J214" i="2"/>
  <c r="K214" i="2" s="1"/>
  <c r="N214" i="2" s="1"/>
  <c r="J211" i="2"/>
  <c r="K211" i="2" s="1"/>
  <c r="N211" i="2" s="1"/>
  <c r="J208" i="2"/>
  <c r="E218" i="2"/>
  <c r="G218" i="2" s="1"/>
  <c r="I218" i="2" s="1"/>
  <c r="K218" i="2" s="1"/>
  <c r="N218" i="2" s="1"/>
  <c r="E217" i="2"/>
  <c r="G217" i="2" s="1"/>
  <c r="I217" i="2" s="1"/>
  <c r="K217" i="2" s="1"/>
  <c r="N217" i="2" s="1"/>
  <c r="E216" i="2"/>
  <c r="G216" i="2" s="1"/>
  <c r="I216" i="2" s="1"/>
  <c r="E215" i="2"/>
  <c r="G215" i="2" s="1"/>
  <c r="I215" i="2" s="1"/>
  <c r="K215" i="2" s="1"/>
  <c r="N215" i="2" s="1"/>
  <c r="E214" i="2"/>
  <c r="G214" i="2" s="1"/>
  <c r="I214" i="2" s="1"/>
  <c r="E213" i="2"/>
  <c r="G213" i="2" s="1"/>
  <c r="I213" i="2" s="1"/>
  <c r="K213" i="2" s="1"/>
  <c r="N213" i="2" s="1"/>
  <c r="E212" i="2"/>
  <c r="G212" i="2" s="1"/>
  <c r="I212" i="2" s="1"/>
  <c r="K212" i="2" s="1"/>
  <c r="N212" i="2" s="1"/>
  <c r="E211" i="2"/>
  <c r="G211" i="2" s="1"/>
  <c r="I211" i="2" s="1"/>
  <c r="E210" i="2"/>
  <c r="G210" i="2" s="1"/>
  <c r="I210" i="2" s="1"/>
  <c r="K210" i="2" s="1"/>
  <c r="N210" i="2" s="1"/>
  <c r="E209" i="2"/>
  <c r="G209" i="2" s="1"/>
  <c r="I209" i="2" s="1"/>
  <c r="K209" i="2" s="1"/>
  <c r="N209" i="2" s="1"/>
  <c r="G208" i="2"/>
  <c r="I208" i="2" s="1"/>
  <c r="E208" i="2"/>
  <c r="E207" i="2"/>
  <c r="G207" i="2" s="1"/>
  <c r="I207" i="2" s="1"/>
  <c r="K207" i="2" s="1"/>
  <c r="N207" i="2" s="1"/>
  <c r="E206" i="2"/>
  <c r="G206" i="2" s="1"/>
  <c r="I206" i="2" s="1"/>
  <c r="K206" i="2" s="1"/>
  <c r="N206" i="2" s="1"/>
  <c r="C213" i="1" l="1"/>
  <c r="D213" i="1" s="1"/>
  <c r="F213" i="1" s="1"/>
  <c r="C210" i="1"/>
  <c r="D210" i="1" s="1"/>
  <c r="F210" i="1" s="1"/>
  <c r="C207" i="1"/>
  <c r="D207" i="1" s="1"/>
  <c r="F207" i="1" s="1"/>
  <c r="H207" i="1" s="1"/>
  <c r="C211" i="1"/>
  <c r="D211" i="1" s="1"/>
  <c r="F211" i="1" s="1"/>
  <c r="H211" i="1" s="1"/>
  <c r="J211" i="1" s="1"/>
  <c r="C215" i="1"/>
  <c r="D215" i="1" s="1"/>
  <c r="F215" i="1" s="1"/>
  <c r="H215" i="1" s="1"/>
  <c r="C219" i="1"/>
  <c r="D219" i="1" s="1"/>
  <c r="F219" i="1" s="1"/>
  <c r="H219" i="1" s="1"/>
  <c r="J219" i="1" s="1"/>
  <c r="K208" i="2"/>
  <c r="N208" i="2" s="1"/>
  <c r="K216" i="2"/>
  <c r="N216" i="2" s="1"/>
  <c r="C208" i="1"/>
  <c r="D208" i="1" s="1"/>
  <c r="F208" i="1" s="1"/>
  <c r="C212" i="1"/>
  <c r="D212" i="1" s="1"/>
  <c r="F212" i="1" s="1"/>
  <c r="H212" i="1" s="1"/>
  <c r="J212" i="1" s="1"/>
  <c r="C216" i="1"/>
  <c r="D216" i="1" s="1"/>
  <c r="F216" i="1" s="1"/>
  <c r="H216" i="1" s="1"/>
  <c r="J216" i="1" s="1"/>
  <c r="J207" i="1"/>
  <c r="J215" i="1"/>
  <c r="H208" i="1"/>
  <c r="J208" i="1" s="1"/>
  <c r="H209" i="1"/>
  <c r="J209" i="1" s="1"/>
  <c r="H213" i="1"/>
  <c r="J213" i="1" s="1"/>
  <c r="H217" i="1"/>
  <c r="J217" i="1" s="1"/>
  <c r="H210" i="1"/>
  <c r="J210" i="1" s="1"/>
  <c r="H214" i="1"/>
  <c r="J214" i="1" s="1"/>
  <c r="H218" i="1"/>
  <c r="J218" i="1" s="1"/>
  <c r="F219" i="4" l="1"/>
  <c r="F217" i="4"/>
  <c r="E217" i="4"/>
  <c r="E216" i="4"/>
  <c r="F215" i="4"/>
  <c r="E215" i="4"/>
  <c r="F214" i="4"/>
  <c r="F213" i="4"/>
  <c r="E213" i="4"/>
  <c r="F212" i="4"/>
  <c r="E212" i="4"/>
  <c r="F211" i="4"/>
  <c r="F210" i="4"/>
  <c r="E210" i="4"/>
  <c r="E209" i="4"/>
  <c r="E207" i="4"/>
  <c r="G212" i="4" l="1"/>
  <c r="G213" i="4"/>
  <c r="I213" i="4" s="1"/>
  <c r="G217" i="4"/>
  <c r="G215" i="4"/>
  <c r="I215" i="4" s="1"/>
  <c r="G210" i="4"/>
  <c r="I210" i="4" s="1"/>
  <c r="I212" i="4"/>
  <c r="I217" i="4"/>
  <c r="C237" i="2" l="1"/>
  <c r="C222" i="2"/>
  <c r="B96" i="5" l="1"/>
  <c r="B70" i="5"/>
  <c r="B44" i="5"/>
  <c r="E219" i="4" l="1"/>
  <c r="C218" i="4"/>
  <c r="E218" i="4" s="1"/>
  <c r="C211" i="4"/>
  <c r="E211" i="4" s="1"/>
  <c r="C214" i="4"/>
  <c r="E214" i="4" s="1"/>
  <c r="C208" i="4"/>
  <c r="G214" i="4" l="1"/>
  <c r="I214" i="4" s="1"/>
  <c r="G211" i="4"/>
  <c r="I211" i="4" s="1"/>
  <c r="G219" i="4"/>
  <c r="I219" i="4" s="1"/>
  <c r="E208" i="4"/>
  <c r="C223" i="4"/>
  <c r="C90" i="4"/>
  <c r="H90" i="2" l="1"/>
  <c r="F90" i="2"/>
  <c r="E90" i="2"/>
  <c r="D90" i="2"/>
  <c r="C90" i="2"/>
  <c r="K155" i="1" l="1"/>
  <c r="K148" i="1"/>
  <c r="J155" i="4"/>
  <c r="J148" i="4"/>
  <c r="D291" i="2" l="1"/>
  <c r="D290" i="2"/>
  <c r="D289" i="2"/>
  <c r="N101" i="5" l="1"/>
  <c r="M101" i="5"/>
  <c r="K101" i="5"/>
  <c r="I101" i="5"/>
  <c r="H101" i="5"/>
  <c r="G101" i="5"/>
  <c r="F101" i="5"/>
  <c r="N75" i="5"/>
  <c r="M75" i="5"/>
  <c r="K75" i="5"/>
  <c r="I75" i="5"/>
  <c r="H75" i="5"/>
  <c r="G75" i="5"/>
  <c r="F75" i="5"/>
  <c r="N49" i="5"/>
  <c r="M49" i="5"/>
  <c r="K49" i="5"/>
  <c r="I49" i="5"/>
  <c r="H49" i="5"/>
  <c r="G49" i="5"/>
  <c r="F49" i="5"/>
  <c r="N23" i="5"/>
  <c r="M23" i="5"/>
  <c r="K23" i="5"/>
  <c r="I23" i="5"/>
  <c r="H23" i="5"/>
  <c r="G23" i="5"/>
  <c r="F23" i="5"/>
  <c r="J289" i="2" l="1"/>
  <c r="E289" i="2"/>
  <c r="G289" i="2" s="1"/>
  <c r="I289" i="2" s="1"/>
  <c r="J290" i="2"/>
  <c r="E290" i="2"/>
  <c r="G290" i="2" s="1"/>
  <c r="I290" i="2" s="1"/>
  <c r="K290" i="2" l="1"/>
  <c r="N290" i="2" s="1"/>
  <c r="K289" i="2"/>
  <c r="N289" i="2" s="1"/>
  <c r="M70" i="4"/>
  <c r="M66" i="4"/>
  <c r="M61" i="4"/>
  <c r="M59" i="4"/>
  <c r="M58" i="4"/>
  <c r="M54" i="4"/>
  <c r="M52" i="4"/>
  <c r="M50" i="4"/>
  <c r="M49" i="4"/>
  <c r="M40" i="4"/>
  <c r="M41" i="4"/>
  <c r="M39" i="4"/>
  <c r="M38" i="4"/>
  <c r="M34" i="4"/>
  <c r="M75" i="4"/>
  <c r="M144" i="4"/>
  <c r="D31" i="5" l="1"/>
  <c r="E31" i="5" s="1"/>
  <c r="G31" i="5" s="1"/>
  <c r="I31" i="5" s="1"/>
  <c r="D84" i="5" l="1"/>
  <c r="M144" i="1" l="1"/>
  <c r="L144" i="4" s="1"/>
  <c r="H144" i="4"/>
  <c r="F144" i="4"/>
  <c r="E144" i="4"/>
  <c r="J144" i="2"/>
  <c r="E144" i="2"/>
  <c r="G144" i="2" s="1"/>
  <c r="I144" i="2" s="1"/>
  <c r="D157" i="2"/>
  <c r="D158" i="2"/>
  <c r="M183" i="1"/>
  <c r="M182" i="1"/>
  <c r="N76" i="1"/>
  <c r="I76" i="1"/>
  <c r="G76" i="1"/>
  <c r="E76" i="1"/>
  <c r="M146" i="4"/>
  <c r="M146" i="1"/>
  <c r="L146" i="4" s="1"/>
  <c r="H146" i="4"/>
  <c r="G146" i="1"/>
  <c r="F146" i="4" s="1"/>
  <c r="M145" i="4"/>
  <c r="M145" i="1"/>
  <c r="L145" i="4" s="1"/>
  <c r="H145" i="4"/>
  <c r="G145" i="1"/>
  <c r="F145" i="4" s="1"/>
  <c r="J146" i="2"/>
  <c r="E146" i="2"/>
  <c r="G146" i="2" s="1"/>
  <c r="I146" i="2" s="1"/>
  <c r="J145" i="2"/>
  <c r="E145" i="2"/>
  <c r="C145" i="1" s="1"/>
  <c r="M117" i="1"/>
  <c r="G117" i="1"/>
  <c r="M116" i="1"/>
  <c r="G116" i="1"/>
  <c r="M201" i="4"/>
  <c r="M201" i="1"/>
  <c r="L201" i="4" s="1"/>
  <c r="H201" i="4"/>
  <c r="G201" i="1"/>
  <c r="F201" i="4" s="1"/>
  <c r="J200" i="2"/>
  <c r="D200" i="2"/>
  <c r="E200" i="2" s="1"/>
  <c r="G200" i="2" s="1"/>
  <c r="I200" i="2" s="1"/>
  <c r="H38" i="4"/>
  <c r="F38" i="4"/>
  <c r="M76" i="4"/>
  <c r="M38" i="1"/>
  <c r="L38" i="4" s="1"/>
  <c r="J38" i="2"/>
  <c r="E38" i="2"/>
  <c r="G38" i="2" s="1"/>
  <c r="I38" i="2" s="1"/>
  <c r="M196" i="4"/>
  <c r="M195" i="1"/>
  <c r="L196" i="4" s="1"/>
  <c r="H196" i="4"/>
  <c r="G195" i="1"/>
  <c r="F195" i="4" s="1"/>
  <c r="M195" i="4"/>
  <c r="M194" i="1"/>
  <c r="L195" i="4" s="1"/>
  <c r="H195" i="4"/>
  <c r="G194" i="1"/>
  <c r="F194" i="4" s="1"/>
  <c r="J195" i="2"/>
  <c r="D195" i="2"/>
  <c r="E195" i="2" s="1"/>
  <c r="G195" i="2" s="1"/>
  <c r="I195" i="2" s="1"/>
  <c r="J194" i="2"/>
  <c r="D194" i="2"/>
  <c r="E194" i="2" s="1"/>
  <c r="G194" i="2" s="1"/>
  <c r="I194" i="2" s="1"/>
  <c r="D145" i="1" l="1"/>
  <c r="F145" i="1" s="1"/>
  <c r="H145" i="1" s="1"/>
  <c r="J145" i="1" s="1"/>
  <c r="G144" i="4"/>
  <c r="I144" i="4" s="1"/>
  <c r="K144" i="2"/>
  <c r="N144" i="2" s="1"/>
  <c r="C144" i="1"/>
  <c r="C146" i="1"/>
  <c r="G145" i="2"/>
  <c r="I145" i="2" s="1"/>
  <c r="K145" i="2" s="1"/>
  <c r="N145" i="2" s="1"/>
  <c r="E145" i="4"/>
  <c r="K195" i="2"/>
  <c r="N195" i="2" s="1"/>
  <c r="K146" i="2"/>
  <c r="N146" i="2" s="1"/>
  <c r="E146" i="4"/>
  <c r="C201" i="1"/>
  <c r="E201" i="4"/>
  <c r="K200" i="2"/>
  <c r="N200" i="2" s="1"/>
  <c r="G38" i="4"/>
  <c r="I38" i="4" s="1"/>
  <c r="C195" i="1"/>
  <c r="C194" i="1"/>
  <c r="K38" i="2"/>
  <c r="N38" i="2" s="1"/>
  <c r="C38" i="1"/>
  <c r="E196" i="4"/>
  <c r="E195" i="4"/>
  <c r="K194" i="2"/>
  <c r="N194" i="2" s="1"/>
  <c r="G201" i="4" l="1"/>
  <c r="I201" i="4" s="1"/>
  <c r="G145" i="4"/>
  <c r="I145" i="4" s="1"/>
  <c r="G195" i="4"/>
  <c r="I195" i="4" s="1"/>
  <c r="G146" i="4"/>
  <c r="I146" i="4" s="1"/>
  <c r="D144" i="1"/>
  <c r="F144" i="1" s="1"/>
  <c r="H144" i="1" s="1"/>
  <c r="J144" i="1" s="1"/>
  <c r="D194" i="1"/>
  <c r="F194" i="1" s="1"/>
  <c r="H194" i="1" s="1"/>
  <c r="J194" i="1" s="1"/>
  <c r="D195" i="1"/>
  <c r="F195" i="1" s="1"/>
  <c r="H195" i="1" s="1"/>
  <c r="J195" i="1" s="1"/>
  <c r="F201" i="1"/>
  <c r="H201" i="1" s="1"/>
  <c r="J201" i="1" s="1"/>
  <c r="D201" i="1"/>
  <c r="D38" i="1"/>
  <c r="F38" i="1" s="1"/>
  <c r="H38" i="1" s="1"/>
  <c r="J38" i="1" s="1"/>
  <c r="D146" i="1"/>
  <c r="F146" i="1" s="1"/>
  <c r="H146" i="1" s="1"/>
  <c r="J146" i="1" s="1"/>
  <c r="M274" i="1"/>
  <c r="G274" i="1"/>
  <c r="M273" i="1"/>
  <c r="G273" i="1"/>
  <c r="M272" i="1"/>
  <c r="G272" i="1"/>
  <c r="M271" i="1"/>
  <c r="G271" i="1"/>
  <c r="M270" i="1"/>
  <c r="G270" i="1"/>
  <c r="M269" i="1"/>
  <c r="G269" i="1"/>
  <c r="M264" i="1"/>
  <c r="G264" i="1"/>
  <c r="M263" i="1"/>
  <c r="G263" i="1"/>
  <c r="M262" i="1"/>
  <c r="G262" i="1"/>
  <c r="M261" i="1"/>
  <c r="G261" i="1"/>
  <c r="M260" i="1"/>
  <c r="G260" i="1"/>
  <c r="M259" i="1"/>
  <c r="G259" i="1"/>
  <c r="M258" i="1"/>
  <c r="G258" i="1"/>
  <c r="M257" i="1"/>
  <c r="G257" i="1"/>
  <c r="M256" i="1"/>
  <c r="G256" i="1"/>
  <c r="M255" i="1"/>
  <c r="G255" i="1"/>
  <c r="M254" i="1"/>
  <c r="G254" i="1"/>
  <c r="M171" i="4"/>
  <c r="M171" i="1"/>
  <c r="L171" i="4" s="1"/>
  <c r="G171" i="1"/>
  <c r="M164" i="4"/>
  <c r="M164" i="1"/>
  <c r="L164" i="4" s="1"/>
  <c r="G164" i="1"/>
  <c r="M163" i="4"/>
  <c r="M163" i="1"/>
  <c r="L163" i="4" s="1"/>
  <c r="G163" i="1"/>
  <c r="M162" i="4"/>
  <c r="M162" i="1"/>
  <c r="L162" i="4" s="1"/>
  <c r="G162" i="1"/>
  <c r="M161" i="4"/>
  <c r="M161" i="1"/>
  <c r="G161" i="1"/>
  <c r="M160" i="4"/>
  <c r="M160" i="1"/>
  <c r="L160" i="4" s="1"/>
  <c r="G160" i="1"/>
  <c r="M159" i="4"/>
  <c r="M159" i="1"/>
  <c r="L159" i="4" s="1"/>
  <c r="G159" i="1"/>
  <c r="M158" i="4"/>
  <c r="M158" i="1"/>
  <c r="L158" i="4" s="1"/>
  <c r="H158" i="4"/>
  <c r="G158" i="1"/>
  <c r="F158" i="4" s="1"/>
  <c r="M157" i="4"/>
  <c r="M157" i="1"/>
  <c r="L157" i="4" s="1"/>
  <c r="H157" i="4"/>
  <c r="G157" i="1"/>
  <c r="F157" i="4" s="1"/>
  <c r="M156" i="4"/>
  <c r="M156" i="1"/>
  <c r="L156" i="4" s="1"/>
  <c r="H156" i="4"/>
  <c r="G156" i="1"/>
  <c r="F156" i="4" s="1"/>
  <c r="M155" i="4"/>
  <c r="M155" i="1"/>
  <c r="L155" i="4" s="1"/>
  <c r="H155" i="4"/>
  <c r="G155" i="1"/>
  <c r="F155" i="4" s="1"/>
  <c r="M154" i="4"/>
  <c r="M154" i="1"/>
  <c r="L154" i="4" s="1"/>
  <c r="H154" i="4"/>
  <c r="G154" i="1"/>
  <c r="F154" i="4" s="1"/>
  <c r="M153" i="4"/>
  <c r="M153" i="1"/>
  <c r="L153" i="4" s="1"/>
  <c r="H153" i="4"/>
  <c r="G153" i="1"/>
  <c r="F153" i="4" s="1"/>
  <c r="M152" i="4"/>
  <c r="M152" i="1"/>
  <c r="L152" i="4" s="1"/>
  <c r="H152" i="4"/>
  <c r="G152" i="1"/>
  <c r="F152" i="4" s="1"/>
  <c r="M151" i="4"/>
  <c r="M151" i="1"/>
  <c r="L151" i="4" s="1"/>
  <c r="H151" i="4"/>
  <c r="G151" i="1"/>
  <c r="F151" i="4" s="1"/>
  <c r="M150" i="4"/>
  <c r="M150" i="1"/>
  <c r="L150" i="4" s="1"/>
  <c r="H150" i="4"/>
  <c r="G150" i="1"/>
  <c r="F150" i="4" s="1"/>
  <c r="M149" i="4"/>
  <c r="M149" i="1"/>
  <c r="L149" i="4" s="1"/>
  <c r="H149" i="4"/>
  <c r="G149" i="1"/>
  <c r="F149" i="4" s="1"/>
  <c r="M148" i="4"/>
  <c r="M148" i="1"/>
  <c r="L148" i="4" s="1"/>
  <c r="H148" i="4"/>
  <c r="G148" i="1"/>
  <c r="F148" i="4" s="1"/>
  <c r="M147" i="4"/>
  <c r="M147" i="1"/>
  <c r="L147" i="4" s="1"/>
  <c r="H147" i="4"/>
  <c r="G147" i="1"/>
  <c r="F147" i="4" s="1"/>
  <c r="M75" i="1"/>
  <c r="M37" i="4"/>
  <c r="M37" i="1"/>
  <c r="H37" i="4"/>
  <c r="G37" i="1"/>
  <c r="F37" i="4" s="1"/>
  <c r="H75" i="4"/>
  <c r="F75" i="4"/>
  <c r="M234" i="1"/>
  <c r="M143" i="1"/>
  <c r="M131" i="1"/>
  <c r="M123" i="1"/>
  <c r="M114" i="1"/>
  <c r="M103" i="1"/>
  <c r="M74" i="1"/>
  <c r="M35" i="1"/>
  <c r="M34" i="1"/>
  <c r="M25" i="1"/>
  <c r="L25" i="4" s="1"/>
  <c r="D153" i="2"/>
  <c r="E153" i="2" s="1"/>
  <c r="G153" i="2" s="1"/>
  <c r="I153" i="2" s="1"/>
  <c r="D152" i="2"/>
  <c r="E152" i="2" s="1"/>
  <c r="G152" i="2" s="1"/>
  <c r="I152" i="2" s="1"/>
  <c r="L285" i="4"/>
  <c r="D288" i="2"/>
  <c r="E288" i="2" s="1"/>
  <c r="G288" i="2" s="1"/>
  <c r="I288" i="2" s="1"/>
  <c r="D287" i="2"/>
  <c r="M284" i="4"/>
  <c r="L284" i="4"/>
  <c r="H284" i="4"/>
  <c r="F284" i="4"/>
  <c r="F286" i="1"/>
  <c r="H286" i="1" s="1"/>
  <c r="J286" i="1" s="1"/>
  <c r="N288" i="2"/>
  <c r="J158" i="2"/>
  <c r="E158" i="2"/>
  <c r="G158" i="2" s="1"/>
  <c r="I158" i="2" s="1"/>
  <c r="J157" i="2"/>
  <c r="E157" i="2"/>
  <c r="G157" i="2" s="1"/>
  <c r="I157" i="2" s="1"/>
  <c r="J156" i="2"/>
  <c r="E156" i="2"/>
  <c r="G156" i="2" s="1"/>
  <c r="I156" i="2" s="1"/>
  <c r="E155" i="2"/>
  <c r="G155" i="2" s="1"/>
  <c r="I155" i="2" s="1"/>
  <c r="J154" i="2"/>
  <c r="E154" i="2"/>
  <c r="G154" i="2" s="1"/>
  <c r="I154" i="2" s="1"/>
  <c r="J153" i="2"/>
  <c r="J152" i="2"/>
  <c r="J151" i="2"/>
  <c r="E151" i="2"/>
  <c r="G151" i="2" s="1"/>
  <c r="I151" i="2" s="1"/>
  <c r="J150" i="2"/>
  <c r="E150" i="2"/>
  <c r="G150" i="2" s="1"/>
  <c r="I150" i="2" s="1"/>
  <c r="J149" i="2"/>
  <c r="E149" i="2"/>
  <c r="G149" i="2" s="1"/>
  <c r="I149" i="2" s="1"/>
  <c r="E148" i="2"/>
  <c r="G148" i="2" s="1"/>
  <c r="I148" i="2" s="1"/>
  <c r="J147" i="2"/>
  <c r="E147" i="2"/>
  <c r="G147" i="2" s="1"/>
  <c r="I147" i="2" s="1"/>
  <c r="J75" i="2"/>
  <c r="E75" i="2"/>
  <c r="G75" i="2" s="1"/>
  <c r="M76" i="2"/>
  <c r="H76" i="2"/>
  <c r="F76" i="2"/>
  <c r="D76" i="2"/>
  <c r="C76" i="2"/>
  <c r="J37" i="2"/>
  <c r="E37" i="2"/>
  <c r="G37" i="2" s="1"/>
  <c r="I37" i="2" s="1"/>
  <c r="L37" i="4" l="1"/>
  <c r="L36" i="4"/>
  <c r="E284" i="4"/>
  <c r="G284" i="4" s="1"/>
  <c r="I284" i="4" s="1"/>
  <c r="K153" i="2"/>
  <c r="N153" i="2" s="1"/>
  <c r="K147" i="2"/>
  <c r="N147" i="2" s="1"/>
  <c r="K155" i="2"/>
  <c r="N155" i="2" s="1"/>
  <c r="K157" i="2"/>
  <c r="N157" i="2" s="1"/>
  <c r="K148" i="2"/>
  <c r="N148" i="2" s="1"/>
  <c r="K150" i="2"/>
  <c r="N150" i="2" s="1"/>
  <c r="K152" i="2"/>
  <c r="N152" i="2" s="1"/>
  <c r="K154" i="2"/>
  <c r="N154" i="2" s="1"/>
  <c r="K156" i="2"/>
  <c r="N156" i="2" s="1"/>
  <c r="K158" i="2"/>
  <c r="N158" i="2" s="1"/>
  <c r="G37" i="4"/>
  <c r="I37" i="4" s="1"/>
  <c r="C75" i="1"/>
  <c r="D75" i="1" s="1"/>
  <c r="E75" i="4"/>
  <c r="E157" i="4"/>
  <c r="C37" i="1"/>
  <c r="E162" i="4"/>
  <c r="E161" i="4"/>
  <c r="E159" i="4"/>
  <c r="L161" i="4"/>
  <c r="C147" i="1"/>
  <c r="C148" i="1"/>
  <c r="C150" i="1"/>
  <c r="C152" i="1"/>
  <c r="C155" i="1"/>
  <c r="C156" i="1"/>
  <c r="C157" i="1"/>
  <c r="E151" i="4"/>
  <c r="E155" i="4"/>
  <c r="C149" i="1"/>
  <c r="C151" i="1"/>
  <c r="C153" i="1"/>
  <c r="C154" i="1"/>
  <c r="C158" i="1"/>
  <c r="L75" i="4"/>
  <c r="E149" i="4"/>
  <c r="E152" i="4"/>
  <c r="E153" i="4"/>
  <c r="E150" i="4"/>
  <c r="E171" i="4"/>
  <c r="E158" i="4"/>
  <c r="E160" i="4"/>
  <c r="E148" i="4"/>
  <c r="E164" i="4"/>
  <c r="E147" i="4"/>
  <c r="E154" i="4"/>
  <c r="E156" i="4"/>
  <c r="E163" i="4"/>
  <c r="K149" i="2"/>
  <c r="N149" i="2" s="1"/>
  <c r="K151" i="2"/>
  <c r="N151" i="2" s="1"/>
  <c r="K37" i="2"/>
  <c r="N37" i="2" s="1"/>
  <c r="I75" i="2"/>
  <c r="G154" i="4" l="1"/>
  <c r="I154" i="4" s="1"/>
  <c r="G153" i="4"/>
  <c r="I153" i="4" s="1"/>
  <c r="G158" i="4"/>
  <c r="I158" i="4" s="1"/>
  <c r="G155" i="4"/>
  <c r="I155" i="4" s="1"/>
  <c r="G147" i="4"/>
  <c r="I147" i="4" s="1"/>
  <c r="G152" i="4"/>
  <c r="I152" i="4" s="1"/>
  <c r="G149" i="4"/>
  <c r="I149" i="4" s="1"/>
  <c r="G151" i="4"/>
  <c r="I151" i="4" s="1"/>
  <c r="G156" i="4"/>
  <c r="I156" i="4" s="1"/>
  <c r="G148" i="4"/>
  <c r="I148" i="4" s="1"/>
  <c r="G150" i="4"/>
  <c r="I150" i="4" s="1"/>
  <c r="G157" i="4"/>
  <c r="I157" i="4" s="1"/>
  <c r="D158" i="1"/>
  <c r="F158" i="1" s="1"/>
  <c r="H158" i="1" s="1"/>
  <c r="J158" i="1" s="1"/>
  <c r="D149" i="1"/>
  <c r="F149" i="1" s="1"/>
  <c r="H149" i="1" s="1"/>
  <c r="J149" i="1" s="1"/>
  <c r="D148" i="1"/>
  <c r="F148" i="1" s="1"/>
  <c r="H148" i="1" s="1"/>
  <c r="J148" i="1" s="1"/>
  <c r="D153" i="1"/>
  <c r="F153" i="1" s="1"/>
  <c r="H153" i="1" s="1"/>
  <c r="J153" i="1" s="1"/>
  <c r="D37" i="1"/>
  <c r="F37" i="1" s="1"/>
  <c r="H37" i="1" s="1"/>
  <c r="J37" i="1" s="1"/>
  <c r="D156" i="1"/>
  <c r="F156" i="1" s="1"/>
  <c r="H156" i="1" s="1"/>
  <c r="J156" i="1" s="1"/>
  <c r="D154" i="1"/>
  <c r="F154" i="1" s="1"/>
  <c r="H154" i="1" s="1"/>
  <c r="J154" i="1" s="1"/>
  <c r="D155" i="1"/>
  <c r="F155" i="1" s="1"/>
  <c r="H155" i="1" s="1"/>
  <c r="J155" i="1" s="1"/>
  <c r="D147" i="1"/>
  <c r="F147" i="1" s="1"/>
  <c r="H147" i="1" s="1"/>
  <c r="J147" i="1" s="1"/>
  <c r="D152" i="1"/>
  <c r="F152" i="1" s="1"/>
  <c r="H152" i="1" s="1"/>
  <c r="J152" i="1" s="1"/>
  <c r="D151" i="1"/>
  <c r="F151" i="1" s="1"/>
  <c r="H151" i="1" s="1"/>
  <c r="J151" i="1" s="1"/>
  <c r="D157" i="1"/>
  <c r="F157" i="1" s="1"/>
  <c r="H157" i="1" s="1"/>
  <c r="J157" i="1" s="1"/>
  <c r="D150" i="1"/>
  <c r="F150" i="1" s="1"/>
  <c r="H150" i="1" s="1"/>
  <c r="J150" i="1" s="1"/>
  <c r="F75" i="1"/>
  <c r="D76" i="1"/>
  <c r="G75" i="4"/>
  <c r="K75" i="2"/>
  <c r="I105" i="5"/>
  <c r="I79" i="5"/>
  <c r="I53" i="5"/>
  <c r="I27" i="5"/>
  <c r="M71" i="5"/>
  <c r="H71" i="5"/>
  <c r="F71" i="5"/>
  <c r="H75" i="1" l="1"/>
  <c r="I75" i="4"/>
  <c r="N75" i="2"/>
  <c r="J75" i="1" l="1"/>
  <c r="M48" i="4"/>
  <c r="M16" i="6" l="1"/>
  <c r="H16" i="6"/>
  <c r="F16" i="6"/>
  <c r="D16" i="6"/>
  <c r="C16" i="6"/>
  <c r="M18" i="2"/>
  <c r="H18" i="2"/>
  <c r="F18" i="2"/>
  <c r="J16" i="2"/>
  <c r="E16" i="2"/>
  <c r="G16" i="2" s="1"/>
  <c r="I16" i="2" s="1"/>
  <c r="C18" i="2"/>
  <c r="K16" i="2" l="1"/>
  <c r="N16" i="2" s="1"/>
  <c r="N16" i="6" s="1"/>
  <c r="E16" i="6"/>
  <c r="G16" i="6" s="1"/>
  <c r="I16" i="6" s="1"/>
  <c r="M193" i="1"/>
  <c r="K16" i="6" l="1"/>
  <c r="D76" i="4" l="1"/>
  <c r="C26" i="6" l="1"/>
  <c r="E197" i="4"/>
  <c r="E185" i="4"/>
  <c r="E135" i="4"/>
  <c r="E134" i="4"/>
  <c r="E111" i="4"/>
  <c r="C76" i="4"/>
  <c r="M197" i="4"/>
  <c r="M197" i="1"/>
  <c r="H197" i="4"/>
  <c r="G197" i="1"/>
  <c r="F196" i="4" s="1"/>
  <c r="G196" i="4" s="1"/>
  <c r="I196" i="4" s="1"/>
  <c r="M185" i="4"/>
  <c r="M185" i="1"/>
  <c r="L185" i="4" s="1"/>
  <c r="H185" i="4"/>
  <c r="G185" i="1"/>
  <c r="F185" i="4" s="1"/>
  <c r="H160" i="4"/>
  <c r="F160" i="4"/>
  <c r="G160" i="4" s="1"/>
  <c r="H159" i="4"/>
  <c r="F159" i="4"/>
  <c r="G159" i="4" s="1"/>
  <c r="M135" i="4"/>
  <c r="M135" i="1"/>
  <c r="L135" i="4" s="1"/>
  <c r="H135" i="4"/>
  <c r="G135" i="1"/>
  <c r="F135" i="4" s="1"/>
  <c r="M134" i="4"/>
  <c r="M134" i="1"/>
  <c r="H134" i="4"/>
  <c r="G134" i="1"/>
  <c r="F134" i="4" s="1"/>
  <c r="M117" i="4"/>
  <c r="L117" i="4"/>
  <c r="H117" i="4"/>
  <c r="F117" i="4"/>
  <c r="M116" i="4"/>
  <c r="H116" i="4"/>
  <c r="F116" i="4"/>
  <c r="M111" i="4"/>
  <c r="M111" i="1"/>
  <c r="H111" i="4"/>
  <c r="G111" i="1"/>
  <c r="F111" i="4" s="1"/>
  <c r="E196" i="2"/>
  <c r="G196" i="2" s="1"/>
  <c r="I196" i="2" s="1"/>
  <c r="K196" i="2" s="1"/>
  <c r="J185" i="2"/>
  <c r="E185" i="2"/>
  <c r="G185" i="2" s="1"/>
  <c r="I185" i="2" s="1"/>
  <c r="J160" i="2"/>
  <c r="E160" i="2"/>
  <c r="C160" i="1" s="1"/>
  <c r="J159" i="2"/>
  <c r="E159" i="2"/>
  <c r="C159" i="1" s="1"/>
  <c r="J135" i="2"/>
  <c r="E135" i="2"/>
  <c r="G135" i="2" s="1"/>
  <c r="I135" i="2" s="1"/>
  <c r="J134" i="2"/>
  <c r="E134" i="2"/>
  <c r="G134" i="2" s="1"/>
  <c r="I134" i="2" s="1"/>
  <c r="J117" i="2"/>
  <c r="E117" i="2"/>
  <c r="G117" i="2" s="1"/>
  <c r="I117" i="2" s="1"/>
  <c r="J116" i="2"/>
  <c r="E116" i="2"/>
  <c r="G116" i="2" s="1"/>
  <c r="I116" i="2" s="1"/>
  <c r="J111" i="2"/>
  <c r="E111" i="2"/>
  <c r="G111" i="2" s="1"/>
  <c r="I111" i="2" s="1"/>
  <c r="D160" i="1" l="1"/>
  <c r="F160" i="1" s="1"/>
  <c r="H160" i="1" s="1"/>
  <c r="J160" i="1" s="1"/>
  <c r="D159" i="1"/>
  <c r="F159" i="1" s="1"/>
  <c r="H159" i="1" s="1"/>
  <c r="J159" i="1" s="1"/>
  <c r="I159" i="4"/>
  <c r="I160" i="4"/>
  <c r="G159" i="2"/>
  <c r="I159" i="2" s="1"/>
  <c r="K159" i="2" s="1"/>
  <c r="N159" i="2" s="1"/>
  <c r="G160" i="2"/>
  <c r="I160" i="2" s="1"/>
  <c r="K160" i="2" s="1"/>
  <c r="N160" i="2" s="1"/>
  <c r="C111" i="1"/>
  <c r="C134" i="1"/>
  <c r="C185" i="1"/>
  <c r="C135" i="1"/>
  <c r="C197" i="1"/>
  <c r="K185" i="2"/>
  <c r="N185" i="2" s="1"/>
  <c r="K111" i="2"/>
  <c r="N111" i="2" s="1"/>
  <c r="K117" i="2"/>
  <c r="N117" i="2" s="1"/>
  <c r="K134" i="2"/>
  <c r="N134" i="2" s="1"/>
  <c r="E116" i="4"/>
  <c r="G111" i="4"/>
  <c r="I111" i="4" s="1"/>
  <c r="E117" i="4"/>
  <c r="N196" i="2"/>
  <c r="K135" i="2"/>
  <c r="N135" i="2" s="1"/>
  <c r="G185" i="4"/>
  <c r="I185" i="4" s="1"/>
  <c r="G135" i="4"/>
  <c r="I135" i="4" s="1"/>
  <c r="G134" i="4"/>
  <c r="I134" i="4" s="1"/>
  <c r="C117" i="1"/>
  <c r="C116" i="1"/>
  <c r="L197" i="4"/>
  <c r="L134" i="4"/>
  <c r="L116" i="4"/>
  <c r="L111" i="4"/>
  <c r="K116" i="2"/>
  <c r="N116" i="2" s="1"/>
  <c r="H161" i="4"/>
  <c r="F161" i="4"/>
  <c r="G161" i="4" s="1"/>
  <c r="H162" i="4"/>
  <c r="F162" i="4"/>
  <c r="G162" i="4" s="1"/>
  <c r="E161" i="2"/>
  <c r="J162" i="2"/>
  <c r="E162" i="2"/>
  <c r="G117" i="4" l="1"/>
  <c r="I117" i="4" s="1"/>
  <c r="G116" i="4"/>
  <c r="I116" i="4" s="1"/>
  <c r="D116" i="1"/>
  <c r="F116" i="1" s="1"/>
  <c r="H116" i="1" s="1"/>
  <c r="J116" i="1" s="1"/>
  <c r="D135" i="1"/>
  <c r="F135" i="1" s="1"/>
  <c r="H135" i="1" s="1"/>
  <c r="J135" i="1" s="1"/>
  <c r="D117" i="1"/>
  <c r="F117" i="1" s="1"/>
  <c r="H117" i="1" s="1"/>
  <c r="J117" i="1" s="1"/>
  <c r="D134" i="1"/>
  <c r="F134" i="1" s="1"/>
  <c r="H134" i="1" s="1"/>
  <c r="J134" i="1" s="1"/>
  <c r="D185" i="1"/>
  <c r="F185" i="1" s="1"/>
  <c r="H185" i="1" s="1"/>
  <c r="J185" i="1" s="1"/>
  <c r="D197" i="1"/>
  <c r="F197" i="1" s="1"/>
  <c r="H197" i="1" s="1"/>
  <c r="J197" i="1" s="1"/>
  <c r="D111" i="1"/>
  <c r="F111" i="1" s="1"/>
  <c r="H111" i="1" s="1"/>
  <c r="J111" i="1" s="1"/>
  <c r="G162" i="2"/>
  <c r="I162" i="2" s="1"/>
  <c r="K162" i="2" s="1"/>
  <c r="N162" i="2" s="1"/>
  <c r="C162" i="1"/>
  <c r="G161" i="2"/>
  <c r="I161" i="2" s="1"/>
  <c r="N161" i="2" s="1"/>
  <c r="C161" i="1"/>
  <c r="I162" i="4"/>
  <c r="I161" i="4"/>
  <c r="D162" i="1" l="1"/>
  <c r="F162" i="1" s="1"/>
  <c r="H162" i="1" s="1"/>
  <c r="J162" i="1" s="1"/>
  <c r="D161" i="1"/>
  <c r="F161" i="1" s="1"/>
  <c r="H161" i="1" s="1"/>
  <c r="J161" i="1" s="1"/>
  <c r="M25" i="4"/>
  <c r="M173" i="2"/>
  <c r="H173" i="2"/>
  <c r="F173" i="2"/>
  <c r="C173" i="2"/>
  <c r="E173" i="1"/>
  <c r="N105" i="5"/>
  <c r="M105" i="5"/>
  <c r="M107" i="5" s="1"/>
  <c r="M135" i="5" s="1"/>
  <c r="N79" i="5"/>
  <c r="M79" i="5"/>
  <c r="N53" i="5"/>
  <c r="M53" i="5"/>
  <c r="N27" i="5"/>
  <c r="M27" i="5"/>
  <c r="N16" i="5"/>
  <c r="M68" i="5" s="1"/>
  <c r="M123" i="5"/>
  <c r="M96" i="5"/>
  <c r="M94" i="5"/>
  <c r="M42" i="5"/>
  <c r="M19" i="5"/>
  <c r="N288" i="1"/>
  <c r="M272" i="4"/>
  <c r="M271" i="4"/>
  <c r="M270" i="4"/>
  <c r="M269" i="4"/>
  <c r="M268" i="4"/>
  <c r="M267" i="4"/>
  <c r="M266" i="4"/>
  <c r="M262" i="4"/>
  <c r="M261" i="4"/>
  <c r="M260" i="4"/>
  <c r="M259" i="4"/>
  <c r="M258" i="4"/>
  <c r="M257" i="4"/>
  <c r="M256" i="4"/>
  <c r="M255" i="4"/>
  <c r="M254" i="4"/>
  <c r="M253" i="4"/>
  <c r="M252" i="4"/>
  <c r="N251" i="1"/>
  <c r="N247" i="1"/>
  <c r="M240" i="4"/>
  <c r="M239" i="4"/>
  <c r="N222" i="1"/>
  <c r="M222" i="4" s="1"/>
  <c r="M220" i="4"/>
  <c r="M206" i="4"/>
  <c r="M205" i="4"/>
  <c r="M204" i="4"/>
  <c r="M203" i="4"/>
  <c r="M202" i="4"/>
  <c r="M200" i="4"/>
  <c r="M199" i="4"/>
  <c r="M198" i="4"/>
  <c r="M192" i="4"/>
  <c r="M184" i="4"/>
  <c r="M183" i="4"/>
  <c r="M182" i="4"/>
  <c r="M181" i="4"/>
  <c r="M180" i="4"/>
  <c r="N176" i="1"/>
  <c r="N177" i="1" s="1"/>
  <c r="M143" i="4"/>
  <c r="M142" i="4"/>
  <c r="M141" i="4"/>
  <c r="M140" i="4"/>
  <c r="M139" i="4"/>
  <c r="M138" i="4"/>
  <c r="M137" i="4"/>
  <c r="M136" i="4"/>
  <c r="M133" i="4"/>
  <c r="M132" i="4"/>
  <c r="M131" i="4"/>
  <c r="M130" i="4"/>
  <c r="M125" i="4"/>
  <c r="M124" i="4"/>
  <c r="M123" i="4"/>
  <c r="M122" i="4"/>
  <c r="M121" i="4"/>
  <c r="M120" i="4"/>
  <c r="M119" i="4"/>
  <c r="M118" i="4"/>
  <c r="M114" i="4"/>
  <c r="M113" i="4"/>
  <c r="M110" i="4"/>
  <c r="M108" i="4"/>
  <c r="M107" i="4"/>
  <c r="M106" i="4"/>
  <c r="M105" i="4"/>
  <c r="M104" i="4"/>
  <c r="M103" i="4"/>
  <c r="M102" i="4"/>
  <c r="N99" i="1"/>
  <c r="M94" i="4"/>
  <c r="M93" i="4"/>
  <c r="N84" i="1"/>
  <c r="N80" i="1"/>
  <c r="M69" i="4"/>
  <c r="M68" i="4"/>
  <c r="M67" i="4"/>
  <c r="M65" i="4"/>
  <c r="N62" i="1"/>
  <c r="M53" i="4"/>
  <c r="M51" i="4"/>
  <c r="M35" i="4"/>
  <c r="M32" i="4"/>
  <c r="M31" i="4"/>
  <c r="M30" i="4"/>
  <c r="M29" i="4"/>
  <c r="M28" i="4"/>
  <c r="M23" i="4"/>
  <c r="M285" i="4"/>
  <c r="M283" i="4"/>
  <c r="M282" i="4"/>
  <c r="M281" i="4"/>
  <c r="M280" i="4"/>
  <c r="M248" i="4"/>
  <c r="M249" i="4" s="1"/>
  <c r="M190" i="4"/>
  <c r="M187" i="4"/>
  <c r="M186" i="4"/>
  <c r="M98" i="4"/>
  <c r="M42" i="4"/>
  <c r="M33" i="4"/>
  <c r="M26" i="4"/>
  <c r="M24" i="4"/>
  <c r="M17" i="6"/>
  <c r="M15" i="6"/>
  <c r="M14" i="6"/>
  <c r="N287" i="2"/>
  <c r="N284" i="2"/>
  <c r="N283" i="2"/>
  <c r="N279" i="2"/>
  <c r="N172" i="2"/>
  <c r="N17" i="2"/>
  <c r="N17" i="6" s="1"/>
  <c r="N14" i="2"/>
  <c r="N14" i="6" s="1"/>
  <c r="M274" i="2"/>
  <c r="M264" i="2"/>
  <c r="M250" i="2"/>
  <c r="M246" i="2"/>
  <c r="M242" i="2"/>
  <c r="M222" i="2"/>
  <c r="M177" i="2"/>
  <c r="M99" i="2"/>
  <c r="M95" i="2"/>
  <c r="M90" i="2"/>
  <c r="M84" i="2"/>
  <c r="M80" i="2"/>
  <c r="M71" i="2"/>
  <c r="M62" i="2"/>
  <c r="M55" i="2"/>
  <c r="M43" i="2"/>
  <c r="M14" i="5"/>
  <c r="H171" i="4"/>
  <c r="F171" i="4"/>
  <c r="G171" i="4" s="1"/>
  <c r="H164" i="4"/>
  <c r="F164" i="4"/>
  <c r="G164" i="4" s="1"/>
  <c r="H163" i="4"/>
  <c r="F163" i="4"/>
  <c r="G163" i="4" s="1"/>
  <c r="J171" i="2"/>
  <c r="E171" i="2"/>
  <c r="J164" i="2"/>
  <c r="E164" i="2"/>
  <c r="J163" i="2"/>
  <c r="E163" i="2"/>
  <c r="M40" i="1"/>
  <c r="M39" i="1"/>
  <c r="M52" i="1"/>
  <c r="M50" i="1"/>
  <c r="M49" i="1"/>
  <c r="I164" i="4" l="1"/>
  <c r="G163" i="2"/>
  <c r="I163" i="2" s="1"/>
  <c r="K163" i="2" s="1"/>
  <c r="N163" i="2" s="1"/>
  <c r="C163" i="1"/>
  <c r="G171" i="2"/>
  <c r="I171" i="2" s="1"/>
  <c r="K171" i="2" s="1"/>
  <c r="N171" i="2" s="1"/>
  <c r="C171" i="1"/>
  <c r="F171" i="1" s="1"/>
  <c r="H171" i="1" s="1"/>
  <c r="J171" i="1" s="1"/>
  <c r="G164" i="2"/>
  <c r="I164" i="2" s="1"/>
  <c r="K164" i="2" s="1"/>
  <c r="N164" i="2" s="1"/>
  <c r="C164" i="1"/>
  <c r="I163" i="4"/>
  <c r="I171" i="4"/>
  <c r="M45" i="5"/>
  <c r="M72" i="5"/>
  <c r="M97" i="5"/>
  <c r="M26" i="6"/>
  <c r="M18" i="6"/>
  <c r="M176" i="4"/>
  <c r="M177" i="4" s="1"/>
  <c r="M79" i="4"/>
  <c r="M80" i="4" s="1"/>
  <c r="M244" i="4"/>
  <c r="M245" i="4" s="1"/>
  <c r="N243" i="1"/>
  <c r="N275" i="1"/>
  <c r="N173" i="1"/>
  <c r="M87" i="4"/>
  <c r="M90" i="4" s="1"/>
  <c r="N55" i="1"/>
  <c r="M115" i="4"/>
  <c r="M43" i="4"/>
  <c r="N43" i="1"/>
  <c r="M40" i="5"/>
  <c r="M66" i="5"/>
  <c r="M92" i="5"/>
  <c r="M241" i="4"/>
  <c r="M236" i="4"/>
  <c r="M71" i="4"/>
  <c r="M263" i="4"/>
  <c r="M99" i="4"/>
  <c r="M95" i="4"/>
  <c r="N71" i="1"/>
  <c r="N265" i="1"/>
  <c r="M83" i="4"/>
  <c r="M129" i="4"/>
  <c r="N95" i="1"/>
  <c r="M60" i="4"/>
  <c r="M273" i="4"/>
  <c r="M286" i="4"/>
  <c r="M36" i="6" s="1"/>
  <c r="L283" i="4"/>
  <c r="D164" i="1" l="1"/>
  <c r="F164" i="1" s="1"/>
  <c r="H164" i="1" s="1"/>
  <c r="J164" i="1" s="1"/>
  <c r="D163" i="1"/>
  <c r="F163" i="1" s="1"/>
  <c r="H163" i="1" s="1"/>
  <c r="J163" i="1" s="1"/>
  <c r="M194" i="4"/>
  <c r="M223" i="4" s="1"/>
  <c r="M173" i="4"/>
  <c r="M84" i="4"/>
  <c r="M62" i="4"/>
  <c r="M55" i="4"/>
  <c r="J15" i="2" l="1"/>
  <c r="H227" i="4" l="1"/>
  <c r="F227" i="4"/>
  <c r="E227" i="4"/>
  <c r="F40" i="4"/>
  <c r="F285" i="4"/>
  <c r="F283" i="4"/>
  <c r="F282" i="4"/>
  <c r="F281" i="4"/>
  <c r="F280" i="4"/>
  <c r="F248" i="4"/>
  <c r="F249" i="4" s="1"/>
  <c r="F235" i="4"/>
  <c r="F234" i="4"/>
  <c r="F233" i="4"/>
  <c r="F231" i="4"/>
  <c r="F229" i="4"/>
  <c r="F228" i="4"/>
  <c r="F226" i="4"/>
  <c r="F190" i="4"/>
  <c r="G190" i="4" s="1"/>
  <c r="F187" i="4"/>
  <c r="F186" i="4"/>
  <c r="F98" i="4"/>
  <c r="F99" i="4" s="1"/>
  <c r="F74" i="4"/>
  <c r="F76" i="4" s="1"/>
  <c r="F70" i="4"/>
  <c r="F66" i="4"/>
  <c r="F61" i="4"/>
  <c r="F59" i="4"/>
  <c r="F58" i="4"/>
  <c r="F54" i="4"/>
  <c r="F52" i="4"/>
  <c r="F50" i="4"/>
  <c r="F49" i="4"/>
  <c r="F46" i="4"/>
  <c r="F42" i="4"/>
  <c r="F41" i="4"/>
  <c r="F39" i="4"/>
  <c r="F34" i="4"/>
  <c r="F33" i="4"/>
  <c r="F26" i="4"/>
  <c r="F24" i="4"/>
  <c r="G288" i="1"/>
  <c r="F272" i="4"/>
  <c r="F271" i="4"/>
  <c r="F270" i="4"/>
  <c r="F269" i="4"/>
  <c r="F268" i="4"/>
  <c r="F267" i="4"/>
  <c r="G268" i="1"/>
  <c r="F266" i="4" s="1"/>
  <c r="F262" i="4"/>
  <c r="F261" i="4"/>
  <c r="F260" i="4"/>
  <c r="F259" i="4"/>
  <c r="F258" i="4"/>
  <c r="F257" i="4"/>
  <c r="F256" i="4"/>
  <c r="F255" i="4"/>
  <c r="F254" i="4"/>
  <c r="F252" i="4"/>
  <c r="G251" i="1"/>
  <c r="G246" i="1"/>
  <c r="G247" i="1" s="1"/>
  <c r="G242" i="1"/>
  <c r="F240" i="4" s="1"/>
  <c r="G241" i="1"/>
  <c r="G233" i="1"/>
  <c r="G231" i="1"/>
  <c r="F216" i="4" s="1"/>
  <c r="G216" i="4" s="1"/>
  <c r="G222" i="1"/>
  <c r="G220" i="1"/>
  <c r="G206" i="1"/>
  <c r="F206" i="4" s="1"/>
  <c r="G205" i="1"/>
  <c r="F205" i="4" s="1"/>
  <c r="G204" i="1"/>
  <c r="F204" i="4" s="1"/>
  <c r="G203" i="1"/>
  <c r="F203" i="4" s="1"/>
  <c r="G202" i="1"/>
  <c r="G200" i="1"/>
  <c r="G199" i="1"/>
  <c r="F198" i="4" s="1"/>
  <c r="G198" i="1"/>
  <c r="F197" i="4" s="1"/>
  <c r="G197" i="4" s="1"/>
  <c r="I197" i="4" s="1"/>
  <c r="G192" i="1"/>
  <c r="F192" i="4" s="1"/>
  <c r="G184" i="1"/>
  <c r="F184" i="4" s="1"/>
  <c r="G183" i="1"/>
  <c r="F183" i="4" s="1"/>
  <c r="G182" i="1"/>
  <c r="F182" i="4" s="1"/>
  <c r="G181" i="1"/>
  <c r="F181" i="4" s="1"/>
  <c r="G180" i="1"/>
  <c r="F180" i="4" s="1"/>
  <c r="G176" i="1"/>
  <c r="G143" i="1"/>
  <c r="F143" i="4" s="1"/>
  <c r="G142" i="1"/>
  <c r="F142" i="4" s="1"/>
  <c r="G141" i="1"/>
  <c r="F141" i="4" s="1"/>
  <c r="G140" i="1"/>
  <c r="F140" i="4" s="1"/>
  <c r="G139" i="1"/>
  <c r="F139" i="4" s="1"/>
  <c r="G138" i="1"/>
  <c r="F138" i="4" s="1"/>
  <c r="G137" i="1"/>
  <c r="F137" i="4" s="1"/>
  <c r="G136" i="1"/>
  <c r="F136" i="4" s="1"/>
  <c r="G133" i="1"/>
  <c r="F133" i="4" s="1"/>
  <c r="G132" i="1"/>
  <c r="F132" i="4" s="1"/>
  <c r="G131" i="1"/>
  <c r="F131" i="4" s="1"/>
  <c r="G130" i="1"/>
  <c r="F130" i="4" s="1"/>
  <c r="G129" i="1"/>
  <c r="G125" i="1"/>
  <c r="F125" i="4" s="1"/>
  <c r="G124" i="1"/>
  <c r="F124" i="4" s="1"/>
  <c r="G123" i="1"/>
  <c r="F123" i="4" s="1"/>
  <c r="G122" i="1"/>
  <c r="F122" i="4" s="1"/>
  <c r="G121" i="1"/>
  <c r="F121" i="4" s="1"/>
  <c r="G120" i="1"/>
  <c r="F120" i="4" s="1"/>
  <c r="G119" i="1"/>
  <c r="F119" i="4" s="1"/>
  <c r="G118" i="1"/>
  <c r="F118" i="4" s="1"/>
  <c r="G115" i="1"/>
  <c r="F115" i="4" s="1"/>
  <c r="G114" i="1"/>
  <c r="F114" i="4" s="1"/>
  <c r="G113" i="1"/>
  <c r="F113" i="4" s="1"/>
  <c r="G112" i="1"/>
  <c r="F112" i="4" s="1"/>
  <c r="G110" i="1"/>
  <c r="F110" i="4" s="1"/>
  <c r="F108" i="4"/>
  <c r="G107" i="1"/>
  <c r="F107" i="4" s="1"/>
  <c r="G106" i="1"/>
  <c r="F106" i="4" s="1"/>
  <c r="G105" i="1"/>
  <c r="F105" i="4" s="1"/>
  <c r="G104" i="1"/>
  <c r="F104" i="4" s="1"/>
  <c r="G103" i="1"/>
  <c r="F103" i="4" s="1"/>
  <c r="G102" i="1"/>
  <c r="F102" i="4" s="1"/>
  <c r="G99" i="1"/>
  <c r="G94" i="1"/>
  <c r="F94" i="4" s="1"/>
  <c r="G93" i="1"/>
  <c r="G87" i="1"/>
  <c r="G90" i="1" s="1"/>
  <c r="G83" i="1"/>
  <c r="G84" i="1" s="1"/>
  <c r="G79" i="1"/>
  <c r="G80" i="1" s="1"/>
  <c r="G69" i="1"/>
  <c r="F69" i="4" s="1"/>
  <c r="G68" i="1"/>
  <c r="F68" i="4" s="1"/>
  <c r="G67" i="1"/>
  <c r="F67" i="4" s="1"/>
  <c r="G65" i="1"/>
  <c r="G60" i="1"/>
  <c r="G53" i="1"/>
  <c r="F53" i="4" s="1"/>
  <c r="G51" i="1"/>
  <c r="G48" i="1"/>
  <c r="F48" i="4" s="1"/>
  <c r="G47" i="1"/>
  <c r="F47" i="4" s="1"/>
  <c r="G35" i="1"/>
  <c r="F35" i="4" s="1"/>
  <c r="G32" i="1"/>
  <c r="F32" i="4" s="1"/>
  <c r="G31" i="1"/>
  <c r="F31" i="4" s="1"/>
  <c r="G30" i="1"/>
  <c r="F30" i="4" s="1"/>
  <c r="G29" i="1"/>
  <c r="F29" i="4" s="1"/>
  <c r="G28" i="1"/>
  <c r="F28" i="4" s="1"/>
  <c r="G25" i="1"/>
  <c r="F25" i="4" s="1"/>
  <c r="G23" i="1"/>
  <c r="F23" i="4" s="1"/>
  <c r="F200" i="4" l="1"/>
  <c r="F199" i="4"/>
  <c r="F222" i="4"/>
  <c r="F208" i="4"/>
  <c r="G208" i="4" s="1"/>
  <c r="F232" i="4"/>
  <c r="F218" i="4"/>
  <c r="G218" i="4" s="1"/>
  <c r="F220" i="4"/>
  <c r="F207" i="4"/>
  <c r="G207" i="4" s="1"/>
  <c r="G227" i="4"/>
  <c r="I227" i="4" s="1"/>
  <c r="F129" i="4"/>
  <c r="F173" i="4" s="1"/>
  <c r="G173" i="1"/>
  <c r="C173" i="4"/>
  <c r="D173" i="4"/>
  <c r="F230" i="4"/>
  <c r="G71" i="1"/>
  <c r="F83" i="4"/>
  <c r="F84" i="4" s="1"/>
  <c r="G95" i="1"/>
  <c r="F93" i="4"/>
  <c r="F95" i="4" s="1"/>
  <c r="F202" i="4"/>
  <c r="F65" i="4"/>
  <c r="F71" i="4" s="1"/>
  <c r="G275" i="1"/>
  <c r="F51" i="4"/>
  <c r="F244" i="4"/>
  <c r="F79" i="4"/>
  <c r="G43" i="1"/>
  <c r="G55" i="1"/>
  <c r="G62" i="1"/>
  <c r="F60" i="4"/>
  <c r="F62" i="4" s="1"/>
  <c r="G88" i="4"/>
  <c r="F87" i="4"/>
  <c r="G177" i="1"/>
  <c r="F176" i="4"/>
  <c r="G265" i="1"/>
  <c r="F253" i="4"/>
  <c r="G126" i="1"/>
  <c r="G243" i="1"/>
  <c r="F239" i="4"/>
  <c r="F43" i="4"/>
  <c r="F126" i="4"/>
  <c r="F273" i="4"/>
  <c r="F286" i="4"/>
  <c r="D110" i="5"/>
  <c r="D32" i="5"/>
  <c r="D58" i="5"/>
  <c r="F90" i="4" l="1"/>
  <c r="F241" i="4"/>
  <c r="F236" i="4"/>
  <c r="F263" i="4"/>
  <c r="F245" i="4"/>
  <c r="F55" i="4"/>
  <c r="F177" i="4"/>
  <c r="F80" i="4"/>
  <c r="D199" i="2"/>
  <c r="D310" i="1" l="1"/>
  <c r="C310" i="1"/>
  <c r="D317" i="4"/>
  <c r="C317" i="4"/>
  <c r="E84" i="5" l="1"/>
  <c r="G84" i="5" s="1"/>
  <c r="J94" i="2"/>
  <c r="E94" i="2"/>
  <c r="M94" i="1"/>
  <c r="L94" i="4" s="1"/>
  <c r="M228" i="1"/>
  <c r="F228" i="1"/>
  <c r="H94" i="4"/>
  <c r="M47" i="1"/>
  <c r="L47" i="4" s="1"/>
  <c r="H47" i="4"/>
  <c r="F50" i="1"/>
  <c r="L50" i="4"/>
  <c r="H50" i="4"/>
  <c r="G50" i="4"/>
  <c r="J50" i="2"/>
  <c r="E50" i="2"/>
  <c r="M220" i="1"/>
  <c r="L220" i="4" s="1"/>
  <c r="E220" i="4"/>
  <c r="J219" i="2"/>
  <c r="E219" i="2"/>
  <c r="C220" i="1" s="1"/>
  <c r="M206" i="1"/>
  <c r="L206" i="4" s="1"/>
  <c r="H206" i="4"/>
  <c r="E206" i="4"/>
  <c r="J205" i="2"/>
  <c r="E205" i="2"/>
  <c r="C206" i="1" s="1"/>
  <c r="M33" i="1"/>
  <c r="L33" i="4" s="1"/>
  <c r="F33" i="1"/>
  <c r="H33" i="4"/>
  <c r="G33" i="4"/>
  <c r="J33" i="2"/>
  <c r="E33" i="2"/>
  <c r="E94" i="4"/>
  <c r="G47" i="4"/>
  <c r="G94" i="4" l="1"/>
  <c r="G206" i="4"/>
  <c r="I206" i="4" s="1"/>
  <c r="D220" i="1"/>
  <c r="F220" i="1" s="1"/>
  <c r="H220" i="1" s="1"/>
  <c r="J220" i="1" s="1"/>
  <c r="G220" i="4"/>
  <c r="D206" i="1"/>
  <c r="F206" i="1" s="1"/>
  <c r="H206" i="1" s="1"/>
  <c r="J206" i="1" s="1"/>
  <c r="H220" i="4"/>
  <c r="I207" i="4"/>
  <c r="L227" i="4"/>
  <c r="H50" i="1"/>
  <c r="J50" i="1" s="1"/>
  <c r="H33" i="1"/>
  <c r="J33" i="1" s="1"/>
  <c r="H228" i="1"/>
  <c r="J228" i="1" s="1"/>
  <c r="G33" i="2"/>
  <c r="I33" i="2" s="1"/>
  <c r="K33" i="2" s="1"/>
  <c r="N33" i="2" s="1"/>
  <c r="G205" i="2"/>
  <c r="I205" i="2" s="1"/>
  <c r="K205" i="2" s="1"/>
  <c r="N205" i="2" s="1"/>
  <c r="G219" i="2"/>
  <c r="I219" i="2" s="1"/>
  <c r="K219" i="2" s="1"/>
  <c r="N219" i="2" s="1"/>
  <c r="G50" i="2"/>
  <c r="I50" i="2" s="1"/>
  <c r="K50" i="2" s="1"/>
  <c r="N50" i="2" s="1"/>
  <c r="G94" i="2"/>
  <c r="I94" i="2" s="1"/>
  <c r="K94" i="2" s="1"/>
  <c r="N94" i="2" s="1"/>
  <c r="I47" i="4"/>
  <c r="I33" i="4"/>
  <c r="I94" i="4"/>
  <c r="I50" i="4"/>
  <c r="C94" i="1"/>
  <c r="J227" i="2"/>
  <c r="E227" i="2"/>
  <c r="J47" i="2"/>
  <c r="E47" i="2"/>
  <c r="G47" i="2" s="1"/>
  <c r="E234" i="2"/>
  <c r="G234" i="2" s="1"/>
  <c r="I234" i="2" s="1"/>
  <c r="J234" i="2"/>
  <c r="F235" i="1"/>
  <c r="H235" i="1" s="1"/>
  <c r="J235" i="1" s="1"/>
  <c r="M235" i="1"/>
  <c r="E234" i="4"/>
  <c r="G234" i="4" s="1"/>
  <c r="H234" i="4"/>
  <c r="D122" i="2"/>
  <c r="E122" i="2" s="1"/>
  <c r="G122" i="2" s="1"/>
  <c r="I122" i="2" s="1"/>
  <c r="J122" i="2"/>
  <c r="H122" i="4"/>
  <c r="M122" i="1"/>
  <c r="L122" i="4" s="1"/>
  <c r="E122" i="4"/>
  <c r="G122" i="4" l="1"/>
  <c r="D94" i="1"/>
  <c r="F94" i="1" s="1"/>
  <c r="H94" i="1" s="1"/>
  <c r="J94" i="1" s="1"/>
  <c r="I220" i="4"/>
  <c r="L234" i="4"/>
  <c r="K234" i="2"/>
  <c r="N234" i="2" s="1"/>
  <c r="G227" i="2"/>
  <c r="I227" i="2" s="1"/>
  <c r="K227" i="2" s="1"/>
  <c r="N227" i="2" s="1"/>
  <c r="C228" i="1"/>
  <c r="K122" i="2"/>
  <c r="N122" i="2" s="1"/>
  <c r="C235" i="1"/>
  <c r="C122" i="1"/>
  <c r="I122" i="4"/>
  <c r="I234" i="4"/>
  <c r="C47" i="1"/>
  <c r="F47" i="1" s="1"/>
  <c r="D122" i="1" l="1"/>
  <c r="F122" i="1" s="1"/>
  <c r="H122" i="1" s="1"/>
  <c r="J122" i="1" s="1"/>
  <c r="H47" i="1"/>
  <c r="J47" i="1" s="1"/>
  <c r="I47" i="2"/>
  <c r="K47" i="2" l="1"/>
  <c r="N47" i="2" s="1"/>
  <c r="E287" i="2"/>
  <c r="L40" i="4"/>
  <c r="H40" i="4"/>
  <c r="G40" i="4"/>
  <c r="J40" i="2"/>
  <c r="E40" i="2"/>
  <c r="E103" i="5"/>
  <c r="G103" i="5" s="1"/>
  <c r="E77" i="5"/>
  <c r="G77" i="5" s="1"/>
  <c r="E51" i="5"/>
  <c r="G51" i="5" s="1"/>
  <c r="E25" i="5"/>
  <c r="G25" i="5" l="1"/>
  <c r="I25" i="5" s="1"/>
  <c r="G287" i="2"/>
  <c r="I287" i="2" s="1"/>
  <c r="G40" i="2"/>
  <c r="I40" i="2" s="1"/>
  <c r="K40" i="2" s="1"/>
  <c r="N40" i="2" s="1"/>
  <c r="I40" i="4"/>
  <c r="C40" i="1"/>
  <c r="D270" i="2"/>
  <c r="M141" i="1"/>
  <c r="L141" i="4" s="1"/>
  <c r="H141" i="4"/>
  <c r="E141" i="4"/>
  <c r="J141" i="2"/>
  <c r="E141" i="2"/>
  <c r="J232" i="2"/>
  <c r="E232" i="2"/>
  <c r="G232" i="2" s="1"/>
  <c r="J230" i="2"/>
  <c r="D230" i="2"/>
  <c r="E230" i="2" s="1"/>
  <c r="G230" i="2" s="1"/>
  <c r="J143" i="2"/>
  <c r="E143" i="2"/>
  <c r="G143" i="2" s="1"/>
  <c r="J142" i="2"/>
  <c r="E142" i="2"/>
  <c r="G142" i="2" s="1"/>
  <c r="J114" i="2"/>
  <c r="E114" i="2"/>
  <c r="G114" i="2" s="1"/>
  <c r="M233" i="1"/>
  <c r="M231" i="1"/>
  <c r="I231" i="1"/>
  <c r="L143" i="4"/>
  <c r="H143" i="4"/>
  <c r="M142" i="1"/>
  <c r="L142" i="4" s="1"/>
  <c r="H142" i="4"/>
  <c r="L114" i="4"/>
  <c r="H114" i="4"/>
  <c r="E232" i="4"/>
  <c r="G232" i="4" s="1"/>
  <c r="E230" i="4"/>
  <c r="G230" i="4" s="1"/>
  <c r="E143" i="4"/>
  <c r="E142" i="4"/>
  <c r="E114" i="4"/>
  <c r="G114" i="4" l="1"/>
  <c r="G142" i="4"/>
  <c r="I142" i="4" s="1"/>
  <c r="G143" i="4"/>
  <c r="G141" i="4"/>
  <c r="D40" i="1"/>
  <c r="F40" i="1" s="1"/>
  <c r="H40" i="1" s="1"/>
  <c r="J40" i="1" s="1"/>
  <c r="L230" i="4"/>
  <c r="H232" i="4"/>
  <c r="I232" i="4" s="1"/>
  <c r="I218" i="4"/>
  <c r="L232" i="4"/>
  <c r="H230" i="4"/>
  <c r="I230" i="4" s="1"/>
  <c r="I216" i="4"/>
  <c r="G141" i="2"/>
  <c r="I141" i="2" s="1"/>
  <c r="K141" i="2" s="1"/>
  <c r="N141" i="2" s="1"/>
  <c r="I114" i="4"/>
  <c r="I143" i="4"/>
  <c r="I141" i="4"/>
  <c r="I103" i="5"/>
  <c r="I77" i="5"/>
  <c r="I51" i="5"/>
  <c r="C141" i="1"/>
  <c r="I232" i="2"/>
  <c r="K232" i="2" s="1"/>
  <c r="N232" i="2" s="1"/>
  <c r="C233" i="1"/>
  <c r="F233" i="1" s="1"/>
  <c r="I230" i="2"/>
  <c r="K230" i="2" s="1"/>
  <c r="N230" i="2" s="1"/>
  <c r="C231" i="1"/>
  <c r="F231" i="1" s="1"/>
  <c r="I143" i="2"/>
  <c r="K143" i="2" s="1"/>
  <c r="N143" i="2" s="1"/>
  <c r="C143" i="1"/>
  <c r="I142" i="2"/>
  <c r="K142" i="2" s="1"/>
  <c r="N142" i="2" s="1"/>
  <c r="C142" i="1"/>
  <c r="I114" i="2"/>
  <c r="K114" i="2" s="1"/>
  <c r="N114" i="2" s="1"/>
  <c r="C114" i="1"/>
  <c r="D236" i="4"/>
  <c r="D241" i="4"/>
  <c r="D245" i="4"/>
  <c r="D249" i="4"/>
  <c r="D269" i="2"/>
  <c r="E269" i="2" s="1"/>
  <c r="C270" i="1" s="1"/>
  <c r="D262" i="2"/>
  <c r="E262" i="2" s="1"/>
  <c r="D261" i="2"/>
  <c r="E261" i="2" s="1"/>
  <c r="C262" i="1" s="1"/>
  <c r="D253" i="2"/>
  <c r="E253" i="2" s="1"/>
  <c r="D231" i="2"/>
  <c r="E231" i="2" s="1"/>
  <c r="C232" i="1" s="1"/>
  <c r="D229" i="2"/>
  <c r="D137" i="2"/>
  <c r="D98" i="2"/>
  <c r="D46" i="2"/>
  <c r="K105" i="5"/>
  <c r="K79" i="5"/>
  <c r="K27" i="5"/>
  <c r="G105" i="5"/>
  <c r="G79" i="5"/>
  <c r="K53" i="5"/>
  <c r="G53" i="5"/>
  <c r="D284" i="2"/>
  <c r="E284" i="2" s="1"/>
  <c r="D283" i="2"/>
  <c r="E283" i="2" s="1"/>
  <c r="D279" i="2"/>
  <c r="H123" i="5"/>
  <c r="F123" i="5"/>
  <c r="D123" i="5"/>
  <c r="C123" i="5"/>
  <c r="E122" i="5"/>
  <c r="G122" i="5" s="1"/>
  <c r="I122" i="5" s="1"/>
  <c r="E121" i="5"/>
  <c r="G121" i="5" s="1"/>
  <c r="I121" i="5" s="1"/>
  <c r="E120" i="5"/>
  <c r="H107" i="4"/>
  <c r="H106" i="4"/>
  <c r="H105" i="4"/>
  <c r="H104" i="4"/>
  <c r="H103" i="4"/>
  <c r="H102" i="4"/>
  <c r="H87" i="4"/>
  <c r="H83" i="4"/>
  <c r="H79" i="4"/>
  <c r="H68" i="4"/>
  <c r="H67" i="4"/>
  <c r="H65" i="4"/>
  <c r="E192" i="4"/>
  <c r="M192" i="1"/>
  <c r="L192" i="4" s="1"/>
  <c r="H192" i="4"/>
  <c r="J192" i="2"/>
  <c r="D192" i="2"/>
  <c r="E192" i="2" s="1"/>
  <c r="E271" i="4"/>
  <c r="G271" i="4" s="1"/>
  <c r="E270" i="4"/>
  <c r="G270" i="4" s="1"/>
  <c r="E267" i="4"/>
  <c r="G267" i="4" s="1"/>
  <c r="L271" i="4"/>
  <c r="H271" i="4"/>
  <c r="L270" i="4"/>
  <c r="H270" i="4"/>
  <c r="L267" i="4"/>
  <c r="H267" i="4"/>
  <c r="J268" i="2"/>
  <c r="E268" i="2"/>
  <c r="J272" i="2"/>
  <c r="E272" i="2"/>
  <c r="J271" i="2"/>
  <c r="E271" i="2"/>
  <c r="C272" i="1" s="1"/>
  <c r="E118" i="4"/>
  <c r="M118" i="1"/>
  <c r="L118" i="4" s="1"/>
  <c r="H118" i="4"/>
  <c r="J118" i="2"/>
  <c r="D118" i="2"/>
  <c r="E118" i="2" s="1"/>
  <c r="G118" i="2" s="1"/>
  <c r="I118" i="2" s="1"/>
  <c r="L282" i="4"/>
  <c r="L281" i="4"/>
  <c r="L280" i="4"/>
  <c r="L52" i="4"/>
  <c r="L49" i="4"/>
  <c r="L39" i="4"/>
  <c r="L272" i="4"/>
  <c r="L269" i="4"/>
  <c r="L268" i="4"/>
  <c r="M268" i="1"/>
  <c r="L266" i="4" s="1"/>
  <c r="L261" i="4"/>
  <c r="L260" i="4"/>
  <c r="L259" i="4"/>
  <c r="L258" i="4"/>
  <c r="L257" i="4"/>
  <c r="L256" i="4"/>
  <c r="L255" i="4"/>
  <c r="L254" i="4"/>
  <c r="L253" i="4"/>
  <c r="L252" i="4"/>
  <c r="M250" i="1"/>
  <c r="L248" i="4" s="1"/>
  <c r="M246" i="1"/>
  <c r="L244" i="4" s="1"/>
  <c r="M242" i="1"/>
  <c r="L240" i="4" s="1"/>
  <c r="M241" i="1"/>
  <c r="L239" i="4" s="1"/>
  <c r="M237" i="1"/>
  <c r="L233" i="4"/>
  <c r="M232" i="1"/>
  <c r="M230" i="1"/>
  <c r="M229" i="1"/>
  <c r="M227" i="1"/>
  <c r="M222" i="1"/>
  <c r="L222" i="4" s="1"/>
  <c r="M205" i="1"/>
  <c r="L205" i="4" s="1"/>
  <c r="M204" i="1"/>
  <c r="L204" i="4" s="1"/>
  <c r="M203" i="1"/>
  <c r="L203" i="4" s="1"/>
  <c r="M202" i="1"/>
  <c r="L202" i="4" s="1"/>
  <c r="M200" i="1"/>
  <c r="L200" i="4" s="1"/>
  <c r="M199" i="1"/>
  <c r="L199" i="4" s="1"/>
  <c r="M198" i="1"/>
  <c r="L198" i="4" s="1"/>
  <c r="L194" i="4"/>
  <c r="M190" i="1"/>
  <c r="L190" i="4" s="1"/>
  <c r="M187" i="1"/>
  <c r="L187" i="4" s="1"/>
  <c r="M186" i="1"/>
  <c r="L186" i="4" s="1"/>
  <c r="M184" i="1"/>
  <c r="L184" i="4" s="1"/>
  <c r="L183" i="4"/>
  <c r="L182" i="4"/>
  <c r="M181" i="1"/>
  <c r="L181" i="4" s="1"/>
  <c r="M180" i="1"/>
  <c r="L180" i="4" s="1"/>
  <c r="M176" i="1"/>
  <c r="L176" i="4" s="1"/>
  <c r="M140" i="1"/>
  <c r="L140" i="4" s="1"/>
  <c r="M139" i="1"/>
  <c r="L139" i="4" s="1"/>
  <c r="M138" i="1"/>
  <c r="L138" i="4" s="1"/>
  <c r="M137" i="1"/>
  <c r="L137" i="4" s="1"/>
  <c r="M136" i="1"/>
  <c r="L136" i="4" s="1"/>
  <c r="M133" i="1"/>
  <c r="L133" i="4" s="1"/>
  <c r="M132" i="1"/>
  <c r="L132" i="4" s="1"/>
  <c r="L131" i="4"/>
  <c r="M130" i="1"/>
  <c r="L130" i="4" s="1"/>
  <c r="M129" i="1"/>
  <c r="L129" i="4" s="1"/>
  <c r="M125" i="1"/>
  <c r="L125" i="4" s="1"/>
  <c r="M124" i="1"/>
  <c r="L124" i="4" s="1"/>
  <c r="L123" i="4"/>
  <c r="M121" i="1"/>
  <c r="L121" i="4" s="1"/>
  <c r="M120" i="1"/>
  <c r="L120" i="4" s="1"/>
  <c r="M119" i="1"/>
  <c r="L119" i="4" s="1"/>
  <c r="M115" i="1"/>
  <c r="L115" i="4" s="1"/>
  <c r="M113" i="1"/>
  <c r="L113" i="4" s="1"/>
  <c r="M112" i="1"/>
  <c r="L112" i="4" s="1"/>
  <c r="M110" i="1"/>
  <c r="M108" i="1"/>
  <c r="L108" i="4" s="1"/>
  <c r="M107" i="1"/>
  <c r="L107" i="4" s="1"/>
  <c r="M106" i="1"/>
  <c r="L106" i="4" s="1"/>
  <c r="M105" i="1"/>
  <c r="L105" i="4" s="1"/>
  <c r="M104" i="1"/>
  <c r="L104" i="4" s="1"/>
  <c r="L103" i="4"/>
  <c r="M102" i="1"/>
  <c r="L102" i="4" s="1"/>
  <c r="M98" i="1"/>
  <c r="L98" i="4" s="1"/>
  <c r="M93" i="1"/>
  <c r="M87" i="1"/>
  <c r="L87" i="4" s="1"/>
  <c r="M83" i="1"/>
  <c r="L83" i="4" s="1"/>
  <c r="M79" i="1"/>
  <c r="L79" i="4" s="1"/>
  <c r="L74" i="4"/>
  <c r="M70" i="1"/>
  <c r="L70" i="4" s="1"/>
  <c r="M69" i="1"/>
  <c r="L69" i="4" s="1"/>
  <c r="M68" i="1"/>
  <c r="L68" i="4" s="1"/>
  <c r="M67" i="1"/>
  <c r="L67" i="4" s="1"/>
  <c r="M66" i="1"/>
  <c r="M65" i="1"/>
  <c r="L65" i="4" s="1"/>
  <c r="M61" i="1"/>
  <c r="L61" i="4" s="1"/>
  <c r="M60" i="1"/>
  <c r="L60" i="4" s="1"/>
  <c r="M59" i="1"/>
  <c r="L59" i="4" s="1"/>
  <c r="M58" i="1"/>
  <c r="L58" i="4" s="1"/>
  <c r="M54" i="1"/>
  <c r="L54" i="4" s="1"/>
  <c r="M53" i="1"/>
  <c r="L53" i="4" s="1"/>
  <c r="M51" i="1"/>
  <c r="L51" i="4" s="1"/>
  <c r="M48" i="1"/>
  <c r="L48" i="4" s="1"/>
  <c r="M46" i="1"/>
  <c r="L46" i="4" s="1"/>
  <c r="M42" i="1"/>
  <c r="M41" i="1"/>
  <c r="L41" i="4" s="1"/>
  <c r="L35" i="4"/>
  <c r="L34" i="4"/>
  <c r="M32" i="1"/>
  <c r="M31" i="1"/>
  <c r="L31" i="4" s="1"/>
  <c r="M30" i="1"/>
  <c r="L30" i="4" s="1"/>
  <c r="M29" i="1"/>
  <c r="L29" i="4" s="1"/>
  <c r="M28" i="1"/>
  <c r="M26" i="1"/>
  <c r="L26" i="4" s="1"/>
  <c r="M24" i="1"/>
  <c r="L24" i="4" s="1"/>
  <c r="M23" i="1"/>
  <c r="L23" i="4" s="1"/>
  <c r="H222" i="2"/>
  <c r="F222" i="2"/>
  <c r="C126" i="2"/>
  <c r="H71" i="2"/>
  <c r="F71" i="2"/>
  <c r="D71" i="2"/>
  <c r="C71" i="2"/>
  <c r="C62" i="2"/>
  <c r="C55" i="2"/>
  <c r="C43" i="2"/>
  <c r="J70" i="2"/>
  <c r="E70" i="2"/>
  <c r="G70" i="2" s="1"/>
  <c r="I70" i="2" s="1"/>
  <c r="J66" i="2"/>
  <c r="G66" i="2"/>
  <c r="I66" i="2" s="1"/>
  <c r="J54" i="2"/>
  <c r="E54" i="2"/>
  <c r="G54" i="2" s="1"/>
  <c r="I54" i="2" s="1"/>
  <c r="J52" i="2"/>
  <c r="E52" i="2"/>
  <c r="G52" i="2" s="1"/>
  <c r="I52" i="2" s="1"/>
  <c r="J49" i="2"/>
  <c r="E49" i="2"/>
  <c r="G49" i="2" s="1"/>
  <c r="I49" i="2" s="1"/>
  <c r="J26" i="2"/>
  <c r="E26" i="2"/>
  <c r="G26" i="2" s="1"/>
  <c r="I26" i="2" s="1"/>
  <c r="J24" i="2"/>
  <c r="E24" i="2"/>
  <c r="G24" i="2" s="1"/>
  <c r="I24" i="2" s="1"/>
  <c r="H285" i="4"/>
  <c r="E285" i="4"/>
  <c r="G285" i="4" s="1"/>
  <c r="H283" i="4"/>
  <c r="E283" i="4"/>
  <c r="G283" i="4" s="1"/>
  <c r="H282" i="4"/>
  <c r="E282" i="4"/>
  <c r="G282" i="4" s="1"/>
  <c r="H281" i="4"/>
  <c r="E281" i="4"/>
  <c r="G281" i="4" s="1"/>
  <c r="H280" i="4"/>
  <c r="E280" i="4"/>
  <c r="G280" i="4" s="1"/>
  <c r="E272" i="4"/>
  <c r="G272" i="4" s="1"/>
  <c r="E269" i="4"/>
  <c r="G269" i="4" s="1"/>
  <c r="E268" i="4"/>
  <c r="G268" i="4" s="1"/>
  <c r="E266" i="4"/>
  <c r="E262" i="4"/>
  <c r="G262" i="4" s="1"/>
  <c r="E261" i="4"/>
  <c r="G261" i="4" s="1"/>
  <c r="E260" i="4"/>
  <c r="G260" i="4" s="1"/>
  <c r="E259" i="4"/>
  <c r="G259" i="4" s="1"/>
  <c r="E258" i="4"/>
  <c r="G258" i="4" s="1"/>
  <c r="E257" i="4"/>
  <c r="G257" i="4" s="1"/>
  <c r="E256" i="4"/>
  <c r="G256" i="4" s="1"/>
  <c r="E255" i="4"/>
  <c r="G255" i="4" s="1"/>
  <c r="E254" i="4"/>
  <c r="G254" i="4" s="1"/>
  <c r="E253" i="4"/>
  <c r="G253" i="4" s="1"/>
  <c r="E252" i="4"/>
  <c r="G252" i="4" s="1"/>
  <c r="E248" i="4"/>
  <c r="G248" i="4" s="1"/>
  <c r="E244" i="4"/>
  <c r="E240" i="4"/>
  <c r="E239" i="4"/>
  <c r="G239" i="4" s="1"/>
  <c r="E235" i="4"/>
  <c r="G235" i="4" s="1"/>
  <c r="E233" i="4"/>
  <c r="G233" i="4" s="1"/>
  <c r="H231" i="4"/>
  <c r="E231" i="4"/>
  <c r="G231" i="4" s="1"/>
  <c r="H229" i="4"/>
  <c r="E229" i="4"/>
  <c r="G229" i="4" s="1"/>
  <c r="H228" i="4"/>
  <c r="E228" i="4"/>
  <c r="G228" i="4" s="1"/>
  <c r="H226" i="4"/>
  <c r="E226" i="4"/>
  <c r="G226" i="4" s="1"/>
  <c r="E222" i="4"/>
  <c r="E205" i="4"/>
  <c r="E204" i="4"/>
  <c r="E203" i="4"/>
  <c r="E202" i="4"/>
  <c r="E200" i="4"/>
  <c r="E199" i="4"/>
  <c r="E198" i="4"/>
  <c r="E194" i="4"/>
  <c r="E187" i="4"/>
  <c r="E186" i="4"/>
  <c r="E184" i="4"/>
  <c r="E183" i="4"/>
  <c r="E182" i="4"/>
  <c r="E181" i="4"/>
  <c r="E180" i="4"/>
  <c r="E176" i="4"/>
  <c r="E140" i="4"/>
  <c r="E139" i="4"/>
  <c r="E138" i="4"/>
  <c r="E137" i="4"/>
  <c r="E136" i="4"/>
  <c r="E133" i="4"/>
  <c r="E132" i="4"/>
  <c r="E131" i="4"/>
  <c r="E130" i="4"/>
  <c r="E129" i="4"/>
  <c r="E125" i="4"/>
  <c r="E124" i="4"/>
  <c r="E123" i="4"/>
  <c r="E121" i="4"/>
  <c r="E120" i="4"/>
  <c r="E119" i="4"/>
  <c r="E115" i="4"/>
  <c r="E113" i="4"/>
  <c r="E112" i="4"/>
  <c r="E110" i="4"/>
  <c r="E108" i="4"/>
  <c r="E107" i="4"/>
  <c r="E106" i="4"/>
  <c r="E105" i="4"/>
  <c r="E104" i="4"/>
  <c r="E103" i="4"/>
  <c r="E102" i="4"/>
  <c r="H98" i="4"/>
  <c r="E98" i="4"/>
  <c r="E93" i="4"/>
  <c r="E87" i="4"/>
  <c r="G83" i="4"/>
  <c r="E79" i="4"/>
  <c r="H74" i="4"/>
  <c r="H76" i="4" s="1"/>
  <c r="E74" i="4"/>
  <c r="H70" i="4"/>
  <c r="E70" i="4"/>
  <c r="G69" i="4"/>
  <c r="G68" i="4"/>
  <c r="G67" i="4"/>
  <c r="H66" i="4"/>
  <c r="G66" i="4"/>
  <c r="G65" i="4"/>
  <c r="H61" i="4"/>
  <c r="E61" i="4"/>
  <c r="H60" i="4"/>
  <c r="E60" i="4"/>
  <c r="H59" i="4"/>
  <c r="E59" i="4"/>
  <c r="H58" i="4"/>
  <c r="E58" i="4"/>
  <c r="G54" i="4"/>
  <c r="G53" i="4"/>
  <c r="G52" i="4"/>
  <c r="G51" i="4"/>
  <c r="G49" i="4"/>
  <c r="G48" i="4"/>
  <c r="H46" i="4"/>
  <c r="G46" i="4"/>
  <c r="D273" i="4"/>
  <c r="D263" i="4"/>
  <c r="D177" i="4"/>
  <c r="D126" i="4"/>
  <c r="D99" i="4"/>
  <c r="D95" i="4"/>
  <c r="D84" i="4"/>
  <c r="D80" i="4"/>
  <c r="D71" i="4"/>
  <c r="D62" i="4"/>
  <c r="D55" i="4"/>
  <c r="H42" i="4"/>
  <c r="G42" i="4"/>
  <c r="H41" i="4"/>
  <c r="G41" i="4"/>
  <c r="H39" i="4"/>
  <c r="G39" i="4"/>
  <c r="G35" i="4"/>
  <c r="H34" i="4"/>
  <c r="G34" i="4"/>
  <c r="G32" i="4"/>
  <c r="G31" i="4"/>
  <c r="G30" i="4"/>
  <c r="E29" i="4"/>
  <c r="G28" i="4"/>
  <c r="H26" i="4"/>
  <c r="G26" i="4"/>
  <c r="G25" i="4"/>
  <c r="H24" i="4"/>
  <c r="G24" i="4"/>
  <c r="C286" i="4"/>
  <c r="C273" i="4"/>
  <c r="C263" i="4"/>
  <c r="C249" i="4"/>
  <c r="C245" i="4"/>
  <c r="C241" i="4"/>
  <c r="C236" i="4"/>
  <c r="C177" i="4"/>
  <c r="C126" i="4"/>
  <c r="C99" i="4"/>
  <c r="C95" i="4"/>
  <c r="C84" i="4"/>
  <c r="C80" i="4"/>
  <c r="C71" i="4"/>
  <c r="C62" i="4"/>
  <c r="C55" i="4"/>
  <c r="C43" i="4"/>
  <c r="A23" i="4"/>
  <c r="A24" i="4" s="1"/>
  <c r="A25" i="4" s="1"/>
  <c r="A26" i="4" s="1"/>
  <c r="A28" i="4" s="1"/>
  <c r="A29" i="4" s="1"/>
  <c r="A30" i="4" s="1"/>
  <c r="A31" i="4" s="1"/>
  <c r="A32" i="4" s="1"/>
  <c r="A33" i="4" s="1"/>
  <c r="A34" i="4" s="1"/>
  <c r="A35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90" i="4" s="1"/>
  <c r="A192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20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E243" i="1"/>
  <c r="H268" i="4"/>
  <c r="H261" i="4"/>
  <c r="H259" i="4"/>
  <c r="H235" i="4"/>
  <c r="H233" i="4"/>
  <c r="H200" i="4"/>
  <c r="H199" i="4"/>
  <c r="H187" i="4"/>
  <c r="H186" i="4"/>
  <c r="H182" i="4"/>
  <c r="H140" i="4"/>
  <c r="H139" i="4"/>
  <c r="H138" i="4"/>
  <c r="H132" i="4"/>
  <c r="H131" i="4"/>
  <c r="H115" i="4"/>
  <c r="H112" i="4"/>
  <c r="H32" i="4"/>
  <c r="H31" i="4"/>
  <c r="J269" i="2"/>
  <c r="J262" i="2"/>
  <c r="J260" i="2"/>
  <c r="E260" i="2"/>
  <c r="C261" i="1" s="1"/>
  <c r="J236" i="2"/>
  <c r="E236" i="2"/>
  <c r="J233" i="2"/>
  <c r="E233" i="2"/>
  <c r="J221" i="2"/>
  <c r="E221" i="2"/>
  <c r="G221" i="2" s="1"/>
  <c r="I221" i="2" s="1"/>
  <c r="J199" i="2"/>
  <c r="E199" i="2"/>
  <c r="G199" i="2" s="1"/>
  <c r="J198" i="2"/>
  <c r="E198" i="2"/>
  <c r="J187" i="2"/>
  <c r="E187" i="2"/>
  <c r="J186" i="2"/>
  <c r="E186" i="2"/>
  <c r="F186" i="1"/>
  <c r="H186" i="1" s="1"/>
  <c r="J186" i="1" s="1"/>
  <c r="J182" i="2"/>
  <c r="E182" i="2"/>
  <c r="J140" i="2"/>
  <c r="E140" i="2"/>
  <c r="J139" i="2"/>
  <c r="E139" i="2"/>
  <c r="J138" i="2"/>
  <c r="E138" i="2"/>
  <c r="J132" i="2"/>
  <c r="E132" i="2"/>
  <c r="C132" i="1" s="1"/>
  <c r="J131" i="2"/>
  <c r="E131" i="2"/>
  <c r="G131" i="2" s="1"/>
  <c r="I131" i="2" s="1"/>
  <c r="J115" i="2"/>
  <c r="E115" i="2"/>
  <c r="C115" i="1" s="1"/>
  <c r="J112" i="2"/>
  <c r="E112" i="2"/>
  <c r="J106" i="2"/>
  <c r="E106" i="2"/>
  <c r="J104" i="2"/>
  <c r="E104" i="2"/>
  <c r="J68" i="2"/>
  <c r="C68" i="1"/>
  <c r="J67" i="2"/>
  <c r="G67" i="2"/>
  <c r="J41" i="2"/>
  <c r="E41" i="2"/>
  <c r="C41" i="1" s="1"/>
  <c r="J32" i="2"/>
  <c r="E32" i="2"/>
  <c r="J31" i="2"/>
  <c r="E31" i="2"/>
  <c r="H242" i="2"/>
  <c r="F242" i="2"/>
  <c r="D242" i="2"/>
  <c r="C242" i="2"/>
  <c r="D320" i="4"/>
  <c r="C320" i="4"/>
  <c r="D319" i="4"/>
  <c r="C319" i="4"/>
  <c r="D318" i="4"/>
  <c r="C318" i="4"/>
  <c r="D155" i="5"/>
  <c r="C155" i="5"/>
  <c r="D154" i="5"/>
  <c r="C154" i="5"/>
  <c r="D153" i="5"/>
  <c r="C153" i="5"/>
  <c r="D313" i="1"/>
  <c r="C313" i="1"/>
  <c r="D312" i="1"/>
  <c r="C312" i="1"/>
  <c r="D311" i="1"/>
  <c r="C311" i="1"/>
  <c r="J291" i="2"/>
  <c r="J273" i="2"/>
  <c r="J270" i="2"/>
  <c r="J267" i="2"/>
  <c r="J263" i="2"/>
  <c r="J261" i="2"/>
  <c r="J259" i="2"/>
  <c r="J258" i="2"/>
  <c r="J257" i="2"/>
  <c r="J256" i="2"/>
  <c r="J255" i="2"/>
  <c r="J254" i="2"/>
  <c r="J253" i="2"/>
  <c r="J249" i="2"/>
  <c r="J245" i="2"/>
  <c r="J241" i="2"/>
  <c r="J240" i="2"/>
  <c r="J231" i="2"/>
  <c r="J229" i="2"/>
  <c r="J228" i="2"/>
  <c r="J226" i="2"/>
  <c r="J204" i="2"/>
  <c r="J203" i="2"/>
  <c r="J202" i="2"/>
  <c r="J201" i="2"/>
  <c r="J197" i="2"/>
  <c r="J193" i="2"/>
  <c r="J190" i="2"/>
  <c r="J184" i="2"/>
  <c r="J183" i="2"/>
  <c r="J181" i="2"/>
  <c r="J180" i="2"/>
  <c r="J176" i="2"/>
  <c r="J137" i="2"/>
  <c r="J136" i="2"/>
  <c r="J133" i="2"/>
  <c r="J130" i="2"/>
  <c r="J129" i="2"/>
  <c r="J125" i="2"/>
  <c r="J124" i="2"/>
  <c r="J123" i="2"/>
  <c r="J121" i="2"/>
  <c r="J120" i="2"/>
  <c r="J119" i="2"/>
  <c r="J113" i="2"/>
  <c r="J110" i="2"/>
  <c r="J108" i="2"/>
  <c r="J107" i="2"/>
  <c r="J105" i="2"/>
  <c r="J103" i="2"/>
  <c r="J102" i="2"/>
  <c r="J98" i="2"/>
  <c r="J93" i="2"/>
  <c r="J87" i="2"/>
  <c r="J83" i="2"/>
  <c r="J79" i="2"/>
  <c r="J74" i="2"/>
  <c r="J69" i="2"/>
  <c r="J65" i="2"/>
  <c r="J61" i="2"/>
  <c r="J60" i="2"/>
  <c r="J59" i="2"/>
  <c r="J58" i="2"/>
  <c r="J53" i="2"/>
  <c r="J51" i="2"/>
  <c r="J48" i="2"/>
  <c r="J46" i="2"/>
  <c r="J42" i="2"/>
  <c r="J39" i="2"/>
  <c r="J35" i="2"/>
  <c r="J34" i="2"/>
  <c r="J30" i="2"/>
  <c r="J29" i="2"/>
  <c r="J28" i="2"/>
  <c r="J25" i="2"/>
  <c r="J23" i="2"/>
  <c r="C13" i="4"/>
  <c r="I13" i="4" s="1"/>
  <c r="A5" i="4"/>
  <c r="C10" i="5"/>
  <c r="B3" i="5"/>
  <c r="C13" i="1"/>
  <c r="J13" i="1" s="1"/>
  <c r="A5" i="1"/>
  <c r="C13" i="2"/>
  <c r="I13" i="2" s="1"/>
  <c r="I13" i="6"/>
  <c r="A5" i="2"/>
  <c r="D308" i="4"/>
  <c r="D301" i="1"/>
  <c r="D312" i="4"/>
  <c r="H266" i="4"/>
  <c r="H184" i="4"/>
  <c r="H35" i="4"/>
  <c r="D305" i="1"/>
  <c r="D316" i="4"/>
  <c r="C315" i="4"/>
  <c r="C314" i="4"/>
  <c r="C313" i="4"/>
  <c r="C312" i="4"/>
  <c r="C311" i="4"/>
  <c r="C310" i="4"/>
  <c r="C309" i="4"/>
  <c r="C308" i="4"/>
  <c r="C307" i="4"/>
  <c r="C306" i="4"/>
  <c r="C316" i="4"/>
  <c r="C151" i="5"/>
  <c r="C150" i="5"/>
  <c r="C149" i="5"/>
  <c r="C148" i="5"/>
  <c r="C147" i="5"/>
  <c r="C146" i="5"/>
  <c r="C145" i="5"/>
  <c r="C144" i="5"/>
  <c r="C143" i="5"/>
  <c r="C142" i="5"/>
  <c r="C152" i="5"/>
  <c r="C308" i="1"/>
  <c r="C307" i="1"/>
  <c r="C306" i="1"/>
  <c r="C305" i="1"/>
  <c r="C304" i="1"/>
  <c r="C303" i="1"/>
  <c r="C302" i="1"/>
  <c r="C301" i="1"/>
  <c r="C300" i="1"/>
  <c r="C299" i="1"/>
  <c r="C309" i="1"/>
  <c r="D309" i="1"/>
  <c r="K14" i="6"/>
  <c r="K17" i="6"/>
  <c r="D142" i="5"/>
  <c r="J98" i="5" s="1"/>
  <c r="C19" i="5"/>
  <c r="D19" i="5"/>
  <c r="F19" i="5"/>
  <c r="H19" i="5"/>
  <c r="D144" i="5"/>
  <c r="D307" i="4"/>
  <c r="H202" i="4"/>
  <c r="H203" i="4"/>
  <c r="D314" i="4"/>
  <c r="D306" i="4"/>
  <c r="D313" i="4"/>
  <c r="H180" i="4"/>
  <c r="H181" i="4"/>
  <c r="H183" i="4"/>
  <c r="H198" i="4"/>
  <c r="H204" i="4"/>
  <c r="H205" i="4"/>
  <c r="H25" i="4"/>
  <c r="H28" i="4"/>
  <c r="H29" i="4"/>
  <c r="H30" i="4"/>
  <c r="D309" i="4"/>
  <c r="D310" i="4"/>
  <c r="H48" i="4"/>
  <c r="D299" i="1"/>
  <c r="H51" i="4"/>
  <c r="H53" i="4"/>
  <c r="H108" i="4"/>
  <c r="H110" i="4"/>
  <c r="D315" i="4"/>
  <c r="H113" i="4"/>
  <c r="H119" i="4"/>
  <c r="H120" i="4"/>
  <c r="H121" i="4"/>
  <c r="H123" i="4"/>
  <c r="H124" i="4"/>
  <c r="H125" i="4"/>
  <c r="H130" i="4"/>
  <c r="H133" i="4"/>
  <c r="H136" i="4"/>
  <c r="H137" i="4"/>
  <c r="I176" i="1"/>
  <c r="H176" i="4" s="1"/>
  <c r="H177" i="4" s="1"/>
  <c r="H239" i="4"/>
  <c r="D311" i="4"/>
  <c r="H248" i="4"/>
  <c r="H249" i="4" s="1"/>
  <c r="H253" i="4"/>
  <c r="H254" i="4"/>
  <c r="H255" i="4"/>
  <c r="H256" i="4"/>
  <c r="H257" i="4"/>
  <c r="H258" i="4"/>
  <c r="H260" i="4"/>
  <c r="H262" i="4"/>
  <c r="H269" i="4"/>
  <c r="D300" i="1"/>
  <c r="D307" i="1"/>
  <c r="D306" i="1"/>
  <c r="D302" i="1"/>
  <c r="D303" i="1"/>
  <c r="F54" i="1"/>
  <c r="H54" i="1" s="1"/>
  <c r="J54" i="1" s="1"/>
  <c r="H54" i="4"/>
  <c r="D308" i="1"/>
  <c r="D304" i="1"/>
  <c r="D152" i="5"/>
  <c r="H190" i="4"/>
  <c r="E14" i="2"/>
  <c r="C14" i="6"/>
  <c r="D14" i="6"/>
  <c r="F14" i="6"/>
  <c r="H14" i="6"/>
  <c r="C17" i="6"/>
  <c r="F17" i="6"/>
  <c r="H17" i="6"/>
  <c r="H43" i="2"/>
  <c r="E17" i="5"/>
  <c r="G17" i="5" s="1"/>
  <c r="I17" i="5" s="1"/>
  <c r="E18" i="5"/>
  <c r="G18" i="5" s="1"/>
  <c r="I18" i="5" s="1"/>
  <c r="E21" i="5"/>
  <c r="G21" i="5" s="1"/>
  <c r="I21" i="5" s="1"/>
  <c r="E20" i="5"/>
  <c r="G20" i="5" s="1"/>
  <c r="I20" i="5" s="1"/>
  <c r="E32" i="5"/>
  <c r="G32" i="5" s="1"/>
  <c r="I32" i="5" s="1"/>
  <c r="D29" i="5"/>
  <c r="E29" i="5" s="1"/>
  <c r="E30" i="5"/>
  <c r="E43" i="5"/>
  <c r="E44" i="5"/>
  <c r="G44" i="5" s="1"/>
  <c r="I44" i="5" s="1"/>
  <c r="K42" i="5"/>
  <c r="N42" i="5" s="1"/>
  <c r="E46" i="5"/>
  <c r="G46" i="5" s="1"/>
  <c r="I46" i="5" s="1"/>
  <c r="E47" i="5"/>
  <c r="G47" i="5" s="1"/>
  <c r="I47" i="5" s="1"/>
  <c r="D55" i="5"/>
  <c r="E55" i="5" s="1"/>
  <c r="E56" i="5"/>
  <c r="G56" i="5" s="1"/>
  <c r="I56" i="5" s="1"/>
  <c r="E57" i="5"/>
  <c r="E58" i="5"/>
  <c r="G58" i="5" s="1"/>
  <c r="I58" i="5" s="1"/>
  <c r="E69" i="5"/>
  <c r="G69" i="5" s="1"/>
  <c r="I69" i="5" s="1"/>
  <c r="E70" i="5"/>
  <c r="F70" i="5"/>
  <c r="E71" i="5"/>
  <c r="K68" i="5"/>
  <c r="N68" i="5" s="1"/>
  <c r="E73" i="5"/>
  <c r="G73" i="5" s="1"/>
  <c r="I73" i="5" s="1"/>
  <c r="D82" i="5"/>
  <c r="E82" i="5" s="1"/>
  <c r="G82" i="5" s="1"/>
  <c r="I82" i="5" s="1"/>
  <c r="E83" i="5"/>
  <c r="G83" i="5" s="1"/>
  <c r="I83" i="5" s="1"/>
  <c r="D85" i="5"/>
  <c r="E85" i="5" s="1"/>
  <c r="E95" i="5"/>
  <c r="G95" i="5" s="1"/>
  <c r="I95" i="5" s="1"/>
  <c r="C96" i="5"/>
  <c r="D96" i="5"/>
  <c r="F96" i="5"/>
  <c r="H96" i="5"/>
  <c r="K94" i="5"/>
  <c r="N94" i="5" s="1"/>
  <c r="E98" i="5"/>
  <c r="G98" i="5" s="1"/>
  <c r="I98" i="5" s="1"/>
  <c r="E99" i="5"/>
  <c r="G99" i="5" s="1"/>
  <c r="I99" i="5" s="1"/>
  <c r="E108" i="5"/>
  <c r="G108" i="5" s="1"/>
  <c r="I108" i="5" s="1"/>
  <c r="E109" i="5"/>
  <c r="E110" i="5"/>
  <c r="G110" i="5" s="1"/>
  <c r="I110" i="5" s="1"/>
  <c r="C42" i="5"/>
  <c r="C68" i="5" s="1"/>
  <c r="E68" i="5" s="1"/>
  <c r="C94" i="5"/>
  <c r="D27" i="5"/>
  <c r="D42" i="5"/>
  <c r="D53" i="5"/>
  <c r="D94" i="5"/>
  <c r="D101" i="5"/>
  <c r="D105" i="5"/>
  <c r="D107" i="5" s="1"/>
  <c r="D79" i="5"/>
  <c r="F27" i="5"/>
  <c r="F42" i="5"/>
  <c r="F53" i="5"/>
  <c r="F68" i="5"/>
  <c r="F79" i="5"/>
  <c r="F94" i="5"/>
  <c r="F105" i="5"/>
  <c r="F107" i="5" s="1"/>
  <c r="F135" i="5" s="1"/>
  <c r="H42" i="5"/>
  <c r="E16" i="5"/>
  <c r="G16" i="5" s="1"/>
  <c r="I16" i="5" s="1"/>
  <c r="H68" i="5" s="1"/>
  <c r="H94" i="5"/>
  <c r="E71" i="1"/>
  <c r="D151" i="5"/>
  <c r="D150" i="5"/>
  <c r="D149" i="5"/>
  <c r="D148" i="5"/>
  <c r="D147" i="5"/>
  <c r="D146" i="5"/>
  <c r="D145" i="5"/>
  <c r="D143" i="5"/>
  <c r="G23" i="4"/>
  <c r="H52" i="4"/>
  <c r="F52" i="1"/>
  <c r="H49" i="4"/>
  <c r="F49" i="1"/>
  <c r="H49" i="1" s="1"/>
  <c r="J49" i="1" s="1"/>
  <c r="F66" i="1"/>
  <c r="F70" i="1"/>
  <c r="A23" i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90" i="1" s="1"/>
  <c r="A192" i="1" s="1"/>
  <c r="A193" i="1" s="1"/>
  <c r="A194" i="1" s="1"/>
  <c r="A195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20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F287" i="1"/>
  <c r="H287" i="1" s="1"/>
  <c r="J287" i="1" s="1"/>
  <c r="F285" i="1"/>
  <c r="H285" i="1" s="1"/>
  <c r="J285" i="1" s="1"/>
  <c r="F284" i="1"/>
  <c r="H284" i="1" s="1"/>
  <c r="J284" i="1" s="1"/>
  <c r="F283" i="1"/>
  <c r="H283" i="1" s="1"/>
  <c r="J283" i="1" s="1"/>
  <c r="F282" i="1"/>
  <c r="H282" i="1" s="1"/>
  <c r="J282" i="1" s="1"/>
  <c r="F232" i="1"/>
  <c r="H232" i="1" s="1"/>
  <c r="J232" i="1" s="1"/>
  <c r="F230" i="1"/>
  <c r="H230" i="1" s="1"/>
  <c r="J230" i="1" s="1"/>
  <c r="F229" i="1"/>
  <c r="H229" i="1" s="1"/>
  <c r="J229" i="1" s="1"/>
  <c r="F227" i="1"/>
  <c r="H227" i="1" s="1"/>
  <c r="J227" i="1" s="1"/>
  <c r="F203" i="1"/>
  <c r="H203" i="1" s="1"/>
  <c r="F202" i="1"/>
  <c r="H202" i="1" s="1"/>
  <c r="F74" i="1"/>
  <c r="F34" i="1"/>
  <c r="H34" i="1" s="1"/>
  <c r="J34" i="1" s="1"/>
  <c r="F26" i="1"/>
  <c r="F24" i="1"/>
  <c r="H24" i="1" s="1"/>
  <c r="J24" i="1" s="1"/>
  <c r="I288" i="1"/>
  <c r="F36" i="6"/>
  <c r="D286" i="4"/>
  <c r="D36" i="6" s="1"/>
  <c r="D43" i="4"/>
  <c r="I251" i="1"/>
  <c r="I62" i="1"/>
  <c r="I99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D288" i="1"/>
  <c r="C288" i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90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19" i="2" s="1"/>
  <c r="A221" i="2" s="1"/>
  <c r="A222" i="2" s="1"/>
  <c r="A223" i="2" s="1"/>
  <c r="A224" i="2" s="1"/>
  <c r="A226" i="2" s="1"/>
  <c r="A227" i="2" s="1"/>
  <c r="A228" i="2" s="1"/>
  <c r="A229" i="2" s="1"/>
  <c r="A230" i="2" s="1"/>
  <c r="A231" i="2" s="1"/>
  <c r="A232" i="2" s="1"/>
  <c r="A233" i="2" s="1"/>
  <c r="A234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7" i="2" s="1"/>
  <c r="A278" i="2" s="1"/>
  <c r="A279" i="2" s="1"/>
  <c r="A280" i="2" s="1"/>
  <c r="A281" i="2" s="1"/>
  <c r="A282" i="2" s="1"/>
  <c r="A283" i="2" s="1"/>
  <c r="A284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C80" i="2"/>
  <c r="C84" i="2"/>
  <c r="C95" i="2"/>
  <c r="C99" i="2"/>
  <c r="C177" i="2"/>
  <c r="C246" i="2"/>
  <c r="C250" i="2"/>
  <c r="C264" i="2"/>
  <c r="C274" i="2"/>
  <c r="D193" i="2"/>
  <c r="E193" i="2" s="1"/>
  <c r="G193" i="2" s="1"/>
  <c r="I193" i="2" s="1"/>
  <c r="D119" i="2"/>
  <c r="E23" i="2"/>
  <c r="D43" i="2"/>
  <c r="D62" i="2"/>
  <c r="D80" i="2"/>
  <c r="D84" i="2"/>
  <c r="D95" i="2"/>
  <c r="D177" i="2"/>
  <c r="D246" i="2"/>
  <c r="D250" i="2"/>
  <c r="F43" i="2"/>
  <c r="F55" i="2"/>
  <c r="F62" i="2"/>
  <c r="F80" i="2"/>
  <c r="F84" i="2"/>
  <c r="F95" i="2"/>
  <c r="F99" i="2"/>
  <c r="F126" i="2"/>
  <c r="F177" i="2"/>
  <c r="F246" i="2"/>
  <c r="E249" i="2"/>
  <c r="E250" i="2" s="1"/>
  <c r="F250" i="2"/>
  <c r="F264" i="2"/>
  <c r="F274" i="2"/>
  <c r="D15" i="6"/>
  <c r="D17" i="2"/>
  <c r="E120" i="2"/>
  <c r="E121" i="2"/>
  <c r="C121" i="1" s="1"/>
  <c r="E124" i="2"/>
  <c r="E125" i="2"/>
  <c r="E197" i="2"/>
  <c r="H55" i="2"/>
  <c r="H62" i="2"/>
  <c r="H80" i="2"/>
  <c r="H84" i="2"/>
  <c r="H95" i="2"/>
  <c r="H99" i="2"/>
  <c r="H177" i="2"/>
  <c r="H246" i="2"/>
  <c r="H250" i="2"/>
  <c r="H264" i="2"/>
  <c r="H274" i="2"/>
  <c r="E291" i="2"/>
  <c r="G291" i="2" s="1"/>
  <c r="E15" i="2"/>
  <c r="G15" i="2" s="1"/>
  <c r="E25" i="2"/>
  <c r="E28" i="2"/>
  <c r="C28" i="1" s="1"/>
  <c r="E29" i="2"/>
  <c r="E34" i="2"/>
  <c r="G27" i="5"/>
  <c r="E27" i="5"/>
  <c r="E53" i="5"/>
  <c r="E79" i="5"/>
  <c r="E105" i="5"/>
  <c r="E69" i="2"/>
  <c r="G69" i="2" s="1"/>
  <c r="I69" i="2" s="1"/>
  <c r="E176" i="2"/>
  <c r="G176" i="2" s="1"/>
  <c r="I176" i="2" s="1"/>
  <c r="E241" i="2"/>
  <c r="E273" i="2"/>
  <c r="C274" i="1" s="1"/>
  <c r="E270" i="2"/>
  <c r="E267" i="2"/>
  <c r="G267" i="2" s="1"/>
  <c r="E263" i="2"/>
  <c r="E259" i="2"/>
  <c r="C260" i="1" s="1"/>
  <c r="E258" i="2"/>
  <c r="C259" i="1" s="1"/>
  <c r="E257" i="2"/>
  <c r="C258" i="1" s="1"/>
  <c r="E256" i="2"/>
  <c r="E255" i="2"/>
  <c r="E254" i="2"/>
  <c r="C255" i="1" s="1"/>
  <c r="F255" i="1" s="1"/>
  <c r="H255" i="1" s="1"/>
  <c r="J255" i="1" s="1"/>
  <c r="E245" i="2"/>
  <c r="E240" i="2"/>
  <c r="G240" i="2" s="1"/>
  <c r="E228" i="2"/>
  <c r="E226" i="2"/>
  <c r="G226" i="2" s="1"/>
  <c r="E204" i="2"/>
  <c r="G204" i="2" s="1"/>
  <c r="I204" i="2" s="1"/>
  <c r="E203" i="2"/>
  <c r="E202" i="2"/>
  <c r="C203" i="1" s="1"/>
  <c r="E201" i="2"/>
  <c r="E190" i="2"/>
  <c r="G190" i="2" s="1"/>
  <c r="I190" i="2" s="1"/>
  <c r="E184" i="2"/>
  <c r="E183" i="2"/>
  <c r="E181" i="2"/>
  <c r="E180" i="2"/>
  <c r="G180" i="2" s="1"/>
  <c r="I180" i="2" s="1"/>
  <c r="E136" i="2"/>
  <c r="E133" i="2"/>
  <c r="E130" i="2"/>
  <c r="G130" i="2" s="1"/>
  <c r="E123" i="2"/>
  <c r="E113" i="2"/>
  <c r="C113" i="1" s="1"/>
  <c r="E110" i="2"/>
  <c r="E108" i="2"/>
  <c r="E107" i="2"/>
  <c r="E105" i="2"/>
  <c r="C105" i="1" s="1"/>
  <c r="E103" i="2"/>
  <c r="E102" i="2"/>
  <c r="E93" i="2"/>
  <c r="G83" i="2"/>
  <c r="I83" i="2" s="1"/>
  <c r="I84" i="2" s="1"/>
  <c r="E74" i="2"/>
  <c r="E65" i="2"/>
  <c r="G65" i="2" s="1"/>
  <c r="I65" i="2" s="1"/>
  <c r="E61" i="2"/>
  <c r="E60" i="2"/>
  <c r="E59" i="2"/>
  <c r="E58" i="2"/>
  <c r="E53" i="2"/>
  <c r="C53" i="1" s="1"/>
  <c r="E51" i="2"/>
  <c r="F51" i="1"/>
  <c r="H51" i="1" s="1"/>
  <c r="E48" i="2"/>
  <c r="E42" i="2"/>
  <c r="E39" i="2"/>
  <c r="E35" i="2"/>
  <c r="C35" i="1" s="1"/>
  <c r="E30" i="2"/>
  <c r="E80" i="1"/>
  <c r="E84" i="1"/>
  <c r="E95" i="1"/>
  <c r="E177" i="1"/>
  <c r="E247" i="1"/>
  <c r="E43" i="1"/>
  <c r="E55" i="1"/>
  <c r="E62" i="1"/>
  <c r="E99" i="1"/>
  <c r="E126" i="1"/>
  <c r="E251" i="1"/>
  <c r="E265" i="1"/>
  <c r="E275" i="1"/>
  <c r="E288" i="1"/>
  <c r="C14" i="5"/>
  <c r="C15" i="6"/>
  <c r="H126" i="2"/>
  <c r="F234" i="1"/>
  <c r="H234" i="1" s="1"/>
  <c r="J234" i="1" s="1"/>
  <c r="E81" i="5"/>
  <c r="G81" i="5" s="1"/>
  <c r="H81" i="5" s="1"/>
  <c r="G58" i="4" l="1"/>
  <c r="G60" i="4"/>
  <c r="G102" i="4"/>
  <c r="G112" i="4"/>
  <c r="G125" i="4"/>
  <c r="G132" i="4"/>
  <c r="G138" i="4"/>
  <c r="G184" i="4"/>
  <c r="G203" i="4"/>
  <c r="G103" i="4"/>
  <c r="G107" i="4"/>
  <c r="G121" i="4"/>
  <c r="G133" i="4"/>
  <c r="G181" i="4"/>
  <c r="G186" i="4"/>
  <c r="G204" i="4"/>
  <c r="J193" i="4"/>
  <c r="J88" i="4"/>
  <c r="J89" i="4"/>
  <c r="K89" i="4" s="1"/>
  <c r="N89" i="4" s="1"/>
  <c r="J109" i="4"/>
  <c r="K109" i="4" s="1"/>
  <c r="N109" i="4" s="1"/>
  <c r="J189" i="4"/>
  <c r="K189" i="4" s="1"/>
  <c r="N189" i="4" s="1"/>
  <c r="J188" i="4"/>
  <c r="K188" i="4" s="1"/>
  <c r="N188" i="4" s="1"/>
  <c r="J191" i="4"/>
  <c r="K191" i="4" s="1"/>
  <c r="N191" i="4" s="1"/>
  <c r="G59" i="4"/>
  <c r="G61" i="4"/>
  <c r="G70" i="4"/>
  <c r="G79" i="4"/>
  <c r="G80" i="4" s="1"/>
  <c r="G104" i="4"/>
  <c r="G108" i="4"/>
  <c r="G115" i="4"/>
  <c r="G123" i="4"/>
  <c r="G130" i="4"/>
  <c r="G136" i="4"/>
  <c r="G140" i="4"/>
  <c r="G182" i="4"/>
  <c r="G187" i="4"/>
  <c r="G200" i="4"/>
  <c r="G205" i="4"/>
  <c r="G29" i="4"/>
  <c r="G106" i="4"/>
  <c r="G120" i="4"/>
  <c r="G198" i="4"/>
  <c r="G93" i="4"/>
  <c r="G113" i="4"/>
  <c r="G139" i="4"/>
  <c r="G199" i="4"/>
  <c r="G105" i="4"/>
  <c r="G110" i="4"/>
  <c r="G126" i="4" s="1"/>
  <c r="G119" i="4"/>
  <c r="G124" i="4"/>
  <c r="I124" i="4" s="1"/>
  <c r="G131" i="4"/>
  <c r="G137" i="4"/>
  <c r="I137" i="4" s="1"/>
  <c r="G176" i="4"/>
  <c r="G183" i="4"/>
  <c r="I183" i="4" s="1"/>
  <c r="G202" i="4"/>
  <c r="G222" i="4"/>
  <c r="G118" i="4"/>
  <c r="G192" i="4"/>
  <c r="I192" i="4" s="1"/>
  <c r="D35" i="1"/>
  <c r="F35" i="1" s="1"/>
  <c r="H35" i="1" s="1"/>
  <c r="J35" i="1" s="1"/>
  <c r="D260" i="1"/>
  <c r="F260" i="1" s="1"/>
  <c r="H260" i="1" s="1"/>
  <c r="J260" i="1" s="1"/>
  <c r="D262" i="1"/>
  <c r="F262" i="1" s="1"/>
  <c r="H262" i="1" s="1"/>
  <c r="J262" i="1" s="1"/>
  <c r="D105" i="1"/>
  <c r="F105" i="1" s="1"/>
  <c r="H105" i="1" s="1"/>
  <c r="J105" i="1" s="1"/>
  <c r="D121" i="1"/>
  <c r="F121" i="1" s="1"/>
  <c r="H121" i="1" s="1"/>
  <c r="J121" i="1" s="1"/>
  <c r="K226" i="1"/>
  <c r="L226" i="1" s="1"/>
  <c r="K36" i="1"/>
  <c r="L36" i="1" s="1"/>
  <c r="O36" i="1" s="1"/>
  <c r="K88" i="1"/>
  <c r="L88" i="1" s="1"/>
  <c r="O88" i="1" s="1"/>
  <c r="K27" i="1"/>
  <c r="L27" i="1" s="1"/>
  <c r="O27" i="1" s="1"/>
  <c r="K109" i="1"/>
  <c r="L109" i="1" s="1"/>
  <c r="O109" i="1" s="1"/>
  <c r="K89" i="1"/>
  <c r="L89" i="1" s="1"/>
  <c r="O89" i="1" s="1"/>
  <c r="K221" i="1"/>
  <c r="L221" i="1" s="1"/>
  <c r="O221" i="1" s="1"/>
  <c r="K191" i="1"/>
  <c r="L191" i="1" s="1"/>
  <c r="O191" i="1" s="1"/>
  <c r="K189" i="1"/>
  <c r="L189" i="1" s="1"/>
  <c r="O189" i="1" s="1"/>
  <c r="K166" i="1"/>
  <c r="L166" i="1" s="1"/>
  <c r="O166" i="1" s="1"/>
  <c r="K236" i="1"/>
  <c r="L236" i="1" s="1"/>
  <c r="O236" i="1" s="1"/>
  <c r="K188" i="1"/>
  <c r="L188" i="1" s="1"/>
  <c r="O188" i="1" s="1"/>
  <c r="K169" i="1"/>
  <c r="L169" i="1" s="1"/>
  <c r="O169" i="1" s="1"/>
  <c r="K168" i="1"/>
  <c r="L168" i="1" s="1"/>
  <c r="O168" i="1" s="1"/>
  <c r="K165" i="1"/>
  <c r="L165" i="1" s="1"/>
  <c r="O165" i="1" s="1"/>
  <c r="K167" i="1"/>
  <c r="L167" i="1" s="1"/>
  <c r="O167" i="1" s="1"/>
  <c r="K170" i="1"/>
  <c r="L170" i="1" s="1"/>
  <c r="O170" i="1" s="1"/>
  <c r="D272" i="1"/>
  <c r="F272" i="1" s="1"/>
  <c r="H272" i="1" s="1"/>
  <c r="J272" i="1" s="1"/>
  <c r="D142" i="1"/>
  <c r="F142" i="1" s="1"/>
  <c r="H142" i="1" s="1"/>
  <c r="J142" i="1" s="1"/>
  <c r="D141" i="1"/>
  <c r="F141" i="1" s="1"/>
  <c r="H141" i="1" s="1"/>
  <c r="J141" i="1" s="1"/>
  <c r="D53" i="1"/>
  <c r="F53" i="1" s="1"/>
  <c r="H53" i="1" s="1"/>
  <c r="J53" i="1" s="1"/>
  <c r="D258" i="1"/>
  <c r="F258" i="1" s="1"/>
  <c r="H258" i="1" s="1"/>
  <c r="J258" i="1" s="1"/>
  <c r="D41" i="1"/>
  <c r="F41" i="1" s="1"/>
  <c r="H41" i="1" s="1"/>
  <c r="J41" i="1" s="1"/>
  <c r="D68" i="1"/>
  <c r="F68" i="1" s="1"/>
  <c r="H68" i="1" s="1"/>
  <c r="J68" i="1" s="1"/>
  <c r="D115" i="1"/>
  <c r="F115" i="1" s="1"/>
  <c r="H115" i="1" s="1"/>
  <c r="J115" i="1" s="1"/>
  <c r="D132" i="1"/>
  <c r="F132" i="1" s="1"/>
  <c r="H132" i="1" s="1"/>
  <c r="J132" i="1" s="1"/>
  <c r="D270" i="1"/>
  <c r="F270" i="1" s="1"/>
  <c r="H270" i="1" s="1"/>
  <c r="J270" i="1" s="1"/>
  <c r="D274" i="1"/>
  <c r="F274" i="1" s="1"/>
  <c r="H274" i="1" s="1"/>
  <c r="J274" i="1" s="1"/>
  <c r="D113" i="1"/>
  <c r="F113" i="1" s="1"/>
  <c r="H113" i="1" s="1"/>
  <c r="J113" i="1" s="1"/>
  <c r="D259" i="1"/>
  <c r="F259" i="1" s="1"/>
  <c r="H259" i="1" s="1"/>
  <c r="J259" i="1" s="1"/>
  <c r="D28" i="1"/>
  <c r="F28" i="1" s="1"/>
  <c r="H28" i="1" s="1"/>
  <c r="J28" i="1" s="1"/>
  <c r="D261" i="1"/>
  <c r="F261" i="1" s="1"/>
  <c r="H261" i="1" s="1"/>
  <c r="J261" i="1" s="1"/>
  <c r="D114" i="1"/>
  <c r="F114" i="1" s="1"/>
  <c r="H114" i="1" s="1"/>
  <c r="J114" i="1" s="1"/>
  <c r="D143" i="1"/>
  <c r="F143" i="1" s="1"/>
  <c r="H143" i="1" s="1"/>
  <c r="J143" i="1" s="1"/>
  <c r="J167" i="4"/>
  <c r="K167" i="4" s="1"/>
  <c r="N167" i="4" s="1"/>
  <c r="J170" i="4"/>
  <c r="K170" i="4" s="1"/>
  <c r="N170" i="4" s="1"/>
  <c r="J166" i="4"/>
  <c r="K166" i="4" s="1"/>
  <c r="N166" i="4" s="1"/>
  <c r="J169" i="4"/>
  <c r="K169" i="4" s="1"/>
  <c r="N169" i="4" s="1"/>
  <c r="J221" i="4"/>
  <c r="K221" i="4" s="1"/>
  <c r="N221" i="4" s="1"/>
  <c r="J168" i="4"/>
  <c r="K168" i="4" s="1"/>
  <c r="N168" i="4" s="1"/>
  <c r="J165" i="4"/>
  <c r="K165" i="4" s="1"/>
  <c r="N165" i="4" s="1"/>
  <c r="J36" i="4"/>
  <c r="K36" i="4" s="1"/>
  <c r="N36" i="4" s="1"/>
  <c r="C275" i="4"/>
  <c r="G87" i="4"/>
  <c r="G90" i="4" s="1"/>
  <c r="E90" i="4"/>
  <c r="G180" i="4"/>
  <c r="I180" i="4" s="1"/>
  <c r="E223" i="4"/>
  <c r="L28" i="4"/>
  <c r="J28" i="4" s="1"/>
  <c r="L27" i="4"/>
  <c r="J27" i="4" s="1"/>
  <c r="K27" i="4" s="1"/>
  <c r="N27" i="4" s="1"/>
  <c r="K219" i="1"/>
  <c r="L219" i="1" s="1"/>
  <c r="O219" i="1" s="1"/>
  <c r="K215" i="1"/>
  <c r="L215" i="1" s="1"/>
  <c r="O215" i="1" s="1"/>
  <c r="K211" i="1"/>
  <c r="L211" i="1" s="1"/>
  <c r="O211" i="1" s="1"/>
  <c r="K207" i="1"/>
  <c r="L207" i="1" s="1"/>
  <c r="O207" i="1" s="1"/>
  <c r="K212" i="1"/>
  <c r="L212" i="1" s="1"/>
  <c r="O212" i="1" s="1"/>
  <c r="K210" i="1"/>
  <c r="L210" i="1" s="1"/>
  <c r="O210" i="1" s="1"/>
  <c r="K216" i="1"/>
  <c r="L216" i="1" s="1"/>
  <c r="O216" i="1" s="1"/>
  <c r="K209" i="1"/>
  <c r="L209" i="1" s="1"/>
  <c r="O209" i="1" s="1"/>
  <c r="K214" i="1"/>
  <c r="L214" i="1" s="1"/>
  <c r="O214" i="1" s="1"/>
  <c r="K213" i="1"/>
  <c r="L213" i="1" s="1"/>
  <c r="O213" i="1" s="1"/>
  <c r="K218" i="1"/>
  <c r="L218" i="1" s="1"/>
  <c r="O218" i="1" s="1"/>
  <c r="K208" i="1"/>
  <c r="L208" i="1" s="1"/>
  <c r="O208" i="1" s="1"/>
  <c r="K217" i="1"/>
  <c r="L217" i="1" s="1"/>
  <c r="O217" i="1" s="1"/>
  <c r="J215" i="4"/>
  <c r="K215" i="4" s="1"/>
  <c r="N215" i="4" s="1"/>
  <c r="K219" i="4"/>
  <c r="N219" i="4" s="1"/>
  <c r="K214" i="4"/>
  <c r="N214" i="4" s="1"/>
  <c r="J212" i="4"/>
  <c r="K212" i="4" s="1"/>
  <c r="N212" i="4" s="1"/>
  <c r="K210" i="4"/>
  <c r="N210" i="4" s="1"/>
  <c r="K213" i="4"/>
  <c r="N213" i="4" s="1"/>
  <c r="K211" i="4"/>
  <c r="N211" i="4" s="1"/>
  <c r="K216" i="4"/>
  <c r="N216" i="4" s="1"/>
  <c r="K218" i="4"/>
  <c r="N218" i="4" s="1"/>
  <c r="J217" i="4"/>
  <c r="K217" i="4" s="1"/>
  <c r="N217" i="4" s="1"/>
  <c r="K207" i="4"/>
  <c r="N207" i="4" s="1"/>
  <c r="J209" i="4"/>
  <c r="L228" i="4"/>
  <c r="J228" i="4" s="1"/>
  <c r="L235" i="4"/>
  <c r="J235" i="4" s="1"/>
  <c r="L229" i="4"/>
  <c r="J229" i="4" s="1"/>
  <c r="H222" i="4"/>
  <c r="I222" i="4" s="1"/>
  <c r="I208" i="4"/>
  <c r="L231" i="4"/>
  <c r="J231" i="4" s="1"/>
  <c r="L226" i="4"/>
  <c r="J226" i="4" s="1"/>
  <c r="I135" i="5"/>
  <c r="G55" i="5"/>
  <c r="J31" i="5"/>
  <c r="K31" i="5" s="1"/>
  <c r="N31" i="5" s="1"/>
  <c r="G57" i="5"/>
  <c r="I57" i="5" s="1"/>
  <c r="G120" i="5"/>
  <c r="I120" i="5" s="1"/>
  <c r="G30" i="5"/>
  <c r="I30" i="5" s="1"/>
  <c r="H74" i="1"/>
  <c r="F76" i="1"/>
  <c r="J144" i="4"/>
  <c r="K144" i="4" s="1"/>
  <c r="N144" i="4" s="1"/>
  <c r="K144" i="1"/>
  <c r="L144" i="1" s="1"/>
  <c r="O144" i="1" s="1"/>
  <c r="K145" i="1"/>
  <c r="L145" i="1" s="1"/>
  <c r="O145" i="1" s="1"/>
  <c r="K146" i="1"/>
  <c r="J145" i="4"/>
  <c r="K145" i="4" s="1"/>
  <c r="N145" i="4" s="1"/>
  <c r="J146" i="4"/>
  <c r="K146" i="4" s="1"/>
  <c r="N146" i="4" s="1"/>
  <c r="K117" i="1"/>
  <c r="L117" i="1" s="1"/>
  <c r="O117" i="1" s="1"/>
  <c r="K201" i="1"/>
  <c r="L201" i="1" s="1"/>
  <c r="O201" i="1" s="1"/>
  <c r="K116" i="1"/>
  <c r="L116" i="1" s="1"/>
  <c r="O116" i="1" s="1"/>
  <c r="G256" i="2"/>
  <c r="I256" i="2" s="1"/>
  <c r="K256" i="2" s="1"/>
  <c r="N256" i="2" s="1"/>
  <c r="C257" i="1"/>
  <c r="G263" i="2"/>
  <c r="I263" i="2" s="1"/>
  <c r="K263" i="2" s="1"/>
  <c r="N263" i="2" s="1"/>
  <c r="C264" i="1"/>
  <c r="J201" i="4"/>
  <c r="K201" i="4" s="1"/>
  <c r="N201" i="4" s="1"/>
  <c r="J38" i="4"/>
  <c r="K38" i="4" s="1"/>
  <c r="N38" i="4" s="1"/>
  <c r="G268" i="2"/>
  <c r="I268" i="2" s="1"/>
  <c r="K268" i="2" s="1"/>
  <c r="N268" i="2" s="1"/>
  <c r="C269" i="1"/>
  <c r="G253" i="2"/>
  <c r="C254" i="1"/>
  <c r="G270" i="2"/>
  <c r="I270" i="2" s="1"/>
  <c r="K270" i="2" s="1"/>
  <c r="N270" i="2" s="1"/>
  <c r="C271" i="1"/>
  <c r="G255" i="2"/>
  <c r="I255" i="2" s="1"/>
  <c r="K255" i="2" s="1"/>
  <c r="N255" i="2" s="1"/>
  <c r="C256" i="1"/>
  <c r="G74" i="4"/>
  <c r="G76" i="4" s="1"/>
  <c r="E76" i="4"/>
  <c r="G272" i="2"/>
  <c r="I272" i="2" s="1"/>
  <c r="K272" i="2" s="1"/>
  <c r="N272" i="2" s="1"/>
  <c r="C273" i="1"/>
  <c r="G262" i="2"/>
  <c r="I262" i="2" s="1"/>
  <c r="K262" i="2" s="1"/>
  <c r="N262" i="2" s="1"/>
  <c r="C263" i="1"/>
  <c r="K38" i="1"/>
  <c r="L38" i="1" s="1"/>
  <c r="O38" i="1" s="1"/>
  <c r="K194" i="1"/>
  <c r="L194" i="1" s="1"/>
  <c r="O194" i="1" s="1"/>
  <c r="K195" i="1"/>
  <c r="L195" i="1" s="1"/>
  <c r="O195" i="1" s="1"/>
  <c r="J195" i="4"/>
  <c r="K195" i="4" s="1"/>
  <c r="N195" i="4" s="1"/>
  <c r="J196" i="4"/>
  <c r="K196" i="4" s="1"/>
  <c r="N196" i="4" s="1"/>
  <c r="K158" i="1"/>
  <c r="L158" i="1" s="1"/>
  <c r="O158" i="1" s="1"/>
  <c r="K156" i="1"/>
  <c r="L156" i="1" s="1"/>
  <c r="O156" i="1" s="1"/>
  <c r="L155" i="1"/>
  <c r="O155" i="1" s="1"/>
  <c r="K154" i="1"/>
  <c r="L154" i="1" s="1"/>
  <c r="O154" i="1" s="1"/>
  <c r="K151" i="1"/>
  <c r="L151" i="1" s="1"/>
  <c r="O151" i="1" s="1"/>
  <c r="K149" i="1"/>
  <c r="L149" i="1" s="1"/>
  <c r="O149" i="1" s="1"/>
  <c r="K147" i="1"/>
  <c r="L147" i="1" s="1"/>
  <c r="O147" i="1" s="1"/>
  <c r="K159" i="1"/>
  <c r="L159" i="1" s="1"/>
  <c r="O159" i="1" s="1"/>
  <c r="K157" i="1"/>
  <c r="L157" i="1" s="1"/>
  <c r="O157" i="1" s="1"/>
  <c r="K153" i="1"/>
  <c r="L153" i="1" s="1"/>
  <c r="O153" i="1" s="1"/>
  <c r="K152" i="1"/>
  <c r="L152" i="1" s="1"/>
  <c r="O152" i="1" s="1"/>
  <c r="K150" i="1"/>
  <c r="L150" i="1" s="1"/>
  <c r="O150" i="1" s="1"/>
  <c r="L148" i="1"/>
  <c r="O148" i="1" s="1"/>
  <c r="K254" i="1"/>
  <c r="K260" i="1"/>
  <c r="K163" i="1"/>
  <c r="L163" i="1" s="1"/>
  <c r="O163" i="1" s="1"/>
  <c r="K261" i="1"/>
  <c r="K258" i="1"/>
  <c r="K274" i="1"/>
  <c r="K259" i="1"/>
  <c r="K271" i="1"/>
  <c r="K264" i="1"/>
  <c r="K171" i="1"/>
  <c r="L171" i="1" s="1"/>
  <c r="O171" i="1" s="1"/>
  <c r="K269" i="1"/>
  <c r="K164" i="1"/>
  <c r="L164" i="1" s="1"/>
  <c r="O164" i="1" s="1"/>
  <c r="K75" i="1"/>
  <c r="K262" i="1"/>
  <c r="K161" i="1"/>
  <c r="L161" i="1" s="1"/>
  <c r="O161" i="1" s="1"/>
  <c r="K257" i="1"/>
  <c r="K160" i="1"/>
  <c r="L160" i="1" s="1"/>
  <c r="O160" i="1" s="1"/>
  <c r="K270" i="1"/>
  <c r="K255" i="1"/>
  <c r="L255" i="1" s="1"/>
  <c r="O255" i="1" s="1"/>
  <c r="K263" i="1"/>
  <c r="K256" i="1"/>
  <c r="K272" i="1"/>
  <c r="K273" i="1"/>
  <c r="K162" i="1"/>
  <c r="L162" i="1" s="1"/>
  <c r="O162" i="1" s="1"/>
  <c r="K37" i="1"/>
  <c r="J75" i="4"/>
  <c r="K75" i="4" s="1"/>
  <c r="E94" i="5"/>
  <c r="G94" i="5" s="1"/>
  <c r="I94" i="5" s="1"/>
  <c r="K286" i="1"/>
  <c r="L286" i="1" s="1"/>
  <c r="O286" i="1" s="1"/>
  <c r="J157" i="4"/>
  <c r="K157" i="4" s="1"/>
  <c r="N157" i="4" s="1"/>
  <c r="J149" i="4"/>
  <c r="K149" i="4" s="1"/>
  <c r="N149" i="4" s="1"/>
  <c r="J162" i="4"/>
  <c r="K162" i="4" s="1"/>
  <c r="N162" i="4" s="1"/>
  <c r="J153" i="4"/>
  <c r="K153" i="4" s="1"/>
  <c r="N153" i="4" s="1"/>
  <c r="J150" i="4"/>
  <c r="K150" i="4" s="1"/>
  <c r="N150" i="4" s="1"/>
  <c r="J158" i="4"/>
  <c r="K158" i="4" s="1"/>
  <c r="N158" i="4" s="1"/>
  <c r="J284" i="4"/>
  <c r="K284" i="4" s="1"/>
  <c r="N284" i="4" s="1"/>
  <c r="K155" i="4"/>
  <c r="N155" i="4" s="1"/>
  <c r="J161" i="4"/>
  <c r="K161" i="4" s="1"/>
  <c r="N161" i="4" s="1"/>
  <c r="J160" i="4"/>
  <c r="K160" i="4" s="1"/>
  <c r="N160" i="4" s="1"/>
  <c r="K148" i="4"/>
  <c r="N148" i="4" s="1"/>
  <c r="J37" i="4"/>
  <c r="K37" i="4" s="1"/>
  <c r="N37" i="4" s="1"/>
  <c r="J152" i="4"/>
  <c r="K152" i="4" s="1"/>
  <c r="N152" i="4" s="1"/>
  <c r="J171" i="4"/>
  <c r="K171" i="4" s="1"/>
  <c r="N171" i="4" s="1"/>
  <c r="J159" i="4"/>
  <c r="K159" i="4" s="1"/>
  <c r="N159" i="4" s="1"/>
  <c r="J156" i="4"/>
  <c r="K156" i="4" s="1"/>
  <c r="N156" i="4" s="1"/>
  <c r="J147" i="4"/>
  <c r="K147" i="4" s="1"/>
  <c r="N147" i="4" s="1"/>
  <c r="J154" i="4"/>
  <c r="K154" i="4" s="1"/>
  <c r="N154" i="4" s="1"/>
  <c r="J151" i="4"/>
  <c r="K151" i="4" s="1"/>
  <c r="N151" i="4" s="1"/>
  <c r="J164" i="4"/>
  <c r="K164" i="4" s="1"/>
  <c r="N164" i="4" s="1"/>
  <c r="J163" i="4"/>
  <c r="K163" i="4" s="1"/>
  <c r="N163" i="4" s="1"/>
  <c r="G74" i="2"/>
  <c r="G76" i="2" s="1"/>
  <c r="E76" i="2"/>
  <c r="C180" i="1"/>
  <c r="D55" i="2"/>
  <c r="D222" i="2"/>
  <c r="E279" i="2"/>
  <c r="C18" i="6"/>
  <c r="D17" i="6"/>
  <c r="D18" i="6" s="1"/>
  <c r="D18" i="2"/>
  <c r="D14" i="5" s="1"/>
  <c r="G14" i="2"/>
  <c r="E107" i="5"/>
  <c r="E135" i="5" s="1"/>
  <c r="D26" i="6"/>
  <c r="G68" i="5"/>
  <c r="I68" i="5" s="1"/>
  <c r="C72" i="5"/>
  <c r="C97" i="5"/>
  <c r="C45" i="5"/>
  <c r="J97" i="5"/>
  <c r="J45" i="5"/>
  <c r="J72" i="5"/>
  <c r="F45" i="5"/>
  <c r="F72" i="5"/>
  <c r="F97" i="5"/>
  <c r="H72" i="5"/>
  <c r="H97" i="5"/>
  <c r="H45" i="5"/>
  <c r="E42" i="5"/>
  <c r="G42" i="5" s="1"/>
  <c r="I42" i="5" s="1"/>
  <c r="E96" i="5"/>
  <c r="G96" i="5" s="1"/>
  <c r="I96" i="5" s="1"/>
  <c r="G71" i="5"/>
  <c r="I71" i="5" s="1"/>
  <c r="D97" i="5"/>
  <c r="D45" i="5"/>
  <c r="D72" i="5"/>
  <c r="K197" i="1"/>
  <c r="L197" i="1" s="1"/>
  <c r="O197" i="1" s="1"/>
  <c r="K135" i="1"/>
  <c r="L135" i="1" s="1"/>
  <c r="O135" i="1" s="1"/>
  <c r="K134" i="1"/>
  <c r="L134" i="1" s="1"/>
  <c r="O134" i="1" s="1"/>
  <c r="K111" i="1"/>
  <c r="L111" i="1" s="1"/>
  <c r="O111" i="1" s="1"/>
  <c r="K185" i="1"/>
  <c r="L185" i="1" s="1"/>
  <c r="O185" i="1" s="1"/>
  <c r="G29" i="5"/>
  <c r="F26" i="6"/>
  <c r="G193" i="1"/>
  <c r="F193" i="4" s="1"/>
  <c r="G193" i="4" s="1"/>
  <c r="I193" i="4" s="1"/>
  <c r="G70" i="5"/>
  <c r="I70" i="5" s="1"/>
  <c r="K98" i="5"/>
  <c r="N98" i="5" s="1"/>
  <c r="J135" i="4"/>
  <c r="K135" i="4" s="1"/>
  <c r="N135" i="4" s="1"/>
  <c r="J117" i="4"/>
  <c r="K117" i="4" s="1"/>
  <c r="N117" i="4" s="1"/>
  <c r="J185" i="4"/>
  <c r="K185" i="4" s="1"/>
  <c r="N185" i="4" s="1"/>
  <c r="J111" i="4"/>
  <c r="K111" i="4" s="1"/>
  <c r="N111" i="4" s="1"/>
  <c r="J116" i="4"/>
  <c r="K116" i="4" s="1"/>
  <c r="N116" i="4" s="1"/>
  <c r="J197" i="4"/>
  <c r="K197" i="4" s="1"/>
  <c r="N197" i="4" s="1"/>
  <c r="J134" i="4"/>
  <c r="K134" i="4" s="1"/>
  <c r="N134" i="4" s="1"/>
  <c r="E84" i="4"/>
  <c r="E177" i="4"/>
  <c r="C227" i="1"/>
  <c r="H88" i="4"/>
  <c r="I88" i="4" s="1"/>
  <c r="K88" i="4" s="1"/>
  <c r="N88" i="4" s="1"/>
  <c r="E123" i="5"/>
  <c r="G109" i="5"/>
  <c r="I109" i="5" s="1"/>
  <c r="G85" i="5"/>
  <c r="I85" i="5" s="1"/>
  <c r="G43" i="5"/>
  <c r="I43" i="5" s="1"/>
  <c r="D274" i="2"/>
  <c r="F288" i="1"/>
  <c r="E46" i="2"/>
  <c r="G46" i="2" s="1"/>
  <c r="C222" i="1"/>
  <c r="F222" i="1" s="1"/>
  <c r="H222" i="1" s="1"/>
  <c r="J222" i="1" s="1"/>
  <c r="K83" i="2"/>
  <c r="N83" i="2" s="1"/>
  <c r="N84" i="2" s="1"/>
  <c r="I15" i="2"/>
  <c r="K15" i="2" s="1"/>
  <c r="K18" i="2" s="1"/>
  <c r="E137" i="2"/>
  <c r="G137" i="2" s="1"/>
  <c r="I137" i="2" s="1"/>
  <c r="K137" i="2" s="1"/>
  <c r="N137" i="2" s="1"/>
  <c r="D173" i="2"/>
  <c r="H26" i="1"/>
  <c r="J26" i="1" s="1"/>
  <c r="C200" i="1"/>
  <c r="C190" i="1"/>
  <c r="K176" i="2"/>
  <c r="N176" i="2" s="1"/>
  <c r="N177" i="2" s="1"/>
  <c r="E286" i="4"/>
  <c r="E80" i="4"/>
  <c r="E273" i="4"/>
  <c r="G266" i="4"/>
  <c r="I266" i="4" s="1"/>
  <c r="G244" i="4"/>
  <c r="G245" i="4" s="1"/>
  <c r="E241" i="4"/>
  <c r="G240" i="4"/>
  <c r="G241" i="4" s="1"/>
  <c r="I204" i="4"/>
  <c r="E99" i="4"/>
  <c r="G98" i="4"/>
  <c r="I98" i="4" s="1"/>
  <c r="H129" i="4"/>
  <c r="H173" i="4" s="1"/>
  <c r="I173" i="1"/>
  <c r="K200" i="1"/>
  <c r="J51" i="1"/>
  <c r="G129" i="2"/>
  <c r="I129" i="2" s="1"/>
  <c r="G129" i="4"/>
  <c r="E173" i="4"/>
  <c r="K69" i="2"/>
  <c r="N69" i="2" s="1"/>
  <c r="G192" i="2"/>
  <c r="I192" i="2" s="1"/>
  <c r="K192" i="2" s="1"/>
  <c r="N192" i="2" s="1"/>
  <c r="C192" i="1"/>
  <c r="K193" i="2"/>
  <c r="N193" i="2" s="1"/>
  <c r="E177" i="2"/>
  <c r="G177" i="2"/>
  <c r="E229" i="2"/>
  <c r="G229" i="2" s="1"/>
  <c r="I229" i="2" s="1"/>
  <c r="K229" i="2" s="1"/>
  <c r="N229" i="2" s="1"/>
  <c r="C118" i="1"/>
  <c r="C268" i="1"/>
  <c r="C176" i="1"/>
  <c r="D177" i="1" s="1"/>
  <c r="E98" i="2"/>
  <c r="D264" i="2"/>
  <c r="D99" i="2"/>
  <c r="K190" i="2"/>
  <c r="N190" i="2" s="1"/>
  <c r="J30" i="5"/>
  <c r="C69" i="1"/>
  <c r="C131" i="1"/>
  <c r="K58" i="1"/>
  <c r="I84" i="1"/>
  <c r="J202" i="1"/>
  <c r="K184" i="1"/>
  <c r="J46" i="5"/>
  <c r="K46" i="5" s="1"/>
  <c r="N46" i="5" s="1"/>
  <c r="J95" i="5"/>
  <c r="K95" i="5" s="1"/>
  <c r="N95" i="5" s="1"/>
  <c r="C65" i="1"/>
  <c r="C130" i="1"/>
  <c r="K284" i="1"/>
  <c r="L284" i="1" s="1"/>
  <c r="O284" i="1" s="1"/>
  <c r="J109" i="5"/>
  <c r="J18" i="5"/>
  <c r="K18" i="5" s="1"/>
  <c r="N18" i="5" s="1"/>
  <c r="K120" i="1"/>
  <c r="I39" i="4"/>
  <c r="I177" i="1"/>
  <c r="K118" i="1"/>
  <c r="H99" i="4"/>
  <c r="J121" i="5"/>
  <c r="K121" i="5" s="1"/>
  <c r="N121" i="5" s="1"/>
  <c r="K115" i="1"/>
  <c r="K137" i="1"/>
  <c r="K105" i="1"/>
  <c r="K30" i="1"/>
  <c r="J70" i="5"/>
  <c r="K108" i="1"/>
  <c r="K130" i="1"/>
  <c r="J83" i="5"/>
  <c r="K83" i="5" s="1"/>
  <c r="N83" i="5" s="1"/>
  <c r="K283" i="1"/>
  <c r="L283" i="1" s="1"/>
  <c r="O283" i="1" s="1"/>
  <c r="I80" i="1"/>
  <c r="K250" i="1"/>
  <c r="J55" i="5"/>
  <c r="K202" i="1"/>
  <c r="K123" i="1"/>
  <c r="K70" i="1"/>
  <c r="J29" i="5"/>
  <c r="J57" i="5"/>
  <c r="K129" i="1"/>
  <c r="K83" i="1"/>
  <c r="G136" i="2"/>
  <c r="I136" i="2" s="1"/>
  <c r="K136" i="2" s="1"/>
  <c r="N136" i="2" s="1"/>
  <c r="C136" i="1"/>
  <c r="H52" i="1"/>
  <c r="J52" i="1" s="1"/>
  <c r="H70" i="1"/>
  <c r="J70" i="1" s="1"/>
  <c r="K287" i="1"/>
  <c r="K46" i="1"/>
  <c r="K67" i="1"/>
  <c r="K110" i="1"/>
  <c r="G39" i="2"/>
  <c r="I39" i="2" s="1"/>
  <c r="K39" i="2" s="1"/>
  <c r="N39" i="2" s="1"/>
  <c r="C39" i="1"/>
  <c r="G61" i="2"/>
  <c r="I61" i="2" s="1"/>
  <c r="K61" i="2" s="1"/>
  <c r="N61" i="2" s="1"/>
  <c r="C61" i="1"/>
  <c r="E13" i="1"/>
  <c r="I55" i="1"/>
  <c r="J203" i="1"/>
  <c r="H66" i="1"/>
  <c r="J66" i="1" s="1"/>
  <c r="J99" i="5"/>
  <c r="K99" i="5" s="1"/>
  <c r="N99" i="5" s="1"/>
  <c r="J56" i="5"/>
  <c r="K56" i="5" s="1"/>
  <c r="N56" i="5" s="1"/>
  <c r="J43" i="5"/>
  <c r="J21" i="5"/>
  <c r="K21" i="5" s="1"/>
  <c r="N21" i="5" s="1"/>
  <c r="J47" i="5"/>
  <c r="K47" i="5" s="1"/>
  <c r="N47" i="5" s="1"/>
  <c r="J122" i="5"/>
  <c r="K122" i="5" s="1"/>
  <c r="N122" i="5" s="1"/>
  <c r="K234" i="1"/>
  <c r="L234" i="1" s="1"/>
  <c r="O234" i="1" s="1"/>
  <c r="K192" i="1"/>
  <c r="K193" i="1"/>
  <c r="K136" i="1"/>
  <c r="K121" i="1"/>
  <c r="K98" i="1"/>
  <c r="K60" i="1"/>
  <c r="K24" i="1"/>
  <c r="L24" i="1" s="1"/>
  <c r="I231" i="4"/>
  <c r="K26" i="2"/>
  <c r="N26" i="2" s="1"/>
  <c r="K93" i="1"/>
  <c r="L110" i="4"/>
  <c r="J110" i="4" s="1"/>
  <c r="L262" i="4"/>
  <c r="J262" i="4" s="1"/>
  <c r="K31" i="1"/>
  <c r="K182" i="1"/>
  <c r="K232" i="1"/>
  <c r="L232" i="1" s="1"/>
  <c r="O232" i="1" s="1"/>
  <c r="K180" i="1"/>
  <c r="K125" i="1"/>
  <c r="K87" i="1"/>
  <c r="K282" i="1"/>
  <c r="L282" i="1" s="1"/>
  <c r="O282" i="1" s="1"/>
  <c r="G95" i="4"/>
  <c r="K49" i="2"/>
  <c r="N49" i="2" s="1"/>
  <c r="K32" i="1"/>
  <c r="I70" i="4"/>
  <c r="I66" i="4"/>
  <c r="I49" i="4"/>
  <c r="K35" i="1"/>
  <c r="J19" i="5"/>
  <c r="K68" i="1"/>
  <c r="K41" i="1"/>
  <c r="K112" i="1"/>
  <c r="K103" i="1"/>
  <c r="K187" i="1"/>
  <c r="K138" i="1"/>
  <c r="K106" i="1"/>
  <c r="K227" i="1"/>
  <c r="L227" i="1" s="1"/>
  <c r="O227" i="1" s="1"/>
  <c r="K102" i="1"/>
  <c r="K139" i="1"/>
  <c r="K229" i="1"/>
  <c r="L229" i="1" s="1"/>
  <c r="O229" i="1" s="1"/>
  <c r="K113" i="1"/>
  <c r="K186" i="1"/>
  <c r="L186" i="1" s="1"/>
  <c r="O186" i="1" s="1"/>
  <c r="K132" i="1"/>
  <c r="K204" i="1"/>
  <c r="K183" i="1"/>
  <c r="K66" i="2"/>
  <c r="N66" i="2" s="1"/>
  <c r="K241" i="1"/>
  <c r="K65" i="1"/>
  <c r="K25" i="1"/>
  <c r="K131" i="2"/>
  <c r="N131" i="2" s="1"/>
  <c r="K242" i="1"/>
  <c r="K69" i="1"/>
  <c r="K54" i="1"/>
  <c r="L54" i="1" s="1"/>
  <c r="O54" i="1" s="1"/>
  <c r="K28" i="1"/>
  <c r="K204" i="2"/>
  <c r="N204" i="2" s="1"/>
  <c r="K54" i="2"/>
  <c r="N54" i="2" s="1"/>
  <c r="K118" i="2"/>
  <c r="N118" i="2" s="1"/>
  <c r="K222" i="1"/>
  <c r="K24" i="2"/>
  <c r="N24" i="2" s="1"/>
  <c r="K74" i="1"/>
  <c r="K61" i="1"/>
  <c r="K53" i="1"/>
  <c r="K29" i="1"/>
  <c r="K23" i="1"/>
  <c r="K65" i="2"/>
  <c r="N65" i="2" s="1"/>
  <c r="K180" i="2"/>
  <c r="N180" i="2" s="1"/>
  <c r="K52" i="2"/>
  <c r="N52" i="2" s="1"/>
  <c r="K70" i="2"/>
  <c r="N70" i="2" s="1"/>
  <c r="G59" i="2"/>
  <c r="I59" i="2" s="1"/>
  <c r="K59" i="2" s="1"/>
  <c r="N59" i="2" s="1"/>
  <c r="C59" i="1"/>
  <c r="C123" i="1"/>
  <c r="G123" i="2"/>
  <c r="I123" i="2" s="1"/>
  <c r="K123" i="2" s="1"/>
  <c r="N123" i="2" s="1"/>
  <c r="C133" i="1"/>
  <c r="G133" i="2"/>
  <c r="I133" i="2" s="1"/>
  <c r="K133" i="2" s="1"/>
  <c r="N133" i="2" s="1"/>
  <c r="G181" i="2"/>
  <c r="I181" i="2" s="1"/>
  <c r="K181" i="2" s="1"/>
  <c r="N181" i="2" s="1"/>
  <c r="C181" i="1"/>
  <c r="G258" i="2"/>
  <c r="I258" i="2" s="1"/>
  <c r="K258" i="2" s="1"/>
  <c r="N258" i="2" s="1"/>
  <c r="C125" i="1"/>
  <c r="G125" i="2"/>
  <c r="I125" i="2" s="1"/>
  <c r="K125" i="2" s="1"/>
  <c r="N125" i="2" s="1"/>
  <c r="G120" i="2"/>
  <c r="I120" i="2" s="1"/>
  <c r="K120" i="2" s="1"/>
  <c r="N120" i="2" s="1"/>
  <c r="H240" i="4"/>
  <c r="I243" i="1"/>
  <c r="C140" i="1"/>
  <c r="G140" i="2"/>
  <c r="I140" i="2" s="1"/>
  <c r="K140" i="2" s="1"/>
  <c r="N140" i="2" s="1"/>
  <c r="G187" i="2"/>
  <c r="I187" i="2" s="1"/>
  <c r="K187" i="2" s="1"/>
  <c r="N187" i="2" s="1"/>
  <c r="C187" i="1"/>
  <c r="G271" i="2"/>
  <c r="I271" i="2" s="1"/>
  <c r="K271" i="2" s="1"/>
  <c r="N271" i="2" s="1"/>
  <c r="H69" i="4"/>
  <c r="I69" i="4" s="1"/>
  <c r="I71" i="1"/>
  <c r="H93" i="4"/>
  <c r="I93" i="4" s="1"/>
  <c r="I95" i="1"/>
  <c r="K203" i="1"/>
  <c r="I126" i="1"/>
  <c r="I177" i="2"/>
  <c r="C48" i="1"/>
  <c r="G48" i="2"/>
  <c r="I48" i="2" s="1"/>
  <c r="K48" i="2" s="1"/>
  <c r="N48" i="2" s="1"/>
  <c r="G58" i="2"/>
  <c r="I58" i="2" s="1"/>
  <c r="K58" i="2" s="1"/>
  <c r="N58" i="2" s="1"/>
  <c r="C58" i="1"/>
  <c r="G103" i="2"/>
  <c r="I103" i="2" s="1"/>
  <c r="K103" i="2" s="1"/>
  <c r="N103" i="2" s="1"/>
  <c r="C103" i="1"/>
  <c r="G228" i="2"/>
  <c r="I228" i="2" s="1"/>
  <c r="K228" i="2" s="1"/>
  <c r="N228" i="2" s="1"/>
  <c r="H252" i="4"/>
  <c r="I252" i="4" s="1"/>
  <c r="I265" i="1"/>
  <c r="K285" i="1"/>
  <c r="L285" i="1" s="1"/>
  <c r="O285" i="1" s="1"/>
  <c r="K107" i="1"/>
  <c r="K119" i="1"/>
  <c r="K124" i="1"/>
  <c r="K133" i="1"/>
  <c r="K176" i="1"/>
  <c r="K181" i="1"/>
  <c r="K198" i="1"/>
  <c r="K230" i="1"/>
  <c r="L230" i="1" s="1"/>
  <c r="O230" i="1" s="1"/>
  <c r="K104" i="1"/>
  <c r="K131" i="1"/>
  <c r="K140" i="1"/>
  <c r="K199" i="1"/>
  <c r="K237" i="1"/>
  <c r="K268" i="1"/>
  <c r="J110" i="5"/>
  <c r="K110" i="5" s="1"/>
  <c r="N110" i="5" s="1"/>
  <c r="J107" i="5"/>
  <c r="K107" i="5" s="1"/>
  <c r="J96" i="5"/>
  <c r="J85" i="5"/>
  <c r="J120" i="5"/>
  <c r="J108" i="5"/>
  <c r="K108" i="5" s="1"/>
  <c r="N108" i="5" s="1"/>
  <c r="J82" i="5"/>
  <c r="K82" i="5" s="1"/>
  <c r="N82" i="5" s="1"/>
  <c r="J71" i="5"/>
  <c r="J58" i="5"/>
  <c r="K58" i="5" s="1"/>
  <c r="N58" i="5" s="1"/>
  <c r="J44" i="5"/>
  <c r="K44" i="5" s="1"/>
  <c r="N44" i="5" s="1"/>
  <c r="H84" i="4"/>
  <c r="I83" i="4"/>
  <c r="L42" i="4"/>
  <c r="J42" i="4" s="1"/>
  <c r="K42" i="1"/>
  <c r="G261" i="2"/>
  <c r="I261" i="2" s="1"/>
  <c r="K261" i="2" s="1"/>
  <c r="N261" i="2" s="1"/>
  <c r="G110" i="2"/>
  <c r="I110" i="2" s="1"/>
  <c r="K110" i="2" s="1"/>
  <c r="N110" i="2" s="1"/>
  <c r="C110" i="1"/>
  <c r="G201" i="2"/>
  <c r="I201" i="2" s="1"/>
  <c r="K201" i="2" s="1"/>
  <c r="N201" i="2" s="1"/>
  <c r="C202" i="1"/>
  <c r="G254" i="2"/>
  <c r="I254" i="2" s="1"/>
  <c r="K254" i="2" s="1"/>
  <c r="N254" i="2" s="1"/>
  <c r="G273" i="2"/>
  <c r="I273" i="2" s="1"/>
  <c r="K273" i="2" s="1"/>
  <c r="N273" i="2" s="1"/>
  <c r="E119" i="2"/>
  <c r="E126" i="2" s="1"/>
  <c r="D126" i="2"/>
  <c r="G31" i="2"/>
  <c r="I31" i="2" s="1"/>
  <c r="K31" i="2" s="1"/>
  <c r="N31" i="2" s="1"/>
  <c r="C31" i="1"/>
  <c r="G104" i="2"/>
  <c r="I104" i="2" s="1"/>
  <c r="K104" i="2" s="1"/>
  <c r="N104" i="2" s="1"/>
  <c r="G112" i="2"/>
  <c r="I112" i="2" s="1"/>
  <c r="K112" i="2" s="1"/>
  <c r="E274" i="2"/>
  <c r="C42" i="1"/>
  <c r="G42" i="2"/>
  <c r="I42" i="2" s="1"/>
  <c r="K42" i="2" s="1"/>
  <c r="N42" i="2" s="1"/>
  <c r="H23" i="4"/>
  <c r="I23" i="4" s="1"/>
  <c r="I43" i="1"/>
  <c r="H272" i="4"/>
  <c r="I272" i="4" s="1"/>
  <c r="I275" i="1"/>
  <c r="K221" i="2"/>
  <c r="N221" i="2" s="1"/>
  <c r="L66" i="4"/>
  <c r="J66" i="4" s="1"/>
  <c r="K66" i="1"/>
  <c r="E84" i="2"/>
  <c r="G84" i="2"/>
  <c r="G35" i="2"/>
  <c r="I35" i="2" s="1"/>
  <c r="K35" i="2" s="1"/>
  <c r="N35" i="2" s="1"/>
  <c r="G53" i="2"/>
  <c r="I53" i="2" s="1"/>
  <c r="K53" i="2" s="1"/>
  <c r="N53" i="2" s="1"/>
  <c r="C60" i="1"/>
  <c r="D60" i="1" s="1"/>
  <c r="G60" i="2"/>
  <c r="C83" i="1"/>
  <c r="D83" i="1" s="1"/>
  <c r="C102" i="1"/>
  <c r="D102" i="1" s="1"/>
  <c r="G102" i="2"/>
  <c r="I102" i="2" s="1"/>
  <c r="C108" i="1"/>
  <c r="D108" i="1" s="1"/>
  <c r="F108" i="1" s="1"/>
  <c r="H108" i="1" s="1"/>
  <c r="G108" i="2"/>
  <c r="I108" i="2" s="1"/>
  <c r="K108" i="2" s="1"/>
  <c r="N108" i="2" s="1"/>
  <c r="C183" i="1"/>
  <c r="G183" i="2"/>
  <c r="I183" i="2" s="1"/>
  <c r="K183" i="2" s="1"/>
  <c r="N183" i="2" s="1"/>
  <c r="C193" i="1"/>
  <c r="D193" i="1" s="1"/>
  <c r="C205" i="1"/>
  <c r="C246" i="1"/>
  <c r="D246" i="1" s="1"/>
  <c r="G245" i="2"/>
  <c r="G259" i="2"/>
  <c r="I259" i="2" s="1"/>
  <c r="K259" i="2" s="1"/>
  <c r="N259" i="2" s="1"/>
  <c r="C79" i="1"/>
  <c r="G79" i="2"/>
  <c r="G28" i="2"/>
  <c r="I28" i="2" s="1"/>
  <c r="K28" i="2" s="1"/>
  <c r="N28" i="2" s="1"/>
  <c r="G283" i="2"/>
  <c r="I283" i="2" s="1"/>
  <c r="C87" i="1"/>
  <c r="D87" i="1" s="1"/>
  <c r="D90" i="1" s="1"/>
  <c r="G87" i="2"/>
  <c r="C124" i="1"/>
  <c r="G124" i="2"/>
  <c r="I124" i="2" s="1"/>
  <c r="K124" i="2" s="1"/>
  <c r="N124" i="2" s="1"/>
  <c r="E19" i="5"/>
  <c r="G19" i="5" s="1"/>
  <c r="I19" i="5" s="1"/>
  <c r="J227" i="4"/>
  <c r="K227" i="4" s="1"/>
  <c r="N227" i="4" s="1"/>
  <c r="G41" i="2"/>
  <c r="I41" i="2" s="1"/>
  <c r="K41" i="2" s="1"/>
  <c r="N41" i="2" s="1"/>
  <c r="G233" i="2"/>
  <c r="I233" i="2" s="1"/>
  <c r="K233" i="2" s="1"/>
  <c r="N233" i="2" s="1"/>
  <c r="C234" i="1"/>
  <c r="G260" i="2"/>
  <c r="I260" i="2" s="1"/>
  <c r="K260" i="2" s="1"/>
  <c r="N260" i="2" s="1"/>
  <c r="L32" i="4"/>
  <c r="J32" i="4" s="1"/>
  <c r="L93" i="4"/>
  <c r="J93" i="4" s="1"/>
  <c r="G105" i="2"/>
  <c r="I105" i="2" s="1"/>
  <c r="K105" i="2" s="1"/>
  <c r="N105" i="2" s="1"/>
  <c r="G113" i="2"/>
  <c r="I113" i="2" s="1"/>
  <c r="K113" i="2" s="1"/>
  <c r="N113" i="2" s="1"/>
  <c r="G202" i="2"/>
  <c r="I202" i="2" s="1"/>
  <c r="K202" i="2" s="1"/>
  <c r="N202" i="2" s="1"/>
  <c r="C242" i="1"/>
  <c r="G241" i="2"/>
  <c r="I241" i="2" s="1"/>
  <c r="K241" i="2" s="1"/>
  <c r="N241" i="2" s="1"/>
  <c r="G34" i="2"/>
  <c r="H244" i="4"/>
  <c r="H245" i="4" s="1"/>
  <c r="I247" i="1"/>
  <c r="K47" i="1"/>
  <c r="L47" i="1" s="1"/>
  <c r="O47" i="1" s="1"/>
  <c r="G106" i="2"/>
  <c r="I106" i="2" s="1"/>
  <c r="K106" i="2" s="1"/>
  <c r="N106" i="2" s="1"/>
  <c r="C106" i="1"/>
  <c r="G132" i="2"/>
  <c r="I132" i="2" s="1"/>
  <c r="K132" i="2" s="1"/>
  <c r="N132" i="2" s="1"/>
  <c r="G139" i="2"/>
  <c r="I139" i="2" s="1"/>
  <c r="K139" i="2" s="1"/>
  <c r="N139" i="2" s="1"/>
  <c r="G186" i="2"/>
  <c r="I119" i="4"/>
  <c r="H231" i="1"/>
  <c r="J231" i="1" s="1"/>
  <c r="K246" i="1"/>
  <c r="K205" i="1"/>
  <c r="K79" i="1"/>
  <c r="K59" i="1"/>
  <c r="K48" i="1"/>
  <c r="K34" i="1"/>
  <c r="L34" i="1" s="1"/>
  <c r="O34" i="1" s="1"/>
  <c r="K26" i="1"/>
  <c r="J17" i="5"/>
  <c r="K17" i="5" s="1"/>
  <c r="N17" i="5" s="1"/>
  <c r="J20" i="5"/>
  <c r="K20" i="5" s="1"/>
  <c r="N20" i="5" s="1"/>
  <c r="J32" i="5"/>
  <c r="K32" i="5" s="1"/>
  <c r="N32" i="5" s="1"/>
  <c r="J69" i="5"/>
  <c r="K69" i="5" s="1"/>
  <c r="N69" i="5" s="1"/>
  <c r="J73" i="5"/>
  <c r="K73" i="5" s="1"/>
  <c r="N73" i="5" s="1"/>
  <c r="C30" i="1"/>
  <c r="G30" i="2"/>
  <c r="I30" i="2" s="1"/>
  <c r="K30" i="2" s="1"/>
  <c r="N30" i="2" s="1"/>
  <c r="G51" i="2"/>
  <c r="C93" i="1"/>
  <c r="D93" i="1" s="1"/>
  <c r="G93" i="2"/>
  <c r="C107" i="1"/>
  <c r="G107" i="2"/>
  <c r="I107" i="2" s="1"/>
  <c r="K107" i="2" s="1"/>
  <c r="N107" i="2" s="1"/>
  <c r="C184" i="1"/>
  <c r="G184" i="2"/>
  <c r="I184" i="2" s="1"/>
  <c r="K184" i="2" s="1"/>
  <c r="N184" i="2" s="1"/>
  <c r="C204" i="1"/>
  <c r="G203" i="2"/>
  <c r="I203" i="2" s="1"/>
  <c r="K203" i="2" s="1"/>
  <c r="N203" i="2" s="1"/>
  <c r="G231" i="2"/>
  <c r="I231" i="2" s="1"/>
  <c r="K231" i="2" s="1"/>
  <c r="N231" i="2" s="1"/>
  <c r="G257" i="2"/>
  <c r="I257" i="2" s="1"/>
  <c r="K257" i="2" s="1"/>
  <c r="N257" i="2" s="1"/>
  <c r="C29" i="1"/>
  <c r="G29" i="2"/>
  <c r="I29" i="2" s="1"/>
  <c r="K29" i="2" s="1"/>
  <c r="N29" i="2" s="1"/>
  <c r="G121" i="2"/>
  <c r="I121" i="2" s="1"/>
  <c r="K121" i="2" s="1"/>
  <c r="N121" i="2" s="1"/>
  <c r="G249" i="2"/>
  <c r="C250" i="1"/>
  <c r="D250" i="1" s="1"/>
  <c r="G23" i="2"/>
  <c r="I23" i="2" s="1"/>
  <c r="K23" i="2" s="1"/>
  <c r="N23" i="2" s="1"/>
  <c r="G115" i="2"/>
  <c r="I115" i="2" s="1"/>
  <c r="K115" i="2" s="1"/>
  <c r="N115" i="2" s="1"/>
  <c r="C237" i="1"/>
  <c r="G236" i="2"/>
  <c r="I236" i="2" s="1"/>
  <c r="K236" i="2" s="1"/>
  <c r="N236" i="2" s="1"/>
  <c r="G269" i="2"/>
  <c r="I269" i="2" s="1"/>
  <c r="K269" i="2" s="1"/>
  <c r="N269" i="2" s="1"/>
  <c r="I254" i="4"/>
  <c r="I262" i="4"/>
  <c r="G284" i="2"/>
  <c r="I284" i="2" s="1"/>
  <c r="C25" i="1"/>
  <c r="G25" i="2"/>
  <c r="I25" i="2" s="1"/>
  <c r="K25" i="2" s="1"/>
  <c r="N25" i="2" s="1"/>
  <c r="C198" i="1"/>
  <c r="G197" i="2"/>
  <c r="I197" i="2" s="1"/>
  <c r="K197" i="2" s="1"/>
  <c r="N197" i="2" s="1"/>
  <c r="K228" i="1"/>
  <c r="L228" i="1" s="1"/>
  <c r="O228" i="1" s="1"/>
  <c r="J31" i="4"/>
  <c r="G32" i="2"/>
  <c r="I32" i="2" s="1"/>
  <c r="K32" i="2" s="1"/>
  <c r="N32" i="2" s="1"/>
  <c r="G68" i="2"/>
  <c r="I68" i="2" s="1"/>
  <c r="K68" i="2" s="1"/>
  <c r="N68" i="2" s="1"/>
  <c r="G138" i="2"/>
  <c r="I138" i="2" s="1"/>
  <c r="K138" i="2" s="1"/>
  <c r="N138" i="2" s="1"/>
  <c r="C182" i="1"/>
  <c r="G182" i="2"/>
  <c r="I182" i="2" s="1"/>
  <c r="K182" i="2" s="1"/>
  <c r="N182" i="2" s="1"/>
  <c r="C199" i="1"/>
  <c r="G198" i="2"/>
  <c r="I198" i="2" s="1"/>
  <c r="K198" i="2" s="1"/>
  <c r="N198" i="2" s="1"/>
  <c r="H233" i="1"/>
  <c r="J233" i="1" s="1"/>
  <c r="E15" i="6"/>
  <c r="E71" i="4"/>
  <c r="H288" i="1"/>
  <c r="E263" i="4"/>
  <c r="E249" i="4"/>
  <c r="E245" i="4"/>
  <c r="I138" i="4"/>
  <c r="E126" i="4"/>
  <c r="I79" i="4"/>
  <c r="E62" i="4"/>
  <c r="E55" i="4"/>
  <c r="E43" i="4"/>
  <c r="I108" i="4"/>
  <c r="I186" i="4"/>
  <c r="I233" i="4"/>
  <c r="J53" i="4"/>
  <c r="J83" i="4"/>
  <c r="J139" i="4"/>
  <c r="I30" i="4"/>
  <c r="I200" i="4"/>
  <c r="J192" i="4"/>
  <c r="J285" i="4"/>
  <c r="I136" i="4"/>
  <c r="I257" i="4"/>
  <c r="J35" i="4"/>
  <c r="I106" i="4"/>
  <c r="I139" i="4"/>
  <c r="J103" i="4"/>
  <c r="J181" i="4"/>
  <c r="J258" i="4"/>
  <c r="J283" i="4"/>
  <c r="J202" i="4"/>
  <c r="J79" i="4"/>
  <c r="I26" i="4"/>
  <c r="I29" i="4"/>
  <c r="H80" i="4"/>
  <c r="I46" i="4"/>
  <c r="I121" i="4"/>
  <c r="I133" i="4"/>
  <c r="I182" i="4"/>
  <c r="I190" i="4"/>
  <c r="I229" i="4"/>
  <c r="I256" i="4"/>
  <c r="I259" i="4"/>
  <c r="I268" i="4"/>
  <c r="I270" i="4"/>
  <c r="I53" i="4"/>
  <c r="I105" i="4"/>
  <c r="J253" i="4"/>
  <c r="I120" i="4"/>
  <c r="I132" i="4"/>
  <c r="I187" i="4"/>
  <c r="J113" i="4"/>
  <c r="J129" i="4"/>
  <c r="J183" i="4"/>
  <c r="J244" i="4"/>
  <c r="J254" i="4"/>
  <c r="J272" i="4"/>
  <c r="J54" i="4"/>
  <c r="I24" i="4"/>
  <c r="I31" i="4"/>
  <c r="I48" i="4"/>
  <c r="I104" i="4"/>
  <c r="I110" i="4"/>
  <c r="I115" i="4"/>
  <c r="I140" i="4"/>
  <c r="I181" i="4"/>
  <c r="I198" i="4"/>
  <c r="I202" i="4"/>
  <c r="I253" i="4"/>
  <c r="I258" i="4"/>
  <c r="I283" i="4"/>
  <c r="J41" i="4"/>
  <c r="G177" i="4"/>
  <c r="I176" i="4"/>
  <c r="G71" i="4"/>
  <c r="G286" i="4"/>
  <c r="I32" i="4"/>
  <c r="J282" i="4"/>
  <c r="J257" i="4"/>
  <c r="J240" i="4"/>
  <c r="J67" i="4"/>
  <c r="J25" i="4"/>
  <c r="I25" i="4"/>
  <c r="H286" i="4"/>
  <c r="H36" i="6" s="1"/>
  <c r="H55" i="4"/>
  <c r="G62" i="4"/>
  <c r="I112" i="4"/>
  <c r="I199" i="4"/>
  <c r="H236" i="4"/>
  <c r="I235" i="4"/>
  <c r="I261" i="4"/>
  <c r="I269" i="4"/>
  <c r="I280" i="4"/>
  <c r="I35" i="4"/>
  <c r="E95" i="4"/>
  <c r="E236" i="4"/>
  <c r="J65" i="4"/>
  <c r="C36" i="6"/>
  <c r="E36" i="6" s="1"/>
  <c r="I61" i="4"/>
  <c r="I28" i="4"/>
  <c r="J124" i="4"/>
  <c r="J24" i="4"/>
  <c r="J26" i="4"/>
  <c r="J29" i="4"/>
  <c r="J34" i="4"/>
  <c r="J51" i="4"/>
  <c r="J59" i="4"/>
  <c r="J61" i="4"/>
  <c r="J68" i="4"/>
  <c r="J70" i="4"/>
  <c r="J87" i="4"/>
  <c r="I51" i="4"/>
  <c r="I123" i="4"/>
  <c r="I125" i="4"/>
  <c r="I130" i="4"/>
  <c r="I184" i="4"/>
  <c r="G249" i="4"/>
  <c r="I248" i="4"/>
  <c r="I255" i="4"/>
  <c r="J269" i="4"/>
  <c r="J261" i="4"/>
  <c r="J199" i="4"/>
  <c r="J137" i="4"/>
  <c r="G55" i="4"/>
  <c r="I102" i="4"/>
  <c r="J239" i="4"/>
  <c r="J205" i="4"/>
  <c r="J281" i="4"/>
  <c r="J268" i="4"/>
  <c r="J260" i="4"/>
  <c r="J256" i="4"/>
  <c r="J252" i="4"/>
  <c r="J222" i="4"/>
  <c r="J194" i="4"/>
  <c r="J133" i="4"/>
  <c r="J121" i="4"/>
  <c r="J107" i="4"/>
  <c r="J74" i="4"/>
  <c r="J60" i="4"/>
  <c r="J46" i="4"/>
  <c r="J23" i="4"/>
  <c r="J118" i="4"/>
  <c r="J271" i="4"/>
  <c r="I65" i="4"/>
  <c r="G263" i="4"/>
  <c r="H126" i="4"/>
  <c r="I34" i="4"/>
  <c r="I41" i="4"/>
  <c r="I54" i="4"/>
  <c r="I60" i="4"/>
  <c r="I67" i="4"/>
  <c r="I103" i="4"/>
  <c r="I107" i="4"/>
  <c r="I113" i="4"/>
  <c r="I131" i="4"/>
  <c r="I203" i="4"/>
  <c r="I205" i="4"/>
  <c r="I226" i="4"/>
  <c r="I260" i="4"/>
  <c r="I282" i="4"/>
  <c r="J280" i="4"/>
  <c r="J266" i="4"/>
  <c r="J259" i="4"/>
  <c r="J255" i="4"/>
  <c r="J204" i="4"/>
  <c r="J186" i="4"/>
  <c r="J176" i="4"/>
  <c r="J131" i="4"/>
  <c r="J119" i="4"/>
  <c r="J105" i="4"/>
  <c r="J69" i="4"/>
  <c r="J58" i="4"/>
  <c r="J270" i="4"/>
  <c r="I239" i="4"/>
  <c r="J267" i="4"/>
  <c r="J98" i="4"/>
  <c r="J104" i="4"/>
  <c r="J108" i="4"/>
  <c r="J115" i="4"/>
  <c r="J123" i="4"/>
  <c r="J130" i="4"/>
  <c r="J136" i="4"/>
  <c r="J140" i="4"/>
  <c r="J180" i="4"/>
  <c r="J184" i="4"/>
  <c r="J198" i="4"/>
  <c r="J203" i="4"/>
  <c r="J233" i="4"/>
  <c r="J248" i="4"/>
  <c r="J102" i="4"/>
  <c r="J106" i="4"/>
  <c r="J112" i="4"/>
  <c r="J120" i="4"/>
  <c r="J125" i="4"/>
  <c r="J132" i="4"/>
  <c r="J138" i="4"/>
  <c r="J182" i="4"/>
  <c r="J187" i="4"/>
  <c r="J200" i="4"/>
  <c r="I281" i="4"/>
  <c r="J30" i="4"/>
  <c r="J48" i="4"/>
  <c r="J49" i="4"/>
  <c r="J50" i="4"/>
  <c r="K50" i="4" s="1"/>
  <c r="N50" i="4" s="1"/>
  <c r="J40" i="4"/>
  <c r="K40" i="4" s="1"/>
  <c r="N40" i="4" s="1"/>
  <c r="H62" i="4"/>
  <c r="I68" i="4"/>
  <c r="I228" i="4"/>
  <c r="J39" i="4"/>
  <c r="D275" i="4"/>
  <c r="I52" i="4"/>
  <c r="I42" i="4"/>
  <c r="J190" i="4"/>
  <c r="J52" i="4"/>
  <c r="I118" i="4"/>
  <c r="I267" i="4"/>
  <c r="I271" i="4"/>
  <c r="I285" i="4"/>
  <c r="G43" i="4"/>
  <c r="G236" i="4"/>
  <c r="G84" i="4"/>
  <c r="I58" i="4"/>
  <c r="I59" i="4"/>
  <c r="J288" i="1"/>
  <c r="I291" i="2"/>
  <c r="C186" i="1"/>
  <c r="C139" i="1"/>
  <c r="C138" i="1"/>
  <c r="C129" i="1"/>
  <c r="D129" i="1" s="1"/>
  <c r="C120" i="1"/>
  <c r="C112" i="1"/>
  <c r="C104" i="1"/>
  <c r="E80" i="2"/>
  <c r="C74" i="1"/>
  <c r="C76" i="1" s="1"/>
  <c r="C67" i="1"/>
  <c r="C34" i="1"/>
  <c r="C32" i="1"/>
  <c r="I267" i="2"/>
  <c r="E264" i="2"/>
  <c r="E246" i="2"/>
  <c r="I240" i="2"/>
  <c r="C241" i="1"/>
  <c r="D241" i="1" s="1"/>
  <c r="E242" i="2"/>
  <c r="C229" i="1"/>
  <c r="I226" i="2"/>
  <c r="I130" i="2"/>
  <c r="E95" i="2"/>
  <c r="I67" i="2"/>
  <c r="E71" i="2"/>
  <c r="E62" i="2"/>
  <c r="C51" i="1"/>
  <c r="E17" i="2"/>
  <c r="G17" i="2" s="1"/>
  <c r="C66" i="5"/>
  <c r="C40" i="5"/>
  <c r="C92" i="5"/>
  <c r="E14" i="6"/>
  <c r="E43" i="2"/>
  <c r="C23" i="1"/>
  <c r="D23" i="1" s="1"/>
  <c r="I199" i="2"/>
  <c r="E222" i="2"/>
  <c r="K52" i="1"/>
  <c r="K50" i="1"/>
  <c r="L50" i="1" s="1"/>
  <c r="O50" i="1" s="1"/>
  <c r="K49" i="1"/>
  <c r="L49" i="1" s="1"/>
  <c r="O49" i="1" s="1"/>
  <c r="K40" i="1"/>
  <c r="L40" i="1" s="1"/>
  <c r="K39" i="1"/>
  <c r="K51" i="1"/>
  <c r="K190" i="1"/>
  <c r="K94" i="1"/>
  <c r="L94" i="1" s="1"/>
  <c r="O94" i="1" s="1"/>
  <c r="H276" i="2"/>
  <c r="F276" i="2"/>
  <c r="J220" i="4"/>
  <c r="K220" i="4" s="1"/>
  <c r="N220" i="4" s="1"/>
  <c r="K220" i="1"/>
  <c r="L220" i="1" s="1"/>
  <c r="O220" i="1" s="1"/>
  <c r="K206" i="1"/>
  <c r="L206" i="1" s="1"/>
  <c r="O206" i="1" s="1"/>
  <c r="J206" i="4"/>
  <c r="K206" i="4" s="1"/>
  <c r="N206" i="4" s="1"/>
  <c r="K33" i="1"/>
  <c r="L33" i="1" s="1"/>
  <c r="O33" i="1" s="1"/>
  <c r="J33" i="4"/>
  <c r="K33" i="4" s="1"/>
  <c r="N33" i="4" s="1"/>
  <c r="J94" i="4"/>
  <c r="K94" i="4" s="1"/>
  <c r="N94" i="4" s="1"/>
  <c r="J47" i="4"/>
  <c r="K47" i="4" s="1"/>
  <c r="N47" i="4" s="1"/>
  <c r="C276" i="2"/>
  <c r="K235" i="1"/>
  <c r="L235" i="1" s="1"/>
  <c r="O235" i="1" s="1"/>
  <c r="J234" i="4"/>
  <c r="K234" i="4" s="1"/>
  <c r="N234" i="4" s="1"/>
  <c r="K122" i="1"/>
  <c r="L122" i="1" s="1"/>
  <c r="O122" i="1" s="1"/>
  <c r="J122" i="4"/>
  <c r="K122" i="4" s="1"/>
  <c r="N122" i="4" s="1"/>
  <c r="K141" i="1"/>
  <c r="J103" i="5"/>
  <c r="K103" i="5" s="1"/>
  <c r="N103" i="5" s="1"/>
  <c r="J77" i="5"/>
  <c r="K77" i="5" s="1"/>
  <c r="N77" i="5" s="1"/>
  <c r="J51" i="5"/>
  <c r="K51" i="5" s="1"/>
  <c r="N51" i="5" s="1"/>
  <c r="J25" i="5"/>
  <c r="K25" i="5" s="1"/>
  <c r="N25" i="5" s="1"/>
  <c r="J141" i="4"/>
  <c r="K141" i="4" s="1"/>
  <c r="N141" i="4" s="1"/>
  <c r="K233" i="1"/>
  <c r="K231" i="1"/>
  <c r="K143" i="1"/>
  <c r="K142" i="1"/>
  <c r="K114" i="1"/>
  <c r="J232" i="4"/>
  <c r="K232" i="4" s="1"/>
  <c r="N232" i="4" s="1"/>
  <c r="J230" i="4"/>
  <c r="K230" i="4" s="1"/>
  <c r="N230" i="4" s="1"/>
  <c r="J143" i="4"/>
  <c r="K143" i="4" s="1"/>
  <c r="N143" i="4" s="1"/>
  <c r="J142" i="4"/>
  <c r="K142" i="4" s="1"/>
  <c r="N142" i="4" s="1"/>
  <c r="J114" i="4"/>
  <c r="K114" i="4" s="1"/>
  <c r="N114" i="4" s="1"/>
  <c r="K193" i="4" l="1"/>
  <c r="N193" i="4" s="1"/>
  <c r="O226" i="1"/>
  <c r="G173" i="4"/>
  <c r="H90" i="4"/>
  <c r="L258" i="1"/>
  <c r="O258" i="1" s="1"/>
  <c r="D138" i="1"/>
  <c r="F138" i="1" s="1"/>
  <c r="H138" i="1" s="1"/>
  <c r="J138" i="1" s="1"/>
  <c r="L138" i="1" s="1"/>
  <c r="O138" i="1" s="1"/>
  <c r="D181" i="1"/>
  <c r="D112" i="1"/>
  <c r="F112" i="1" s="1"/>
  <c r="H112" i="1" s="1"/>
  <c r="J112" i="1" s="1"/>
  <c r="L112" i="1" s="1"/>
  <c r="D139" i="1"/>
  <c r="F139" i="1" s="1"/>
  <c r="H139" i="1" s="1"/>
  <c r="J139" i="1" s="1"/>
  <c r="L139" i="1" s="1"/>
  <c r="O139" i="1" s="1"/>
  <c r="D29" i="1"/>
  <c r="F29" i="1" s="1"/>
  <c r="H29" i="1" s="1"/>
  <c r="J29" i="1" s="1"/>
  <c r="L29" i="1" s="1"/>
  <c r="O29" i="1" s="1"/>
  <c r="D107" i="1"/>
  <c r="F107" i="1" s="1"/>
  <c r="H107" i="1" s="1"/>
  <c r="J107" i="1" s="1"/>
  <c r="L107" i="1" s="1"/>
  <c r="O107" i="1" s="1"/>
  <c r="D124" i="1"/>
  <c r="F124" i="1" s="1"/>
  <c r="H124" i="1" s="1"/>
  <c r="J124" i="1" s="1"/>
  <c r="L124" i="1" s="1"/>
  <c r="O124" i="1" s="1"/>
  <c r="D31" i="1"/>
  <c r="F31" i="1" s="1"/>
  <c r="H31" i="1" s="1"/>
  <c r="J31" i="1" s="1"/>
  <c r="L31" i="1" s="1"/>
  <c r="O31" i="1" s="1"/>
  <c r="D110" i="1"/>
  <c r="F110" i="1" s="1"/>
  <c r="H110" i="1" s="1"/>
  <c r="J110" i="1" s="1"/>
  <c r="L110" i="1" s="1"/>
  <c r="O110" i="1" s="1"/>
  <c r="D58" i="1"/>
  <c r="D140" i="1"/>
  <c r="F140" i="1" s="1"/>
  <c r="H140" i="1" s="1"/>
  <c r="J140" i="1" s="1"/>
  <c r="L140" i="1" s="1"/>
  <c r="O140" i="1" s="1"/>
  <c r="D123" i="1"/>
  <c r="F123" i="1" s="1"/>
  <c r="H123" i="1" s="1"/>
  <c r="J123" i="1" s="1"/>
  <c r="L123" i="1" s="1"/>
  <c r="O123" i="1" s="1"/>
  <c r="D200" i="1"/>
  <c r="F200" i="1" s="1"/>
  <c r="H200" i="1" s="1"/>
  <c r="L261" i="1"/>
  <c r="O261" i="1" s="1"/>
  <c r="D273" i="1"/>
  <c r="F273" i="1" s="1"/>
  <c r="H273" i="1" s="1"/>
  <c r="J273" i="1" s="1"/>
  <c r="L273" i="1" s="1"/>
  <c r="O273" i="1" s="1"/>
  <c r="D256" i="1"/>
  <c r="F256" i="1" s="1"/>
  <c r="H256" i="1" s="1"/>
  <c r="J256" i="1" s="1"/>
  <c r="L256" i="1" s="1"/>
  <c r="O256" i="1" s="1"/>
  <c r="D254" i="1"/>
  <c r="F254" i="1" s="1"/>
  <c r="H254" i="1" s="1"/>
  <c r="J254" i="1" s="1"/>
  <c r="L254" i="1" s="1"/>
  <c r="O254" i="1" s="1"/>
  <c r="D257" i="1"/>
  <c r="F257" i="1" s="1"/>
  <c r="H257" i="1" s="1"/>
  <c r="J257" i="1" s="1"/>
  <c r="L257" i="1" s="1"/>
  <c r="O257" i="1" s="1"/>
  <c r="D120" i="1"/>
  <c r="F120" i="1" s="1"/>
  <c r="H120" i="1" s="1"/>
  <c r="J120" i="1" s="1"/>
  <c r="L120" i="1" s="1"/>
  <c r="O120" i="1" s="1"/>
  <c r="D198" i="1"/>
  <c r="F198" i="1" s="1"/>
  <c r="H198" i="1" s="1"/>
  <c r="J198" i="1" s="1"/>
  <c r="L198" i="1" s="1"/>
  <c r="O198" i="1" s="1"/>
  <c r="D30" i="1"/>
  <c r="F30" i="1" s="1"/>
  <c r="H30" i="1" s="1"/>
  <c r="J30" i="1" s="1"/>
  <c r="L30" i="1" s="1"/>
  <c r="O30" i="1" s="1"/>
  <c r="D183" i="1"/>
  <c r="F183" i="1" s="1"/>
  <c r="H183" i="1" s="1"/>
  <c r="J183" i="1" s="1"/>
  <c r="L183" i="1" s="1"/>
  <c r="O183" i="1" s="1"/>
  <c r="N112" i="2"/>
  <c r="D187" i="1"/>
  <c r="F187" i="1" s="1"/>
  <c r="H187" i="1" s="1"/>
  <c r="J187" i="1" s="1"/>
  <c r="L187" i="1" s="1"/>
  <c r="O187" i="1" s="1"/>
  <c r="D125" i="1"/>
  <c r="F125" i="1" s="1"/>
  <c r="H125" i="1" s="1"/>
  <c r="J125" i="1" s="1"/>
  <c r="L125" i="1" s="1"/>
  <c r="O125" i="1" s="1"/>
  <c r="D59" i="1"/>
  <c r="F59" i="1" s="1"/>
  <c r="H59" i="1" s="1"/>
  <c r="J59" i="1" s="1"/>
  <c r="D65" i="1"/>
  <c r="F65" i="1" s="1"/>
  <c r="H65" i="1" s="1"/>
  <c r="J65" i="1" s="1"/>
  <c r="L65" i="1" s="1"/>
  <c r="O65" i="1" s="1"/>
  <c r="D69" i="1"/>
  <c r="D118" i="1"/>
  <c r="F118" i="1" s="1"/>
  <c r="H118" i="1" s="1"/>
  <c r="J118" i="1" s="1"/>
  <c r="L118" i="1" s="1"/>
  <c r="O118" i="1" s="1"/>
  <c r="L259" i="1"/>
  <c r="O259" i="1" s="1"/>
  <c r="D104" i="1"/>
  <c r="F104" i="1" s="1"/>
  <c r="H104" i="1" s="1"/>
  <c r="J104" i="1" s="1"/>
  <c r="L104" i="1" s="1"/>
  <c r="O104" i="1" s="1"/>
  <c r="D25" i="1"/>
  <c r="F25" i="1" s="1"/>
  <c r="H25" i="1" s="1"/>
  <c r="J25" i="1" s="1"/>
  <c r="L25" i="1" s="1"/>
  <c r="O25" i="1" s="1"/>
  <c r="D190" i="1"/>
  <c r="F190" i="1" s="1"/>
  <c r="H190" i="1" s="1"/>
  <c r="J190" i="1" s="1"/>
  <c r="L190" i="1" s="1"/>
  <c r="O190" i="1" s="1"/>
  <c r="D67" i="1"/>
  <c r="F67" i="1" s="1"/>
  <c r="H67" i="1" s="1"/>
  <c r="D199" i="1"/>
  <c r="F199" i="1" s="1"/>
  <c r="H199" i="1" s="1"/>
  <c r="J199" i="1" s="1"/>
  <c r="L199" i="1" s="1"/>
  <c r="O199" i="1" s="1"/>
  <c r="D204" i="1"/>
  <c r="F204" i="1" s="1"/>
  <c r="H204" i="1" s="1"/>
  <c r="J204" i="1" s="1"/>
  <c r="L204" i="1" s="1"/>
  <c r="O204" i="1" s="1"/>
  <c r="D48" i="1"/>
  <c r="F48" i="1" s="1"/>
  <c r="H48" i="1" s="1"/>
  <c r="J48" i="1" s="1"/>
  <c r="L48" i="1" s="1"/>
  <c r="O48" i="1" s="1"/>
  <c r="D61" i="1"/>
  <c r="F61" i="1" s="1"/>
  <c r="H61" i="1" s="1"/>
  <c r="J61" i="1" s="1"/>
  <c r="L61" i="1" s="1"/>
  <c r="O61" i="1" s="1"/>
  <c r="D130" i="1"/>
  <c r="F130" i="1" s="1"/>
  <c r="H130" i="1" s="1"/>
  <c r="J130" i="1" s="1"/>
  <c r="L130" i="1" s="1"/>
  <c r="O130" i="1" s="1"/>
  <c r="D131" i="1"/>
  <c r="F131" i="1" s="1"/>
  <c r="H131" i="1" s="1"/>
  <c r="J131" i="1" s="1"/>
  <c r="L131" i="1" s="1"/>
  <c r="O131" i="1" s="1"/>
  <c r="D268" i="1"/>
  <c r="D180" i="1"/>
  <c r="F180" i="1" s="1"/>
  <c r="H180" i="1" s="1"/>
  <c r="J180" i="1" s="1"/>
  <c r="L180" i="1" s="1"/>
  <c r="O180" i="1" s="1"/>
  <c r="D32" i="1"/>
  <c r="F32" i="1" s="1"/>
  <c r="H32" i="1" s="1"/>
  <c r="J32" i="1" s="1"/>
  <c r="L32" i="1" s="1"/>
  <c r="O32" i="1" s="1"/>
  <c r="I87" i="4"/>
  <c r="I90" i="4" s="1"/>
  <c r="D182" i="1"/>
  <c r="F182" i="1" s="1"/>
  <c r="H182" i="1" s="1"/>
  <c r="J182" i="1" s="1"/>
  <c r="L182" i="1" s="1"/>
  <c r="O182" i="1" s="1"/>
  <c r="D184" i="1"/>
  <c r="F184" i="1" s="1"/>
  <c r="H184" i="1" s="1"/>
  <c r="J184" i="1" s="1"/>
  <c r="L184" i="1" s="1"/>
  <c r="O184" i="1" s="1"/>
  <c r="D106" i="1"/>
  <c r="F106" i="1" s="1"/>
  <c r="H106" i="1" s="1"/>
  <c r="J106" i="1" s="1"/>
  <c r="L106" i="1" s="1"/>
  <c r="O106" i="1" s="1"/>
  <c r="D242" i="1"/>
  <c r="F242" i="1" s="1"/>
  <c r="H242" i="1" s="1"/>
  <c r="J242" i="1" s="1"/>
  <c r="L242" i="1" s="1"/>
  <c r="O242" i="1" s="1"/>
  <c r="C80" i="1"/>
  <c r="D79" i="1"/>
  <c r="D80" i="1" s="1"/>
  <c r="D205" i="1"/>
  <c r="F205" i="1" s="1"/>
  <c r="H205" i="1" s="1"/>
  <c r="J205" i="1" s="1"/>
  <c r="L205" i="1" s="1"/>
  <c r="O205" i="1" s="1"/>
  <c r="D42" i="1"/>
  <c r="F42" i="1" s="1"/>
  <c r="H42" i="1" s="1"/>
  <c r="J42" i="1" s="1"/>
  <c r="L42" i="1" s="1"/>
  <c r="O42" i="1" s="1"/>
  <c r="D103" i="1"/>
  <c r="F103" i="1" s="1"/>
  <c r="H103" i="1" s="1"/>
  <c r="J103" i="1" s="1"/>
  <c r="L103" i="1" s="1"/>
  <c r="O103" i="1" s="1"/>
  <c r="D133" i="1"/>
  <c r="F133" i="1" s="1"/>
  <c r="H133" i="1" s="1"/>
  <c r="J133" i="1" s="1"/>
  <c r="L133" i="1" s="1"/>
  <c r="O133" i="1" s="1"/>
  <c r="F39" i="1"/>
  <c r="H39" i="1" s="1"/>
  <c r="J39" i="1" s="1"/>
  <c r="L39" i="1" s="1"/>
  <c r="O39" i="1" s="1"/>
  <c r="D39" i="1"/>
  <c r="D136" i="1"/>
  <c r="F136" i="1" s="1"/>
  <c r="H136" i="1" s="1"/>
  <c r="J136" i="1" s="1"/>
  <c r="L136" i="1" s="1"/>
  <c r="O136" i="1" s="1"/>
  <c r="D192" i="1"/>
  <c r="F192" i="1" s="1"/>
  <c r="H192" i="1" s="1"/>
  <c r="J192" i="1" s="1"/>
  <c r="L192" i="1" s="1"/>
  <c r="O192" i="1" s="1"/>
  <c r="L272" i="1"/>
  <c r="O272" i="1" s="1"/>
  <c r="L270" i="1"/>
  <c r="O270" i="1" s="1"/>
  <c r="L262" i="1"/>
  <c r="O262" i="1" s="1"/>
  <c r="L274" i="1"/>
  <c r="O274" i="1" s="1"/>
  <c r="L260" i="1"/>
  <c r="O260" i="1" s="1"/>
  <c r="D263" i="1"/>
  <c r="F263" i="1" s="1"/>
  <c r="H263" i="1" s="1"/>
  <c r="J263" i="1" s="1"/>
  <c r="L263" i="1" s="1"/>
  <c r="O263" i="1" s="1"/>
  <c r="D271" i="1"/>
  <c r="F271" i="1" s="1"/>
  <c r="H271" i="1" s="1"/>
  <c r="J271" i="1" s="1"/>
  <c r="L271" i="1" s="1"/>
  <c r="O271" i="1" s="1"/>
  <c r="D269" i="1"/>
  <c r="F269" i="1" s="1"/>
  <c r="H269" i="1" s="1"/>
  <c r="J269" i="1" s="1"/>
  <c r="L269" i="1" s="1"/>
  <c r="O269" i="1" s="1"/>
  <c r="D264" i="1"/>
  <c r="F264" i="1" s="1"/>
  <c r="H264" i="1" s="1"/>
  <c r="J264" i="1" s="1"/>
  <c r="L264" i="1" s="1"/>
  <c r="O264" i="1" s="1"/>
  <c r="F87" i="1"/>
  <c r="C90" i="1"/>
  <c r="I87" i="2"/>
  <c r="G90" i="2"/>
  <c r="K208" i="4"/>
  <c r="N208" i="4" s="1"/>
  <c r="K57" i="5"/>
  <c r="N57" i="5" s="1"/>
  <c r="K135" i="5"/>
  <c r="I55" i="5"/>
  <c r="G123" i="5"/>
  <c r="K30" i="5"/>
  <c r="N30" i="5" s="1"/>
  <c r="J74" i="1"/>
  <c r="J76" i="1" s="1"/>
  <c r="H76" i="1"/>
  <c r="O24" i="1"/>
  <c r="L146" i="1"/>
  <c r="O146" i="1" s="1"/>
  <c r="I74" i="4"/>
  <c r="N75" i="4"/>
  <c r="L37" i="1"/>
  <c r="O37" i="1" s="1"/>
  <c r="L75" i="1"/>
  <c r="O75" i="1" s="1"/>
  <c r="L287" i="1"/>
  <c r="O287" i="1" s="1"/>
  <c r="O288" i="1" s="1"/>
  <c r="I74" i="2"/>
  <c r="I76" i="2" s="1"/>
  <c r="G242" i="2"/>
  <c r="C177" i="1"/>
  <c r="G279" i="2"/>
  <c r="K84" i="2"/>
  <c r="E45" i="5"/>
  <c r="G45" i="5" s="1"/>
  <c r="I45" i="5" s="1"/>
  <c r="K45" i="5" s="1"/>
  <c r="N45" i="5" s="1"/>
  <c r="E17" i="6"/>
  <c r="G17" i="6" s="1"/>
  <c r="I17" i="6" s="1"/>
  <c r="E18" i="2"/>
  <c r="G14" i="6"/>
  <c r="I14" i="2"/>
  <c r="G18" i="2"/>
  <c r="G107" i="5"/>
  <c r="E72" i="5"/>
  <c r="G72" i="5" s="1"/>
  <c r="I72" i="5" s="1"/>
  <c r="K72" i="5" s="1"/>
  <c r="N72" i="5" s="1"/>
  <c r="K71" i="5"/>
  <c r="N71" i="5" s="1"/>
  <c r="K96" i="5"/>
  <c r="N96" i="5" s="1"/>
  <c r="K70" i="5"/>
  <c r="N70" i="5" s="1"/>
  <c r="E97" i="5"/>
  <c r="G97" i="5" s="1"/>
  <c r="I97" i="5" s="1"/>
  <c r="K97" i="5" s="1"/>
  <c r="N97" i="5" s="1"/>
  <c r="K177" i="2"/>
  <c r="O40" i="1"/>
  <c r="G223" i="1"/>
  <c r="I29" i="5"/>
  <c r="K85" i="5"/>
  <c r="N85" i="5" s="1"/>
  <c r="E26" i="6"/>
  <c r="E223" i="1"/>
  <c r="E277" i="1" s="1"/>
  <c r="E292" i="1" s="1"/>
  <c r="N107" i="5"/>
  <c r="N135" i="5" s="1"/>
  <c r="K253" i="4"/>
  <c r="N253" i="4" s="1"/>
  <c r="I177" i="4"/>
  <c r="I99" i="4"/>
  <c r="I84" i="4"/>
  <c r="I80" i="4"/>
  <c r="K204" i="4"/>
  <c r="N204" i="4" s="1"/>
  <c r="L202" i="1"/>
  <c r="O202" i="1" s="1"/>
  <c r="E55" i="2"/>
  <c r="I46" i="2"/>
  <c r="G273" i="4"/>
  <c r="K109" i="5"/>
  <c r="N109" i="5" s="1"/>
  <c r="K43" i="5"/>
  <c r="N43" i="5" s="1"/>
  <c r="I240" i="4"/>
  <c r="C230" i="1"/>
  <c r="E173" i="2"/>
  <c r="C46" i="1"/>
  <c r="G274" i="2"/>
  <c r="L26" i="1"/>
  <c r="O26" i="1" s="1"/>
  <c r="L222" i="1"/>
  <c r="O222" i="1" s="1"/>
  <c r="N15" i="2"/>
  <c r="N18" i="2" s="1"/>
  <c r="K14" i="5"/>
  <c r="K40" i="5" s="1"/>
  <c r="N40" i="5" s="1"/>
  <c r="K15" i="6"/>
  <c r="K18" i="6" s="1"/>
  <c r="C137" i="1"/>
  <c r="G99" i="4"/>
  <c r="D276" i="2"/>
  <c r="D15" i="5" s="1"/>
  <c r="K187" i="4"/>
  <c r="N187" i="4" s="1"/>
  <c r="K98" i="4"/>
  <c r="N98" i="4" s="1"/>
  <c r="N99" i="4" s="1"/>
  <c r="C247" i="1"/>
  <c r="I34" i="2"/>
  <c r="K34" i="2" s="1"/>
  <c r="L51" i="1"/>
  <c r="O51" i="1" s="1"/>
  <c r="I129" i="4"/>
  <c r="K54" i="4"/>
  <c r="N54" i="4" s="1"/>
  <c r="H241" i="4"/>
  <c r="L53" i="1"/>
  <c r="O53" i="1" s="1"/>
  <c r="K129" i="2"/>
  <c r="N129" i="2" s="1"/>
  <c r="I173" i="2"/>
  <c r="F176" i="1"/>
  <c r="F177" i="1" s="1"/>
  <c r="G173" i="2"/>
  <c r="H71" i="4"/>
  <c r="G98" i="2"/>
  <c r="E99" i="2"/>
  <c r="C98" i="1"/>
  <c r="D98" i="1" s="1"/>
  <c r="L121" i="1"/>
  <c r="O121" i="1" s="1"/>
  <c r="L115" i="1"/>
  <c r="O115" i="1" s="1"/>
  <c r="L35" i="1"/>
  <c r="O35" i="1" s="1"/>
  <c r="H95" i="4"/>
  <c r="K180" i="4"/>
  <c r="N180" i="4" s="1"/>
  <c r="K51" i="4"/>
  <c r="N51" i="4" s="1"/>
  <c r="K83" i="4"/>
  <c r="C275" i="1"/>
  <c r="K39" i="4"/>
  <c r="N39" i="4" s="1"/>
  <c r="K132" i="4"/>
  <c r="N132" i="4" s="1"/>
  <c r="K70" i="4"/>
  <c r="N70" i="4" s="1"/>
  <c r="G55" i="2"/>
  <c r="L41" i="1"/>
  <c r="O41" i="1" s="1"/>
  <c r="K49" i="4"/>
  <c r="N49" i="4" s="1"/>
  <c r="K198" i="4"/>
  <c r="N198" i="4" s="1"/>
  <c r="I244" i="4"/>
  <c r="K256" i="4"/>
  <c r="N256" i="4" s="1"/>
  <c r="L70" i="1"/>
  <c r="O70" i="1" s="1"/>
  <c r="L143" i="1"/>
  <c r="O143" i="1" s="1"/>
  <c r="K267" i="4"/>
  <c r="N267" i="4" s="1"/>
  <c r="K200" i="4"/>
  <c r="N200" i="4" s="1"/>
  <c r="K222" i="4"/>
  <c r="N222" i="4" s="1"/>
  <c r="H273" i="4"/>
  <c r="K254" i="4"/>
  <c r="N254" i="4" s="1"/>
  <c r="K231" i="4"/>
  <c r="N231" i="4" s="1"/>
  <c r="C71" i="1"/>
  <c r="F237" i="1"/>
  <c r="H237" i="1" s="1"/>
  <c r="K235" i="4"/>
  <c r="N235" i="4" s="1"/>
  <c r="K182" i="4"/>
  <c r="N182" i="4" s="1"/>
  <c r="K66" i="4"/>
  <c r="N66" i="4" s="1"/>
  <c r="K283" i="4"/>
  <c r="N283" i="4" s="1"/>
  <c r="L132" i="1"/>
  <c r="O132" i="1" s="1"/>
  <c r="L105" i="1"/>
  <c r="O105" i="1" s="1"/>
  <c r="L233" i="1"/>
  <c r="O233" i="1" s="1"/>
  <c r="L52" i="1"/>
  <c r="O52" i="1" s="1"/>
  <c r="G43" i="2"/>
  <c r="K233" i="4"/>
  <c r="N233" i="4" s="1"/>
  <c r="L66" i="1"/>
  <c r="O66" i="1" s="1"/>
  <c r="K119" i="4"/>
  <c r="N119" i="4" s="1"/>
  <c r="K262" i="4"/>
  <c r="N262" i="4" s="1"/>
  <c r="C95" i="1"/>
  <c r="K19" i="5"/>
  <c r="N19" i="5" s="1"/>
  <c r="L203" i="1"/>
  <c r="O203" i="1" s="1"/>
  <c r="K35" i="4"/>
  <c r="N35" i="4" s="1"/>
  <c r="L114" i="1"/>
  <c r="O114" i="1" s="1"/>
  <c r="K93" i="4"/>
  <c r="N93" i="4" s="1"/>
  <c r="L68" i="1"/>
  <c r="O68" i="1" s="1"/>
  <c r="L113" i="1"/>
  <c r="O113" i="1" s="1"/>
  <c r="K139" i="4"/>
  <c r="N139" i="4" s="1"/>
  <c r="L28" i="1"/>
  <c r="O28" i="1" s="1"/>
  <c r="K192" i="4"/>
  <c r="N192" i="4" s="1"/>
  <c r="K272" i="4"/>
  <c r="N272" i="4" s="1"/>
  <c r="L141" i="1"/>
  <c r="O141" i="1" s="1"/>
  <c r="L231" i="1"/>
  <c r="O231" i="1" s="1"/>
  <c r="K183" i="4"/>
  <c r="N183" i="4" s="1"/>
  <c r="L142" i="1"/>
  <c r="O142" i="1" s="1"/>
  <c r="K285" i="4"/>
  <c r="N285" i="4" s="1"/>
  <c r="I249" i="2"/>
  <c r="G250" i="2"/>
  <c r="G119" i="2"/>
  <c r="I119" i="2" s="1"/>
  <c r="K119" i="2" s="1"/>
  <c r="N119" i="2" s="1"/>
  <c r="C119" i="1"/>
  <c r="C62" i="1"/>
  <c r="G71" i="2"/>
  <c r="K271" i="4"/>
  <c r="N271" i="4" s="1"/>
  <c r="K52" i="4"/>
  <c r="N52" i="4" s="1"/>
  <c r="H263" i="4"/>
  <c r="K113" i="4"/>
  <c r="N113" i="4" s="1"/>
  <c r="K41" i="4"/>
  <c r="N41" i="4" s="1"/>
  <c r="H43" i="4"/>
  <c r="K268" i="4"/>
  <c r="N268" i="4" s="1"/>
  <c r="C84" i="1"/>
  <c r="C223" i="1"/>
  <c r="K59" i="4"/>
  <c r="N59" i="4" s="1"/>
  <c r="K28" i="4"/>
  <c r="N28" i="4" s="1"/>
  <c r="K269" i="4"/>
  <c r="N269" i="4" s="1"/>
  <c r="K31" i="4"/>
  <c r="N31" i="4" s="1"/>
  <c r="C251" i="1"/>
  <c r="J108" i="1"/>
  <c r="L108" i="1" s="1"/>
  <c r="O108" i="1" s="1"/>
  <c r="D92" i="5"/>
  <c r="E92" i="5" s="1"/>
  <c r="H14" i="5"/>
  <c r="H92" i="5" s="1"/>
  <c r="F15" i="6"/>
  <c r="F18" i="6" s="1"/>
  <c r="F14" i="5"/>
  <c r="G36" i="6"/>
  <c r="I36" i="6" s="1"/>
  <c r="H15" i="6"/>
  <c r="H18" i="6" s="1"/>
  <c r="K181" i="4"/>
  <c r="N181" i="4" s="1"/>
  <c r="K136" i="4"/>
  <c r="N136" i="4" s="1"/>
  <c r="K137" i="4"/>
  <c r="N137" i="4" s="1"/>
  <c r="K108" i="4"/>
  <c r="N108" i="4" s="1"/>
  <c r="K104" i="4"/>
  <c r="N104" i="4" s="1"/>
  <c r="K121" i="4"/>
  <c r="N121" i="4" s="1"/>
  <c r="K69" i="4"/>
  <c r="N69" i="4" s="1"/>
  <c r="K30" i="4"/>
  <c r="N30" i="4" s="1"/>
  <c r="K259" i="4"/>
  <c r="N259" i="4" s="1"/>
  <c r="K252" i="4"/>
  <c r="N252" i="4" s="1"/>
  <c r="K190" i="4"/>
  <c r="N190" i="4" s="1"/>
  <c r="K138" i="4"/>
  <c r="N138" i="4" s="1"/>
  <c r="K106" i="4"/>
  <c r="N106" i="4" s="1"/>
  <c r="K112" i="4"/>
  <c r="I95" i="4"/>
  <c r="K79" i="4"/>
  <c r="E275" i="4"/>
  <c r="E290" i="4" s="1"/>
  <c r="I55" i="4"/>
  <c r="K46" i="4"/>
  <c r="N46" i="4" s="1"/>
  <c r="K228" i="4"/>
  <c r="N228" i="4" s="1"/>
  <c r="K48" i="4"/>
  <c r="N48" i="4" s="1"/>
  <c r="K105" i="4"/>
  <c r="N105" i="4" s="1"/>
  <c r="K186" i="4"/>
  <c r="N186" i="4" s="1"/>
  <c r="K261" i="4"/>
  <c r="N261" i="4" s="1"/>
  <c r="K61" i="4"/>
  <c r="N61" i="4" s="1"/>
  <c r="K29" i="4"/>
  <c r="N29" i="4" s="1"/>
  <c r="K124" i="4"/>
  <c r="N124" i="4" s="1"/>
  <c r="K110" i="4"/>
  <c r="N110" i="4" s="1"/>
  <c r="K258" i="4"/>
  <c r="N258" i="4" s="1"/>
  <c r="K53" i="4"/>
  <c r="N53" i="4" s="1"/>
  <c r="K26" i="4"/>
  <c r="N26" i="4" s="1"/>
  <c r="K270" i="4"/>
  <c r="N270" i="4" s="1"/>
  <c r="K133" i="4"/>
  <c r="N133" i="4" s="1"/>
  <c r="K118" i="4"/>
  <c r="N118" i="4" s="1"/>
  <c r="K229" i="4"/>
  <c r="N229" i="4" s="1"/>
  <c r="K226" i="4"/>
  <c r="N226" i="4" s="1"/>
  <c r="K120" i="4"/>
  <c r="N120" i="4" s="1"/>
  <c r="K203" i="4"/>
  <c r="N203" i="4" s="1"/>
  <c r="K103" i="4"/>
  <c r="N103" i="4" s="1"/>
  <c r="K24" i="4"/>
  <c r="N24" i="4" s="1"/>
  <c r="K25" i="4"/>
  <c r="N25" i="4" s="1"/>
  <c r="K257" i="4"/>
  <c r="N257" i="4" s="1"/>
  <c r="K280" i="4"/>
  <c r="N280" i="4" s="1"/>
  <c r="K282" i="4"/>
  <c r="N282" i="4" s="1"/>
  <c r="K130" i="4"/>
  <c r="N130" i="4" s="1"/>
  <c r="K87" i="4"/>
  <c r="K90" i="4" s="1"/>
  <c r="K199" i="4"/>
  <c r="N199" i="4" s="1"/>
  <c r="K140" i="4"/>
  <c r="N140" i="4" s="1"/>
  <c r="K115" i="4"/>
  <c r="N115" i="4" s="1"/>
  <c r="K205" i="4"/>
  <c r="N205" i="4" s="1"/>
  <c r="K67" i="4"/>
  <c r="N67" i="4" s="1"/>
  <c r="K34" i="4"/>
  <c r="N34" i="4" s="1"/>
  <c r="K202" i="4"/>
  <c r="N202" i="4" s="1"/>
  <c r="I273" i="4"/>
  <c r="I43" i="4"/>
  <c r="K60" i="4"/>
  <c r="N60" i="4" s="1"/>
  <c r="K65" i="4"/>
  <c r="N65" i="4" s="1"/>
  <c r="I263" i="4"/>
  <c r="K176" i="4"/>
  <c r="N176" i="4" s="1"/>
  <c r="K32" i="4"/>
  <c r="N32" i="4" s="1"/>
  <c r="K125" i="4"/>
  <c r="N125" i="4" s="1"/>
  <c r="C34" i="6"/>
  <c r="C290" i="4"/>
  <c r="I126" i="4"/>
  <c r="I71" i="4"/>
  <c r="K68" i="4"/>
  <c r="N68" i="4" s="1"/>
  <c r="K131" i="4"/>
  <c r="N131" i="4" s="1"/>
  <c r="K184" i="4"/>
  <c r="N184" i="4" s="1"/>
  <c r="I62" i="4"/>
  <c r="I286" i="4"/>
  <c r="K102" i="4"/>
  <c r="N102" i="4" s="1"/>
  <c r="K42" i="4"/>
  <c r="N42" i="4" s="1"/>
  <c r="D34" i="6"/>
  <c r="D290" i="4"/>
  <c r="K107" i="4"/>
  <c r="N107" i="4" s="1"/>
  <c r="K255" i="4"/>
  <c r="N255" i="4" s="1"/>
  <c r="K123" i="4"/>
  <c r="N123" i="4" s="1"/>
  <c r="K58" i="4"/>
  <c r="N58" i="4" s="1"/>
  <c r="K239" i="4"/>
  <c r="N239" i="4" s="1"/>
  <c r="I236" i="4"/>
  <c r="K281" i="4"/>
  <c r="N281" i="4" s="1"/>
  <c r="K266" i="4"/>
  <c r="N266" i="4" s="1"/>
  <c r="K260" i="4"/>
  <c r="N260" i="4" s="1"/>
  <c r="K23" i="4"/>
  <c r="N23" i="4" s="1"/>
  <c r="K248" i="4"/>
  <c r="N248" i="4" s="1"/>
  <c r="I249" i="4"/>
  <c r="I123" i="5"/>
  <c r="K120" i="5"/>
  <c r="K291" i="2"/>
  <c r="I186" i="2"/>
  <c r="I222" i="2" s="1"/>
  <c r="G222" i="2"/>
  <c r="D66" i="5"/>
  <c r="E66" i="5" s="1"/>
  <c r="D40" i="5"/>
  <c r="E40" i="5" s="1"/>
  <c r="E14" i="5"/>
  <c r="I274" i="2"/>
  <c r="K267" i="2"/>
  <c r="C265" i="1"/>
  <c r="I253" i="2"/>
  <c r="G264" i="2"/>
  <c r="G246" i="2"/>
  <c r="I245" i="2"/>
  <c r="F246" i="1"/>
  <c r="H246" i="1" s="1"/>
  <c r="D247" i="1"/>
  <c r="C243" i="1"/>
  <c r="I242" i="2"/>
  <c r="K240" i="2"/>
  <c r="K226" i="2"/>
  <c r="K130" i="2"/>
  <c r="N130" i="2" s="1"/>
  <c r="K102" i="2"/>
  <c r="N102" i="2" s="1"/>
  <c r="F102" i="1"/>
  <c r="H102" i="1" s="1"/>
  <c r="I93" i="2"/>
  <c r="G95" i="2"/>
  <c r="F93" i="1"/>
  <c r="H93" i="1" s="1"/>
  <c r="D95" i="1"/>
  <c r="I79" i="2"/>
  <c r="G80" i="2"/>
  <c r="K67" i="2"/>
  <c r="I71" i="2"/>
  <c r="G62" i="2"/>
  <c r="I60" i="2"/>
  <c r="F60" i="1"/>
  <c r="H60" i="1" s="1"/>
  <c r="I51" i="2"/>
  <c r="C43" i="1"/>
  <c r="K199" i="2"/>
  <c r="N199" i="2" s="1"/>
  <c r="F15" i="5"/>
  <c r="H15" i="5"/>
  <c r="C15" i="5"/>
  <c r="N226" i="2" l="1"/>
  <c r="N237" i="2" s="1"/>
  <c r="K237" i="2"/>
  <c r="N249" i="4"/>
  <c r="D71" i="1"/>
  <c r="D62" i="1"/>
  <c r="D223" i="1"/>
  <c r="D275" i="1"/>
  <c r="F268" i="1"/>
  <c r="F181" i="1"/>
  <c r="H181" i="1" s="1"/>
  <c r="J181" i="1" s="1"/>
  <c r="L181" i="1" s="1"/>
  <c r="O181" i="1" s="1"/>
  <c r="D119" i="1"/>
  <c r="D126" i="1" s="1"/>
  <c r="C55" i="1"/>
  <c r="D46" i="1"/>
  <c r="F46" i="1" s="1"/>
  <c r="H46" i="1" s="1"/>
  <c r="F69" i="1"/>
  <c r="H69" i="1" s="1"/>
  <c r="J69" i="1" s="1"/>
  <c r="L69" i="1" s="1"/>
  <c r="O69" i="1" s="1"/>
  <c r="D137" i="1"/>
  <c r="F137" i="1" s="1"/>
  <c r="H137" i="1" s="1"/>
  <c r="J137" i="1" s="1"/>
  <c r="L137" i="1" s="1"/>
  <c r="O137" i="1" s="1"/>
  <c r="H87" i="1"/>
  <c r="H90" i="1" s="1"/>
  <c r="F90" i="1"/>
  <c r="F58" i="1"/>
  <c r="H58" i="1" s="1"/>
  <c r="J58" i="1" s="1"/>
  <c r="L58" i="1" s="1"/>
  <c r="N112" i="1"/>
  <c r="M126" i="2"/>
  <c r="K87" i="2"/>
  <c r="K90" i="2" s="1"/>
  <c r="I90" i="2"/>
  <c r="G277" i="1"/>
  <c r="G292" i="1" s="1"/>
  <c r="F209" i="4"/>
  <c r="G209" i="4" s="1"/>
  <c r="H135" i="5"/>
  <c r="H26" i="6" s="1"/>
  <c r="G135" i="5"/>
  <c r="G26" i="6" s="1"/>
  <c r="K55" i="5"/>
  <c r="L74" i="1"/>
  <c r="O74" i="1" s="1"/>
  <c r="K74" i="4"/>
  <c r="K76" i="4" s="1"/>
  <c r="I76" i="4"/>
  <c r="K74" i="2"/>
  <c r="N74" i="2" s="1"/>
  <c r="N76" i="2" s="1"/>
  <c r="L288" i="1"/>
  <c r="C173" i="1"/>
  <c r="I26" i="6"/>
  <c r="E18" i="6"/>
  <c r="I279" i="2"/>
  <c r="G194" i="4"/>
  <c r="K29" i="5"/>
  <c r="F193" i="1"/>
  <c r="N177" i="4"/>
  <c r="K244" i="4"/>
  <c r="N244" i="4" s="1"/>
  <c r="I241" i="4"/>
  <c r="I173" i="4"/>
  <c r="L59" i="1"/>
  <c r="O59" i="1" s="1"/>
  <c r="K240" i="4"/>
  <c r="N240" i="4" s="1"/>
  <c r="K46" i="2"/>
  <c r="N46" i="2" s="1"/>
  <c r="I55" i="2"/>
  <c r="K129" i="4"/>
  <c r="N129" i="4" s="1"/>
  <c r="E276" i="2"/>
  <c r="I43" i="2"/>
  <c r="K92" i="5"/>
  <c r="N92" i="5" s="1"/>
  <c r="N14" i="5"/>
  <c r="N126" i="2"/>
  <c r="K66" i="5"/>
  <c r="N66" i="5" s="1"/>
  <c r="N15" i="6"/>
  <c r="N18" i="6" s="1"/>
  <c r="K99" i="4"/>
  <c r="F79" i="1"/>
  <c r="H79" i="1" s="1"/>
  <c r="N236" i="4"/>
  <c r="H176" i="1"/>
  <c r="J176" i="1" s="1"/>
  <c r="F129" i="1"/>
  <c r="D173" i="1"/>
  <c r="K242" i="2"/>
  <c r="N240" i="2"/>
  <c r="N242" i="2" s="1"/>
  <c r="N273" i="4"/>
  <c r="N87" i="4"/>
  <c r="N90" i="4" s="1"/>
  <c r="N263" i="4"/>
  <c r="N55" i="4"/>
  <c r="K173" i="2"/>
  <c r="K80" i="4"/>
  <c r="N79" i="4"/>
  <c r="N95" i="4"/>
  <c r="K71" i="2"/>
  <c r="N67" i="2"/>
  <c r="N71" i="2" s="1"/>
  <c r="K274" i="2"/>
  <c r="N267" i="2"/>
  <c r="N274" i="2" s="1"/>
  <c r="N291" i="2"/>
  <c r="K123" i="5"/>
  <c r="N120" i="5"/>
  <c r="N123" i="5" s="1"/>
  <c r="N43" i="4"/>
  <c r="K84" i="4"/>
  <c r="N83" i="4"/>
  <c r="N173" i="2"/>
  <c r="N62" i="4"/>
  <c r="N71" i="4"/>
  <c r="N286" i="4"/>
  <c r="N36" i="6" s="1"/>
  <c r="N34" i="2"/>
  <c r="I245" i="4"/>
  <c r="C99" i="1"/>
  <c r="G99" i="2"/>
  <c r="I98" i="2"/>
  <c r="G126" i="2"/>
  <c r="C126" i="1"/>
  <c r="K95" i="4"/>
  <c r="K273" i="4"/>
  <c r="K126" i="2"/>
  <c r="K55" i="4"/>
  <c r="F83" i="1"/>
  <c r="D84" i="1"/>
  <c r="I126" i="2"/>
  <c r="F250" i="1"/>
  <c r="D251" i="1"/>
  <c r="I250" i="2"/>
  <c r="K249" i="2"/>
  <c r="H66" i="5"/>
  <c r="H40" i="5"/>
  <c r="G15" i="6"/>
  <c r="I15" i="6" s="1"/>
  <c r="G14" i="5"/>
  <c r="I14" i="5" s="1"/>
  <c r="F40" i="5"/>
  <c r="G40" i="5" s="1"/>
  <c r="F66" i="5"/>
  <c r="G66" i="5" s="1"/>
  <c r="F92" i="5"/>
  <c r="G92" i="5" s="1"/>
  <c r="I92" i="5" s="1"/>
  <c r="K236" i="4"/>
  <c r="K43" i="4"/>
  <c r="K126" i="4"/>
  <c r="E34" i="6"/>
  <c r="K177" i="4"/>
  <c r="K62" i="4"/>
  <c r="K249" i="4"/>
  <c r="K263" i="4"/>
  <c r="K71" i="4"/>
  <c r="K286" i="4"/>
  <c r="K36" i="6" s="1"/>
  <c r="K186" i="2"/>
  <c r="K43" i="2"/>
  <c r="I264" i="2"/>
  <c r="K253" i="2"/>
  <c r="D265" i="1"/>
  <c r="F247" i="1"/>
  <c r="I246" i="2"/>
  <c r="K245" i="2"/>
  <c r="F241" i="1"/>
  <c r="H241" i="1" s="1"/>
  <c r="D243" i="1"/>
  <c r="J237" i="1"/>
  <c r="F95" i="1"/>
  <c r="K93" i="2"/>
  <c r="I95" i="2"/>
  <c r="K79" i="2"/>
  <c r="I80" i="2"/>
  <c r="J67" i="1"/>
  <c r="I62" i="2"/>
  <c r="K60" i="2"/>
  <c r="K51" i="2"/>
  <c r="I17" i="2"/>
  <c r="I18" i="2" s="1"/>
  <c r="I14" i="6"/>
  <c r="F23" i="1"/>
  <c r="H23" i="1" s="1"/>
  <c r="D43" i="1"/>
  <c r="J200" i="1"/>
  <c r="H67" i="5"/>
  <c r="H41" i="5"/>
  <c r="H93" i="5"/>
  <c r="H100" i="5" s="1"/>
  <c r="H102" i="5" s="1"/>
  <c r="H104" i="5" s="1"/>
  <c r="H22" i="5"/>
  <c r="H24" i="5" s="1"/>
  <c r="H26" i="5" s="1"/>
  <c r="F67" i="5"/>
  <c r="F22" i="5"/>
  <c r="F24" i="5" s="1"/>
  <c r="F26" i="5" s="1"/>
  <c r="F28" i="5" s="1"/>
  <c r="F33" i="5" s="1"/>
  <c r="F41" i="5"/>
  <c r="F93" i="5"/>
  <c r="D67" i="5"/>
  <c r="D74" i="5" s="1"/>
  <c r="D41" i="5"/>
  <c r="D48" i="5" s="1"/>
  <c r="D93" i="5"/>
  <c r="D100" i="5" s="1"/>
  <c r="D22" i="5"/>
  <c r="C67" i="5"/>
  <c r="C41" i="5"/>
  <c r="C93" i="5"/>
  <c r="C22" i="5"/>
  <c r="C24" i="5" s="1"/>
  <c r="E15" i="5"/>
  <c r="G15" i="5" s="1"/>
  <c r="M276" i="2" l="1"/>
  <c r="M15" i="5" s="1"/>
  <c r="O76" i="1"/>
  <c r="F62" i="1"/>
  <c r="J87" i="1"/>
  <c r="J90" i="1" s="1"/>
  <c r="F119" i="1"/>
  <c r="F71" i="1"/>
  <c r="H268" i="1"/>
  <c r="F275" i="1"/>
  <c r="M112" i="4"/>
  <c r="N126" i="1"/>
  <c r="H71" i="1"/>
  <c r="O112" i="1"/>
  <c r="G223" i="4"/>
  <c r="G275" i="4" s="1"/>
  <c r="G290" i="4" s="1"/>
  <c r="F223" i="4"/>
  <c r="F275" i="4" s="1"/>
  <c r="F34" i="6" s="1"/>
  <c r="N87" i="2"/>
  <c r="N90" i="2" s="1"/>
  <c r="L76" i="1"/>
  <c r="C26" i="5"/>
  <c r="C28" i="5" s="1"/>
  <c r="C33" i="5" s="1"/>
  <c r="I223" i="1"/>
  <c r="N55" i="5"/>
  <c r="N74" i="4"/>
  <c r="N76" i="4" s="1"/>
  <c r="K76" i="2"/>
  <c r="I18" i="6"/>
  <c r="K245" i="4"/>
  <c r="G18" i="6"/>
  <c r="O58" i="1"/>
  <c r="N29" i="5"/>
  <c r="K26" i="6"/>
  <c r="H193" i="1"/>
  <c r="F223" i="1"/>
  <c r="K241" i="4"/>
  <c r="N245" i="4"/>
  <c r="N173" i="4"/>
  <c r="N84" i="4"/>
  <c r="N80" i="4"/>
  <c r="N241" i="4"/>
  <c r="C277" i="1"/>
  <c r="C292" i="1" s="1"/>
  <c r="H177" i="1"/>
  <c r="D55" i="1"/>
  <c r="K173" i="4"/>
  <c r="F80" i="1"/>
  <c r="N43" i="2"/>
  <c r="H129" i="1"/>
  <c r="F173" i="1"/>
  <c r="K264" i="2"/>
  <c r="N253" i="2"/>
  <c r="N51" i="2"/>
  <c r="N186" i="2"/>
  <c r="K62" i="2"/>
  <c r="N60" i="2"/>
  <c r="K80" i="2"/>
  <c r="N79" i="2"/>
  <c r="N80" i="2" s="1"/>
  <c r="K246" i="2"/>
  <c r="N245" i="2"/>
  <c r="N246" i="2" s="1"/>
  <c r="K250" i="2"/>
  <c r="N249" i="2"/>
  <c r="K95" i="2"/>
  <c r="N93" i="2"/>
  <c r="D99" i="1"/>
  <c r="F98" i="1"/>
  <c r="G276" i="2"/>
  <c r="I99" i="2"/>
  <c r="I276" i="2" s="1"/>
  <c r="K98" i="2"/>
  <c r="N98" i="2" s="1"/>
  <c r="H74" i="5"/>
  <c r="H76" i="5" s="1"/>
  <c r="H78" i="5" s="1"/>
  <c r="I40" i="5"/>
  <c r="H250" i="1"/>
  <c r="F251" i="1"/>
  <c r="L176" i="1"/>
  <c r="O176" i="1" s="1"/>
  <c r="J177" i="1"/>
  <c r="H83" i="1"/>
  <c r="F84" i="1"/>
  <c r="H48" i="5"/>
  <c r="H50" i="5" s="1"/>
  <c r="H52" i="5" s="1"/>
  <c r="I66" i="5"/>
  <c r="F74" i="5"/>
  <c r="F76" i="5" s="1"/>
  <c r="F78" i="5" s="1"/>
  <c r="F80" i="5" s="1"/>
  <c r="F100" i="5"/>
  <c r="F102" i="5" s="1"/>
  <c r="F104" i="5" s="1"/>
  <c r="F106" i="5" s="1"/>
  <c r="F111" i="5" s="1"/>
  <c r="F48" i="5"/>
  <c r="F50" i="5" s="1"/>
  <c r="F52" i="5" s="1"/>
  <c r="F54" i="5" s="1"/>
  <c r="F59" i="5" s="1"/>
  <c r="K222" i="2"/>
  <c r="K55" i="2"/>
  <c r="F265" i="1"/>
  <c r="J246" i="1"/>
  <c r="H247" i="1"/>
  <c r="F243" i="1"/>
  <c r="L237" i="1"/>
  <c r="J102" i="1"/>
  <c r="H95" i="1"/>
  <c r="J93" i="1"/>
  <c r="L87" i="1"/>
  <c r="H80" i="1"/>
  <c r="J79" i="1"/>
  <c r="L67" i="1"/>
  <c r="O67" i="1" s="1"/>
  <c r="J71" i="1"/>
  <c r="J60" i="1"/>
  <c r="H62" i="1"/>
  <c r="F55" i="1"/>
  <c r="F43" i="1"/>
  <c r="L200" i="1"/>
  <c r="O200" i="1" s="1"/>
  <c r="E22" i="5"/>
  <c r="E24" i="5" s="1"/>
  <c r="E26" i="5" s="1"/>
  <c r="E28" i="5" s="1"/>
  <c r="C100" i="5"/>
  <c r="C102" i="5" s="1"/>
  <c r="E93" i="5"/>
  <c r="G93" i="5" s="1"/>
  <c r="C48" i="5"/>
  <c r="C50" i="5" s="1"/>
  <c r="C52" i="5" s="1"/>
  <c r="C54" i="5" s="1"/>
  <c r="C59" i="5" s="1"/>
  <c r="E41" i="5"/>
  <c r="G41" i="5" s="1"/>
  <c r="E67" i="5"/>
  <c r="G67" i="5" s="1"/>
  <c r="C74" i="5"/>
  <c r="C76" i="5" s="1"/>
  <c r="O237" i="1" l="1"/>
  <c r="O238" i="1" s="1"/>
  <c r="L238" i="1"/>
  <c r="M22" i="5"/>
  <c r="M24" i="5" s="1"/>
  <c r="M26" i="5" s="1"/>
  <c r="M28" i="5" s="1"/>
  <c r="M41" i="5"/>
  <c r="M48" i="5" s="1"/>
  <c r="M50" i="5" s="1"/>
  <c r="M52" i="5" s="1"/>
  <c r="M54" i="5" s="1"/>
  <c r="M67" i="5"/>
  <c r="M74" i="5" s="1"/>
  <c r="M76" i="5" s="1"/>
  <c r="M78" i="5" s="1"/>
  <c r="M80" i="5" s="1"/>
  <c r="M93" i="5"/>
  <c r="M100" i="5" s="1"/>
  <c r="M102" i="5" s="1"/>
  <c r="M104" i="5" s="1"/>
  <c r="M106" i="5" s="1"/>
  <c r="O177" i="1"/>
  <c r="O71" i="1"/>
  <c r="H119" i="1"/>
  <c r="F126" i="1"/>
  <c r="M126" i="4"/>
  <c r="M275" i="4" s="1"/>
  <c r="N112" i="4"/>
  <c r="N126" i="4" s="1"/>
  <c r="J268" i="1"/>
  <c r="H275" i="1"/>
  <c r="O87" i="1"/>
  <c r="L90" i="1"/>
  <c r="F290" i="4"/>
  <c r="I277" i="1"/>
  <c r="I292" i="1" s="1"/>
  <c r="I209" i="4"/>
  <c r="K209" i="4" s="1"/>
  <c r="N209" i="4" s="1"/>
  <c r="H194" i="4"/>
  <c r="H223" i="4" s="1"/>
  <c r="C104" i="5"/>
  <c r="C106" i="5" s="1"/>
  <c r="C111" i="5" s="1"/>
  <c r="D24" i="5"/>
  <c r="D26" i="5" s="1"/>
  <c r="D28" i="5" s="1"/>
  <c r="D33" i="5" s="1"/>
  <c r="C78" i="5"/>
  <c r="C80" i="5" s="1"/>
  <c r="C86" i="5" s="1"/>
  <c r="E33" i="5"/>
  <c r="N250" i="2"/>
  <c r="G34" i="6"/>
  <c r="N26" i="6"/>
  <c r="N95" i="2"/>
  <c r="N264" i="2"/>
  <c r="N62" i="2"/>
  <c r="J193" i="1"/>
  <c r="H223" i="1"/>
  <c r="D277" i="1"/>
  <c r="D292" i="1" s="1"/>
  <c r="N222" i="2"/>
  <c r="N99" i="2"/>
  <c r="H173" i="1"/>
  <c r="J129" i="1"/>
  <c r="N55" i="2"/>
  <c r="K99" i="2"/>
  <c r="K276" i="2" s="1"/>
  <c r="H98" i="1"/>
  <c r="F99" i="1"/>
  <c r="L177" i="1"/>
  <c r="H84" i="1"/>
  <c r="J83" i="1"/>
  <c r="H251" i="1"/>
  <c r="J250" i="1"/>
  <c r="H265" i="1"/>
  <c r="J247" i="1"/>
  <c r="L246" i="1"/>
  <c r="O246" i="1" s="1"/>
  <c r="H243" i="1"/>
  <c r="J241" i="1"/>
  <c r="L102" i="1"/>
  <c r="O102" i="1" s="1"/>
  <c r="J95" i="1"/>
  <c r="L93" i="1"/>
  <c r="O93" i="1" s="1"/>
  <c r="J80" i="1"/>
  <c r="L79" i="1"/>
  <c r="O79" i="1" s="1"/>
  <c r="L71" i="1"/>
  <c r="L60" i="1"/>
  <c r="O60" i="1" s="1"/>
  <c r="J62" i="1"/>
  <c r="J46" i="1"/>
  <c r="H55" i="1"/>
  <c r="J23" i="1"/>
  <c r="H43" i="1"/>
  <c r="E74" i="5"/>
  <c r="E76" i="5" s="1"/>
  <c r="E78" i="5" s="1"/>
  <c r="E80" i="5" s="1"/>
  <c r="E48" i="5"/>
  <c r="E50" i="5" s="1"/>
  <c r="E100" i="5"/>
  <c r="E102" i="5" s="1"/>
  <c r="E104" i="5" s="1"/>
  <c r="E106" i="5" s="1"/>
  <c r="E111" i="5" s="1"/>
  <c r="I15" i="5"/>
  <c r="I22" i="5" s="1"/>
  <c r="I24" i="5" s="1"/>
  <c r="I26" i="5" s="1"/>
  <c r="I28" i="5" s="1"/>
  <c r="G22" i="5"/>
  <c r="G24" i="5" s="1"/>
  <c r="G26" i="5" s="1"/>
  <c r="G28" i="5" s="1"/>
  <c r="G33" i="5" s="1"/>
  <c r="O247" i="1" l="1"/>
  <c r="O80" i="1"/>
  <c r="F277" i="1"/>
  <c r="F292" i="1" s="1"/>
  <c r="O62" i="1"/>
  <c r="O95" i="1"/>
  <c r="O90" i="1"/>
  <c r="J119" i="1"/>
  <c r="H126" i="1"/>
  <c r="J275" i="1"/>
  <c r="L268" i="1"/>
  <c r="M290" i="4"/>
  <c r="M34" i="6"/>
  <c r="H275" i="4"/>
  <c r="H34" i="6" s="1"/>
  <c r="I34" i="6" s="1"/>
  <c r="I194" i="4"/>
  <c r="C129" i="5"/>
  <c r="D102" i="5"/>
  <c r="D104" i="5" s="1"/>
  <c r="D106" i="5" s="1"/>
  <c r="D111" i="5" s="1"/>
  <c r="D76" i="5"/>
  <c r="D78" i="5" s="1"/>
  <c r="D80" i="5" s="1"/>
  <c r="D86" i="5" s="1"/>
  <c r="E52" i="5"/>
  <c r="E54" i="5" s="1"/>
  <c r="E59" i="5" s="1"/>
  <c r="D50" i="5"/>
  <c r="D52" i="5" s="1"/>
  <c r="D54" i="5" s="1"/>
  <c r="D59" i="5" s="1"/>
  <c r="L193" i="1"/>
  <c r="J223" i="1"/>
  <c r="N276" i="2"/>
  <c r="J173" i="1"/>
  <c r="L129" i="1"/>
  <c r="H99" i="1"/>
  <c r="J98" i="1"/>
  <c r="J251" i="1"/>
  <c r="L250" i="1"/>
  <c r="O250" i="1" s="1"/>
  <c r="J84" i="1"/>
  <c r="L83" i="1"/>
  <c r="O83" i="1" s="1"/>
  <c r="K15" i="5"/>
  <c r="O265" i="1"/>
  <c r="J265" i="1"/>
  <c r="L247" i="1"/>
  <c r="L241" i="1"/>
  <c r="O241" i="1" s="1"/>
  <c r="J243" i="1"/>
  <c r="L95" i="1"/>
  <c r="L80" i="1"/>
  <c r="L62" i="1"/>
  <c r="J55" i="1"/>
  <c r="L46" i="1"/>
  <c r="O46" i="1" s="1"/>
  <c r="L23" i="1"/>
  <c r="O23" i="1" s="1"/>
  <c r="J43" i="1"/>
  <c r="H28" i="5"/>
  <c r="H33" i="5" s="1"/>
  <c r="I33" i="5"/>
  <c r="I93" i="5"/>
  <c r="I100" i="5" s="1"/>
  <c r="I102" i="5" s="1"/>
  <c r="I104" i="5" s="1"/>
  <c r="I106" i="5" s="1"/>
  <c r="G100" i="5"/>
  <c r="G102" i="5" s="1"/>
  <c r="G104" i="5" s="1"/>
  <c r="G106" i="5" s="1"/>
  <c r="G111" i="5" s="1"/>
  <c r="I41" i="5"/>
  <c r="I48" i="5" s="1"/>
  <c r="I50" i="5" s="1"/>
  <c r="I52" i="5" s="1"/>
  <c r="I54" i="5" s="1"/>
  <c r="G48" i="5"/>
  <c r="G50" i="5" s="1"/>
  <c r="G52" i="5" s="1"/>
  <c r="G54" i="5" s="1"/>
  <c r="G59" i="5" s="1"/>
  <c r="E86" i="5"/>
  <c r="I67" i="5"/>
  <c r="I74" i="5" s="1"/>
  <c r="I76" i="5" s="1"/>
  <c r="I78" i="5" s="1"/>
  <c r="I80" i="5" s="1"/>
  <c r="G74" i="5"/>
  <c r="G76" i="5" s="1"/>
  <c r="G78" i="5" s="1"/>
  <c r="G80" i="5" s="1"/>
  <c r="O243" i="1" l="1"/>
  <c r="O43" i="1"/>
  <c r="O84" i="1"/>
  <c r="O55" i="1"/>
  <c r="H277" i="1"/>
  <c r="H292" i="1" s="1"/>
  <c r="L119" i="1"/>
  <c r="J126" i="1"/>
  <c r="O268" i="1"/>
  <c r="L275" i="1"/>
  <c r="K194" i="4"/>
  <c r="N194" i="4" s="1"/>
  <c r="I223" i="4"/>
  <c r="I275" i="4" s="1"/>
  <c r="I290" i="4" s="1"/>
  <c r="C132" i="5"/>
  <c r="C19" i="2" s="1"/>
  <c r="C20" i="2" s="1"/>
  <c r="C280" i="2" s="1"/>
  <c r="C282" i="2" s="1"/>
  <c r="C292" i="2" s="1"/>
  <c r="H290" i="4"/>
  <c r="D129" i="5"/>
  <c r="E129" i="5"/>
  <c r="E132" i="5" s="1"/>
  <c r="O193" i="1"/>
  <c r="L223" i="1"/>
  <c r="O129" i="1"/>
  <c r="L173" i="1"/>
  <c r="O251" i="1"/>
  <c r="N15" i="5"/>
  <c r="J99" i="1"/>
  <c r="J277" i="1" s="1"/>
  <c r="J292" i="1" s="1"/>
  <c r="L98" i="1"/>
  <c r="O98" i="1" s="1"/>
  <c r="L251" i="1"/>
  <c r="L84" i="1"/>
  <c r="K67" i="5"/>
  <c r="K22" i="5"/>
  <c r="K24" i="5" s="1"/>
  <c r="K26" i="5" s="1"/>
  <c r="K28" i="5" s="1"/>
  <c r="K33" i="5" s="1"/>
  <c r="K93" i="5"/>
  <c r="K41" i="5"/>
  <c r="L265" i="1"/>
  <c r="L243" i="1"/>
  <c r="L55" i="1"/>
  <c r="L43" i="1"/>
  <c r="G86" i="5"/>
  <c r="I86" i="5"/>
  <c r="H80" i="5"/>
  <c r="I59" i="5"/>
  <c r="H54" i="5"/>
  <c r="H59" i="5" s="1"/>
  <c r="I111" i="5"/>
  <c r="H106" i="5"/>
  <c r="H111" i="5" s="1"/>
  <c r="O275" i="1" l="1"/>
  <c r="N22" i="5"/>
  <c r="N24" i="5" s="1"/>
  <c r="N26" i="5" s="1"/>
  <c r="O99" i="1"/>
  <c r="N223" i="4"/>
  <c r="N275" i="4" s="1"/>
  <c r="N290" i="4" s="1"/>
  <c r="O173" i="1"/>
  <c r="K223" i="4"/>
  <c r="K275" i="4" s="1"/>
  <c r="K34" i="6" s="1"/>
  <c r="O119" i="1"/>
  <c r="L126" i="1"/>
  <c r="D132" i="5"/>
  <c r="C19" i="6"/>
  <c r="C24" i="6" s="1"/>
  <c r="C28" i="6" s="1"/>
  <c r="C32" i="6"/>
  <c r="C38" i="6" s="1"/>
  <c r="I129" i="5"/>
  <c r="I132" i="5" s="1"/>
  <c r="G129" i="5"/>
  <c r="G132" i="5" s="1"/>
  <c r="K74" i="5"/>
  <c r="K76" i="5" s="1"/>
  <c r="K78" i="5" s="1"/>
  <c r="K80" i="5" s="1"/>
  <c r="K86" i="5" s="1"/>
  <c r="N67" i="5"/>
  <c r="N74" i="5" s="1"/>
  <c r="N76" i="5" s="1"/>
  <c r="N78" i="5" s="1"/>
  <c r="N80" i="5" s="1"/>
  <c r="K48" i="5"/>
  <c r="K50" i="5" s="1"/>
  <c r="K52" i="5" s="1"/>
  <c r="K54" i="5" s="1"/>
  <c r="K59" i="5" s="1"/>
  <c r="N41" i="5"/>
  <c r="N48" i="5" s="1"/>
  <c r="N50" i="5" s="1"/>
  <c r="N52" i="5" s="1"/>
  <c r="N54" i="5" s="1"/>
  <c r="K100" i="5"/>
  <c r="K102" i="5" s="1"/>
  <c r="K104" i="5" s="1"/>
  <c r="K106" i="5" s="1"/>
  <c r="K111" i="5" s="1"/>
  <c r="N93" i="5"/>
  <c r="N100" i="5" s="1"/>
  <c r="N102" i="5" s="1"/>
  <c r="N104" i="5" s="1"/>
  <c r="N106" i="5" s="1"/>
  <c r="L99" i="1"/>
  <c r="F86" i="5"/>
  <c r="H84" i="5"/>
  <c r="H86" i="5" s="1"/>
  <c r="N34" i="6" l="1"/>
  <c r="O126" i="1"/>
  <c r="L277" i="1"/>
  <c r="L292" i="1" s="1"/>
  <c r="K290" i="4"/>
  <c r="C42" i="6"/>
  <c r="D19" i="2"/>
  <c r="C20" i="6"/>
  <c r="F129" i="5"/>
  <c r="F132" i="5" s="1"/>
  <c r="F19" i="2" s="1"/>
  <c r="K129" i="5"/>
  <c r="H129" i="5"/>
  <c r="H132" i="5" s="1"/>
  <c r="H19" i="2" s="1"/>
  <c r="K132" i="5" l="1"/>
  <c r="K19" i="2" s="1"/>
  <c r="K20" i="2" s="1"/>
  <c r="K280" i="2" s="1"/>
  <c r="K282" i="2" s="1"/>
  <c r="K292" i="2" s="1"/>
  <c r="D20" i="2"/>
  <c r="D280" i="2" s="1"/>
  <c r="D282" i="2" s="1"/>
  <c r="D292" i="2" s="1"/>
  <c r="D32" i="6" s="1"/>
  <c r="E19" i="2"/>
  <c r="E20" i="2" s="1"/>
  <c r="E280" i="2" s="1"/>
  <c r="E282" i="2" s="1"/>
  <c r="E292" i="2" s="1"/>
  <c r="D19" i="6"/>
  <c r="F19" i="6"/>
  <c r="F20" i="6" s="1"/>
  <c r="F20" i="2"/>
  <c r="F280" i="2" s="1"/>
  <c r="F282" i="2" s="1"/>
  <c r="F292" i="2" s="1"/>
  <c r="F32" i="6" s="1"/>
  <c r="H19" i="6"/>
  <c r="H20" i="6" s="1"/>
  <c r="H20" i="2"/>
  <c r="H280" i="2" s="1"/>
  <c r="H282" i="2" s="1"/>
  <c r="H292" i="2" s="1"/>
  <c r="H32" i="6" s="1"/>
  <c r="H38" i="6" s="1"/>
  <c r="K32" i="6" l="1"/>
  <c r="K38" i="6" s="1"/>
  <c r="K19" i="6"/>
  <c r="K20" i="6" s="1"/>
  <c r="G19" i="2"/>
  <c r="G20" i="2" s="1"/>
  <c r="G280" i="2" s="1"/>
  <c r="G282" i="2" s="1"/>
  <c r="G292" i="2" s="1"/>
  <c r="D20" i="6"/>
  <c r="E19" i="6"/>
  <c r="G19" i="6" s="1"/>
  <c r="G24" i="6" s="1"/>
  <c r="G28" i="6" s="1"/>
  <c r="D24" i="6"/>
  <c r="D28" i="6" s="1"/>
  <c r="D38" i="6"/>
  <c r="E32" i="6"/>
  <c r="E38" i="6" s="1"/>
  <c r="F24" i="6"/>
  <c r="F28" i="6" s="1"/>
  <c r="F38" i="6"/>
  <c r="H24" i="6"/>
  <c r="H28" i="6" s="1"/>
  <c r="H42" i="6" s="1"/>
  <c r="K24" i="6" l="1"/>
  <c r="K28" i="6" s="1"/>
  <c r="K42" i="6" s="1"/>
  <c r="I19" i="2"/>
  <c r="I20" i="2" s="1"/>
  <c r="I280" i="2" s="1"/>
  <c r="I282" i="2" s="1"/>
  <c r="I292" i="2" s="1"/>
  <c r="D42" i="6"/>
  <c r="E20" i="6"/>
  <c r="E24" i="6"/>
  <c r="E28" i="6" s="1"/>
  <c r="E42" i="6" s="1"/>
  <c r="G32" i="6"/>
  <c r="I19" i="6"/>
  <c r="I20" i="6" s="1"/>
  <c r="G20" i="6"/>
  <c r="F42" i="6"/>
  <c r="G38" i="6" l="1"/>
  <c r="G42" i="6" s="1"/>
  <c r="I32" i="6"/>
  <c r="I38" i="6" s="1"/>
  <c r="I24" i="6"/>
  <c r="I28" i="6" s="1"/>
  <c r="N28" i="5"/>
  <c r="N33" i="5" s="1"/>
  <c r="M33" i="5"/>
  <c r="M59" i="5"/>
  <c r="N59" i="5"/>
  <c r="N81" i="5"/>
  <c r="N84" i="5"/>
  <c r="M86" i="5"/>
  <c r="N111" i="5"/>
  <c r="M111" i="5"/>
  <c r="I42" i="6" l="1"/>
  <c r="M129" i="5"/>
  <c r="M132" i="5" s="1"/>
  <c r="N86" i="5"/>
  <c r="N129" i="5" s="1"/>
  <c r="M19" i="2" l="1"/>
  <c r="M19" i="6" s="1"/>
  <c r="N132" i="5"/>
  <c r="N19" i="2" s="1"/>
  <c r="N20" i="2" s="1"/>
  <c r="N280" i="2" s="1"/>
  <c r="N282" i="2" s="1"/>
  <c r="N292" i="2" s="1"/>
  <c r="N32" i="6" s="1"/>
  <c r="N38" i="6" s="1"/>
  <c r="M20" i="6"/>
  <c r="M24" i="6"/>
  <c r="M28" i="6" s="1"/>
  <c r="M20" i="2"/>
  <c r="M280" i="2" s="1"/>
  <c r="M282" i="2" s="1"/>
  <c r="M292" i="2" s="1"/>
  <c r="O196" i="1" l="1"/>
  <c r="N223" i="1"/>
  <c r="N277" i="1" s="1"/>
  <c r="N292" i="1" s="1"/>
  <c r="M32" i="6"/>
  <c r="M38" i="6" s="1"/>
  <c r="M42" i="6" s="1"/>
  <c r="N19" i="6"/>
  <c r="N20" i="6" s="1"/>
  <c r="O223" i="1" l="1"/>
  <c r="O277" i="1" s="1"/>
  <c r="O292" i="1" s="1"/>
  <c r="N24" i="6"/>
  <c r="N28" i="6" s="1"/>
  <c r="N42" i="6" s="1"/>
</calcChain>
</file>

<file path=xl/sharedStrings.xml><?xml version="1.0" encoding="utf-8"?>
<sst xmlns="http://schemas.openxmlformats.org/spreadsheetml/2006/main" count="1477" uniqueCount="406">
  <si>
    <t>========================================</t>
  </si>
  <si>
    <t>EXCESS TAX vs BOOK DEPRECIATION</t>
  </si>
  <si>
    <t xml:space="preserve">        210A LIBERALIZED DEPR-REG</t>
  </si>
  <si>
    <t xml:space="preserve">        230A ACRS BENEFIT NORMALIZED</t>
  </si>
  <si>
    <t xml:space="preserve">        230I CAPD INTEREST-SECTION 481(a)-CHANGE IN METHD </t>
  </si>
  <si>
    <t xml:space="preserve">        230J RELOCATION CST-SECTION 481(a)-CHANGE IN METHD</t>
  </si>
  <si>
    <t xml:space="preserve">        230K PJM INTEGRATION-SEC 481(a)-INTANG-DFD LABOR</t>
  </si>
  <si>
    <t xml:space="preserve">        280A EXCESS TX VS S/L BK DEPR</t>
  </si>
  <si>
    <t xml:space="preserve">        280H BK PLANT IN SERVICE - SFAS 143 - ARO</t>
  </si>
  <si>
    <t xml:space="preserve">        295A GAIN/LOSS ON ACRS/MACRS PROPERTY</t>
  </si>
  <si>
    <t xml:space="preserve">        390A CIAC - BOOK RECEIPTS</t>
  </si>
  <si>
    <t>Total EXCESS TAX vs BOOK DEPRECIATION</t>
  </si>
  <si>
    <t>AFUDC / INTEREST CAPITALIZED</t>
  </si>
  <si>
    <t xml:space="preserve">        310A AOFUDC</t>
  </si>
  <si>
    <t xml:space="preserve">        320A ABFUDC</t>
  </si>
  <si>
    <t xml:space="preserve">        380J INT EXP CAPITALIZED FOR TAX</t>
  </si>
  <si>
    <t>Total AFUDC / INTEREST CAPITALIZED</t>
  </si>
  <si>
    <t>MISC OVERHEADS CAPITALIZED</t>
  </si>
  <si>
    <t xml:space="preserve">        350A TXS CAPD</t>
  </si>
  <si>
    <t xml:space="preserve">        360A PENS CAPD</t>
  </si>
  <si>
    <t xml:space="preserve">        360J SEC 481 PENS/OPEB ADJUSTMENT</t>
  </si>
  <si>
    <t xml:space="preserve">        370A SAV PLAN CAPD</t>
  </si>
  <si>
    <t>Total MISC OVERHEADS CAPITALIZED</t>
  </si>
  <si>
    <t>PERCENT REPAIR ALLOWANCE</t>
  </si>
  <si>
    <t xml:space="preserve">        532A PERCENT REPAIR ALLOWANCE</t>
  </si>
  <si>
    <t xml:space="preserve">        534A CAPITALIZED RELOCATION COSTS</t>
  </si>
  <si>
    <t>Total PERCENT REPAIR ALLOWANCE</t>
  </si>
  <si>
    <t>REMOVAL COSTS</t>
  </si>
  <si>
    <t xml:space="preserve">        910K REMOVAL CST</t>
  </si>
  <si>
    <t>Total REMOVAL COSTS</t>
  </si>
  <si>
    <t>ACCELERATED AMORTIZATION</t>
  </si>
  <si>
    <t xml:space="preserve">        533A TX AMORT POLLUTION CONT EQPT</t>
  </si>
  <si>
    <t>Total ACCELERATED AMORTIZATION</t>
  </si>
  <si>
    <t>PROPERTY TAX ADJUSTMENTS</t>
  </si>
  <si>
    <t>Total PROPERTY TAX ADJUSTMENTS</t>
  </si>
  <si>
    <t>REVENUE REFUNDS</t>
  </si>
  <si>
    <t xml:space="preserve">        520A PROVS POSS REV REFDS</t>
  </si>
  <si>
    <t>Total REVENUE REFUNDS</t>
  </si>
  <si>
    <t>DEFERRED FUEL COSTS</t>
  </si>
  <si>
    <t>Total DEFERRED FUEL COSTS</t>
  </si>
  <si>
    <t>EQUITY IN EARNINGS OF SUBSIDIARIES</t>
  </si>
  <si>
    <t xml:space="preserve">        531A EQTY IN SUBSIDIARIES    (US)</t>
  </si>
  <si>
    <t>Total EQUITY IN EARNINGS OF SUBSIDIARIES</t>
  </si>
  <si>
    <t>BOOK ACCRUALS</t>
  </si>
  <si>
    <t xml:space="preserve">        602A PROV WORKER'S COMP</t>
  </si>
  <si>
    <t xml:space="preserve">        605B ACCRUED BK PENSION EXPENSE</t>
  </si>
  <si>
    <t xml:space="preserve">        605E SUPPLEMENTAL EXECUTIVE RETIREMENT PLAN</t>
  </si>
  <si>
    <t xml:space="preserve">        605I ACCRD BK SUP. SAVINGS PLAN EXP</t>
  </si>
  <si>
    <t xml:space="preserve">        605O ACCRUED PSI PLAN EXP</t>
  </si>
  <si>
    <t xml:space="preserve">        610A BK PROV UNCOLL ACCTS</t>
  </si>
  <si>
    <t xml:space="preserve">        613E ACCRUED BOOK VACATION PAY</t>
  </si>
  <si>
    <t xml:space="preserve">        615A ACCRUED INTEREST EXP -STATE</t>
  </si>
  <si>
    <t xml:space="preserve">        615B ACCRUED INTEREST-LONG-TERM - FIN 48</t>
  </si>
  <si>
    <t xml:space="preserve">        615C ACCRUED INTEREST-SHORT-TERM - FIN 48</t>
  </si>
  <si>
    <t xml:space="preserve">        615E ACCRUED STATE INCOME TAX EXP</t>
  </si>
  <si>
    <t xml:space="preserve">        615R REG ASSET - DEFERRED RTO COSTS</t>
  </si>
  <si>
    <t>Total BOOK ACCRUALS</t>
  </si>
  <si>
    <t>BOOK DEFERRALS</t>
  </si>
  <si>
    <t xml:space="preserve">        390F CUST ADV INC FOR TAX</t>
  </si>
  <si>
    <t xml:space="preserve">        630F DEFD BK CONTRACT REVENUE</t>
  </si>
  <si>
    <t xml:space="preserve">        641I ADVANCE RENTAL INC (CUR MO)</t>
  </si>
  <si>
    <t xml:space="preserve">        660X REG ASSET - DEFERRED PJM FEES</t>
  </si>
  <si>
    <t xml:space="preserve">        660Z REG ASSET - DEFERRED EQUITY CARRYING CHGS</t>
  </si>
  <si>
    <t>Total BOOK DEFERRALS</t>
  </si>
  <si>
    <t>BOOK RESERVES</t>
  </si>
  <si>
    <t>Total BOOK RESERVES</t>
  </si>
  <si>
    <t>OTHER MISCELLANEOUS</t>
  </si>
  <si>
    <t xml:space="preserve">        900A LOSS ON REACQUIRED DEBT</t>
  </si>
  <si>
    <t xml:space="preserve">        906A ACCRD SFAS 106 PST RETIRE EXP</t>
  </si>
  <si>
    <t xml:space="preserve">        906K ACCRD SFAS 112 PST EMPLOY BEN</t>
  </si>
  <si>
    <t xml:space="preserve">        906P ACCRD BOOK ARO EXPENSE - SFAS 143</t>
  </si>
  <si>
    <t xml:space="preserve">        910A GAIN ON REACQUIRED DEBT</t>
  </si>
  <si>
    <t xml:space="preserve">        911V ACCRD SIT TX RESERVE-LNG-TERM-FIN 48</t>
  </si>
  <si>
    <t xml:space="preserve">        914A SFAS 109 - DEFD SIT LIABILITY</t>
  </si>
  <si>
    <t xml:space="preserve">        914B REG ASSET - SFAS 109 DSIT LIAB</t>
  </si>
  <si>
    <t xml:space="preserve">        914K REG ASSET - ACCRUED SFAS 112</t>
  </si>
  <si>
    <t>Total OTHER MISCELLANEOUS</t>
  </si>
  <si>
    <t>PERMANENT SCHEDULE M's</t>
  </si>
  <si>
    <t xml:space="preserve">        906B SFAS 106 - POST RETIRE BEN MEDICARE SUBSIDY</t>
  </si>
  <si>
    <t xml:space="preserve">        910B NON-DEDUCT MEALS AND T&amp;E</t>
  </si>
  <si>
    <t xml:space="preserve">        910C NON-DEDUCT FINES&amp;PENALTIES</t>
  </si>
  <si>
    <t xml:space="preserve">        910S NON-DEDUCT LOBBYING</t>
  </si>
  <si>
    <t xml:space="preserve">        970A MANUFACTURING DEDUCTION</t>
  </si>
  <si>
    <t>Total PERMANENT SCHEDULE M's</t>
  </si>
  <si>
    <t>TAX ACCRUALS</t>
  </si>
  <si>
    <t xml:space="preserve">        711N CAPITALIZED SOFTWARE COSTS-TAX</t>
  </si>
  <si>
    <t xml:space="preserve">        711O BOOK LEASES CAPITALIZED FOR TAX</t>
  </si>
  <si>
    <t>Total TAX ACCRUALS</t>
  </si>
  <si>
    <t>TAX DEFERRALS</t>
  </si>
  <si>
    <t xml:space="preserve">        712K CAPITALIZED SOFTWARE COST-BOOK</t>
  </si>
  <si>
    <t>Total TAX DEFERRALS</t>
  </si>
  <si>
    <t>TAX vs BOOK GAIN / LOSS</t>
  </si>
  <si>
    <t>Total TAX vs BOOK GAIN / LOSS</t>
  </si>
  <si>
    <t>MARK-TO-MARKET ADJUSTMENTS</t>
  </si>
  <si>
    <t xml:space="preserve">        575A MTM BK GAIN-B/L-TAX DEFL</t>
  </si>
  <si>
    <t xml:space="preserve">        575E MTM BK GAIN-A/L-TAX DEFL</t>
  </si>
  <si>
    <t xml:space="preserve">        576A MARK &amp; SPREAD-DEFL-283-B/L</t>
  </si>
  <si>
    <t xml:space="preserve">        576C MARK &amp; SPREAD-DEFL-190-B/L</t>
  </si>
  <si>
    <t xml:space="preserve">        576E MARK &amp; SPREAD-DEFL-283-A/L</t>
  </si>
  <si>
    <t xml:space="preserve">        576F MARK &amp; SPREAD-DEFL-190-A/L</t>
  </si>
  <si>
    <t xml:space="preserve">        610U PROV-TRADING CREDIT RISK - A/L</t>
  </si>
  <si>
    <t xml:space="preserve">        610W PROV-TRADING CREDIT RISK - B/L</t>
  </si>
  <si>
    <t xml:space="preserve">        652G REG LIAB-UNREAL MTM GAIN-DEFL</t>
  </si>
  <si>
    <t>Total MARK-TO-MARKET ADJUSTMENTS</t>
  </si>
  <si>
    <t>EMISSION ALLOWANCES</t>
  </si>
  <si>
    <t xml:space="preserve">        638A BOOK &gt; TAX BASIS - EMA-A/C 283</t>
  </si>
  <si>
    <t xml:space="preserve">        639O BOOK &gt; TAX BASIS EMA - 283 (B/L)</t>
  </si>
  <si>
    <t xml:space="preserve">        640K DEFD TAX GAIN-EPA AUCTION</t>
  </si>
  <si>
    <t>Total EMISSION ALLOWANCES</t>
  </si>
  <si>
    <t>Total Book/Tax Income Differences</t>
  </si>
  <si>
    <t>Taxable Income</t>
  </si>
  <si>
    <t>Statutory Rate</t>
  </si>
  <si>
    <t>Tax Before Credits</t>
  </si>
  <si>
    <t>Current Tax</t>
  </si>
  <si>
    <t>Total Company</t>
  </si>
  <si>
    <t>Per Books</t>
  </si>
  <si>
    <t>Computation of Adjusted</t>
  </si>
  <si>
    <t>Current Federal Income Tax Expense</t>
  </si>
  <si>
    <t>Historical Test Year - As Adjusted</t>
  </si>
  <si>
    <t>Line No.</t>
  </si>
  <si>
    <t>Interest Expense Synchronized</t>
  </si>
  <si>
    <t>Other Income &amp; Deductions - Net</t>
  </si>
  <si>
    <t>Electric Utility</t>
  </si>
  <si>
    <t>Assign &amp; Adjust.</t>
  </si>
  <si>
    <t>Less</t>
  </si>
  <si>
    <t>Non-Utility/</t>
  </si>
  <si>
    <t>Non-Applicable</t>
  </si>
  <si>
    <t>After</t>
  </si>
  <si>
    <t>Assignment</t>
  </si>
  <si>
    <t>Rate Case</t>
  </si>
  <si>
    <t>Adjustments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</si>
  <si>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</si>
  <si>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</si>
  <si>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</si>
  <si>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</si>
  <si>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</si>
  <si>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</si>
  <si>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</si>
  <si>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</si>
  <si>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</si>
  <si>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Allocation</t>
  </si>
  <si>
    <t>Factor</t>
  </si>
  <si>
    <t>Allocated</t>
  </si>
  <si>
    <t>Amount</t>
  </si>
  <si>
    <t>Basis</t>
  </si>
  <si>
    <t>(10)</t>
  </si>
  <si>
    <t>SPECIFIC</t>
  </si>
  <si>
    <t>INT SYNC</t>
  </si>
  <si>
    <t>NON-UTIL</t>
  </si>
  <si>
    <t>PROD PLT</t>
  </si>
  <si>
    <t>DIST PLT</t>
  </si>
  <si>
    <t>ENERGY</t>
  </si>
  <si>
    <t>NON-APPLIC</t>
  </si>
  <si>
    <t>NET PLANT</t>
  </si>
  <si>
    <t>LABOR</t>
  </si>
  <si>
    <t>TRAN PLT</t>
  </si>
  <si>
    <t>Deferred Federal Income Tax Expense</t>
  </si>
  <si>
    <t>DEFERRED FEDERAL INCOME TAXES:</t>
  </si>
  <si>
    <t>TOTAL DEFERRED FEDERAL INCOME TAXES</t>
  </si>
  <si>
    <t>DEFERRED INVESTMENT TAX CREDITS:</t>
  </si>
  <si>
    <t>ITC Feedback - Prior Years 10%</t>
  </si>
  <si>
    <t>ITC Feedback - Prior Years 4%</t>
  </si>
  <si>
    <t>TOTAL DEFERRED FIT AND ITC</t>
  </si>
  <si>
    <t>DFIT before</t>
  </si>
  <si>
    <t>(11)</t>
  </si>
  <si>
    <t xml:space="preserve">Based on </t>
  </si>
  <si>
    <t>For 12 Months</t>
  </si>
  <si>
    <t>Sch M Per Books</t>
  </si>
  <si>
    <t>Schedule M</t>
  </si>
  <si>
    <t>x FIT Rate</t>
  </si>
  <si>
    <t xml:space="preserve">        210A-XS EXCESS DFIT - LIBERALIZED DEPR-REG</t>
  </si>
  <si>
    <t xml:space="preserve">        230A-XS EXCESS DIT - ACRS NORM REVERSAL</t>
  </si>
  <si>
    <t>Computation of Per Books</t>
  </si>
  <si>
    <t>Deferred Federal Income Tax and Deferred ITC</t>
  </si>
  <si>
    <t>Per Books DFIT</t>
  </si>
  <si>
    <t xml:space="preserve">DFIT Before </t>
  </si>
  <si>
    <t>Deferred FIT</t>
  </si>
  <si>
    <t>Associated With</t>
  </si>
  <si>
    <t xml:space="preserve">        625A FEDERAL MITIGATION PROGRAMS</t>
  </si>
  <si>
    <t xml:space="preserve">        625B STATE MITIGATION PROGRAMS</t>
  </si>
  <si>
    <t xml:space="preserve">        911Q DEFERRED STATE INCOME TAXES</t>
  </si>
  <si>
    <t xml:space="preserve">Parent Company Loss Allocation </t>
  </si>
  <si>
    <t>STATE INCOME TAXES</t>
  </si>
  <si>
    <t>Jurisdictional</t>
  </si>
  <si>
    <t xml:space="preserve">Non-Utility / </t>
  </si>
  <si>
    <t>Before</t>
  </si>
  <si>
    <t>Assign &amp; Adjust</t>
  </si>
  <si>
    <t>Add (Subtract): Federal Schedule M Adjustments</t>
  </si>
  <si>
    <t>Add (Subtract): Other</t>
  </si>
  <si>
    <t>Add (Subtract): State Income Taxes</t>
  </si>
  <si>
    <t>Add (Subtract): JCWA Depreciation Adjustment</t>
  </si>
  <si>
    <t>Add (Subtract): Federal Domestic Production Activity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</si>
  <si>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</si>
  <si>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</si>
  <si>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</si>
  <si>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</si>
  <si>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</si>
  <si>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Other Adjustments</t>
  </si>
  <si>
    <t>Illinois State Income Taxes</t>
  </si>
  <si>
    <t>Total State Income Tax  ---  Illinois</t>
  </si>
  <si>
    <t>Kentucky State Income Taxes</t>
  </si>
  <si>
    <t>Add (Subtract): Interest Income - US Obligations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</si>
  <si>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</si>
  <si>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</si>
  <si>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</si>
  <si>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</si>
  <si>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</si>
  <si>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All Other State Income Taxes</t>
  </si>
  <si>
    <t>Total State Income Tax  ---  All States</t>
  </si>
  <si>
    <t>NET ELECTRIC OPERATING INCOME BEFORE INCOME TAX</t>
  </si>
  <si>
    <t>CALCULATED</t>
  </si>
  <si>
    <t>PRE-TAX BOOK INCOME BEFORE FEDERAL INCOME TAX</t>
  </si>
  <si>
    <t>Total Co Electric</t>
  </si>
  <si>
    <t>PRE-TAX BOOK INCOME BEFORE STATE INCOME TAX</t>
  </si>
  <si>
    <t>Book Income Before State Income Tax Expense</t>
  </si>
  <si>
    <t>MBT Surcharge @ 21.99%</t>
  </si>
  <si>
    <t>TOTAL DEFERRED INVESTMENT TAX CREDITS</t>
  </si>
  <si>
    <t>Summary Information</t>
  </si>
  <si>
    <t>Current FIT Expense</t>
  </si>
  <si>
    <t>Deferred FIT Expense</t>
  </si>
  <si>
    <t>Deferred ITC Expense</t>
  </si>
  <si>
    <t>Total FIT Expense</t>
  </si>
  <si>
    <t>CALC</t>
  </si>
  <si>
    <t>Line #</t>
  </si>
  <si>
    <t>SUMMARY OF INCOME TAX EXPENSE</t>
  </si>
  <si>
    <t>GROSS PLT</t>
  </si>
  <si>
    <t>ALLOCATION FACTORS:</t>
  </si>
  <si>
    <t>SIT CALC</t>
  </si>
  <si>
    <t xml:space="preserve">        320A ABFUDC - DFIT FBK</t>
  </si>
  <si>
    <t xml:space="preserve">        380J INT EXP CAPITALIZED FOR TAX - DFIT FBK</t>
  </si>
  <si>
    <t xml:space="preserve">        350A TXS CAPD - DFIT FBK</t>
  </si>
  <si>
    <t xml:space="preserve">        360A PENS CAPD - DFIT FBK</t>
  </si>
  <si>
    <t xml:space="preserve">        370A SAV PLAN CAPD - DFIT FBK</t>
  </si>
  <si>
    <t xml:space="preserve">        532A PERCENT REPAIR ALLOWANCE - DFIT FBK</t>
  </si>
  <si>
    <t xml:space="preserve">        534A CAPITALIZED RELOCATION COSTS - DFIT FBK</t>
  </si>
  <si>
    <t xml:space="preserve">        910A GAIN ON REACQUIRED DEBT - DFIT FBK</t>
  </si>
  <si>
    <t xml:space="preserve">        295A GAIN/LOSS ON ACRS/MACRS PROPERTY - DFIT FBK</t>
  </si>
  <si>
    <t>DEMAND</t>
  </si>
  <si>
    <t>NON-UTILITY</t>
  </si>
  <si>
    <t xml:space="preserve">        230X R&amp;D DEDUCTION - SECTION 174</t>
  </si>
  <si>
    <t xml:space="preserve">        295C GAIN/LOSS ACRS/MACRS-BK/TX UNIT PROPERTY</t>
  </si>
  <si>
    <t xml:space="preserve">        532C BOOK/TAX UNIT OF PROPERTY ADJ</t>
  </si>
  <si>
    <t xml:space="preserve">        532D BK/TX UNIT OF PROPERTY ADJ - SECTION 481</t>
  </si>
  <si>
    <t xml:space="preserve">        605C ACCRUED BK PENSION COSTS - SFAS 158</t>
  </si>
  <si>
    <t xml:space="preserve">        605F ACCRD SUP EXEC RETIRE PLAN COSTS-SFAS 158</t>
  </si>
  <si>
    <t xml:space="preserve">        612Y ACCRD COMPANYWIDE INCENT PLAN</t>
  </si>
  <si>
    <t xml:space="preserve">        613Y ACCRD BK SEVERANCE BENEFITS</t>
  </si>
  <si>
    <t xml:space="preserve">        661R REG ASSET - SFAS 158 - PENSIONS</t>
  </si>
  <si>
    <t xml:space="preserve">        661S REG ASSET - SFAS 158 - SERP</t>
  </si>
  <si>
    <t xml:space="preserve">        661T REG ASSET - SFAS 158 - OPEB</t>
  </si>
  <si>
    <t xml:space="preserve">        664N REG ASSET - DEFD SEVERANCE COSTS</t>
  </si>
  <si>
    <t xml:space="preserve">        906F ACCRD OPEB COSTS - SFAS 158</t>
  </si>
  <si>
    <t xml:space="preserve">        907A REG ASSET - MEDICARE SUBSIDY - FLOW THRU</t>
  </si>
  <si>
    <t xml:space="preserve">        907B SFAS 106 - MEDICARE SUBSIDY - NORMALIZED</t>
  </si>
  <si>
    <t xml:space="preserve">        911W ACCRD SIT TX RESERVE-SHRT-TERM-FIN 48</t>
  </si>
  <si>
    <t xml:space="preserve">        913D CHARITABLE CONTRIBUTION CARRYFWD</t>
  </si>
  <si>
    <t xml:space="preserve">        940S 1997-2003 IRS AUDIT SETTLEMENT</t>
  </si>
  <si>
    <t xml:space="preserve">        940X IRS CAPITALIZATION ADJUSTMENT</t>
  </si>
  <si>
    <t xml:space="preserve">        913A LUXURY AUTO ADJUSTMENT</t>
  </si>
  <si>
    <t xml:space="preserve">        999Q FIN-48 DSIT - PERM - FIN 48</t>
  </si>
  <si>
    <t xml:space="preserve">        610V PROV - SFAS 157 - A/L</t>
  </si>
  <si>
    <t xml:space="preserve">        610X PROV - SFAS 157 - B/L</t>
  </si>
  <si>
    <t xml:space="preserve">        639M TAX &gt; BOOK BASIS - EMA-A/C 190 (B/L)</t>
  </si>
  <si>
    <t xml:space="preserve">        632U BK DEFL - DEMAND SIDE MANAGEMENT</t>
  </si>
  <si>
    <t xml:space="preserve">        614L PROVISION FOR POTENTIAL LOSS</t>
  </si>
  <si>
    <t xml:space="preserve">        638C TAX &gt; BOOK BASIS - EMA-A/C 190</t>
  </si>
  <si>
    <t xml:space="preserve">        639Q DEFD TAX GAIN - INTERCO SALE - EMA</t>
  </si>
  <si>
    <t xml:space="preserve">        639S DEFD TAX LOSS - INTERCO SALE - EMA</t>
  </si>
  <si>
    <t xml:space="preserve">        911F FIN 48 DEFERRED STATE INCOME TAXES</t>
  </si>
  <si>
    <t>Tax Return Adjustments</t>
  </si>
  <si>
    <t>FIN-48 State Income Tax Adjustments</t>
  </si>
  <si>
    <t>Total State Income Tax  ---  All Other</t>
  </si>
  <si>
    <t>Tax Return, Apportionment  &amp; Other Adjustments</t>
  </si>
  <si>
    <t>Current State Income Tax Expense</t>
  </si>
  <si>
    <t>State Income Tax Return Adjustment</t>
  </si>
  <si>
    <t>Note:</t>
  </si>
  <si>
    <t>Adjusted</t>
  </si>
  <si>
    <t>Item Description</t>
  </si>
  <si>
    <t xml:space="preserve">        613K (ICDP) INCENTIVE COMP DEFERRAL PLAN</t>
  </si>
  <si>
    <t xml:space="preserve">        664V REG ASSET - NET CCS FEED STUDY COSTS</t>
  </si>
  <si>
    <t xml:space="preserve">        910E NON-DEDUCT MISCELLANEOUS</t>
  </si>
  <si>
    <t xml:space="preserve">        910U MEMBERSHIP DUES</t>
  </si>
  <si>
    <t xml:space="preserve">        663G REG ASSET - UNDERRECOVERY PJM EXPENSES</t>
  </si>
  <si>
    <t>Other Income &amp; Deductions   (Before Income Tax)</t>
  </si>
  <si>
    <t>Post Apportion Schedule M Adjustments</t>
  </si>
  <si>
    <t>State Taxable Income After Apportionment</t>
  </si>
  <si>
    <t>Kentucky Power Company</t>
  </si>
  <si>
    <t>KENTUCKY POWER COMPANY</t>
  </si>
  <si>
    <t xml:space="preserve">        232A ACRS TAX DEPRECIATION - HRJ</t>
  </si>
  <si>
    <t xml:space="preserve">        310D AOFUDC - HRJ POST-IN-SERVICE</t>
  </si>
  <si>
    <t xml:space="preserve">        320I ABFUDC - HRJ POST-IN-SERVICE - DFIT FBK</t>
  </si>
  <si>
    <t xml:space="preserve">        320I ABFUDC - HRJ POST-IN-SERVICE</t>
  </si>
  <si>
    <t xml:space="preserve">        630J DEFD STORM DAMAGE</t>
  </si>
  <si>
    <t xml:space="preserve">        611M NON-TAXABLE DEFD COMP - CSV EARN</t>
  </si>
  <si>
    <t>KY Jurisdictional</t>
  </si>
  <si>
    <t>Kentucky</t>
  </si>
  <si>
    <t xml:space="preserve">        232A-XS EXCESS DIT - ACRS TAX DEPR - HRJ</t>
  </si>
  <si>
    <t>ITC Feedback - HRJ 10%</t>
  </si>
  <si>
    <t xml:space="preserve">        320J ABFUDC - HRJ - DFIT FBK</t>
  </si>
  <si>
    <t>T&amp;D PLT</t>
  </si>
  <si>
    <t>O&amp;M EXP</t>
  </si>
  <si>
    <t>REVENUE</t>
  </si>
  <si>
    <t>REVENUE-OTH</t>
  </si>
  <si>
    <t>After Rate Case</t>
  </si>
  <si>
    <t>Utility After Rate</t>
  </si>
  <si>
    <t>Before Rate Case</t>
  </si>
  <si>
    <t>After Mitchell Plant</t>
  </si>
  <si>
    <t>Elimination</t>
  </si>
  <si>
    <t>(12)</t>
  </si>
  <si>
    <t>(13)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</si>
  <si>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</si>
  <si>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</si>
  <si>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</si>
  <si>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</si>
  <si>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</si>
  <si>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906Z SFAS 109 - MEDICARE SUBSIDY (PPACA) REG ASSET</t>
  </si>
  <si>
    <t xml:space="preserve">        911S ACCRUED SALES &amp; USE TAX RESERVE</t>
  </si>
  <si>
    <t>Deferred State Income Tax - WVA Pollution Control</t>
  </si>
  <si>
    <t>Current SIT Expense</t>
  </si>
  <si>
    <t>Deferred SIT Expense</t>
  </si>
  <si>
    <t>Total SIT Expense</t>
  </si>
  <si>
    <t>Total Income Tax Expense</t>
  </si>
  <si>
    <t>Allowance for Borrowed Funds Used During Construction</t>
  </si>
  <si>
    <t xml:space="preserve">        280Y NORMALIZED BASIS DIFF - TRANSFERRED PLANT</t>
  </si>
  <si>
    <t xml:space="preserve">        912K REMOVAL CST - NORMALIZED</t>
  </si>
  <si>
    <t xml:space="preserve">        690C REG ASSET - REMOVAL CST - BIG SANDY</t>
  </si>
  <si>
    <t xml:space="preserve">        432I DEFD FUEL EXP - UNDER-RECOVERED</t>
  </si>
  <si>
    <t xml:space="preserve">        432I DEFD FUEL EXP - OVER-RECOVERED</t>
  </si>
  <si>
    <t xml:space="preserve">        671G REG ASSET-BIG SANDY U1 OR-UNDER RECOV </t>
  </si>
  <si>
    <t xml:space="preserve">        671H REG ASSET-BIG SANDY RETIRE COSTS RECOV</t>
  </si>
  <si>
    <t xml:space="preserve">        671I REG ASSET-BIG SANDY RETIRE RIDER U2 O&amp;M</t>
  </si>
  <si>
    <t xml:space="preserve">        671J REG ASSET-UND RECOV-PURCH PWR PPA</t>
  </si>
  <si>
    <t xml:space="preserve">        671K REG ASSET-DEFD DEPREC-ENVIRONMENTAL</t>
  </si>
  <si>
    <t xml:space="preserve">        671L REG ASSET-CAR CHGS-ENVIRON COSTS</t>
  </si>
  <si>
    <t xml:space="preserve">        671M REG ASSET-CAR CHGS-ENVIRON UNREC EQUITY</t>
  </si>
  <si>
    <t xml:space="preserve">        671N REG ASSET-DEFD O&amp;M-ENVIRONMENTAL CSTS</t>
  </si>
  <si>
    <t xml:space="preserve">        671O REG ASSET-DEFD CONSUM EXP-ENVIRON CSTS</t>
  </si>
  <si>
    <t xml:space="preserve">        671P REG ASSET-DEFD PROP TAX EXP-ENVIRON CSTS</t>
  </si>
  <si>
    <t xml:space="preserve">        672G REG ASSET-BIG SANDY U1 OR-UNREC EQUITY CC</t>
  </si>
  <si>
    <t xml:space="preserve">        672H REG ASSET-BIG SANDY U1 OR-UNDER RECOV CC </t>
  </si>
  <si>
    <t xml:space="preserve">        672M REG ASSET-NERC COMPL/CYBER CC-UNREC EQ</t>
  </si>
  <si>
    <t xml:space="preserve">        672N REG ASSET-NERC COMPL/CYBER SEC-CAR CST</t>
  </si>
  <si>
    <t xml:space="preserve">        672O REG ASSET-NERC COMPL/CYBER SEC-DEF DEPR</t>
  </si>
  <si>
    <t xml:space="preserve">        672S REG ASSET-CAPACITY CHARGE TARIFF REV</t>
  </si>
  <si>
    <t xml:space="preserve">        673C REG ASSET-DEFD DEPR-BIG SANDY U1 GAS</t>
  </si>
  <si>
    <t xml:space="preserve">        673F REG ASSET-DEFD PROP TAX-BIG SANDY U1 GAS</t>
  </si>
  <si>
    <t xml:space="preserve">        690L REG ASSET-M&amp;S RETIRING PLANTS</t>
  </si>
  <si>
    <t xml:space="preserve">        690D REG ASSET - SPENT ARO - BIG SANDY</t>
  </si>
  <si>
    <t xml:space="preserve">        690F REG ASSET - NBV - ARO - RETIRED PLANTS</t>
  </si>
  <si>
    <t xml:space="preserve">        690E REG ASSET - UNRECOVERED PLANT - BIG SANDY</t>
  </si>
  <si>
    <t>Tax Credit Carryforward</t>
  </si>
  <si>
    <t>FIN 48 Perm Items</t>
  </si>
  <si>
    <t>FIN 48 Non-Perm Items</t>
  </si>
  <si>
    <t xml:space="preserve">        011C TAX CREDIT C/F - DEFERRED TAX ASSET</t>
  </si>
  <si>
    <t xml:space="preserve">        014C NOL - STATE C/F DEFD TAX ASSET - KY</t>
  </si>
  <si>
    <t xml:space="preserve">        280Z DFIT - GENERATION PLANT</t>
  </si>
  <si>
    <t xml:space="preserve">        913F VALUATION ALLOWANCE - CHARITABLE CONTR C/F</t>
  </si>
  <si>
    <t xml:space="preserve">        510I PROPERTY TAX - STATE 2 - OLD METHOD - TAX</t>
  </si>
  <si>
    <t xml:space="preserve">        611B PRELIM SURVEY &amp; INVEST RESERVE-BIG SANDY FGD</t>
  </si>
  <si>
    <t>Current State Income Tax  ---  All States</t>
  </si>
  <si>
    <t>Deferred State Income Tax  ---  All States</t>
  </si>
  <si>
    <t>Consistent with prior KPCO Rate Filings and Commission Orders, State Income Taxes are treated as flow-thru for ratemaking purposes other than those that were obtained as a result of the acquisition of the Mitchell Plant. (-ie- No Deferred State Income Taxes are included in Cost of Service).</t>
  </si>
  <si>
    <t xml:space="preserve">        980A RESTRICTED STOCK PLAN</t>
  </si>
  <si>
    <t>FIN-18 ETR Adjustment</t>
  </si>
  <si>
    <t>ALT MIN Tax Adjustment</t>
  </si>
  <si>
    <t xml:space="preserve">        960E AMT CREDIT - DEFERRED</t>
  </si>
  <si>
    <t>Twelve Months Ended March 31, 2020</t>
  </si>
  <si>
    <t xml:space="preserve">  230B 481 A BONUS DEPRECIATION</t>
  </si>
  <si>
    <t xml:space="preserve">  280J TAX DEPRECIATION LOOKBACK</t>
  </si>
  <si>
    <t xml:space="preserve">  520X PROV FOR RATE REFUND-TAX REFORM</t>
  </si>
  <si>
    <t xml:space="preserve">  520Y PROV FOR RATE REFUND-EXCESS PROTECTED</t>
  </si>
  <si>
    <t xml:space="preserve">  605P STOCK BASED COMP-CAREER SHARES</t>
  </si>
  <si>
    <t xml:space="preserve">  674A REG ASSET-ROCKPORT CAPACITY DEF-EQ CC</t>
  </si>
  <si>
    <t xml:space="preserve">  674B REG ASSET-ROCKPORT CAPACITY CC DEFERRAL</t>
  </si>
  <si>
    <t xml:space="preserve">  674C REG ASSET-ROCKPORT CAPACITY DEFERRAL</t>
  </si>
  <si>
    <t xml:space="preserve">  674D REG ASSET-KENTUCKY UNDER RECOV-PPA RIDER</t>
  </si>
  <si>
    <t xml:space="preserve">  675H REG ASSET-GreenHat Settlement</t>
  </si>
  <si>
    <t xml:space="preserve">  675I REG ASSET-Greenhat Liability</t>
  </si>
  <si>
    <t xml:space="preserve">  908A BOOK OPERATING LEASE - LIAB</t>
  </si>
  <si>
    <t xml:space="preserve">  908B BOOK OPERATING LEASE - ASSET</t>
  </si>
  <si>
    <t xml:space="preserve">  910M GROSS RECEIPTS- TAX EXPENSE</t>
  </si>
  <si>
    <t xml:space="preserve">  980J PSI - STOCK BASED COMP</t>
  </si>
  <si>
    <t xml:space="preserve">  605T STOCK BASED COMP-CAREER SHARES-PERM</t>
  </si>
  <si>
    <t xml:space="preserve">  980B RESTRICTED STOCK PLAN - TAX DEDUCTION</t>
  </si>
  <si>
    <t>NOL Reclass</t>
  </si>
  <si>
    <t>R&amp;D Credit - Current</t>
  </si>
  <si>
    <t xml:space="preserve">  911L-DSIT DSIT ENTRY - WV POLLUTION CONTROL</t>
  </si>
  <si>
    <t xml:space="preserve">        960F-XS EXCESS ADFIT 282 PROTECTED-FERC</t>
  </si>
  <si>
    <t xml:space="preserve">        960F-XS EXCESS ADFIT 282 PROTECTED-KY</t>
  </si>
  <si>
    <t xml:space="preserve">        960F-XS EXCESS ADFIT 282 UNPROTECTED-FERC</t>
  </si>
  <si>
    <t xml:space="preserve">        960F-XS EXCESS ADFIT 282 UNPROTECTED-KY</t>
  </si>
  <si>
    <t xml:space="preserve">        960F-XS EXCESS ADFIT 283 UNPROTECTED</t>
  </si>
  <si>
    <t xml:space="preserve">        960F-XS EXCESS ADFIT 283 UNPROTECTED-FERC</t>
  </si>
  <si>
    <t xml:space="preserve">        960F-XS EXCESS ADFIT 283 UNPROTECTED-KY</t>
  </si>
  <si>
    <t xml:space="preserve">        960F-XS EXCESS ADFIT 281 PROTECTED-FERC</t>
  </si>
  <si>
    <t xml:space="preserve">        960F-XS EXCESS ADFIT 281 PROTECTED-KY</t>
  </si>
  <si>
    <t xml:space="preserve">        960F-XS EXCESS ADFIT 282 PROTECTED</t>
  </si>
  <si>
    <t xml:space="preserve">        960F-XS EXCESS ADFIT 282 UNPROTECTED</t>
  </si>
  <si>
    <t xml:space="preserve">                      282 EXCESS ADJUSTMENT</t>
  </si>
  <si>
    <t xml:space="preserve">                      283 EXCESS ADJUSTMENT</t>
  </si>
  <si>
    <t>12 Mo. 03/31/20</t>
  </si>
  <si>
    <t>Add (Subtract): Tax Depreciation Lookback</t>
  </si>
  <si>
    <t>@ 21%</t>
  </si>
  <si>
    <t>s</t>
  </si>
  <si>
    <t>DFIT Feedback/ Excess</t>
  </si>
  <si>
    <t>Deferred State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</si>
</sst>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0000_);\(0.000000\)"/>
    <numFmt numFmtId="168" formatCode="0.0000000"/>
    <numFmt numFmtId="169" formatCode="0_);\(0\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1" fillId="0" borderId="0" xfId="1" applyNumberFormat="1"/>
    <xf numFmtId="164" fontId="1" fillId="0" borderId="1" xfId="1" applyNumberFormat="1" applyBorder="1"/>
    <xf numFmtId="164" fontId="1" fillId="0" borderId="0" xfId="1" applyNumberFormat="1" applyFont="1"/>
    <xf numFmtId="37" fontId="7" fillId="0" borderId="0" xfId="0" applyNumberFormat="1" applyFont="1" applyFill="1"/>
    <xf numFmtId="37" fontId="7" fillId="0" borderId="1" xfId="0" applyNumberFormat="1" applyFont="1" applyFill="1" applyBorder="1"/>
    <xf numFmtId="167" fontId="7" fillId="0" borderId="1" xfId="0" applyNumberFormat="1" applyFont="1" applyFill="1" applyBorder="1"/>
    <xf numFmtId="10" fontId="7" fillId="0" borderId="1" xfId="3" applyNumberFormat="1" applyFont="1" applyFill="1" applyBorder="1"/>
    <xf numFmtId="0" fontId="7" fillId="0" borderId="0" xfId="0" applyFont="1" applyFill="1"/>
    <xf numFmtId="37" fontId="7" fillId="0" borderId="3" xfId="0" applyNumberFormat="1" applyFont="1" applyFill="1" applyBorder="1"/>
    <xf numFmtId="37" fontId="7" fillId="0" borderId="4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164" fontId="3" fillId="0" borderId="5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1" xfId="0" applyNumberForma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1" fillId="0" borderId="1" xfId="1" applyNumberFormat="1" applyFont="1" applyBorder="1"/>
    <xf numFmtId="37" fontId="3" fillId="0" borderId="3" xfId="0" applyNumberFormat="1" applyFont="1" applyBorder="1"/>
    <xf numFmtId="167" fontId="7" fillId="0" borderId="0" xfId="0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8" fontId="0" fillId="0" borderId="0" xfId="0" applyNumberForma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/>
    <xf numFmtId="37" fontId="7" fillId="0" borderId="0" xfId="0" applyNumberFormat="1" applyFont="1" applyFill="1" applyBorder="1"/>
    <xf numFmtId="164" fontId="1" fillId="0" borderId="0" xfId="1" applyNumberFormat="1" applyFill="1"/>
    <xf numFmtId="164" fontId="3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0" fillId="0" borderId="0" xfId="0" applyAlignment="1">
      <alignment horizontal="center"/>
    </xf>
    <xf numFmtId="164" fontId="10" fillId="0" borderId="0" xfId="1" applyNumberFormat="1" applyFon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37" fontId="9" fillId="0" borderId="0" xfId="0" applyNumberFormat="1" applyFont="1" applyFill="1"/>
    <xf numFmtId="0" fontId="0" fillId="0" borderId="0" xfId="0" applyAlignment="1">
      <alignment horizontal="center"/>
    </xf>
    <xf numFmtId="164" fontId="3" fillId="0" borderId="3" xfId="0" applyNumberFormat="1" applyFont="1" applyBorder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37" fontId="6" fillId="0" borderId="0" xfId="0" applyNumberFormat="1" applyFont="1" applyFill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4" fontId="0" fillId="0" borderId="0" xfId="0" applyNumberFormat="1" applyFill="1" applyAlignment="1"/>
    <xf numFmtId="164" fontId="0" fillId="0" borderId="1" xfId="0" applyNumberFormat="1" applyFill="1" applyBorder="1" applyAlignment="1"/>
    <xf numFmtId="164" fontId="3" fillId="0" borderId="5" xfId="1" applyNumberFormat="1" applyFont="1" applyFill="1" applyBorder="1"/>
    <xf numFmtId="0" fontId="3" fillId="0" borderId="0" xfId="0" applyFont="1" applyFill="1" applyBorder="1"/>
    <xf numFmtId="164" fontId="3" fillId="0" borderId="5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1" fillId="0" borderId="0" xfId="1" applyNumberFormat="1" applyFill="1" applyAlignment="1"/>
    <xf numFmtId="164" fontId="1" fillId="0" borderId="1" xfId="1" applyNumberFormat="1" applyFill="1" applyBorder="1" applyAlignment="1"/>
    <xf numFmtId="10" fontId="1" fillId="0" borderId="1" xfId="1" applyNumberFormat="1" applyFill="1" applyBorder="1"/>
    <xf numFmtId="10" fontId="1" fillId="0" borderId="1" xfId="3" applyNumberFormat="1" applyFill="1" applyBorder="1" applyAlignment="1"/>
    <xf numFmtId="0" fontId="9" fillId="0" borderId="0" xfId="0" applyFont="1" applyFill="1" applyBorder="1" applyAlignment="1">
      <alignment horizontal="center"/>
    </xf>
    <xf numFmtId="164" fontId="3" fillId="0" borderId="3" xfId="1" applyNumberFormat="1" applyFont="1" applyFill="1" applyBorder="1"/>
    <xf numFmtId="164" fontId="3" fillId="0" borderId="3" xfId="1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37" fontId="3" fillId="0" borderId="0" xfId="0" applyNumberFormat="1" applyFont="1" applyFill="1"/>
    <xf numFmtId="37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left"/>
    </xf>
    <xf numFmtId="10" fontId="7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164" fontId="9" fillId="0" borderId="0" xfId="0" applyNumberFormat="1" applyFont="1" applyFill="1"/>
    <xf numFmtId="0" fontId="1" fillId="0" borderId="0" xfId="0" quotePrefix="1" applyNumberFormat="1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37" fontId="7" fillId="0" borderId="0" xfId="0" applyNumberFormat="1" applyFont="1"/>
    <xf numFmtId="164" fontId="1" fillId="0" borderId="0" xfId="1" applyNumberFormat="1" applyFont="1" applyFill="1"/>
    <xf numFmtId="0" fontId="0" fillId="0" borderId="0" xfId="0" applyFill="1" applyAlignment="1">
      <alignment horizontal="center"/>
    </xf>
    <xf numFmtId="43" fontId="7" fillId="0" borderId="0" xfId="1" applyFont="1" applyFill="1"/>
    <xf numFmtId="43" fontId="7" fillId="0" borderId="0" xfId="0" applyNumberFormat="1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3" fillId="0" borderId="0" xfId="0" applyNumberFormat="1" applyFont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/>
    </xf>
    <xf numFmtId="43" fontId="7" fillId="0" borderId="0" xfId="1" applyFont="1" applyFill="1" applyBorder="1"/>
    <xf numFmtId="43" fontId="7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7" fontId="0" fillId="0" borderId="0" xfId="0" applyNumberFormat="1" applyFill="1" applyBorder="1"/>
    <xf numFmtId="37" fontId="0" fillId="0" borderId="0" xfId="1" applyNumberFormat="1" applyFont="1" applyFill="1" applyBorder="1"/>
    <xf numFmtId="37" fontId="0" fillId="0" borderId="0" xfId="1" applyNumberFormat="1" applyFon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68" fontId="0" fillId="3" borderId="0" xfId="0" applyNumberForma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165" fontId="9" fillId="3" borderId="0" xfId="0" applyNumberFormat="1" applyFont="1" applyFill="1" applyAlignment="1">
      <alignment horizontal="center"/>
    </xf>
    <xf numFmtId="164" fontId="0" fillId="3" borderId="0" xfId="0" applyNumberFormat="1" applyFill="1"/>
    <xf numFmtId="164" fontId="1" fillId="3" borderId="0" xfId="1" applyNumberFormat="1" applyFill="1"/>
    <xf numFmtId="43" fontId="0" fillId="0" borderId="0" xfId="1" applyFont="1" applyFill="1" applyBorder="1"/>
    <xf numFmtId="164" fontId="0" fillId="3" borderId="0" xfId="1" applyNumberFormat="1" applyFont="1" applyFill="1" applyAlignment="1">
      <alignment horizontal="center"/>
    </xf>
    <xf numFmtId="168" fontId="0" fillId="3" borderId="0" xfId="0" applyNumberFormat="1" applyFill="1" applyBorder="1" applyAlignment="1">
      <alignment horizontal="left"/>
    </xf>
    <xf numFmtId="169" fontId="7" fillId="0" borderId="0" xfId="0" applyNumberFormat="1" applyFont="1" applyFill="1" applyBorder="1"/>
    <xf numFmtId="164" fontId="1" fillId="3" borderId="0" xfId="1" applyNumberFormat="1" applyFont="1" applyFill="1"/>
    <xf numFmtId="164" fontId="3" fillId="3" borderId="4" xfId="0" applyNumberFormat="1" applyFont="1" applyFill="1" applyBorder="1"/>
  </cellXfs>
  <cellStyles count="8">
    <cellStyle name="Comma" xfId="1" builtinId="3"/>
    <cellStyle name="Comma 2" xfId="2"/>
    <cellStyle name="Comma 2 2" xfId="5"/>
    <cellStyle name="Normal" xfId="0" builtinId="0"/>
    <cellStyle name="Normal 2" xfId="7"/>
    <cellStyle name="Percent" xfId="3" builtinId="5"/>
    <cellStyle name="Percent 2" xfId="4"/>
    <cellStyle name="Percent 2 2" xfId="6"/>
  </cellStyles>
  <dxfs count="0"/>
  <tableStyles count="0" defaultTableStyle="TableStyleMedium9" defaultPivotStyle="PivotStyleLight16"/>
  <colors>
    <mruColors>
      <color rgb="FFFFFF99"/>
      <color rgb="FFFFCC00"/>
      <color rgb="FFCC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workbookViewId="0">
      <selection activeCell="N42" sqref="N42"/>
    </sheetView>
  </sheetViews>
  <sheetFormatPr defaultRowHeight="12.5" x14ac:dyDescent="0.25"/>
  <cols>
    <col min="2" max="2" width="57.54296875" customWidth="1"/>
    <col min="3" max="14" width="15.7265625" customWidth="1"/>
  </cols>
  <sheetData>
    <row r="1" spans="1:14" ht="13" x14ac:dyDescent="0.3">
      <c r="A1" s="151" t="s">
        <v>286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4" ht="13" x14ac:dyDescent="0.3">
      <c r="A2" s="151" t="s">
        <v>224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4" ht="13" x14ac:dyDescent="0.3">
      <c r="A3" s="151" t="s">
        <v>118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4" ht="13" x14ac:dyDescent="0.3">
      <c r="A4" s="151" t="s">
        <v>366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4" ht="13" x14ac:dyDescent="0.3">
      <c r="A5" s="151"/>
      <c r="B5" s="152"/>
      <c r="C5" s="152"/>
      <c r="D5" s="152"/>
      <c r="E5" s="152"/>
      <c r="F5" s="152"/>
      <c r="G5" s="152"/>
      <c r="H5" s="152"/>
      <c r="I5" s="152"/>
      <c r="J5" s="152"/>
    </row>
    <row r="9" spans="1:14" x14ac:dyDescent="0.25">
      <c r="C9" s="3" t="s">
        <v>131</v>
      </c>
      <c r="D9" s="3" t="s">
        <v>132</v>
      </c>
      <c r="E9" s="3" t="s">
        <v>133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145</v>
      </c>
      <c r="M9" s="3" t="s">
        <v>164</v>
      </c>
      <c r="N9" s="3" t="s">
        <v>308</v>
      </c>
    </row>
    <row r="10" spans="1:14" x14ac:dyDescent="0.25">
      <c r="E10" s="59" t="s">
        <v>114</v>
      </c>
      <c r="G10" s="1" t="s">
        <v>114</v>
      </c>
      <c r="I10" s="59" t="s">
        <v>212</v>
      </c>
    </row>
    <row r="11" spans="1:14" x14ac:dyDescent="0.25">
      <c r="C11" s="1" t="s">
        <v>114</v>
      </c>
      <c r="D11" s="1" t="s">
        <v>124</v>
      </c>
      <c r="E11" s="59" t="s">
        <v>122</v>
      </c>
      <c r="G11" s="1" t="s">
        <v>122</v>
      </c>
      <c r="H11" s="68"/>
      <c r="I11" s="59" t="s">
        <v>304</v>
      </c>
      <c r="J11" s="57" t="s">
        <v>294</v>
      </c>
      <c r="K11" s="57" t="s">
        <v>294</v>
      </c>
      <c r="M11" s="62" t="s">
        <v>295</v>
      </c>
      <c r="N11" s="62" t="s">
        <v>294</v>
      </c>
    </row>
    <row r="12" spans="1:14" x14ac:dyDescent="0.25">
      <c r="C12" s="1" t="s">
        <v>115</v>
      </c>
      <c r="D12" s="1" t="s">
        <v>125</v>
      </c>
      <c r="E12" s="59" t="s">
        <v>305</v>
      </c>
      <c r="F12" s="62" t="s">
        <v>307</v>
      </c>
      <c r="G12" s="1" t="s">
        <v>303</v>
      </c>
      <c r="H12" s="68" t="s">
        <v>129</v>
      </c>
      <c r="I12" s="59" t="s">
        <v>130</v>
      </c>
      <c r="J12" s="1" t="s">
        <v>140</v>
      </c>
      <c r="K12" s="1" t="s">
        <v>142</v>
      </c>
      <c r="L12" s="1" t="s">
        <v>140</v>
      </c>
      <c r="M12" s="62" t="s">
        <v>183</v>
      </c>
      <c r="N12" s="62" t="s">
        <v>276</v>
      </c>
    </row>
    <row r="13" spans="1:14" x14ac:dyDescent="0.25">
      <c r="A13" s="2" t="s">
        <v>119</v>
      </c>
      <c r="B13" s="2" t="s">
        <v>217</v>
      </c>
      <c r="C13" s="60" t="s">
        <v>400</v>
      </c>
      <c r="D13" s="2" t="s">
        <v>126</v>
      </c>
      <c r="E13" s="2" t="s">
        <v>130</v>
      </c>
      <c r="F13" s="63" t="s">
        <v>130</v>
      </c>
      <c r="G13" s="2" t="s">
        <v>130</v>
      </c>
      <c r="H13" s="63" t="s">
        <v>130</v>
      </c>
      <c r="I13" s="49" t="str">
        <f>C13</f>
        <v>12 Mo. 03/31/20</v>
      </c>
      <c r="J13" s="2" t="s">
        <v>141</v>
      </c>
      <c r="K13" s="2" t="s">
        <v>143</v>
      </c>
      <c r="L13" s="2" t="s">
        <v>144</v>
      </c>
      <c r="M13" s="63" t="s">
        <v>130</v>
      </c>
      <c r="N13" s="63" t="s">
        <v>143</v>
      </c>
    </row>
    <row r="14" spans="1:14" ht="13" x14ac:dyDescent="0.3">
      <c r="A14" s="1">
        <v>1</v>
      </c>
      <c r="B14" s="19" t="s">
        <v>209</v>
      </c>
      <c r="C14" s="9">
        <f>'CFIT Schedules'!C14</f>
        <v>93030616</v>
      </c>
      <c r="D14" s="9">
        <f>'CFIT Schedules'!D14</f>
        <v>3800926</v>
      </c>
      <c r="E14" s="7">
        <f>+C14-D14</f>
        <v>89229690</v>
      </c>
      <c r="F14" s="9">
        <f>'CFIT Schedules'!F14</f>
        <v>0</v>
      </c>
      <c r="G14" s="5">
        <f>+E14+F14</f>
        <v>89229690</v>
      </c>
      <c r="H14" s="9">
        <f>'CFIT Schedules'!H14</f>
        <v>0</v>
      </c>
      <c r="I14" s="5">
        <f>+G14+H14</f>
        <v>89229690</v>
      </c>
      <c r="J14" s="6" t="s">
        <v>146</v>
      </c>
      <c r="K14" s="9">
        <f>'CFIT Schedules'!K14</f>
        <v>86914999</v>
      </c>
      <c r="L14" s="1" t="s">
        <v>146</v>
      </c>
      <c r="M14" s="9">
        <f>'CFIT Schedules'!M14</f>
        <v>-53906541</v>
      </c>
      <c r="N14" s="9">
        <f>'CFIT Schedules'!N14</f>
        <v>33008458</v>
      </c>
    </row>
    <row r="15" spans="1:14" x14ac:dyDescent="0.25">
      <c r="A15" s="1">
        <f>+A14+1</f>
        <v>2</v>
      </c>
      <c r="B15" t="s">
        <v>120</v>
      </c>
      <c r="C15" s="9">
        <f>'CFIT Schedules'!C15</f>
        <v>40845459</v>
      </c>
      <c r="D15" s="9">
        <f>'CFIT Schedules'!D15</f>
        <v>0</v>
      </c>
      <c r="E15" s="7">
        <f>+C15-D15</f>
        <v>40845459</v>
      </c>
      <c r="F15" s="9">
        <f>'CFIT Schedules'!F15</f>
        <v>0</v>
      </c>
      <c r="G15" s="5">
        <f>+E15+F15</f>
        <v>40845459</v>
      </c>
      <c r="H15" s="9">
        <f>'CFIT Schedules'!H15</f>
        <v>0</v>
      </c>
      <c r="I15" s="5">
        <f>+G15+H15</f>
        <v>40845459</v>
      </c>
      <c r="J15" s="1" t="s">
        <v>147</v>
      </c>
      <c r="K15" s="9">
        <f>'CFIT Schedules'!K15</f>
        <v>40232777</v>
      </c>
      <c r="L15" s="1" t="s">
        <v>225</v>
      </c>
      <c r="M15" s="9">
        <f>'CFIT Schedules'!M15</f>
        <v>-7539533</v>
      </c>
      <c r="N15" s="9">
        <f>'CFIT Schedules'!N15</f>
        <v>32693244</v>
      </c>
    </row>
    <row r="16" spans="1:14" x14ac:dyDescent="0.25">
      <c r="A16" s="68">
        <f t="shared" ref="A16:A42" si="0">+A15+1</f>
        <v>3</v>
      </c>
      <c r="B16" t="s">
        <v>322</v>
      </c>
      <c r="C16" s="9">
        <f>'CFIT Schedules'!C16</f>
        <v>1400487.08</v>
      </c>
      <c r="D16" s="9">
        <f>'CFIT Schedules'!D16</f>
        <v>0</v>
      </c>
      <c r="E16" s="7">
        <f>+C16-D16</f>
        <v>1400487.08</v>
      </c>
      <c r="F16" s="9">
        <f>'CFIT Schedules'!F16</f>
        <v>0</v>
      </c>
      <c r="G16" s="5">
        <f>+E16+F16</f>
        <v>1400487.08</v>
      </c>
      <c r="H16" s="9">
        <f>'CFIT Schedules'!H16</f>
        <v>0</v>
      </c>
      <c r="I16" s="5">
        <f>+G16+H16</f>
        <v>1400487.08</v>
      </c>
      <c r="J16" s="68" t="s">
        <v>147</v>
      </c>
      <c r="K16" s="9">
        <f>'CFIT Schedules'!K16</f>
        <v>1379480</v>
      </c>
      <c r="L16" s="68" t="s">
        <v>225</v>
      </c>
      <c r="M16" s="9">
        <f>'CFIT Schedules'!M16</f>
        <v>0</v>
      </c>
      <c r="N16" s="9">
        <f>'CFIT Schedules'!N16</f>
        <v>1379480</v>
      </c>
    </row>
    <row r="17" spans="1:14" x14ac:dyDescent="0.25">
      <c r="A17" s="68">
        <f t="shared" si="0"/>
        <v>4</v>
      </c>
      <c r="B17" t="s">
        <v>121</v>
      </c>
      <c r="C17" s="29">
        <f>'CFIT Schedules'!C17</f>
        <v>-6683740</v>
      </c>
      <c r="D17" s="29">
        <f>'CFIT Schedules'!D17</f>
        <v>-6683740</v>
      </c>
      <c r="E17" s="4">
        <f>+C17-D17</f>
        <v>0</v>
      </c>
      <c r="F17" s="29">
        <f>'CFIT Schedules'!F17</f>
        <v>0</v>
      </c>
      <c r="G17" s="4">
        <f>+E17+F17</f>
        <v>0</v>
      </c>
      <c r="H17" s="29">
        <f>'CFIT Schedules'!H17</f>
        <v>0</v>
      </c>
      <c r="I17" s="4">
        <f>+G17+H17</f>
        <v>0</v>
      </c>
      <c r="J17" s="21" t="s">
        <v>148</v>
      </c>
      <c r="K17" s="29">
        <f>'CFIT Schedules'!K17</f>
        <v>0</v>
      </c>
      <c r="L17" s="21" t="s">
        <v>148</v>
      </c>
      <c r="M17" s="29">
        <f>'CFIT Schedules'!M17</f>
        <v>0</v>
      </c>
      <c r="N17" s="29">
        <f>'CFIT Schedules'!N17</f>
        <v>0</v>
      </c>
    </row>
    <row r="18" spans="1:14" ht="13" x14ac:dyDescent="0.3">
      <c r="A18" s="68">
        <f t="shared" si="0"/>
        <v>5</v>
      </c>
      <c r="B18" s="19" t="s">
        <v>213</v>
      </c>
      <c r="C18" s="7">
        <f t="shared" ref="C18:I18" si="1">C14-C15+C16+C17</f>
        <v>46901904.079999998</v>
      </c>
      <c r="D18" s="7">
        <f t="shared" si="1"/>
        <v>-2882814</v>
      </c>
      <c r="E18" s="7">
        <f t="shared" si="1"/>
        <v>49784718.079999998</v>
      </c>
      <c r="F18" s="7">
        <f t="shared" si="1"/>
        <v>0</v>
      </c>
      <c r="G18" s="7">
        <f t="shared" si="1"/>
        <v>49784718.079999998</v>
      </c>
      <c r="H18" s="7">
        <f t="shared" si="1"/>
        <v>0</v>
      </c>
      <c r="I18" s="7">
        <f t="shared" si="1"/>
        <v>49784718.079999998</v>
      </c>
      <c r="J18" s="6"/>
      <c r="K18" s="7">
        <f>K14-K15+K16+K17</f>
        <v>48061702</v>
      </c>
      <c r="L18" s="21"/>
      <c r="M18" s="7">
        <f>M14-M15+M16+M17</f>
        <v>-46367008</v>
      </c>
      <c r="N18" s="7">
        <f>N14-N15+N16+N17</f>
        <v>1694694</v>
      </c>
    </row>
    <row r="19" spans="1:14" x14ac:dyDescent="0.25">
      <c r="A19" s="68">
        <f t="shared" si="0"/>
        <v>6</v>
      </c>
      <c r="B19" s="52" t="s">
        <v>273</v>
      </c>
      <c r="C19" s="9">
        <f>'CFIT Schedules'!C19</f>
        <v>1318264.6200000001</v>
      </c>
      <c r="D19" s="9">
        <f>'CFIT Schedules'!D19</f>
        <v>1694108</v>
      </c>
      <c r="E19" s="8">
        <f>+C19-D19</f>
        <v>-375843.37999999989</v>
      </c>
      <c r="F19" s="9">
        <f>'CFIT Schedules'!F19</f>
        <v>0</v>
      </c>
      <c r="G19" s="4">
        <f>+E19+F19</f>
        <v>-375843.37999999989</v>
      </c>
      <c r="H19" s="9">
        <f>'CFIT Schedules'!H19</f>
        <v>0</v>
      </c>
      <c r="I19" s="4">
        <f>+G19+H19</f>
        <v>-375843.37999999989</v>
      </c>
      <c r="J19" s="21" t="s">
        <v>222</v>
      </c>
      <c r="K19" s="167">
        <f>'CFIT Schedules'!K19</f>
        <v>-1268493</v>
      </c>
      <c r="L19" s="21" t="s">
        <v>210</v>
      </c>
      <c r="M19" s="9">
        <f>'CFIT Schedules'!M19</f>
        <v>-2719643</v>
      </c>
      <c r="N19" s="167">
        <f>'CFIT Schedules'!N19</f>
        <v>-3988136</v>
      </c>
    </row>
    <row r="20" spans="1:14" ht="13" x14ac:dyDescent="0.3">
      <c r="A20" s="68">
        <f t="shared" si="0"/>
        <v>7</v>
      </c>
      <c r="B20" s="19" t="s">
        <v>211</v>
      </c>
      <c r="C20" s="20">
        <f t="shared" ref="C20:K20" si="2">C18-C19</f>
        <v>45583639.460000001</v>
      </c>
      <c r="D20" s="20">
        <f t="shared" si="2"/>
        <v>-4576922</v>
      </c>
      <c r="E20" s="20">
        <f t="shared" si="2"/>
        <v>50160561.460000001</v>
      </c>
      <c r="F20" s="20">
        <f t="shared" si="2"/>
        <v>0</v>
      </c>
      <c r="G20" s="20">
        <f t="shared" si="2"/>
        <v>50160561.460000001</v>
      </c>
      <c r="H20" s="20">
        <f t="shared" si="2"/>
        <v>0</v>
      </c>
      <c r="I20" s="20">
        <f t="shared" si="2"/>
        <v>50160561.460000001</v>
      </c>
      <c r="J20" s="22"/>
      <c r="K20" s="20">
        <f t="shared" si="2"/>
        <v>49330195</v>
      </c>
      <c r="L20" s="23"/>
      <c r="M20" s="20">
        <f t="shared" ref="M20:N20" si="3">M18-M19</f>
        <v>-43647365</v>
      </c>
      <c r="N20" s="20">
        <f t="shared" si="3"/>
        <v>5682830</v>
      </c>
    </row>
    <row r="21" spans="1:14" x14ac:dyDescent="0.25">
      <c r="A21" s="68">
        <f t="shared" si="0"/>
        <v>8</v>
      </c>
      <c r="C21" s="7"/>
      <c r="K21" s="25"/>
      <c r="M21" s="25"/>
      <c r="N21" s="25"/>
    </row>
    <row r="22" spans="1:14" x14ac:dyDescent="0.25">
      <c r="A22" s="68">
        <f t="shared" si="0"/>
        <v>9</v>
      </c>
    </row>
    <row r="23" spans="1:14" x14ac:dyDescent="0.25">
      <c r="A23" s="68">
        <f t="shared" si="0"/>
        <v>10</v>
      </c>
    </row>
    <row r="24" spans="1:14" ht="13" x14ac:dyDescent="0.3">
      <c r="A24" s="68">
        <f t="shared" si="0"/>
        <v>11</v>
      </c>
      <c r="B24" s="19" t="s">
        <v>318</v>
      </c>
      <c r="C24" s="5">
        <f t="shared" ref="C24:I24" si="4">C19</f>
        <v>1318264.6200000001</v>
      </c>
      <c r="D24" s="5">
        <f t="shared" si="4"/>
        <v>1694108</v>
      </c>
      <c r="E24" s="5">
        <f t="shared" si="4"/>
        <v>-375843.37999999989</v>
      </c>
      <c r="F24" s="5">
        <f t="shared" si="4"/>
        <v>0</v>
      </c>
      <c r="G24" s="5">
        <f t="shared" si="4"/>
        <v>-375843.37999999989</v>
      </c>
      <c r="H24" s="5">
        <f t="shared" si="4"/>
        <v>0</v>
      </c>
      <c r="I24" s="5">
        <f t="shared" si="4"/>
        <v>-375843.37999999989</v>
      </c>
      <c r="J24" s="5"/>
      <c r="K24" s="161">
        <f>K19</f>
        <v>-1268493</v>
      </c>
      <c r="L24" s="5"/>
      <c r="M24" s="5">
        <f>M19</f>
        <v>-2719643</v>
      </c>
      <c r="N24" s="161">
        <f>N19</f>
        <v>-3988136</v>
      </c>
    </row>
    <row r="25" spans="1:14" ht="13" x14ac:dyDescent="0.3">
      <c r="A25" s="68">
        <f t="shared" si="0"/>
        <v>12</v>
      </c>
      <c r="B25" s="19"/>
    </row>
    <row r="26" spans="1:14" ht="13" x14ac:dyDescent="0.3">
      <c r="A26" s="68">
        <f t="shared" si="0"/>
        <v>13</v>
      </c>
      <c r="B26" s="19" t="s">
        <v>319</v>
      </c>
      <c r="C26" s="5">
        <f>'SIT Schedules'!C135</f>
        <v>-1314064.6200000001</v>
      </c>
      <c r="D26" s="5">
        <f>'SIT Schedules'!D135</f>
        <v>0</v>
      </c>
      <c r="E26" s="5">
        <f>'SIT Schedules'!E135</f>
        <v>-452690</v>
      </c>
      <c r="F26" s="5">
        <f>'SIT Schedules'!F135</f>
        <v>0</v>
      </c>
      <c r="G26" s="5">
        <f>'SIT Schedules'!G135</f>
        <v>-452690</v>
      </c>
      <c r="H26" s="5">
        <f>'SIT Schedules'!H135</f>
        <v>0</v>
      </c>
      <c r="I26" s="5">
        <f>'SIT Schedules'!I135</f>
        <v>-452690</v>
      </c>
      <c r="J26" s="5"/>
      <c r="K26" s="5">
        <f>'SIT Schedules'!K135</f>
        <v>-445900</v>
      </c>
      <c r="L26" s="5"/>
      <c r="M26" s="5">
        <f>'SIT Schedules'!M135</f>
        <v>0</v>
      </c>
      <c r="N26" s="5">
        <f>'SIT Schedules'!N135</f>
        <v>-445900</v>
      </c>
    </row>
    <row r="27" spans="1:14" x14ac:dyDescent="0.25">
      <c r="A27" s="68">
        <f t="shared" si="0"/>
        <v>14</v>
      </c>
    </row>
    <row r="28" spans="1:14" ht="13.5" thickBot="1" x14ac:dyDescent="0.35">
      <c r="A28" s="68">
        <f t="shared" si="0"/>
        <v>15</v>
      </c>
      <c r="B28" s="19" t="s">
        <v>320</v>
      </c>
      <c r="C28" s="30">
        <f t="shared" ref="C28:I28" si="5">SUM(C24:C27)</f>
        <v>4200</v>
      </c>
      <c r="D28" s="30">
        <f t="shared" si="5"/>
        <v>1694108</v>
      </c>
      <c r="E28" s="30">
        <f t="shared" si="5"/>
        <v>-828533.37999999989</v>
      </c>
      <c r="F28" s="67">
        <f t="shared" si="5"/>
        <v>0</v>
      </c>
      <c r="G28" s="30">
        <f t="shared" si="5"/>
        <v>-828533.37999999989</v>
      </c>
      <c r="H28" s="30">
        <f t="shared" si="5"/>
        <v>0</v>
      </c>
      <c r="I28" s="30">
        <f t="shared" si="5"/>
        <v>-828533.37999999989</v>
      </c>
      <c r="K28" s="30">
        <f>SUM(K24:K27)</f>
        <v>-1714393</v>
      </c>
      <c r="M28" s="67">
        <f>SUM(M24:M27)</f>
        <v>-2719643</v>
      </c>
      <c r="N28" s="30">
        <f>SUM(N24:N27)</f>
        <v>-4434036</v>
      </c>
    </row>
    <row r="29" spans="1:14" ht="13.5" thickTop="1" x14ac:dyDescent="0.3">
      <c r="A29" s="68">
        <f t="shared" si="0"/>
        <v>16</v>
      </c>
      <c r="B29" s="19"/>
    </row>
    <row r="30" spans="1:14" x14ac:dyDescent="0.25">
      <c r="A30" s="68">
        <f t="shared" si="0"/>
        <v>17</v>
      </c>
    </row>
    <row r="31" spans="1:14" x14ac:dyDescent="0.25">
      <c r="A31" s="68">
        <f t="shared" si="0"/>
        <v>18</v>
      </c>
      <c r="D31" s="23"/>
      <c r="F31" s="23"/>
      <c r="H31" s="23"/>
    </row>
    <row r="32" spans="1:14" ht="13" x14ac:dyDescent="0.3">
      <c r="A32" s="68">
        <f t="shared" si="0"/>
        <v>19</v>
      </c>
      <c r="B32" s="19" t="s">
        <v>218</v>
      </c>
      <c r="C32" s="5">
        <f>ROUND('CFIT Schedules'!C292,0)</f>
        <v>-7937454</v>
      </c>
      <c r="D32" s="5">
        <f>ROUND('CFIT Schedules'!D292,0)</f>
        <v>-4740205</v>
      </c>
      <c r="E32" s="5">
        <f>+C32-D32</f>
        <v>-3197249</v>
      </c>
      <c r="F32" s="5">
        <f>ROUND('CFIT Schedules'!F292,0)</f>
        <v>0</v>
      </c>
      <c r="G32" s="5">
        <f>+E32+F32</f>
        <v>-3197249</v>
      </c>
      <c r="H32" s="5">
        <f>ROUND('CFIT Schedules'!H292,0)</f>
        <v>0</v>
      </c>
      <c r="I32" s="5">
        <f>+G32+H32</f>
        <v>-3197249</v>
      </c>
      <c r="J32" s="5"/>
      <c r="K32" s="161">
        <f>ROUND('CFIT Schedules'!K292,0)</f>
        <v>-3139399</v>
      </c>
      <c r="L32" s="5"/>
      <c r="M32" s="5">
        <f>ROUND('CFIT Schedules'!M292,0)</f>
        <v>-9184148</v>
      </c>
      <c r="N32" s="161">
        <f>ROUND('CFIT Schedules'!N292,0)</f>
        <v>-12323547</v>
      </c>
    </row>
    <row r="33" spans="1:14" ht="13" x14ac:dyDescent="0.3">
      <c r="A33" s="68">
        <f t="shared" si="0"/>
        <v>20</v>
      </c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" x14ac:dyDescent="0.3">
      <c r="A34" s="68">
        <f t="shared" si="0"/>
        <v>21</v>
      </c>
      <c r="B34" s="19" t="s">
        <v>219</v>
      </c>
      <c r="C34" s="5">
        <f>'DFIT-Per Books as Adjusted'!C275</f>
        <v>3460761.7399999988</v>
      </c>
      <c r="D34" s="5">
        <f>'DFIT-Per Books as Adjusted'!D275</f>
        <v>-1051747.3900000001</v>
      </c>
      <c r="E34" s="5">
        <f>+C34-D34</f>
        <v>4512509.129999999</v>
      </c>
      <c r="F34" s="5">
        <f>'DFIT-Per Books as Adjusted'!F275</f>
        <v>0</v>
      </c>
      <c r="G34" s="5">
        <f>+E34+F34</f>
        <v>4512509.129999999</v>
      </c>
      <c r="H34" s="5">
        <f>'DFIT-Per Books as Adjusted'!H275</f>
        <v>0</v>
      </c>
      <c r="I34" s="5">
        <f>+G34+H34</f>
        <v>4512509.129999999</v>
      </c>
      <c r="J34" s="5"/>
      <c r="K34" s="161">
        <f>'DFIT-Per Books as Adjusted'!K275</f>
        <v>4429307</v>
      </c>
      <c r="L34" s="5"/>
      <c r="M34" s="5">
        <f>'DFIT-Per Books as Adjusted'!M275</f>
        <v>10486154</v>
      </c>
      <c r="N34" s="161">
        <f>'DFIT-Per Books as Adjusted'!N275</f>
        <v>14915461</v>
      </c>
    </row>
    <row r="35" spans="1:14" ht="13" x14ac:dyDescent="0.3">
      <c r="A35" s="68">
        <f t="shared" si="0"/>
        <v>22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3" x14ac:dyDescent="0.3">
      <c r="A36" s="68">
        <f t="shared" si="0"/>
        <v>23</v>
      </c>
      <c r="B36" s="19" t="s">
        <v>220</v>
      </c>
      <c r="C36" s="5">
        <f>ROUND('DFIT-Per Books as Adjusted'!C286,0)</f>
        <v>-28</v>
      </c>
      <c r="D36" s="5">
        <f>ROUND('DFIT-Per Books as Adjusted'!D286,0)</f>
        <v>0</v>
      </c>
      <c r="E36" s="5">
        <f>+C36-D36</f>
        <v>-28</v>
      </c>
      <c r="F36" s="5">
        <f>ROUND('DFIT-Per Books as Adjusted'!F286,0)</f>
        <v>0</v>
      </c>
      <c r="G36" s="5">
        <f>+E36+F36</f>
        <v>-28</v>
      </c>
      <c r="H36" s="5">
        <f>ROUND('DFIT-Per Books as Adjusted'!H286,0)</f>
        <v>0</v>
      </c>
      <c r="I36" s="5">
        <f>+G36+H36</f>
        <v>-28</v>
      </c>
      <c r="J36" s="5"/>
      <c r="K36" s="5">
        <f>ROUND('DFIT-Per Books as Adjusted'!K286,0)</f>
        <v>-27</v>
      </c>
      <c r="L36" s="5"/>
      <c r="M36" s="5">
        <f>ROUND('DFIT-Per Books as Adjusted'!M286,0)</f>
        <v>0</v>
      </c>
      <c r="N36" s="5">
        <f>ROUND('DFIT-Per Books as Adjusted'!N286,0)</f>
        <v>-27</v>
      </c>
    </row>
    <row r="37" spans="1:14" ht="13" x14ac:dyDescent="0.3">
      <c r="A37" s="68">
        <f t="shared" si="0"/>
        <v>24</v>
      </c>
      <c r="B37" s="19"/>
    </row>
    <row r="38" spans="1:14" ht="13.5" thickBot="1" x14ac:dyDescent="0.35">
      <c r="A38" s="68">
        <f t="shared" si="0"/>
        <v>25</v>
      </c>
      <c r="B38" s="19" t="s">
        <v>221</v>
      </c>
      <c r="C38" s="30">
        <f t="shared" ref="C38:H38" si="6">SUM(C32:C37)</f>
        <v>-4476720.2600000016</v>
      </c>
      <c r="D38" s="30">
        <f t="shared" si="6"/>
        <v>-5791952.3900000006</v>
      </c>
      <c r="E38" s="30">
        <f t="shared" si="6"/>
        <v>1315232.129999999</v>
      </c>
      <c r="F38" s="67">
        <f t="shared" si="6"/>
        <v>0</v>
      </c>
      <c r="G38" s="30">
        <f t="shared" si="6"/>
        <v>1315232.129999999</v>
      </c>
      <c r="H38" s="30">
        <f t="shared" si="6"/>
        <v>0</v>
      </c>
      <c r="I38" s="30">
        <f>SUM(I32:I37)</f>
        <v>1315232.129999999</v>
      </c>
      <c r="K38" s="30">
        <f>SUM(K32:K37)</f>
        <v>1289881</v>
      </c>
      <c r="M38" s="67">
        <f>SUM(M32:M37)</f>
        <v>1302006</v>
      </c>
      <c r="N38" s="30">
        <f>SUM(N32:N37)</f>
        <v>2591887</v>
      </c>
    </row>
    <row r="39" spans="1:14" ht="13" thickTop="1" x14ac:dyDescent="0.25">
      <c r="A39" s="68">
        <f t="shared" si="0"/>
        <v>26</v>
      </c>
      <c r="D39" s="23"/>
      <c r="F39" s="23"/>
      <c r="H39" s="23"/>
    </row>
    <row r="40" spans="1:14" x14ac:dyDescent="0.25">
      <c r="A40" s="68">
        <f t="shared" si="0"/>
        <v>27</v>
      </c>
      <c r="D40" s="23"/>
      <c r="F40" s="23"/>
      <c r="H40" s="23"/>
    </row>
    <row r="41" spans="1:14" x14ac:dyDescent="0.25">
      <c r="A41" s="68">
        <f t="shared" si="0"/>
        <v>28</v>
      </c>
      <c r="C41" s="23"/>
      <c r="D41" s="23"/>
      <c r="F41" s="23"/>
      <c r="H41" s="23"/>
    </row>
    <row r="42" spans="1:14" ht="13.5" thickBot="1" x14ac:dyDescent="0.35">
      <c r="A42" s="68">
        <f t="shared" si="0"/>
        <v>29</v>
      </c>
      <c r="B42" s="19" t="s">
        <v>321</v>
      </c>
      <c r="C42" s="28">
        <f t="shared" ref="C42:I42" si="7">C28+C38</f>
        <v>-4472520.2600000016</v>
      </c>
      <c r="D42" s="28">
        <f t="shared" si="7"/>
        <v>-4097844.3900000006</v>
      </c>
      <c r="E42" s="28">
        <f t="shared" si="7"/>
        <v>486698.74999999907</v>
      </c>
      <c r="F42" s="28">
        <f t="shared" si="7"/>
        <v>0</v>
      </c>
      <c r="G42" s="28">
        <f t="shared" si="7"/>
        <v>486698.74999999907</v>
      </c>
      <c r="H42" s="28">
        <f t="shared" si="7"/>
        <v>0</v>
      </c>
      <c r="I42" s="28">
        <f t="shared" si="7"/>
        <v>486698.74999999907</v>
      </c>
      <c r="K42" s="168">
        <f>K28+K38</f>
        <v>-424512</v>
      </c>
      <c r="M42" s="28">
        <f>M28+M38</f>
        <v>-1417637</v>
      </c>
      <c r="N42" s="168">
        <f>N28+N38</f>
        <v>-1842149</v>
      </c>
    </row>
    <row r="43" spans="1:14" ht="13" thickTop="1" x14ac:dyDescent="0.25">
      <c r="A43" s="66"/>
      <c r="D43" s="23"/>
      <c r="F43" s="23"/>
      <c r="H43" s="23"/>
    </row>
    <row r="44" spans="1:14" x14ac:dyDescent="0.25">
      <c r="A44" s="66"/>
      <c r="D44" s="23"/>
      <c r="F44" s="23"/>
      <c r="H44" s="23"/>
    </row>
    <row r="45" spans="1:14" x14ac:dyDescent="0.25">
      <c r="N45" s="5"/>
    </row>
  </sheetData>
  <mergeCells count="5">
    <mergeCell ref="A5:J5"/>
    <mergeCell ref="A1:J1"/>
    <mergeCell ref="A2:J2"/>
    <mergeCell ref="A3:J3"/>
    <mergeCell ref="A4:J4"/>
  </mergeCells>
  <phoneticPr fontId="2" type="noConversion"/>
  <pageMargins left="0.25" right="0.25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273" zoomScaleNormal="100" workbookViewId="0">
      <selection activeCell="M181" sqref="M181:M197"/>
    </sheetView>
  </sheetViews>
  <sheetFormatPr defaultColWidth="9.1796875" defaultRowHeight="12.5" x14ac:dyDescent="0.25"/>
  <cols>
    <col min="1" max="1" width="9.1796875" style="17"/>
    <col min="2" max="2" width="60.7265625" style="17" customWidth="1"/>
    <col min="3" max="15" width="15.7265625" style="17" customWidth="1"/>
    <col min="16" max="16384" width="9.1796875" style="17"/>
  </cols>
  <sheetData>
    <row r="1" spans="1:14" ht="13" x14ac:dyDescent="0.3">
      <c r="A1" s="153" t="s">
        <v>286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ht="13" x14ac:dyDescent="0.3">
      <c r="A2" s="153" t="s">
        <v>116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4" ht="13" x14ac:dyDescent="0.3">
      <c r="A3" s="153" t="s">
        <v>117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4" ht="13" x14ac:dyDescent="0.3">
      <c r="A4" s="153" t="s">
        <v>118</v>
      </c>
      <c r="B4" s="154"/>
      <c r="C4" s="154"/>
      <c r="D4" s="154"/>
      <c r="E4" s="154"/>
      <c r="F4" s="154"/>
      <c r="G4" s="154"/>
      <c r="H4" s="154"/>
      <c r="I4" s="154"/>
      <c r="J4" s="154"/>
      <c r="M4" s="138">
        <f>2719643-3210860</f>
        <v>-491217</v>
      </c>
    </row>
    <row r="5" spans="1:14" ht="13" x14ac:dyDescent="0.3">
      <c r="A5" s="153" t="str">
        <f>Summary!A4</f>
        <v>Twelve Months Ended March 31, 2020</v>
      </c>
      <c r="B5" s="154"/>
      <c r="C5" s="154"/>
      <c r="D5" s="154"/>
      <c r="E5" s="154"/>
      <c r="F5" s="154"/>
      <c r="G5" s="154"/>
      <c r="H5" s="154"/>
      <c r="I5" s="154"/>
      <c r="J5" s="154"/>
    </row>
    <row r="9" spans="1:14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</row>
    <row r="10" spans="1:14" x14ac:dyDescent="0.25">
      <c r="E10" s="18" t="s">
        <v>114</v>
      </c>
      <c r="G10" s="18" t="s">
        <v>114</v>
      </c>
      <c r="I10" s="18" t="s">
        <v>212</v>
      </c>
    </row>
    <row r="11" spans="1:14" x14ac:dyDescent="0.25">
      <c r="C11" s="18" t="s">
        <v>114</v>
      </c>
      <c r="D11" s="18" t="s">
        <v>124</v>
      </c>
      <c r="E11" s="18" t="s">
        <v>122</v>
      </c>
      <c r="G11" s="18" t="s">
        <v>122</v>
      </c>
      <c r="H11" s="18"/>
      <c r="I11" s="18" t="s">
        <v>304</v>
      </c>
      <c r="J11" s="18" t="s">
        <v>294</v>
      </c>
      <c r="K11" s="18" t="s">
        <v>294</v>
      </c>
      <c r="M11" s="150" t="s">
        <v>295</v>
      </c>
      <c r="N11" s="18" t="s">
        <v>294</v>
      </c>
    </row>
    <row r="12" spans="1:14" x14ac:dyDescent="0.25">
      <c r="C12" s="18" t="s">
        <v>115</v>
      </c>
      <c r="D12" s="18" t="s">
        <v>125</v>
      </c>
      <c r="E12" s="18" t="s">
        <v>305</v>
      </c>
      <c r="F12" s="18" t="s">
        <v>307</v>
      </c>
      <c r="G12" s="18" t="s">
        <v>303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50" t="s">
        <v>183</v>
      </c>
      <c r="N12" s="18" t="s">
        <v>276</v>
      </c>
    </row>
    <row r="13" spans="1:14" x14ac:dyDescent="0.25">
      <c r="A13" s="74" t="s">
        <v>119</v>
      </c>
      <c r="B13" s="74" t="s">
        <v>277</v>
      </c>
      <c r="C13" s="74" t="str">
        <f>Summary!C13</f>
        <v>12 Mo. 03/31/20</v>
      </c>
      <c r="D13" s="74" t="s">
        <v>126</v>
      </c>
      <c r="E13" s="74" t="s">
        <v>130</v>
      </c>
      <c r="F13" s="74" t="s">
        <v>130</v>
      </c>
      <c r="G13" s="74" t="s">
        <v>130</v>
      </c>
      <c r="H13" s="74" t="s">
        <v>130</v>
      </c>
      <c r="I13" s="74" t="str">
        <f>C13</f>
        <v>12 Mo. 03/31/20</v>
      </c>
      <c r="J13" s="74" t="s">
        <v>141</v>
      </c>
      <c r="K13" s="74" t="s">
        <v>143</v>
      </c>
      <c r="L13" s="74" t="s">
        <v>144</v>
      </c>
      <c r="M13" s="74" t="s">
        <v>130</v>
      </c>
      <c r="N13" s="74" t="s">
        <v>143</v>
      </c>
    </row>
    <row r="14" spans="1:14" ht="13" x14ac:dyDescent="0.3">
      <c r="A14" s="18">
        <v>1</v>
      </c>
      <c r="B14" s="75" t="s">
        <v>209</v>
      </c>
      <c r="C14" s="129">
        <f>93030620-4</f>
        <v>93030616</v>
      </c>
      <c r="D14" s="54">
        <v>3800926</v>
      </c>
      <c r="E14" s="54">
        <f>+C14-D14</f>
        <v>89229690</v>
      </c>
      <c r="F14" s="54">
        <v>0</v>
      </c>
      <c r="G14" s="27">
        <f>+E14+F14</f>
        <v>89229690</v>
      </c>
      <c r="H14" s="27">
        <v>0</v>
      </c>
      <c r="I14" s="27">
        <f>+G14+H14</f>
        <v>89229690</v>
      </c>
      <c r="J14" s="6" t="s">
        <v>146</v>
      </c>
      <c r="K14" s="76">
        <v>86914999</v>
      </c>
      <c r="L14" s="18" t="s">
        <v>146</v>
      </c>
      <c r="M14" s="27">
        <v>-53906541</v>
      </c>
      <c r="N14" s="27">
        <f>K14+M14</f>
        <v>33008458</v>
      </c>
    </row>
    <row r="15" spans="1:14" x14ac:dyDescent="0.25">
      <c r="A15" s="18">
        <f>+A14+1</f>
        <v>2</v>
      </c>
      <c r="B15" s="17" t="s">
        <v>120</v>
      </c>
      <c r="C15" s="54">
        <v>40845459</v>
      </c>
      <c r="D15" s="54">
        <v>0</v>
      </c>
      <c r="E15" s="54">
        <f>+C15-D15</f>
        <v>40845459</v>
      </c>
      <c r="F15" s="54">
        <v>0</v>
      </c>
      <c r="G15" s="54">
        <f>+E15-F15</f>
        <v>40845459</v>
      </c>
      <c r="H15" s="54">
        <v>0</v>
      </c>
      <c r="I15" s="54">
        <f>+G15+H15</f>
        <v>40845459</v>
      </c>
      <c r="J15" s="51">
        <f>VLOOKUP(L15,$C$308:$D$322,2,FALSE)</f>
        <v>0.98499999999999999</v>
      </c>
      <c r="K15" s="27">
        <f>IF(I15*J15=0,0, ROUND(I15*J15,0))</f>
        <v>40232777</v>
      </c>
      <c r="L15" s="18" t="s">
        <v>225</v>
      </c>
      <c r="M15" s="54">
        <v>-7539533</v>
      </c>
      <c r="N15" s="27">
        <f>K15+M15</f>
        <v>32693244</v>
      </c>
    </row>
    <row r="16" spans="1:14" x14ac:dyDescent="0.25">
      <c r="A16" s="18">
        <f t="shared" ref="A16:A84" si="0">+A15+1</f>
        <v>3</v>
      </c>
      <c r="B16" s="17" t="s">
        <v>322</v>
      </c>
      <c r="C16" s="54">
        <v>1400487.08</v>
      </c>
      <c r="D16" s="54">
        <v>0</v>
      </c>
      <c r="E16" s="54">
        <f>+C16-D16</f>
        <v>1400487.08</v>
      </c>
      <c r="F16" s="54">
        <v>0</v>
      </c>
      <c r="G16" s="54">
        <f>+E16-F16</f>
        <v>1400487.08</v>
      </c>
      <c r="H16" s="54">
        <v>0</v>
      </c>
      <c r="I16" s="54">
        <f>+G16+H16</f>
        <v>1400487.08</v>
      </c>
      <c r="J16" s="51">
        <f>VLOOKUP(L16,$C$308:$D$322,2,FALSE)</f>
        <v>0.98499999999999999</v>
      </c>
      <c r="K16" s="27">
        <f>IF(I16*J16=0,0, ROUND(I16*J16,0))</f>
        <v>1379480</v>
      </c>
      <c r="L16" s="18" t="s">
        <v>225</v>
      </c>
      <c r="M16" s="54">
        <v>0</v>
      </c>
      <c r="N16" s="27">
        <f>K16+M16</f>
        <v>1379480</v>
      </c>
    </row>
    <row r="17" spans="1:15" x14ac:dyDescent="0.25">
      <c r="A17" s="18">
        <f t="shared" si="0"/>
        <v>4</v>
      </c>
      <c r="B17" s="17" t="s">
        <v>283</v>
      </c>
      <c r="C17" s="46">
        <v>-6683740</v>
      </c>
      <c r="D17" s="46">
        <f>C17</f>
        <v>-6683740</v>
      </c>
      <c r="E17" s="26">
        <f>+C17-D17</f>
        <v>0</v>
      </c>
      <c r="F17" s="46">
        <v>0</v>
      </c>
      <c r="G17" s="26">
        <f>+E17+F17</f>
        <v>0</v>
      </c>
      <c r="H17" s="26">
        <v>0</v>
      </c>
      <c r="I17" s="26">
        <f>+G17+H17</f>
        <v>0</v>
      </c>
      <c r="J17" s="6" t="s">
        <v>148</v>
      </c>
      <c r="K17" s="77">
        <v>0</v>
      </c>
      <c r="L17" s="6" t="s">
        <v>148</v>
      </c>
      <c r="M17" s="26">
        <v>0</v>
      </c>
      <c r="N17" s="26">
        <f>K17+M17</f>
        <v>0</v>
      </c>
    </row>
    <row r="18" spans="1:15" ht="13" x14ac:dyDescent="0.3">
      <c r="A18" s="18">
        <f t="shared" si="0"/>
        <v>5</v>
      </c>
      <c r="B18" s="75" t="s">
        <v>213</v>
      </c>
      <c r="C18" s="54">
        <f t="shared" ref="C18:I18" si="1">C14-C15+C16+C17</f>
        <v>46901904.079999998</v>
      </c>
      <c r="D18" s="54">
        <f t="shared" si="1"/>
        <v>-2882814</v>
      </c>
      <c r="E18" s="54">
        <f t="shared" si="1"/>
        <v>49784718.079999998</v>
      </c>
      <c r="F18" s="54">
        <f t="shared" si="1"/>
        <v>0</v>
      </c>
      <c r="G18" s="54">
        <f t="shared" si="1"/>
        <v>49784718.079999998</v>
      </c>
      <c r="H18" s="54">
        <f t="shared" si="1"/>
        <v>0</v>
      </c>
      <c r="I18" s="54">
        <f t="shared" si="1"/>
        <v>49784718.079999998</v>
      </c>
      <c r="J18" s="6"/>
      <c r="K18" s="54">
        <f>K14-K15+K16+K17</f>
        <v>48061702</v>
      </c>
      <c r="L18" s="6"/>
      <c r="M18" s="54">
        <f>M14-M15+M16+M17</f>
        <v>-46367008</v>
      </c>
      <c r="N18" s="54">
        <f>N14-N15+N16+N17</f>
        <v>1694694</v>
      </c>
    </row>
    <row r="19" spans="1:15" x14ac:dyDescent="0.25">
      <c r="A19" s="18">
        <f t="shared" si="0"/>
        <v>6</v>
      </c>
      <c r="B19" s="56" t="s">
        <v>273</v>
      </c>
      <c r="C19" s="46">
        <f>'SIT Schedules'!C132</f>
        <v>1318264.6200000001</v>
      </c>
      <c r="D19" s="46">
        <f>'SIT Schedules'!D132</f>
        <v>1694108</v>
      </c>
      <c r="E19" s="46">
        <f>+C19-D19</f>
        <v>-375843.37999999989</v>
      </c>
      <c r="F19" s="46">
        <f>'SIT Schedules'!F132</f>
        <v>0</v>
      </c>
      <c r="G19" s="27">
        <f>+E19+F19</f>
        <v>-375843.37999999989</v>
      </c>
      <c r="H19" s="46">
        <f>'SIT Schedules'!H132</f>
        <v>0</v>
      </c>
      <c r="I19" s="26">
        <f>+G19+H19</f>
        <v>-375843.37999999989</v>
      </c>
      <c r="J19" s="6" t="s">
        <v>227</v>
      </c>
      <c r="K19" s="46">
        <f>'SIT Schedules'!K132</f>
        <v>-1268493</v>
      </c>
      <c r="L19" s="6" t="s">
        <v>210</v>
      </c>
      <c r="M19" s="46">
        <f>'SIT Schedules'!M132</f>
        <v>-2719643</v>
      </c>
      <c r="N19" s="46">
        <f>'SIT Schedules'!N132</f>
        <v>-3988136</v>
      </c>
    </row>
    <row r="20" spans="1:15" ht="13" x14ac:dyDescent="0.3">
      <c r="A20" s="18">
        <f t="shared" si="0"/>
        <v>7</v>
      </c>
      <c r="B20" s="75" t="s">
        <v>211</v>
      </c>
      <c r="C20" s="78">
        <f t="shared" ref="C20:I20" si="2">C18-C19</f>
        <v>45583639.460000001</v>
      </c>
      <c r="D20" s="78">
        <f t="shared" si="2"/>
        <v>-4576922</v>
      </c>
      <c r="E20" s="78">
        <f t="shared" si="2"/>
        <v>50160561.460000001</v>
      </c>
      <c r="F20" s="78">
        <f t="shared" si="2"/>
        <v>0</v>
      </c>
      <c r="G20" s="78">
        <f t="shared" si="2"/>
        <v>50160561.460000001</v>
      </c>
      <c r="H20" s="78">
        <f t="shared" si="2"/>
        <v>0</v>
      </c>
      <c r="I20" s="78">
        <f t="shared" si="2"/>
        <v>50160561.460000001</v>
      </c>
      <c r="J20" s="79"/>
      <c r="K20" s="80">
        <f>K18-K19</f>
        <v>49330195</v>
      </c>
      <c r="L20" s="38"/>
      <c r="M20" s="78">
        <f t="shared" ref="M20:N20" si="3">M18-M19</f>
        <v>-43647365</v>
      </c>
      <c r="N20" s="78">
        <f t="shared" si="3"/>
        <v>5682830</v>
      </c>
    </row>
    <row r="21" spans="1:15" x14ac:dyDescent="0.25">
      <c r="A21" s="18">
        <f t="shared" si="0"/>
        <v>8</v>
      </c>
      <c r="C21" s="54"/>
      <c r="D21" s="36"/>
      <c r="K21" s="76"/>
    </row>
    <row r="22" spans="1:15" ht="13" x14ac:dyDescent="0.3">
      <c r="A22" s="18">
        <f t="shared" si="0"/>
        <v>9</v>
      </c>
      <c r="B22" s="75" t="s">
        <v>1</v>
      </c>
      <c r="C22" s="54"/>
      <c r="K22" s="76"/>
    </row>
    <row r="23" spans="1:15" x14ac:dyDescent="0.25">
      <c r="A23" s="18">
        <f t="shared" si="0"/>
        <v>10</v>
      </c>
      <c r="B23" s="17" t="s">
        <v>2</v>
      </c>
      <c r="C23" s="54">
        <v>0</v>
      </c>
      <c r="D23" s="54">
        <v>0</v>
      </c>
      <c r="E23" s="54">
        <f t="shared" ref="E23:E42" si="4">+C23-D23</f>
        <v>0</v>
      </c>
      <c r="F23" s="54">
        <v>0</v>
      </c>
      <c r="G23" s="27">
        <f t="shared" ref="G23:G42" si="5">+E23+F23</f>
        <v>0</v>
      </c>
      <c r="H23" s="54">
        <v>0</v>
      </c>
      <c r="I23" s="27">
        <f>+G23+H23</f>
        <v>0</v>
      </c>
      <c r="J23" s="51">
        <f t="shared" ref="J23:J42" si="6">VLOOKUP(L23,$C$308:$D$322,2,FALSE)</f>
        <v>0.98499999999999999</v>
      </c>
      <c r="K23" s="27">
        <f>IF(I23*J23=0,0, ROUND(I23*J23,0))</f>
        <v>0</v>
      </c>
      <c r="L23" s="18" t="s">
        <v>225</v>
      </c>
      <c r="M23" s="54">
        <v>0</v>
      </c>
      <c r="N23" s="27">
        <f t="shared" ref="N23:N42" si="7">K23+M23</f>
        <v>0</v>
      </c>
    </row>
    <row r="24" spans="1:15" x14ac:dyDescent="0.25">
      <c r="A24" s="18">
        <f t="shared" si="0"/>
        <v>11</v>
      </c>
      <c r="B24" s="17" t="s">
        <v>170</v>
      </c>
      <c r="C24" s="54">
        <v>0</v>
      </c>
      <c r="D24" s="54">
        <v>0</v>
      </c>
      <c r="E24" s="54">
        <f>+C24-D24</f>
        <v>0</v>
      </c>
      <c r="F24" s="54">
        <v>0</v>
      </c>
      <c r="G24" s="27">
        <f t="shared" si="5"/>
        <v>0</v>
      </c>
      <c r="H24" s="54">
        <v>0</v>
      </c>
      <c r="I24" s="27">
        <f>+G24+H24</f>
        <v>0</v>
      </c>
      <c r="J24" s="51">
        <f t="shared" si="6"/>
        <v>0.98499999999999999</v>
      </c>
      <c r="K24" s="27">
        <f>IF(I24*J24=0,0, ROUND(I24*J24,0))</f>
        <v>0</v>
      </c>
      <c r="L24" s="18" t="s">
        <v>225</v>
      </c>
      <c r="M24" s="54">
        <v>0</v>
      </c>
      <c r="N24" s="27">
        <f t="shared" si="7"/>
        <v>0</v>
      </c>
    </row>
    <row r="25" spans="1:15" x14ac:dyDescent="0.25">
      <c r="A25" s="18">
        <f t="shared" si="0"/>
        <v>12</v>
      </c>
      <c r="B25" s="17" t="s">
        <v>3</v>
      </c>
      <c r="C25" s="54">
        <v>-8262127</v>
      </c>
      <c r="D25" s="54">
        <v>0</v>
      </c>
      <c r="E25" s="54">
        <f t="shared" si="4"/>
        <v>-8262127</v>
      </c>
      <c r="F25" s="54">
        <v>0</v>
      </c>
      <c r="G25" s="27">
        <f t="shared" si="5"/>
        <v>-8262127</v>
      </c>
      <c r="H25" s="54">
        <v>0</v>
      </c>
      <c r="I25" s="27">
        <f t="shared" ref="I25:I42" si="8">+G25+H25</f>
        <v>-8262127</v>
      </c>
      <c r="J25" s="51">
        <f t="shared" si="6"/>
        <v>0.98499999999999999</v>
      </c>
      <c r="K25" s="27">
        <f t="shared" ref="K25:K42" si="9">IF(I25*J25=0,0, ROUND(I25*J25,0))</f>
        <v>-8138195</v>
      </c>
      <c r="L25" s="18" t="s">
        <v>225</v>
      </c>
      <c r="M25" s="54">
        <v>4649091</v>
      </c>
      <c r="N25" s="27">
        <f t="shared" si="7"/>
        <v>-3489104</v>
      </c>
      <c r="O25" s="148"/>
    </row>
    <row r="26" spans="1:15" x14ac:dyDescent="0.25">
      <c r="A26" s="18">
        <f t="shared" si="0"/>
        <v>13</v>
      </c>
      <c r="B26" s="17" t="s">
        <v>171</v>
      </c>
      <c r="C26" s="54">
        <v>0</v>
      </c>
      <c r="D26" s="54">
        <v>0</v>
      </c>
      <c r="E26" s="54">
        <f>+C26-D26</f>
        <v>0</v>
      </c>
      <c r="F26" s="54">
        <v>0</v>
      </c>
      <c r="G26" s="27">
        <f t="shared" si="5"/>
        <v>0</v>
      </c>
      <c r="H26" s="54">
        <v>0</v>
      </c>
      <c r="I26" s="27">
        <f>+G26+H26</f>
        <v>0</v>
      </c>
      <c r="J26" s="51">
        <f t="shared" si="6"/>
        <v>0.98499999999999999</v>
      </c>
      <c r="K26" s="27">
        <f>IF(I26*J26=0,0, ROUND(I26*J26,0))</f>
        <v>0</v>
      </c>
      <c r="L26" s="18" t="s">
        <v>225</v>
      </c>
      <c r="M26" s="54">
        <v>0</v>
      </c>
      <c r="N26" s="27">
        <f t="shared" si="7"/>
        <v>0</v>
      </c>
      <c r="O26" s="148"/>
    </row>
    <row r="27" spans="1:15" x14ac:dyDescent="0.25">
      <c r="A27" s="122"/>
      <c r="B27" s="124" t="s">
        <v>367</v>
      </c>
      <c r="C27" s="54">
        <v>2435817</v>
      </c>
      <c r="D27" s="54">
        <v>0</v>
      </c>
      <c r="E27" s="54">
        <f>+C27-D27</f>
        <v>2435817</v>
      </c>
      <c r="F27" s="54">
        <v>0</v>
      </c>
      <c r="G27" s="27">
        <f t="shared" ref="G27" si="10">+E27+F27</f>
        <v>2435817</v>
      </c>
      <c r="H27" s="54">
        <v>0</v>
      </c>
      <c r="I27" s="27">
        <f>+G27+H27</f>
        <v>2435817</v>
      </c>
      <c r="J27" s="51">
        <f t="shared" si="6"/>
        <v>0.98499999999999999</v>
      </c>
      <c r="K27" s="27">
        <f>IF(I27*J27=0,0, ROUND(I27*J27,0))</f>
        <v>2399280</v>
      </c>
      <c r="L27" s="137" t="s">
        <v>225</v>
      </c>
      <c r="M27" s="54">
        <v>0</v>
      </c>
      <c r="N27" s="27">
        <f t="shared" ref="N27" si="11">K27+M27</f>
        <v>2399280</v>
      </c>
      <c r="O27" s="148"/>
    </row>
    <row r="28" spans="1:15" x14ac:dyDescent="0.25">
      <c r="A28" s="18">
        <f>+A26+1</f>
        <v>14</v>
      </c>
      <c r="B28" s="17" t="s">
        <v>4</v>
      </c>
      <c r="C28" s="54">
        <v>0</v>
      </c>
      <c r="D28" s="54">
        <v>0</v>
      </c>
      <c r="E28" s="54">
        <f t="shared" si="4"/>
        <v>0</v>
      </c>
      <c r="F28" s="54">
        <v>0</v>
      </c>
      <c r="G28" s="27">
        <f t="shared" si="5"/>
        <v>0</v>
      </c>
      <c r="H28" s="27">
        <v>0</v>
      </c>
      <c r="I28" s="27">
        <f t="shared" si="8"/>
        <v>0</v>
      </c>
      <c r="J28" s="51">
        <f t="shared" si="6"/>
        <v>0.98499999999999999</v>
      </c>
      <c r="K28" s="27">
        <f t="shared" si="9"/>
        <v>0</v>
      </c>
      <c r="L28" s="18" t="s">
        <v>225</v>
      </c>
      <c r="M28" s="27">
        <v>0</v>
      </c>
      <c r="N28" s="27">
        <f t="shared" si="7"/>
        <v>0</v>
      </c>
      <c r="O28" s="148"/>
    </row>
    <row r="29" spans="1:15" x14ac:dyDescent="0.25">
      <c r="A29" s="18">
        <f t="shared" si="0"/>
        <v>15</v>
      </c>
      <c r="B29" s="17" t="s">
        <v>5</v>
      </c>
      <c r="C29" s="36">
        <v>0</v>
      </c>
      <c r="D29" s="54">
        <v>0</v>
      </c>
      <c r="E29" s="54">
        <f t="shared" si="4"/>
        <v>0</v>
      </c>
      <c r="F29" s="54">
        <v>0</v>
      </c>
      <c r="G29" s="27">
        <f t="shared" si="5"/>
        <v>0</v>
      </c>
      <c r="H29" s="27">
        <v>0</v>
      </c>
      <c r="I29" s="27">
        <f t="shared" si="8"/>
        <v>0</v>
      </c>
      <c r="J29" s="51">
        <f t="shared" si="6"/>
        <v>0.98499999999999999</v>
      </c>
      <c r="K29" s="27">
        <f t="shared" si="9"/>
        <v>0</v>
      </c>
      <c r="L29" s="18" t="s">
        <v>225</v>
      </c>
      <c r="M29" s="27">
        <v>0</v>
      </c>
      <c r="N29" s="27">
        <f t="shared" si="7"/>
        <v>0</v>
      </c>
      <c r="O29" s="148"/>
    </row>
    <row r="30" spans="1:15" x14ac:dyDescent="0.25">
      <c r="A30" s="18">
        <f t="shared" si="0"/>
        <v>16</v>
      </c>
      <c r="B30" s="17" t="s">
        <v>6</v>
      </c>
      <c r="C30" s="54">
        <v>0</v>
      </c>
      <c r="D30" s="54">
        <v>0</v>
      </c>
      <c r="E30" s="54">
        <f t="shared" si="4"/>
        <v>0</v>
      </c>
      <c r="F30" s="54">
        <v>0</v>
      </c>
      <c r="G30" s="27">
        <f t="shared" si="5"/>
        <v>0</v>
      </c>
      <c r="H30" s="54">
        <v>0</v>
      </c>
      <c r="I30" s="27">
        <f t="shared" si="8"/>
        <v>0</v>
      </c>
      <c r="J30" s="51">
        <f t="shared" si="6"/>
        <v>0.98499999999999999</v>
      </c>
      <c r="K30" s="27">
        <f t="shared" si="9"/>
        <v>0</v>
      </c>
      <c r="L30" s="18" t="s">
        <v>155</v>
      </c>
      <c r="M30" s="54">
        <v>0</v>
      </c>
      <c r="N30" s="27">
        <f t="shared" si="7"/>
        <v>0</v>
      </c>
      <c r="O30" s="148"/>
    </row>
    <row r="31" spans="1:15" x14ac:dyDescent="0.25">
      <c r="A31" s="18">
        <f t="shared" si="0"/>
        <v>17</v>
      </c>
      <c r="B31" s="56" t="s">
        <v>239</v>
      </c>
      <c r="C31" s="54">
        <v>35466</v>
      </c>
      <c r="D31" s="54">
        <v>0</v>
      </c>
      <c r="E31" s="54">
        <f>+C31-D31</f>
        <v>35466</v>
      </c>
      <c r="F31" s="54">
        <v>0</v>
      </c>
      <c r="G31" s="27">
        <f t="shared" si="5"/>
        <v>35466</v>
      </c>
      <c r="H31" s="54">
        <v>0</v>
      </c>
      <c r="I31" s="27">
        <f>+G31+H31</f>
        <v>35466</v>
      </c>
      <c r="J31" s="51">
        <f t="shared" si="6"/>
        <v>0.98499999999999999</v>
      </c>
      <c r="K31" s="27">
        <f>IF(I31*J31=0,0, ROUND(I31*J31,0))</f>
        <v>34934</v>
      </c>
      <c r="L31" s="18" t="s">
        <v>149</v>
      </c>
      <c r="M31" s="54">
        <v>0</v>
      </c>
      <c r="N31" s="27">
        <f t="shared" si="7"/>
        <v>34934</v>
      </c>
      <c r="O31" s="148"/>
    </row>
    <row r="32" spans="1:15" x14ac:dyDescent="0.25">
      <c r="A32" s="18">
        <f t="shared" si="0"/>
        <v>18</v>
      </c>
      <c r="B32" s="56" t="s">
        <v>288</v>
      </c>
      <c r="C32" s="54">
        <v>0</v>
      </c>
      <c r="D32" s="54">
        <v>0</v>
      </c>
      <c r="E32" s="54">
        <f t="shared" si="4"/>
        <v>0</v>
      </c>
      <c r="F32" s="54">
        <v>0</v>
      </c>
      <c r="G32" s="27">
        <f t="shared" si="5"/>
        <v>0</v>
      </c>
      <c r="H32" s="54">
        <v>0</v>
      </c>
      <c r="I32" s="27">
        <f>+G32+H32</f>
        <v>0</v>
      </c>
      <c r="J32" s="51">
        <f t="shared" si="6"/>
        <v>0.98499999999999999</v>
      </c>
      <c r="K32" s="27">
        <f>IF(I32*J32=0,0, ROUND(I32*J32,0))</f>
        <v>0</v>
      </c>
      <c r="L32" s="18" t="s">
        <v>155</v>
      </c>
      <c r="M32" s="54">
        <v>0</v>
      </c>
      <c r="N32" s="27">
        <f t="shared" si="7"/>
        <v>0</v>
      </c>
      <c r="O32" s="148"/>
    </row>
    <row r="33" spans="1:15" x14ac:dyDescent="0.25">
      <c r="A33" s="18">
        <f t="shared" si="0"/>
        <v>19</v>
      </c>
      <c r="B33" s="56" t="s">
        <v>296</v>
      </c>
      <c r="C33" s="54">
        <v>0</v>
      </c>
      <c r="D33" s="54">
        <v>0</v>
      </c>
      <c r="E33" s="54">
        <f>+C33-D33</f>
        <v>0</v>
      </c>
      <c r="F33" s="54">
        <v>0</v>
      </c>
      <c r="G33" s="27">
        <f t="shared" si="5"/>
        <v>0</v>
      </c>
      <c r="H33" s="54">
        <v>0</v>
      </c>
      <c r="I33" s="27">
        <f>+G33+H33</f>
        <v>0</v>
      </c>
      <c r="J33" s="51">
        <f t="shared" si="6"/>
        <v>0.98499999999999999</v>
      </c>
      <c r="K33" s="27">
        <f>IF(I33*J33=0,0, ROUND(I33*J33,0))</f>
        <v>0</v>
      </c>
      <c r="L33" s="18" t="s">
        <v>155</v>
      </c>
      <c r="M33" s="54">
        <v>0</v>
      </c>
      <c r="N33" s="27">
        <f t="shared" si="7"/>
        <v>0</v>
      </c>
      <c r="O33" s="148"/>
    </row>
    <row r="34" spans="1:15" x14ac:dyDescent="0.25">
      <c r="A34" s="18">
        <f t="shared" si="0"/>
        <v>20</v>
      </c>
      <c r="B34" s="17" t="s">
        <v>7</v>
      </c>
      <c r="C34" s="54">
        <v>16736103</v>
      </c>
      <c r="D34" s="54">
        <v>0</v>
      </c>
      <c r="E34" s="54">
        <f t="shared" si="4"/>
        <v>16736103</v>
      </c>
      <c r="F34" s="54">
        <v>0</v>
      </c>
      <c r="G34" s="27">
        <f t="shared" si="5"/>
        <v>16736103</v>
      </c>
      <c r="H34" s="27">
        <v>0</v>
      </c>
      <c r="I34" s="27">
        <f t="shared" si="8"/>
        <v>16736103</v>
      </c>
      <c r="J34" s="51">
        <f t="shared" si="6"/>
        <v>0.98499999999999999</v>
      </c>
      <c r="K34" s="27">
        <f t="shared" si="9"/>
        <v>16485061</v>
      </c>
      <c r="L34" s="18" t="s">
        <v>225</v>
      </c>
      <c r="M34" s="54">
        <v>543674</v>
      </c>
      <c r="N34" s="27">
        <f t="shared" si="7"/>
        <v>17028735</v>
      </c>
      <c r="O34" s="148"/>
    </row>
    <row r="35" spans="1:15" x14ac:dyDescent="0.25">
      <c r="A35" s="18">
        <f t="shared" si="0"/>
        <v>21</v>
      </c>
      <c r="B35" s="17" t="s">
        <v>8</v>
      </c>
      <c r="C35" s="27">
        <v>1703875</v>
      </c>
      <c r="D35" s="27">
        <v>0</v>
      </c>
      <c r="E35" s="54">
        <f t="shared" si="4"/>
        <v>1703875</v>
      </c>
      <c r="F35" s="54">
        <v>0</v>
      </c>
      <c r="G35" s="27">
        <f t="shared" si="5"/>
        <v>1703875</v>
      </c>
      <c r="H35" s="54">
        <v>0</v>
      </c>
      <c r="I35" s="27">
        <f t="shared" si="8"/>
        <v>1703875</v>
      </c>
      <c r="J35" s="51">
        <f t="shared" si="6"/>
        <v>0.98499999999999999</v>
      </c>
      <c r="K35" s="27">
        <f>IF(I35*J35=0,0, ROUND(I35*J35,0))</f>
        <v>1678317</v>
      </c>
      <c r="L35" s="18" t="s">
        <v>149</v>
      </c>
      <c r="M35" s="54">
        <v>51634</v>
      </c>
      <c r="N35" s="27">
        <f t="shared" si="7"/>
        <v>1729951</v>
      </c>
      <c r="O35" s="148"/>
    </row>
    <row r="36" spans="1:15" x14ac:dyDescent="0.25">
      <c r="A36" s="122"/>
      <c r="B36" s="125" t="s">
        <v>368</v>
      </c>
      <c r="C36" s="27">
        <v>5173781</v>
      </c>
      <c r="D36" s="54">
        <v>0</v>
      </c>
      <c r="E36" s="54">
        <f t="shared" ref="E36" si="12">+C36-D36</f>
        <v>5173781</v>
      </c>
      <c r="F36" s="54">
        <v>0</v>
      </c>
      <c r="G36" s="27">
        <f t="shared" ref="G36" si="13">+E36+F36</f>
        <v>5173781</v>
      </c>
      <c r="H36" s="54">
        <v>0</v>
      </c>
      <c r="I36" s="27">
        <f t="shared" ref="I36" si="14">+G36+H36</f>
        <v>5173781</v>
      </c>
      <c r="J36" s="51">
        <f t="shared" si="6"/>
        <v>0.98499999999999999</v>
      </c>
      <c r="K36" s="27">
        <f t="shared" ref="K36" si="15">IF(I36*J36=0,0, ROUND(I36*J36,0))</f>
        <v>5096174</v>
      </c>
      <c r="L36" s="137" t="s">
        <v>225</v>
      </c>
      <c r="M36" s="54">
        <v>0</v>
      </c>
      <c r="N36" s="27">
        <f t="shared" ref="N36" si="16">K36+M36</f>
        <v>5096174</v>
      </c>
      <c r="O36" s="148"/>
    </row>
    <row r="37" spans="1:15" x14ac:dyDescent="0.25">
      <c r="A37" s="18">
        <f>+A35+1</f>
        <v>22</v>
      </c>
      <c r="B37" s="17" t="s">
        <v>323</v>
      </c>
      <c r="C37" s="27">
        <v>0</v>
      </c>
      <c r="D37" s="27">
        <v>0</v>
      </c>
      <c r="E37" s="54">
        <f t="shared" ref="E37:E38" si="17">+C37-D37</f>
        <v>0</v>
      </c>
      <c r="F37" s="54">
        <v>0</v>
      </c>
      <c r="G37" s="27">
        <f t="shared" ref="G37:G38" si="18">+E37+F37</f>
        <v>0</v>
      </c>
      <c r="H37" s="54">
        <v>0</v>
      </c>
      <c r="I37" s="27">
        <f t="shared" ref="I37:I38" si="19">+G37+H37</f>
        <v>0</v>
      </c>
      <c r="J37" s="51">
        <f t="shared" si="6"/>
        <v>0.98499999999999999</v>
      </c>
      <c r="K37" s="27">
        <f>IF(I37*J37=0,0, ROUND(I37*J37,0))</f>
        <v>0</v>
      </c>
      <c r="L37" s="18" t="s">
        <v>149</v>
      </c>
      <c r="M37" s="54">
        <v>0</v>
      </c>
      <c r="N37" s="27">
        <f t="shared" ref="N37:N38" si="20">K37+M37</f>
        <v>0</v>
      </c>
      <c r="O37" s="148"/>
    </row>
    <row r="38" spans="1:15" x14ac:dyDescent="0.25">
      <c r="A38" s="18">
        <f t="shared" si="0"/>
        <v>23</v>
      </c>
      <c r="B38" s="17" t="s">
        <v>355</v>
      </c>
      <c r="C38" s="54">
        <v>0</v>
      </c>
      <c r="D38" s="54">
        <v>0</v>
      </c>
      <c r="E38" s="54">
        <f t="shared" si="17"/>
        <v>0</v>
      </c>
      <c r="F38" s="54">
        <v>0</v>
      </c>
      <c r="G38" s="27">
        <f t="shared" si="18"/>
        <v>0</v>
      </c>
      <c r="H38" s="54">
        <v>0</v>
      </c>
      <c r="I38" s="27">
        <f t="shared" si="19"/>
        <v>0</v>
      </c>
      <c r="J38" s="51">
        <f t="shared" si="6"/>
        <v>0.98499999999999999</v>
      </c>
      <c r="K38" s="27">
        <f t="shared" ref="K38" si="21">IF(I38*J38=0,0, ROUND(I38*J38,0))</f>
        <v>0</v>
      </c>
      <c r="L38" s="18" t="s">
        <v>225</v>
      </c>
      <c r="M38" s="54">
        <v>0</v>
      </c>
      <c r="N38" s="27">
        <f t="shared" si="20"/>
        <v>0</v>
      </c>
      <c r="O38" s="148"/>
    </row>
    <row r="39" spans="1:15" x14ac:dyDescent="0.25">
      <c r="A39" s="18">
        <f t="shared" si="0"/>
        <v>24</v>
      </c>
      <c r="B39" s="17" t="s">
        <v>9</v>
      </c>
      <c r="C39" s="54">
        <v>0</v>
      </c>
      <c r="D39" s="54">
        <v>0</v>
      </c>
      <c r="E39" s="54">
        <f t="shared" si="4"/>
        <v>0</v>
      </c>
      <c r="F39" s="54">
        <v>0</v>
      </c>
      <c r="G39" s="27">
        <f t="shared" si="5"/>
        <v>0</v>
      </c>
      <c r="H39" s="54">
        <v>0</v>
      </c>
      <c r="I39" s="27">
        <f t="shared" si="8"/>
        <v>0</v>
      </c>
      <c r="J39" s="51">
        <f t="shared" si="6"/>
        <v>0.98499999999999999</v>
      </c>
      <c r="K39" s="27">
        <f t="shared" si="9"/>
        <v>0</v>
      </c>
      <c r="L39" s="18" t="s">
        <v>225</v>
      </c>
      <c r="M39" s="54">
        <v>0</v>
      </c>
      <c r="N39" s="27">
        <f t="shared" si="7"/>
        <v>0</v>
      </c>
      <c r="O39" s="148"/>
    </row>
    <row r="40" spans="1:15" x14ac:dyDescent="0.25">
      <c r="A40" s="18">
        <f t="shared" si="0"/>
        <v>25</v>
      </c>
      <c r="B40" s="17" t="s">
        <v>236</v>
      </c>
      <c r="C40" s="54">
        <v>0</v>
      </c>
      <c r="D40" s="54">
        <v>0</v>
      </c>
      <c r="E40" s="54">
        <f t="shared" ref="E40" si="22">+C40-D40</f>
        <v>0</v>
      </c>
      <c r="F40" s="54">
        <v>0</v>
      </c>
      <c r="G40" s="27">
        <f t="shared" si="5"/>
        <v>0</v>
      </c>
      <c r="H40" s="54">
        <v>0</v>
      </c>
      <c r="I40" s="27">
        <f t="shared" ref="I40" si="23">+G40+H40</f>
        <v>0</v>
      </c>
      <c r="J40" s="51">
        <f t="shared" si="6"/>
        <v>0.98499999999999999</v>
      </c>
      <c r="K40" s="27">
        <f t="shared" ref="K40" si="24">IF(I40*J40=0,0, ROUND(I40*J40,0))</f>
        <v>0</v>
      </c>
      <c r="L40" s="18" t="s">
        <v>225</v>
      </c>
      <c r="M40" s="54">
        <v>0</v>
      </c>
      <c r="N40" s="27">
        <f t="shared" si="7"/>
        <v>0</v>
      </c>
      <c r="O40" s="148"/>
    </row>
    <row r="41" spans="1:15" x14ac:dyDescent="0.25">
      <c r="A41" s="18">
        <f t="shared" si="0"/>
        <v>26</v>
      </c>
      <c r="B41" s="56" t="s">
        <v>240</v>
      </c>
      <c r="C41" s="54">
        <v>0</v>
      </c>
      <c r="D41" s="54">
        <v>0</v>
      </c>
      <c r="E41" s="54">
        <f t="shared" si="4"/>
        <v>0</v>
      </c>
      <c r="F41" s="54">
        <v>0</v>
      </c>
      <c r="G41" s="27">
        <f t="shared" si="5"/>
        <v>0</v>
      </c>
      <c r="H41" s="54">
        <v>0</v>
      </c>
      <c r="I41" s="27">
        <f>+G41+H41</f>
        <v>0</v>
      </c>
      <c r="J41" s="51">
        <f t="shared" si="6"/>
        <v>0.98499999999999999</v>
      </c>
      <c r="K41" s="27">
        <f>IF(I41*J41=0,0, ROUND(I41*J41,0))</f>
        <v>0</v>
      </c>
      <c r="L41" s="18" t="s">
        <v>149</v>
      </c>
      <c r="M41" s="54">
        <v>0</v>
      </c>
      <c r="N41" s="27">
        <f t="shared" si="7"/>
        <v>0</v>
      </c>
      <c r="O41" s="148"/>
    </row>
    <row r="42" spans="1:15" x14ac:dyDescent="0.25">
      <c r="A42" s="18">
        <f t="shared" si="0"/>
        <v>27</v>
      </c>
      <c r="B42" s="17" t="s">
        <v>10</v>
      </c>
      <c r="C42" s="54">
        <v>574258</v>
      </c>
      <c r="D42" s="54">
        <v>0</v>
      </c>
      <c r="E42" s="54">
        <f t="shared" si="4"/>
        <v>574258</v>
      </c>
      <c r="F42" s="54">
        <v>0</v>
      </c>
      <c r="G42" s="27">
        <f t="shared" si="5"/>
        <v>574258</v>
      </c>
      <c r="H42" s="54">
        <v>0</v>
      </c>
      <c r="I42" s="27">
        <f t="shared" si="8"/>
        <v>574258</v>
      </c>
      <c r="J42" s="51">
        <f t="shared" si="6"/>
        <v>0.999</v>
      </c>
      <c r="K42" s="27">
        <f t="shared" si="9"/>
        <v>573684</v>
      </c>
      <c r="L42" s="18" t="s">
        <v>150</v>
      </c>
      <c r="M42" s="54">
        <v>0</v>
      </c>
      <c r="N42" s="27">
        <f t="shared" si="7"/>
        <v>573684</v>
      </c>
      <c r="O42" s="148"/>
    </row>
    <row r="43" spans="1:15" ht="13" x14ac:dyDescent="0.3">
      <c r="A43" s="18">
        <f t="shared" si="0"/>
        <v>28</v>
      </c>
      <c r="B43" s="75" t="s">
        <v>11</v>
      </c>
      <c r="C43" s="78">
        <f t="shared" ref="C43:I43" si="25">SUM(C23:C42)</f>
        <v>18397173</v>
      </c>
      <c r="D43" s="78">
        <f t="shared" si="25"/>
        <v>0</v>
      </c>
      <c r="E43" s="78">
        <f t="shared" si="25"/>
        <v>18397173</v>
      </c>
      <c r="F43" s="78">
        <f t="shared" si="25"/>
        <v>0</v>
      </c>
      <c r="G43" s="78">
        <f t="shared" si="25"/>
        <v>18397173</v>
      </c>
      <c r="H43" s="78">
        <f t="shared" si="25"/>
        <v>0</v>
      </c>
      <c r="I43" s="78">
        <f t="shared" si="25"/>
        <v>18397173</v>
      </c>
      <c r="J43" s="24"/>
      <c r="K43" s="80">
        <f>SUM(K23:K42)</f>
        <v>18129255</v>
      </c>
      <c r="L43" s="79"/>
      <c r="M43" s="78">
        <f t="shared" ref="M43:N43" si="26">SUM(M23:M42)</f>
        <v>5244399</v>
      </c>
      <c r="N43" s="78">
        <f t="shared" si="26"/>
        <v>23373654</v>
      </c>
    </row>
    <row r="44" spans="1:15" x14ac:dyDescent="0.25">
      <c r="A44" s="18">
        <f t="shared" si="0"/>
        <v>29</v>
      </c>
      <c r="B44" s="17" t="s">
        <v>0</v>
      </c>
      <c r="C44" s="54"/>
      <c r="J44" s="81"/>
      <c r="K44" s="76"/>
      <c r="L44" s="38"/>
    </row>
    <row r="45" spans="1:15" ht="13" x14ac:dyDescent="0.3">
      <c r="A45" s="18">
        <f t="shared" si="0"/>
        <v>30</v>
      </c>
      <c r="B45" s="75" t="s">
        <v>12</v>
      </c>
      <c r="C45" s="54"/>
      <c r="J45" s="81"/>
      <c r="K45" s="76"/>
    </row>
    <row r="46" spans="1:15" x14ac:dyDescent="0.25">
      <c r="A46" s="18">
        <f t="shared" si="0"/>
        <v>31</v>
      </c>
      <c r="B46" s="17" t="s">
        <v>13</v>
      </c>
      <c r="C46" s="54">
        <v>-947524</v>
      </c>
      <c r="D46" s="54">
        <f>C46</f>
        <v>-947524</v>
      </c>
      <c r="E46" s="54">
        <f t="shared" ref="E46:E54" si="27">+C46-D46</f>
        <v>0</v>
      </c>
      <c r="F46" s="54">
        <v>0</v>
      </c>
      <c r="G46" s="27">
        <f t="shared" ref="G46:G54" si="28">+E46+F46</f>
        <v>0</v>
      </c>
      <c r="H46" s="54">
        <v>0</v>
      </c>
      <c r="I46" s="27">
        <f t="shared" ref="I46:I53" si="29">+G46+H46</f>
        <v>0</v>
      </c>
      <c r="J46" s="51">
        <f t="shared" ref="J46:J54" si="30">VLOOKUP(L46,$C$308:$D$322,2,FALSE)</f>
        <v>0</v>
      </c>
      <c r="K46" s="27">
        <f t="shared" ref="K46:K53" si="31">IF(I46*J46=0,0, ROUND(I46*J46,0))</f>
        <v>0</v>
      </c>
      <c r="L46" s="18" t="s">
        <v>152</v>
      </c>
      <c r="M46" s="54">
        <v>0</v>
      </c>
      <c r="N46" s="27">
        <f t="shared" ref="N46:N54" si="32">K46+M46</f>
        <v>0</v>
      </c>
      <c r="O46" s="148"/>
    </row>
    <row r="47" spans="1:15" x14ac:dyDescent="0.25">
      <c r="A47" s="18">
        <f t="shared" si="0"/>
        <v>32</v>
      </c>
      <c r="B47" s="17" t="s">
        <v>289</v>
      </c>
      <c r="C47" s="54">
        <v>0</v>
      </c>
      <c r="D47" s="54">
        <v>0</v>
      </c>
      <c r="E47" s="54">
        <f t="shared" ref="E47" si="33">+C47-D47</f>
        <v>0</v>
      </c>
      <c r="F47" s="54">
        <v>0</v>
      </c>
      <c r="G47" s="27">
        <f t="shared" si="28"/>
        <v>0</v>
      </c>
      <c r="H47" s="54">
        <v>0</v>
      </c>
      <c r="I47" s="27">
        <f t="shared" ref="I47" si="34">+G47+H47</f>
        <v>0</v>
      </c>
      <c r="J47" s="51">
        <f t="shared" si="30"/>
        <v>1</v>
      </c>
      <c r="K47" s="27">
        <f t="shared" ref="K47" si="35">IF(I47*J47=0,0, ROUND(I47*J47,0))</f>
        <v>0</v>
      </c>
      <c r="L47" s="18" t="s">
        <v>146</v>
      </c>
      <c r="M47" s="54">
        <v>0</v>
      </c>
      <c r="N47" s="27">
        <f t="shared" si="32"/>
        <v>0</v>
      </c>
      <c r="O47" s="148"/>
    </row>
    <row r="48" spans="1:15" x14ac:dyDescent="0.25">
      <c r="A48" s="18">
        <f t="shared" si="0"/>
        <v>33</v>
      </c>
      <c r="B48" s="17" t="s">
        <v>14</v>
      </c>
      <c r="C48" s="54">
        <v>-1400487</v>
      </c>
      <c r="D48" s="54">
        <v>0</v>
      </c>
      <c r="E48" s="54">
        <f t="shared" si="27"/>
        <v>-1400487</v>
      </c>
      <c r="F48" s="54">
        <v>0</v>
      </c>
      <c r="G48" s="27">
        <f t="shared" si="28"/>
        <v>-1400487</v>
      </c>
      <c r="H48" s="54">
        <v>0</v>
      </c>
      <c r="I48" s="27">
        <f t="shared" si="29"/>
        <v>-1400487</v>
      </c>
      <c r="J48" s="51">
        <f t="shared" si="30"/>
        <v>0.98499999999999999</v>
      </c>
      <c r="K48" s="27">
        <f t="shared" si="31"/>
        <v>-1379480</v>
      </c>
      <c r="L48" s="18" t="s">
        <v>225</v>
      </c>
      <c r="M48" s="54">
        <v>0</v>
      </c>
      <c r="N48" s="27">
        <f t="shared" si="32"/>
        <v>-1379480</v>
      </c>
      <c r="O48" s="148"/>
    </row>
    <row r="49" spans="1:15" x14ac:dyDescent="0.25">
      <c r="A49" s="18">
        <f t="shared" si="0"/>
        <v>34</v>
      </c>
      <c r="B49" s="17" t="s">
        <v>228</v>
      </c>
      <c r="C49" s="54">
        <v>0</v>
      </c>
      <c r="D49" s="54">
        <v>0</v>
      </c>
      <c r="E49" s="54">
        <f t="shared" si="27"/>
        <v>0</v>
      </c>
      <c r="F49" s="54">
        <v>0</v>
      </c>
      <c r="G49" s="27">
        <f t="shared" si="28"/>
        <v>0</v>
      </c>
      <c r="H49" s="54">
        <v>0</v>
      </c>
      <c r="I49" s="27">
        <f>+G49+H49</f>
        <v>0</v>
      </c>
      <c r="J49" s="51">
        <f t="shared" si="30"/>
        <v>0.98499999999999999</v>
      </c>
      <c r="K49" s="27">
        <f>IF(I49*J49=0,0, ROUND(I49*J49,0))</f>
        <v>0</v>
      </c>
      <c r="L49" s="18" t="s">
        <v>225</v>
      </c>
      <c r="M49" s="54">
        <v>0</v>
      </c>
      <c r="N49" s="27">
        <f t="shared" si="32"/>
        <v>0</v>
      </c>
      <c r="O49" s="148"/>
    </row>
    <row r="50" spans="1:15" x14ac:dyDescent="0.25">
      <c r="A50" s="18">
        <f t="shared" si="0"/>
        <v>35</v>
      </c>
      <c r="B50" s="17" t="s">
        <v>298</v>
      </c>
      <c r="C50" s="54">
        <v>0</v>
      </c>
      <c r="D50" s="54">
        <v>0</v>
      </c>
      <c r="E50" s="54">
        <f t="shared" ref="E50" si="36">+C50-D50</f>
        <v>0</v>
      </c>
      <c r="F50" s="54">
        <v>0</v>
      </c>
      <c r="G50" s="27">
        <f t="shared" si="28"/>
        <v>0</v>
      </c>
      <c r="H50" s="54">
        <v>0</v>
      </c>
      <c r="I50" s="27">
        <f>+G50+H50</f>
        <v>0</v>
      </c>
      <c r="J50" s="51">
        <f t="shared" si="30"/>
        <v>0.98499999999999999</v>
      </c>
      <c r="K50" s="27">
        <f>IF(I50*J50=0,0, ROUND(I50*J50,0))</f>
        <v>0</v>
      </c>
      <c r="L50" s="18" t="s">
        <v>155</v>
      </c>
      <c r="M50" s="54">
        <v>0</v>
      </c>
      <c r="N50" s="27">
        <f t="shared" si="32"/>
        <v>0</v>
      </c>
      <c r="O50" s="148"/>
    </row>
    <row r="51" spans="1:15" x14ac:dyDescent="0.25">
      <c r="A51" s="18">
        <f t="shared" si="0"/>
        <v>36</v>
      </c>
      <c r="B51" s="17" t="s">
        <v>291</v>
      </c>
      <c r="C51" s="54">
        <v>0</v>
      </c>
      <c r="D51" s="54">
        <v>0</v>
      </c>
      <c r="E51" s="54">
        <f t="shared" si="27"/>
        <v>0</v>
      </c>
      <c r="F51" s="54">
        <v>0</v>
      </c>
      <c r="G51" s="27">
        <f t="shared" si="28"/>
        <v>0</v>
      </c>
      <c r="H51" s="54">
        <v>0</v>
      </c>
      <c r="I51" s="27">
        <f t="shared" si="29"/>
        <v>0</v>
      </c>
      <c r="J51" s="51">
        <f t="shared" si="30"/>
        <v>0.98499999999999999</v>
      </c>
      <c r="K51" s="27">
        <f t="shared" si="31"/>
        <v>0</v>
      </c>
      <c r="L51" s="18" t="s">
        <v>155</v>
      </c>
      <c r="M51" s="54">
        <v>0</v>
      </c>
      <c r="N51" s="27">
        <f t="shared" si="32"/>
        <v>0</v>
      </c>
      <c r="O51" s="148"/>
    </row>
    <row r="52" spans="1:15" x14ac:dyDescent="0.25">
      <c r="A52" s="18">
        <f t="shared" si="0"/>
        <v>37</v>
      </c>
      <c r="B52" s="17" t="s">
        <v>290</v>
      </c>
      <c r="C52" s="54">
        <v>0</v>
      </c>
      <c r="D52" s="54">
        <v>0</v>
      </c>
      <c r="E52" s="54">
        <f t="shared" si="27"/>
        <v>0</v>
      </c>
      <c r="F52" s="54">
        <v>0</v>
      </c>
      <c r="G52" s="27">
        <f t="shared" si="28"/>
        <v>0</v>
      </c>
      <c r="H52" s="54">
        <v>0</v>
      </c>
      <c r="I52" s="27">
        <f>+G52+H52</f>
        <v>0</v>
      </c>
      <c r="J52" s="51">
        <f t="shared" si="30"/>
        <v>0.98499999999999999</v>
      </c>
      <c r="K52" s="27">
        <f>IF(I52*J52=0,0, ROUND(I52*J52,0))</f>
        <v>0</v>
      </c>
      <c r="L52" s="18" t="s">
        <v>155</v>
      </c>
      <c r="M52" s="54">
        <v>0</v>
      </c>
      <c r="N52" s="27">
        <f t="shared" si="32"/>
        <v>0</v>
      </c>
      <c r="O52" s="148"/>
    </row>
    <row r="53" spans="1:15" x14ac:dyDescent="0.25">
      <c r="A53" s="18">
        <f t="shared" si="0"/>
        <v>38</v>
      </c>
      <c r="B53" s="17" t="s">
        <v>15</v>
      </c>
      <c r="C53" s="54">
        <v>2624157</v>
      </c>
      <c r="D53" s="54">
        <v>0</v>
      </c>
      <c r="E53" s="54">
        <f t="shared" si="27"/>
        <v>2624157</v>
      </c>
      <c r="F53" s="54">
        <v>0</v>
      </c>
      <c r="G53" s="27">
        <f t="shared" si="28"/>
        <v>2624157</v>
      </c>
      <c r="H53" s="54">
        <v>0</v>
      </c>
      <c r="I53" s="27">
        <f t="shared" si="29"/>
        <v>2624157</v>
      </c>
      <c r="J53" s="51">
        <f t="shared" si="30"/>
        <v>0.98499999999999999</v>
      </c>
      <c r="K53" s="27">
        <f t="shared" si="31"/>
        <v>2584795</v>
      </c>
      <c r="L53" s="18" t="s">
        <v>225</v>
      </c>
      <c r="M53" s="54">
        <v>0</v>
      </c>
      <c r="N53" s="27">
        <f t="shared" si="32"/>
        <v>2584795</v>
      </c>
      <c r="O53" s="148"/>
    </row>
    <row r="54" spans="1:15" x14ac:dyDescent="0.25">
      <c r="A54" s="18">
        <f t="shared" si="0"/>
        <v>39</v>
      </c>
      <c r="B54" s="17" t="s">
        <v>229</v>
      </c>
      <c r="C54" s="54">
        <v>0</v>
      </c>
      <c r="D54" s="54">
        <v>0</v>
      </c>
      <c r="E54" s="54">
        <f t="shared" si="27"/>
        <v>0</v>
      </c>
      <c r="F54" s="54">
        <v>0</v>
      </c>
      <c r="G54" s="27">
        <f t="shared" si="28"/>
        <v>0</v>
      </c>
      <c r="H54" s="54">
        <v>0</v>
      </c>
      <c r="I54" s="27">
        <f>+G54+H54</f>
        <v>0</v>
      </c>
      <c r="J54" s="51">
        <f t="shared" si="30"/>
        <v>0.98499999999999999</v>
      </c>
      <c r="K54" s="27">
        <f>IF(I54*J54=0,0, ROUND(I54*J54,0))</f>
        <v>0</v>
      </c>
      <c r="L54" s="18" t="s">
        <v>225</v>
      </c>
      <c r="M54" s="54">
        <v>0</v>
      </c>
      <c r="N54" s="27">
        <f t="shared" si="32"/>
        <v>0</v>
      </c>
      <c r="O54" s="148"/>
    </row>
    <row r="55" spans="1:15" ht="13" x14ac:dyDescent="0.3">
      <c r="A55" s="18">
        <f t="shared" si="0"/>
        <v>40</v>
      </c>
      <c r="B55" s="75" t="s">
        <v>16</v>
      </c>
      <c r="C55" s="78">
        <f t="shared" ref="C55:I55" si="37">SUM(C46:C54)</f>
        <v>276146</v>
      </c>
      <c r="D55" s="78">
        <f t="shared" si="37"/>
        <v>-947524</v>
      </c>
      <c r="E55" s="78">
        <f t="shared" si="37"/>
        <v>1223670</v>
      </c>
      <c r="F55" s="78">
        <f t="shared" si="37"/>
        <v>0</v>
      </c>
      <c r="G55" s="78">
        <f t="shared" si="37"/>
        <v>1223670</v>
      </c>
      <c r="H55" s="78">
        <f t="shared" si="37"/>
        <v>0</v>
      </c>
      <c r="I55" s="78">
        <f t="shared" si="37"/>
        <v>1223670</v>
      </c>
      <c r="J55" s="24"/>
      <c r="K55" s="80">
        <f>SUM(K46:K54)</f>
        <v>1205315</v>
      </c>
      <c r="M55" s="78">
        <f t="shared" ref="M55:N55" si="38">SUM(M46:M54)</f>
        <v>0</v>
      </c>
      <c r="N55" s="78">
        <f t="shared" si="38"/>
        <v>1205315</v>
      </c>
    </row>
    <row r="56" spans="1:15" x14ac:dyDescent="0.25">
      <c r="A56" s="18">
        <f t="shared" si="0"/>
        <v>41</v>
      </c>
      <c r="B56" s="17" t="s">
        <v>0</v>
      </c>
      <c r="C56" s="54"/>
      <c r="E56" s="27"/>
      <c r="J56" s="81"/>
      <c r="K56" s="76"/>
    </row>
    <row r="57" spans="1:15" ht="13" x14ac:dyDescent="0.3">
      <c r="A57" s="18">
        <f t="shared" si="0"/>
        <v>42</v>
      </c>
      <c r="B57" s="75" t="s">
        <v>17</v>
      </c>
      <c r="C57" s="54"/>
      <c r="J57" s="81"/>
      <c r="K57" s="76"/>
    </row>
    <row r="58" spans="1:15" x14ac:dyDescent="0.25">
      <c r="A58" s="18">
        <f t="shared" si="0"/>
        <v>43</v>
      </c>
      <c r="B58" s="17" t="s">
        <v>18</v>
      </c>
      <c r="C58" s="54">
        <v>0</v>
      </c>
      <c r="D58" s="54">
        <v>0</v>
      </c>
      <c r="E58" s="54">
        <f t="shared" ref="E58:E61" si="39">+C58-D58</f>
        <v>0</v>
      </c>
      <c r="F58" s="54">
        <v>0</v>
      </c>
      <c r="G58" s="27">
        <f t="shared" ref="G58:G61" si="40">+E58+F58</f>
        <v>0</v>
      </c>
      <c r="H58" s="54">
        <v>0</v>
      </c>
      <c r="I58" s="27">
        <f t="shared" ref="I58:I61" si="41">+G58+H58</f>
        <v>0</v>
      </c>
      <c r="J58" s="51">
        <f>VLOOKUP(L58,$C$308:$D$322,2,FALSE)</f>
        <v>0.98499999999999999</v>
      </c>
      <c r="K58" s="27">
        <f t="shared" ref="K58:K61" si="42">IF(I58*J58=0,0, ROUND(I58*J58,0))</f>
        <v>0</v>
      </c>
      <c r="L58" s="18" t="s">
        <v>225</v>
      </c>
      <c r="M58" s="54">
        <v>0</v>
      </c>
      <c r="N58" s="27">
        <f t="shared" ref="N58:N61" si="43">K58+M58</f>
        <v>0</v>
      </c>
      <c r="O58" s="148"/>
    </row>
    <row r="59" spans="1:15" x14ac:dyDescent="0.25">
      <c r="A59" s="18">
        <f t="shared" si="0"/>
        <v>44</v>
      </c>
      <c r="B59" s="17" t="s">
        <v>19</v>
      </c>
      <c r="C59" s="54">
        <v>0</v>
      </c>
      <c r="D59" s="54">
        <v>0</v>
      </c>
      <c r="E59" s="54">
        <f t="shared" si="39"/>
        <v>0</v>
      </c>
      <c r="F59" s="54">
        <v>0</v>
      </c>
      <c r="G59" s="27">
        <f t="shared" si="40"/>
        <v>0</v>
      </c>
      <c r="H59" s="54">
        <v>0</v>
      </c>
      <c r="I59" s="27">
        <f t="shared" si="41"/>
        <v>0</v>
      </c>
      <c r="J59" s="51">
        <f>VLOOKUP(L59,$C$308:$D$322,2,FALSE)</f>
        <v>0.98499999999999999</v>
      </c>
      <c r="K59" s="27">
        <f t="shared" si="42"/>
        <v>0</v>
      </c>
      <c r="L59" s="18" t="s">
        <v>225</v>
      </c>
      <c r="M59" s="54">
        <v>0</v>
      </c>
      <c r="N59" s="27">
        <f t="shared" si="43"/>
        <v>0</v>
      </c>
      <c r="O59" s="148"/>
    </row>
    <row r="60" spans="1:15" x14ac:dyDescent="0.25">
      <c r="A60" s="18">
        <f t="shared" si="0"/>
        <v>45</v>
      </c>
      <c r="B60" s="17" t="s">
        <v>20</v>
      </c>
      <c r="C60" s="54">
        <v>0</v>
      </c>
      <c r="D60" s="54">
        <v>0</v>
      </c>
      <c r="E60" s="54">
        <f t="shared" si="39"/>
        <v>0</v>
      </c>
      <c r="F60" s="54">
        <v>0</v>
      </c>
      <c r="G60" s="27">
        <f t="shared" si="40"/>
        <v>0</v>
      </c>
      <c r="H60" s="54">
        <v>0</v>
      </c>
      <c r="I60" s="27">
        <f t="shared" si="41"/>
        <v>0</v>
      </c>
      <c r="J60" s="51">
        <f>VLOOKUP(L60,$C$308:$D$322,2,FALSE)</f>
        <v>0.99</v>
      </c>
      <c r="K60" s="27">
        <f t="shared" si="42"/>
        <v>0</v>
      </c>
      <c r="L60" s="18" t="s">
        <v>154</v>
      </c>
      <c r="M60" s="54">
        <v>0</v>
      </c>
      <c r="N60" s="27">
        <f t="shared" si="43"/>
        <v>0</v>
      </c>
      <c r="O60" s="148"/>
    </row>
    <row r="61" spans="1:15" x14ac:dyDescent="0.25">
      <c r="A61" s="18">
        <f t="shared" si="0"/>
        <v>46</v>
      </c>
      <c r="B61" s="17" t="s">
        <v>21</v>
      </c>
      <c r="C61" s="54">
        <v>0</v>
      </c>
      <c r="D61" s="54">
        <v>0</v>
      </c>
      <c r="E61" s="54">
        <f t="shared" si="39"/>
        <v>0</v>
      </c>
      <c r="F61" s="54">
        <v>0</v>
      </c>
      <c r="G61" s="27">
        <f t="shared" si="40"/>
        <v>0</v>
      </c>
      <c r="H61" s="54">
        <v>0</v>
      </c>
      <c r="I61" s="27">
        <f t="shared" si="41"/>
        <v>0</v>
      </c>
      <c r="J61" s="51">
        <f>VLOOKUP(L61,$C$308:$D$322,2,FALSE)</f>
        <v>0.98499999999999999</v>
      </c>
      <c r="K61" s="27">
        <f t="shared" si="42"/>
        <v>0</v>
      </c>
      <c r="L61" s="18" t="s">
        <v>225</v>
      </c>
      <c r="M61" s="54">
        <v>0</v>
      </c>
      <c r="N61" s="27">
        <f t="shared" si="43"/>
        <v>0</v>
      </c>
      <c r="O61" s="148"/>
    </row>
    <row r="62" spans="1:15" ht="13" x14ac:dyDescent="0.3">
      <c r="A62" s="18">
        <f t="shared" si="0"/>
        <v>47</v>
      </c>
      <c r="B62" s="75" t="s">
        <v>22</v>
      </c>
      <c r="C62" s="78">
        <f t="shared" ref="C62:I62" si="44">SUM(C58:C61)</f>
        <v>0</v>
      </c>
      <c r="D62" s="78">
        <f t="shared" si="44"/>
        <v>0</v>
      </c>
      <c r="E62" s="78">
        <f t="shared" si="44"/>
        <v>0</v>
      </c>
      <c r="F62" s="78">
        <f t="shared" si="44"/>
        <v>0</v>
      </c>
      <c r="G62" s="78">
        <f t="shared" si="44"/>
        <v>0</v>
      </c>
      <c r="H62" s="78">
        <f t="shared" si="44"/>
        <v>0</v>
      </c>
      <c r="I62" s="78">
        <f t="shared" si="44"/>
        <v>0</v>
      </c>
      <c r="J62" s="24"/>
      <c r="K62" s="80">
        <f>SUM(K58:K61)</f>
        <v>0</v>
      </c>
      <c r="M62" s="78">
        <f t="shared" ref="M62:N62" si="45">SUM(M58:M61)</f>
        <v>0</v>
      </c>
      <c r="N62" s="78">
        <f t="shared" si="45"/>
        <v>0</v>
      </c>
    </row>
    <row r="63" spans="1:15" x14ac:dyDescent="0.25">
      <c r="A63" s="18">
        <f t="shared" si="0"/>
        <v>48</v>
      </c>
      <c r="B63" s="17" t="s">
        <v>0</v>
      </c>
      <c r="C63" s="54"/>
      <c r="J63" s="81"/>
      <c r="K63" s="76"/>
    </row>
    <row r="64" spans="1:15" ht="13" x14ac:dyDescent="0.3">
      <c r="A64" s="18">
        <f t="shared" si="0"/>
        <v>49</v>
      </c>
      <c r="B64" s="75" t="s">
        <v>23</v>
      </c>
      <c r="C64" s="54"/>
      <c r="J64" s="81"/>
      <c r="K64" s="76"/>
    </row>
    <row r="65" spans="1:15" x14ac:dyDescent="0.25">
      <c r="A65" s="18">
        <f t="shared" si="0"/>
        <v>50</v>
      </c>
      <c r="B65" s="17" t="s">
        <v>24</v>
      </c>
      <c r="C65" s="54">
        <v>0</v>
      </c>
      <c r="D65" s="54">
        <v>0</v>
      </c>
      <c r="E65" s="54">
        <f t="shared" ref="E65:E70" si="46">+C65-D65</f>
        <v>0</v>
      </c>
      <c r="F65" s="54">
        <v>0</v>
      </c>
      <c r="G65" s="27">
        <f t="shared" ref="G65:G70" si="47">+E65+F65</f>
        <v>0</v>
      </c>
      <c r="H65" s="54">
        <v>0</v>
      </c>
      <c r="I65" s="27">
        <f t="shared" ref="I65:I70" si="48">+G65+H65</f>
        <v>0</v>
      </c>
      <c r="J65" s="51">
        <f t="shared" ref="J65:J70" si="49">VLOOKUP(L65,$C$308:$D$322,2,FALSE)</f>
        <v>0.98499999999999999</v>
      </c>
      <c r="K65" s="27">
        <f t="shared" ref="K65:K70" si="50">IF(I65*J65=0,0, ROUND(I65*J65,0))</f>
        <v>0</v>
      </c>
      <c r="L65" s="18" t="s">
        <v>225</v>
      </c>
      <c r="M65" s="54">
        <v>0</v>
      </c>
      <c r="N65" s="27">
        <f t="shared" ref="N65:N70" si="51">K65+M65</f>
        <v>0</v>
      </c>
      <c r="O65" s="148"/>
    </row>
    <row r="66" spans="1:15" x14ac:dyDescent="0.25">
      <c r="A66" s="18">
        <f t="shared" si="0"/>
        <v>51</v>
      </c>
      <c r="B66" s="17" t="s">
        <v>233</v>
      </c>
      <c r="C66" s="54">
        <v>0</v>
      </c>
      <c r="D66" s="54">
        <v>0</v>
      </c>
      <c r="E66" s="54">
        <f t="shared" si="46"/>
        <v>0</v>
      </c>
      <c r="F66" s="54">
        <v>0</v>
      </c>
      <c r="G66" s="27">
        <f t="shared" si="47"/>
        <v>0</v>
      </c>
      <c r="H66" s="54">
        <v>0</v>
      </c>
      <c r="I66" s="27">
        <f t="shared" si="48"/>
        <v>0</v>
      </c>
      <c r="J66" s="51">
        <f t="shared" si="49"/>
        <v>0.98499999999999999</v>
      </c>
      <c r="K66" s="27">
        <f t="shared" si="50"/>
        <v>0</v>
      </c>
      <c r="L66" s="18" t="s">
        <v>225</v>
      </c>
      <c r="M66" s="54">
        <v>0</v>
      </c>
      <c r="N66" s="27">
        <f t="shared" si="51"/>
        <v>0</v>
      </c>
      <c r="O66" s="148"/>
    </row>
    <row r="67" spans="1:15" x14ac:dyDescent="0.25">
      <c r="A67" s="18">
        <f t="shared" si="0"/>
        <v>52</v>
      </c>
      <c r="B67" s="56" t="s">
        <v>241</v>
      </c>
      <c r="C67" s="54">
        <v>-45576565</v>
      </c>
      <c r="D67" s="54">
        <v>0</v>
      </c>
      <c r="E67" s="54">
        <f t="shared" si="46"/>
        <v>-45576565</v>
      </c>
      <c r="F67" s="54">
        <v>0</v>
      </c>
      <c r="G67" s="27">
        <f t="shared" si="47"/>
        <v>-45576565</v>
      </c>
      <c r="H67" s="54">
        <v>0</v>
      </c>
      <c r="I67" s="27">
        <f t="shared" si="48"/>
        <v>-45576565</v>
      </c>
      <c r="J67" s="51">
        <f t="shared" si="49"/>
        <v>0.98499999999999999</v>
      </c>
      <c r="K67" s="27">
        <f t="shared" si="50"/>
        <v>-44892917</v>
      </c>
      <c r="L67" s="18" t="s">
        <v>149</v>
      </c>
      <c r="M67" s="54">
        <v>0</v>
      </c>
      <c r="N67" s="27">
        <f t="shared" si="51"/>
        <v>-44892917</v>
      </c>
      <c r="O67" s="148"/>
    </row>
    <row r="68" spans="1:15" x14ac:dyDescent="0.25">
      <c r="A68" s="18">
        <f t="shared" si="0"/>
        <v>53</v>
      </c>
      <c r="B68" s="56" t="s">
        <v>242</v>
      </c>
      <c r="C68" s="54">
        <v>0</v>
      </c>
      <c r="D68" s="54">
        <v>0</v>
      </c>
      <c r="E68" s="54">
        <f t="shared" si="46"/>
        <v>0</v>
      </c>
      <c r="F68" s="54">
        <v>0</v>
      </c>
      <c r="G68" s="27">
        <f t="shared" si="47"/>
        <v>0</v>
      </c>
      <c r="H68" s="54">
        <v>0</v>
      </c>
      <c r="I68" s="27">
        <f t="shared" si="48"/>
        <v>0</v>
      </c>
      <c r="J68" s="51">
        <f t="shared" si="49"/>
        <v>0.98499999999999999</v>
      </c>
      <c r="K68" s="27">
        <f t="shared" si="50"/>
        <v>0</v>
      </c>
      <c r="L68" s="18" t="s">
        <v>149</v>
      </c>
      <c r="M68" s="54">
        <v>0</v>
      </c>
      <c r="N68" s="27">
        <f t="shared" si="51"/>
        <v>0</v>
      </c>
      <c r="O68" s="148"/>
    </row>
    <row r="69" spans="1:15" x14ac:dyDescent="0.25">
      <c r="A69" s="18">
        <f t="shared" si="0"/>
        <v>54</v>
      </c>
      <c r="B69" s="17" t="s">
        <v>25</v>
      </c>
      <c r="C69" s="54">
        <v>-114</v>
      </c>
      <c r="D69" s="82">
        <v>0</v>
      </c>
      <c r="E69" s="82">
        <f t="shared" si="46"/>
        <v>-114</v>
      </c>
      <c r="F69" s="54">
        <v>0</v>
      </c>
      <c r="G69" s="27">
        <f t="shared" si="47"/>
        <v>-114</v>
      </c>
      <c r="H69" s="54">
        <v>0</v>
      </c>
      <c r="I69" s="82">
        <f t="shared" si="48"/>
        <v>-114</v>
      </c>
      <c r="J69" s="51">
        <f t="shared" si="49"/>
        <v>0.98499999999999999</v>
      </c>
      <c r="K69" s="27">
        <f t="shared" si="50"/>
        <v>-112</v>
      </c>
      <c r="L69" s="18" t="s">
        <v>225</v>
      </c>
      <c r="M69" s="54">
        <v>0</v>
      </c>
      <c r="N69" s="27">
        <f t="shared" si="51"/>
        <v>-112</v>
      </c>
      <c r="O69" s="148"/>
    </row>
    <row r="70" spans="1:15" x14ac:dyDescent="0.25">
      <c r="A70" s="18">
        <f t="shared" si="0"/>
        <v>55</v>
      </c>
      <c r="B70" s="17" t="s">
        <v>234</v>
      </c>
      <c r="C70" s="54">
        <v>0</v>
      </c>
      <c r="D70" s="54">
        <v>0</v>
      </c>
      <c r="E70" s="54">
        <f t="shared" si="46"/>
        <v>0</v>
      </c>
      <c r="F70" s="54">
        <v>0</v>
      </c>
      <c r="G70" s="27">
        <f t="shared" si="47"/>
        <v>0</v>
      </c>
      <c r="H70" s="54">
        <v>0</v>
      </c>
      <c r="I70" s="27">
        <f t="shared" si="48"/>
        <v>0</v>
      </c>
      <c r="J70" s="51">
        <f t="shared" si="49"/>
        <v>0.98499999999999999</v>
      </c>
      <c r="K70" s="27">
        <f t="shared" si="50"/>
        <v>0</v>
      </c>
      <c r="L70" s="18" t="s">
        <v>225</v>
      </c>
      <c r="M70" s="54">
        <v>0</v>
      </c>
      <c r="N70" s="27">
        <f t="shared" si="51"/>
        <v>0</v>
      </c>
      <c r="O70" s="148"/>
    </row>
    <row r="71" spans="1:15" ht="13" x14ac:dyDescent="0.3">
      <c r="A71" s="18">
        <f t="shared" si="0"/>
        <v>56</v>
      </c>
      <c r="B71" s="75" t="s">
        <v>26</v>
      </c>
      <c r="C71" s="78">
        <f t="shared" ref="C71:I71" si="52">SUM(C65:C70)</f>
        <v>-45576679</v>
      </c>
      <c r="D71" s="78">
        <f t="shared" si="52"/>
        <v>0</v>
      </c>
      <c r="E71" s="78">
        <f t="shared" si="52"/>
        <v>-45576679</v>
      </c>
      <c r="F71" s="78">
        <f t="shared" si="52"/>
        <v>0</v>
      </c>
      <c r="G71" s="78">
        <f t="shared" si="52"/>
        <v>-45576679</v>
      </c>
      <c r="H71" s="78">
        <f t="shared" si="52"/>
        <v>0</v>
      </c>
      <c r="I71" s="78">
        <f t="shared" si="52"/>
        <v>-45576679</v>
      </c>
      <c r="J71" s="24"/>
      <c r="K71" s="78">
        <f>SUM(K65:K70)</f>
        <v>-44893029</v>
      </c>
      <c r="M71" s="78">
        <f t="shared" ref="M71:N71" si="53">SUM(M65:M70)</f>
        <v>0</v>
      </c>
      <c r="N71" s="78">
        <f t="shared" si="53"/>
        <v>-44893029</v>
      </c>
    </row>
    <row r="72" spans="1:15" x14ac:dyDescent="0.25">
      <c r="A72" s="18">
        <f t="shared" si="0"/>
        <v>57</v>
      </c>
      <c r="B72" s="17" t="s">
        <v>0</v>
      </c>
      <c r="C72" s="54"/>
      <c r="J72" s="81"/>
      <c r="K72" s="76"/>
    </row>
    <row r="73" spans="1:15" ht="13" x14ac:dyDescent="0.3">
      <c r="A73" s="18">
        <f t="shared" si="0"/>
        <v>58</v>
      </c>
      <c r="B73" s="75" t="s">
        <v>27</v>
      </c>
      <c r="C73" s="54"/>
      <c r="J73" s="81"/>
      <c r="K73" s="76"/>
    </row>
    <row r="74" spans="1:15" x14ac:dyDescent="0.25">
      <c r="A74" s="18">
        <f>+A73+1</f>
        <v>59</v>
      </c>
      <c r="B74" s="17" t="s">
        <v>28</v>
      </c>
      <c r="C74" s="54">
        <v>-6083000</v>
      </c>
      <c r="D74" s="54">
        <v>0</v>
      </c>
      <c r="E74" s="54">
        <f>+C74-D74</f>
        <v>-6083000</v>
      </c>
      <c r="F74" s="54">
        <v>0</v>
      </c>
      <c r="G74" s="27">
        <f>+E74+F74</f>
        <v>-6083000</v>
      </c>
      <c r="H74" s="54">
        <v>0</v>
      </c>
      <c r="I74" s="27">
        <f>+G74+H74</f>
        <v>-6083000</v>
      </c>
      <c r="J74" s="51">
        <f>VLOOKUP(L74,$C$308:$D$322,2,FALSE)</f>
        <v>0.98499999999999999</v>
      </c>
      <c r="K74" s="27">
        <f>IF(I74*J74=0,0, ROUND(I74*J74,0))</f>
        <v>-5991755</v>
      </c>
      <c r="L74" s="18" t="s">
        <v>225</v>
      </c>
      <c r="M74" s="27">
        <v>0</v>
      </c>
      <c r="N74" s="27">
        <f>K74+M74</f>
        <v>-5991755</v>
      </c>
      <c r="O74" s="148"/>
    </row>
    <row r="75" spans="1:15" x14ac:dyDescent="0.25">
      <c r="A75" s="18">
        <f t="shared" si="0"/>
        <v>60</v>
      </c>
      <c r="B75" s="17" t="s">
        <v>324</v>
      </c>
      <c r="C75" s="54">
        <v>-3483000</v>
      </c>
      <c r="D75" s="54">
        <v>0</v>
      </c>
      <c r="E75" s="54">
        <f>+C75-D75</f>
        <v>-3483000</v>
      </c>
      <c r="F75" s="54">
        <v>0</v>
      </c>
      <c r="G75" s="27">
        <f>+E75+F75</f>
        <v>-3483000</v>
      </c>
      <c r="H75" s="54">
        <v>0</v>
      </c>
      <c r="I75" s="27">
        <f>+G75+H75</f>
        <v>-3483000</v>
      </c>
      <c r="J75" s="51">
        <f>VLOOKUP(L75,$C$308:$D$322,2,FALSE)</f>
        <v>0.98499999999999999</v>
      </c>
      <c r="K75" s="27">
        <f>IF(I75*J75=0,0, ROUND(I75*J75,0))</f>
        <v>-3430755</v>
      </c>
      <c r="L75" s="18" t="s">
        <v>225</v>
      </c>
      <c r="M75" s="27">
        <v>0</v>
      </c>
      <c r="N75" s="27">
        <f>K75+M75</f>
        <v>-3430755</v>
      </c>
      <c r="O75" s="148"/>
    </row>
    <row r="76" spans="1:15" ht="13" x14ac:dyDescent="0.3">
      <c r="A76" s="18">
        <f t="shared" si="0"/>
        <v>61</v>
      </c>
      <c r="B76" s="79" t="s">
        <v>29</v>
      </c>
      <c r="C76" s="78">
        <f t="shared" ref="C76:I76" si="54">SUM(C74:C75)</f>
        <v>-9566000</v>
      </c>
      <c r="D76" s="78">
        <f t="shared" si="54"/>
        <v>0</v>
      </c>
      <c r="E76" s="78">
        <f t="shared" si="54"/>
        <v>-9566000</v>
      </c>
      <c r="F76" s="78">
        <f t="shared" si="54"/>
        <v>0</v>
      </c>
      <c r="G76" s="78">
        <f t="shared" si="54"/>
        <v>-9566000</v>
      </c>
      <c r="H76" s="78">
        <f t="shared" si="54"/>
        <v>0</v>
      </c>
      <c r="I76" s="78">
        <f t="shared" si="54"/>
        <v>-9566000</v>
      </c>
      <c r="J76" s="24"/>
      <c r="K76" s="78">
        <f>SUM(K74:K75)</f>
        <v>-9422510</v>
      </c>
      <c r="M76" s="78">
        <f>SUM(M74:M75)</f>
        <v>0</v>
      </c>
      <c r="N76" s="78">
        <f>SUM(N74:N75)</f>
        <v>-9422510</v>
      </c>
    </row>
    <row r="77" spans="1:15" x14ac:dyDescent="0.25">
      <c r="A77" s="18">
        <f t="shared" si="0"/>
        <v>62</v>
      </c>
      <c r="B77" s="17" t="s">
        <v>0</v>
      </c>
      <c r="C77" s="54"/>
      <c r="J77" s="81"/>
      <c r="K77" s="76"/>
    </row>
    <row r="78" spans="1:15" ht="13" x14ac:dyDescent="0.3">
      <c r="A78" s="18">
        <f t="shared" si="0"/>
        <v>63</v>
      </c>
      <c r="B78" s="75" t="s">
        <v>30</v>
      </c>
      <c r="C78" s="54"/>
      <c r="J78" s="81"/>
      <c r="K78" s="76"/>
    </row>
    <row r="79" spans="1:15" x14ac:dyDescent="0.25">
      <c r="A79" s="18">
        <f t="shared" si="0"/>
        <v>64</v>
      </c>
      <c r="B79" s="17" t="s">
        <v>31</v>
      </c>
      <c r="C79" s="54">
        <v>9512222</v>
      </c>
      <c r="D79" s="82">
        <v>0</v>
      </c>
      <c r="E79" s="82">
        <f>+C79-D79</f>
        <v>9512222</v>
      </c>
      <c r="F79" s="54">
        <v>0</v>
      </c>
      <c r="G79" s="27">
        <f>+E79+F79</f>
        <v>9512222</v>
      </c>
      <c r="H79" s="54">
        <v>0</v>
      </c>
      <c r="I79" s="82">
        <f>+G79+H79</f>
        <v>9512222</v>
      </c>
      <c r="J79" s="51">
        <f>VLOOKUP(L79,$C$308:$D$322,2,FALSE)</f>
        <v>0.98499999999999999</v>
      </c>
      <c r="K79" s="27">
        <f>IF(I79*J79=0,0, ROUND(I79*J79,0))</f>
        <v>9369539</v>
      </c>
      <c r="L79" s="18" t="s">
        <v>149</v>
      </c>
      <c r="M79" s="54">
        <v>0</v>
      </c>
      <c r="N79" s="27">
        <f>K79+M79</f>
        <v>9369539</v>
      </c>
      <c r="O79" s="148"/>
    </row>
    <row r="80" spans="1:15" ht="13" x14ac:dyDescent="0.3">
      <c r="A80" s="18">
        <f t="shared" si="0"/>
        <v>65</v>
      </c>
      <c r="B80" s="75" t="s">
        <v>32</v>
      </c>
      <c r="C80" s="78">
        <f t="shared" ref="C80:I80" si="55">+C79</f>
        <v>9512222</v>
      </c>
      <c r="D80" s="78">
        <f t="shared" si="55"/>
        <v>0</v>
      </c>
      <c r="E80" s="78">
        <f t="shared" si="55"/>
        <v>9512222</v>
      </c>
      <c r="F80" s="78">
        <f t="shared" si="55"/>
        <v>0</v>
      </c>
      <c r="G80" s="78">
        <f t="shared" si="55"/>
        <v>9512222</v>
      </c>
      <c r="H80" s="78">
        <f t="shared" si="55"/>
        <v>0</v>
      </c>
      <c r="I80" s="78">
        <f t="shared" si="55"/>
        <v>9512222</v>
      </c>
      <c r="J80" s="24"/>
      <c r="K80" s="80">
        <f>+K79</f>
        <v>9369539</v>
      </c>
      <c r="M80" s="78">
        <f t="shared" ref="M80:N80" si="56">+M79</f>
        <v>0</v>
      </c>
      <c r="N80" s="78">
        <f t="shared" si="56"/>
        <v>9369539</v>
      </c>
    </row>
    <row r="81" spans="1:15" x14ac:dyDescent="0.25">
      <c r="A81" s="18">
        <f t="shared" si="0"/>
        <v>66</v>
      </c>
      <c r="B81" s="17" t="s">
        <v>0</v>
      </c>
      <c r="C81" s="54"/>
      <c r="J81" s="81"/>
      <c r="K81" s="76"/>
    </row>
    <row r="82" spans="1:15" ht="13" x14ac:dyDescent="0.3">
      <c r="A82" s="18">
        <f t="shared" si="0"/>
        <v>67</v>
      </c>
      <c r="B82" s="75" t="s">
        <v>33</v>
      </c>
      <c r="C82" s="54"/>
      <c r="J82" s="81"/>
      <c r="K82" s="76"/>
    </row>
    <row r="83" spans="1:15" x14ac:dyDescent="0.25">
      <c r="A83" s="18">
        <f t="shared" si="0"/>
        <v>68</v>
      </c>
      <c r="B83" s="17" t="s">
        <v>357</v>
      </c>
      <c r="C83" s="54">
        <v>-761247</v>
      </c>
      <c r="D83" s="54">
        <v>0</v>
      </c>
      <c r="E83" s="82">
        <f>+C83-D83</f>
        <v>-761247</v>
      </c>
      <c r="F83" s="54">
        <v>0</v>
      </c>
      <c r="G83" s="27">
        <f>+E83+F83</f>
        <v>-761247</v>
      </c>
      <c r="H83" s="54">
        <v>0</v>
      </c>
      <c r="I83" s="27">
        <f>+G83+H83</f>
        <v>-761247</v>
      </c>
      <c r="J83" s="51">
        <f>VLOOKUP(L83,$C$308:$D$322,2,FALSE)</f>
        <v>0.98499999999999999</v>
      </c>
      <c r="K83" s="27">
        <f>IF(I83*J83=0,0, ROUND(I83*J83,0))</f>
        <v>-749828</v>
      </c>
      <c r="L83" s="18" t="s">
        <v>153</v>
      </c>
      <c r="M83" s="54">
        <v>0</v>
      </c>
      <c r="N83" s="27">
        <f>K83+M83</f>
        <v>-749828</v>
      </c>
      <c r="O83" s="148"/>
    </row>
    <row r="84" spans="1:15" ht="13" x14ac:dyDescent="0.3">
      <c r="A84" s="18">
        <f t="shared" si="0"/>
        <v>69</v>
      </c>
      <c r="B84" s="75" t="s">
        <v>34</v>
      </c>
      <c r="C84" s="78">
        <f t="shared" ref="C84:I84" si="57">SUM(C83:C83)</f>
        <v>-761247</v>
      </c>
      <c r="D84" s="78">
        <f t="shared" si="57"/>
        <v>0</v>
      </c>
      <c r="E84" s="78">
        <f t="shared" si="57"/>
        <v>-761247</v>
      </c>
      <c r="F84" s="78">
        <f t="shared" si="57"/>
        <v>0</v>
      </c>
      <c r="G84" s="78">
        <f t="shared" si="57"/>
        <v>-761247</v>
      </c>
      <c r="H84" s="78">
        <f t="shared" si="57"/>
        <v>0</v>
      </c>
      <c r="I84" s="78">
        <f t="shared" si="57"/>
        <v>-761247</v>
      </c>
      <c r="J84" s="24"/>
      <c r="K84" s="80">
        <f>SUM(K83:K83)</f>
        <v>-749828</v>
      </c>
      <c r="M84" s="78">
        <f t="shared" ref="M84:N84" si="58">SUM(M83:M83)</f>
        <v>0</v>
      </c>
      <c r="N84" s="78">
        <f t="shared" si="58"/>
        <v>-749828</v>
      </c>
    </row>
    <row r="85" spans="1:15" x14ac:dyDescent="0.25">
      <c r="A85" s="18">
        <f t="shared" ref="A85:A151" si="59">+A84+1</f>
        <v>70</v>
      </c>
      <c r="B85" s="17" t="s">
        <v>0</v>
      </c>
      <c r="C85" s="54"/>
      <c r="J85" s="81"/>
      <c r="K85" s="76"/>
    </row>
    <row r="86" spans="1:15" ht="13" x14ac:dyDescent="0.3">
      <c r="A86" s="18">
        <f t="shared" si="59"/>
        <v>71</v>
      </c>
      <c r="B86" s="75" t="s">
        <v>35</v>
      </c>
      <c r="C86" s="54"/>
      <c r="J86" s="81"/>
      <c r="K86" s="76"/>
    </row>
    <row r="87" spans="1:15" x14ac:dyDescent="0.25">
      <c r="A87" s="18">
        <f t="shared" si="59"/>
        <v>72</v>
      </c>
      <c r="B87" s="17" t="s">
        <v>36</v>
      </c>
      <c r="C87" s="54">
        <v>-17065</v>
      </c>
      <c r="D87" s="82">
        <v>0</v>
      </c>
      <c r="E87" s="82">
        <f t="shared" ref="E87:E89" si="60">+C87-D87</f>
        <v>-17065</v>
      </c>
      <c r="F87" s="54">
        <v>0</v>
      </c>
      <c r="G87" s="27">
        <f>+E87+F87</f>
        <v>-17065</v>
      </c>
      <c r="H87" s="54">
        <v>0</v>
      </c>
      <c r="I87" s="41">
        <f>+G87+H87</f>
        <v>-17065</v>
      </c>
      <c r="J87" s="51">
        <f>VLOOKUP(L87,$C$308:$D$322,2,FALSE)</f>
        <v>1</v>
      </c>
      <c r="K87" s="27">
        <f>IF(I87*J87=0,0, ROUND(I87*J87,0))</f>
        <v>-17065</v>
      </c>
      <c r="L87" s="18" t="s">
        <v>146</v>
      </c>
      <c r="M87" s="54">
        <v>0</v>
      </c>
      <c r="N87" s="27">
        <f>K87+M87</f>
        <v>-17065</v>
      </c>
      <c r="O87" s="148"/>
    </row>
    <row r="88" spans="1:15" x14ac:dyDescent="0.25">
      <c r="A88" s="122"/>
      <c r="B88" s="124" t="s">
        <v>369</v>
      </c>
      <c r="C88" s="54">
        <v>-179548</v>
      </c>
      <c r="D88" s="82"/>
      <c r="E88" s="82">
        <f t="shared" si="60"/>
        <v>-179548</v>
      </c>
      <c r="F88" s="54">
        <v>0</v>
      </c>
      <c r="G88" s="27">
        <f>+E88+F88</f>
        <v>-179548</v>
      </c>
      <c r="H88" s="54">
        <v>0</v>
      </c>
      <c r="I88" s="41">
        <f>+G88+H88</f>
        <v>-179548</v>
      </c>
      <c r="J88" s="51">
        <f>VLOOKUP(L88,$C$308:$D$322,2,FALSE)</f>
        <v>1</v>
      </c>
      <c r="K88" s="27">
        <f>IF(I88*J88=0,0, ROUND(I88*J88,0))</f>
        <v>-179548</v>
      </c>
      <c r="L88" s="137" t="s">
        <v>146</v>
      </c>
      <c r="M88" s="54">
        <v>0</v>
      </c>
      <c r="N88" s="27">
        <f>K88+M88</f>
        <v>-179548</v>
      </c>
      <c r="O88" s="148"/>
    </row>
    <row r="89" spans="1:15" x14ac:dyDescent="0.25">
      <c r="A89" s="122"/>
      <c r="B89" s="124" t="s">
        <v>370</v>
      </c>
      <c r="C89" s="54">
        <v>-63846</v>
      </c>
      <c r="D89" s="82"/>
      <c r="E89" s="82">
        <f t="shared" si="60"/>
        <v>-63846</v>
      </c>
      <c r="F89" s="54">
        <v>0</v>
      </c>
      <c r="G89" s="27">
        <f>+E89+F89</f>
        <v>-63846</v>
      </c>
      <c r="H89" s="54">
        <v>0</v>
      </c>
      <c r="I89" s="41">
        <f>+G89+H89</f>
        <v>-63846</v>
      </c>
      <c r="J89" s="51">
        <f>VLOOKUP(L89,$C$308:$D$322,2,FALSE)</f>
        <v>1</v>
      </c>
      <c r="K89" s="27">
        <f>IF(I89*J89=0,0, ROUND(I89*J89,0))</f>
        <v>-63846</v>
      </c>
      <c r="L89" s="137" t="s">
        <v>146</v>
      </c>
      <c r="M89" s="54">
        <v>0</v>
      </c>
      <c r="N89" s="27">
        <f>K89+M89</f>
        <v>-63846</v>
      </c>
      <c r="O89" s="148"/>
    </row>
    <row r="90" spans="1:15" ht="13" x14ac:dyDescent="0.3">
      <c r="A90" s="18">
        <f>+A87+1</f>
        <v>73</v>
      </c>
      <c r="B90" s="75" t="s">
        <v>37</v>
      </c>
      <c r="C90" s="78">
        <f>SUM(C87:C89)</f>
        <v>-260459</v>
      </c>
      <c r="D90" s="78">
        <f t="shared" ref="D90:I90" si="61">SUM(D87:D89)</f>
        <v>0</v>
      </c>
      <c r="E90" s="78">
        <f t="shared" si="61"/>
        <v>-260459</v>
      </c>
      <c r="F90" s="78">
        <f t="shared" si="61"/>
        <v>0</v>
      </c>
      <c r="G90" s="78">
        <f t="shared" si="61"/>
        <v>-260459</v>
      </c>
      <c r="H90" s="78">
        <f t="shared" si="61"/>
        <v>0</v>
      </c>
      <c r="I90" s="78">
        <f t="shared" si="61"/>
        <v>-260459</v>
      </c>
      <c r="J90" s="24"/>
      <c r="K90" s="80">
        <f>SUM(K87:K89)</f>
        <v>-260459</v>
      </c>
      <c r="M90" s="78">
        <f t="shared" ref="M90" si="62">SUM(M87:M87)</f>
        <v>0</v>
      </c>
      <c r="N90" s="78">
        <f>SUM(N87:N89)</f>
        <v>-260459</v>
      </c>
    </row>
    <row r="91" spans="1:15" x14ac:dyDescent="0.25">
      <c r="A91" s="18">
        <f t="shared" si="59"/>
        <v>74</v>
      </c>
      <c r="B91" s="17" t="s">
        <v>0</v>
      </c>
      <c r="C91" s="54"/>
      <c r="J91" s="81"/>
      <c r="K91" s="76"/>
    </row>
    <row r="92" spans="1:15" ht="13" x14ac:dyDescent="0.3">
      <c r="A92" s="18">
        <f t="shared" si="59"/>
        <v>75</v>
      </c>
      <c r="B92" s="75" t="s">
        <v>38</v>
      </c>
      <c r="C92" s="54"/>
      <c r="J92" s="81"/>
      <c r="K92" s="76"/>
    </row>
    <row r="93" spans="1:15" x14ac:dyDescent="0.25">
      <c r="A93" s="18">
        <f t="shared" si="59"/>
        <v>76</v>
      </c>
      <c r="B93" s="17" t="s">
        <v>326</v>
      </c>
      <c r="C93" s="54">
        <v>0</v>
      </c>
      <c r="D93" s="54">
        <v>0</v>
      </c>
      <c r="E93" s="54">
        <f t="shared" ref="E93:E94" si="63">+C93-D93</f>
        <v>0</v>
      </c>
      <c r="F93" s="54">
        <v>0</v>
      </c>
      <c r="G93" s="27">
        <f t="shared" ref="G93:G94" si="64">+E93+F93</f>
        <v>0</v>
      </c>
      <c r="H93" s="54">
        <v>0</v>
      </c>
      <c r="I93" s="27">
        <f t="shared" ref="I93:I94" si="65">+G93+H93</f>
        <v>0</v>
      </c>
      <c r="J93" s="51">
        <f>VLOOKUP(L93,$C$308:$D$322,2,FALSE)</f>
        <v>1</v>
      </c>
      <c r="K93" s="27">
        <f t="shared" ref="K93:K94" si="66">IF(I93*J93=0,0, ROUND(I93*J93,0))</f>
        <v>0</v>
      </c>
      <c r="L93" s="18" t="s">
        <v>146</v>
      </c>
      <c r="M93" s="54">
        <v>0</v>
      </c>
      <c r="N93" s="27">
        <f t="shared" ref="N93:N94" si="67">K93+M93</f>
        <v>0</v>
      </c>
    </row>
    <row r="94" spans="1:15" x14ac:dyDescent="0.25">
      <c r="A94" s="18">
        <f t="shared" si="59"/>
        <v>77</v>
      </c>
      <c r="B94" s="17" t="s">
        <v>327</v>
      </c>
      <c r="C94" s="54">
        <v>0</v>
      </c>
      <c r="D94" s="54">
        <v>0</v>
      </c>
      <c r="E94" s="54">
        <f t="shared" si="63"/>
        <v>0</v>
      </c>
      <c r="F94" s="54">
        <v>0</v>
      </c>
      <c r="G94" s="27">
        <f t="shared" si="64"/>
        <v>0</v>
      </c>
      <c r="H94" s="54">
        <v>0</v>
      </c>
      <c r="I94" s="27">
        <f t="shared" si="65"/>
        <v>0</v>
      </c>
      <c r="J94" s="51">
        <f>VLOOKUP(L94,$C$308:$D$322,2,FALSE)</f>
        <v>1</v>
      </c>
      <c r="K94" s="27">
        <f t="shared" si="66"/>
        <v>0</v>
      </c>
      <c r="L94" s="18" t="s">
        <v>146</v>
      </c>
      <c r="M94" s="54">
        <v>0</v>
      </c>
      <c r="N94" s="27">
        <f t="shared" si="67"/>
        <v>0</v>
      </c>
    </row>
    <row r="95" spans="1:15" ht="13" x14ac:dyDescent="0.3">
      <c r="A95" s="18">
        <f t="shared" si="59"/>
        <v>78</v>
      </c>
      <c r="B95" s="75" t="s">
        <v>39</v>
      </c>
      <c r="C95" s="78">
        <f t="shared" ref="C95:I95" si="68">SUM(C93:C94)</f>
        <v>0</v>
      </c>
      <c r="D95" s="78">
        <f t="shared" si="68"/>
        <v>0</v>
      </c>
      <c r="E95" s="78">
        <f t="shared" si="68"/>
        <v>0</v>
      </c>
      <c r="F95" s="78">
        <f t="shared" si="68"/>
        <v>0</v>
      </c>
      <c r="G95" s="78">
        <f t="shared" si="68"/>
        <v>0</v>
      </c>
      <c r="H95" s="78">
        <f t="shared" si="68"/>
        <v>0</v>
      </c>
      <c r="I95" s="78">
        <f t="shared" si="68"/>
        <v>0</v>
      </c>
      <c r="J95" s="24"/>
      <c r="K95" s="80">
        <f>SUM(K93:K94)</f>
        <v>0</v>
      </c>
      <c r="M95" s="78">
        <f>SUM(M93:M94)</f>
        <v>0</v>
      </c>
      <c r="N95" s="78">
        <f>SUM(N93:N94)</f>
        <v>0</v>
      </c>
    </row>
    <row r="96" spans="1:15" x14ac:dyDescent="0.25">
      <c r="A96" s="18">
        <f t="shared" si="59"/>
        <v>79</v>
      </c>
      <c r="B96" s="17" t="s">
        <v>0</v>
      </c>
      <c r="C96" s="54"/>
      <c r="J96" s="81"/>
      <c r="K96" s="76"/>
      <c r="L96" s="38"/>
    </row>
    <row r="97" spans="1:15" ht="13" x14ac:dyDescent="0.3">
      <c r="A97" s="18">
        <f t="shared" si="59"/>
        <v>80</v>
      </c>
      <c r="B97" s="75" t="s">
        <v>40</v>
      </c>
      <c r="C97" s="54"/>
      <c r="J97" s="81"/>
      <c r="K97" s="76"/>
      <c r="L97" s="38"/>
    </row>
    <row r="98" spans="1:15" x14ac:dyDescent="0.25">
      <c r="A98" s="18">
        <f t="shared" si="59"/>
        <v>81</v>
      </c>
      <c r="B98" s="17" t="s">
        <v>41</v>
      </c>
      <c r="C98" s="46">
        <v>0</v>
      </c>
      <c r="D98" s="54">
        <f>C98</f>
        <v>0</v>
      </c>
      <c r="E98" s="46">
        <f>+C98-D98</f>
        <v>0</v>
      </c>
      <c r="F98" s="54">
        <v>0</v>
      </c>
      <c r="G98" s="27">
        <f>+E98+F98</f>
        <v>0</v>
      </c>
      <c r="H98" s="54">
        <v>0</v>
      </c>
      <c r="I98" s="46">
        <f>+G98+H98</f>
        <v>0</v>
      </c>
      <c r="J98" s="51">
        <f>VLOOKUP(L98,$C$308:$D$322,2,FALSE)</f>
        <v>0</v>
      </c>
      <c r="K98" s="27">
        <f>IF(I98*J98=0,0, ROUND(I98*J98,0))</f>
        <v>0</v>
      </c>
      <c r="L98" s="83" t="s">
        <v>238</v>
      </c>
      <c r="M98" s="54">
        <v>0</v>
      </c>
      <c r="N98" s="27">
        <f>K98+M98</f>
        <v>0</v>
      </c>
    </row>
    <row r="99" spans="1:15" ht="13" x14ac:dyDescent="0.3">
      <c r="A99" s="18">
        <f t="shared" si="59"/>
        <v>82</v>
      </c>
      <c r="B99" s="75" t="s">
        <v>42</v>
      </c>
      <c r="C99" s="78">
        <f t="shared" ref="C99:I99" si="69">+C98</f>
        <v>0</v>
      </c>
      <c r="D99" s="78">
        <f t="shared" si="69"/>
        <v>0</v>
      </c>
      <c r="E99" s="78">
        <f t="shared" si="69"/>
        <v>0</v>
      </c>
      <c r="F99" s="78">
        <f t="shared" si="69"/>
        <v>0</v>
      </c>
      <c r="G99" s="78">
        <f t="shared" si="69"/>
        <v>0</v>
      </c>
      <c r="H99" s="78">
        <f t="shared" si="69"/>
        <v>0</v>
      </c>
      <c r="I99" s="78">
        <f t="shared" si="69"/>
        <v>0</v>
      </c>
      <c r="J99" s="24"/>
      <c r="K99" s="80">
        <f>SUM(K98)</f>
        <v>0</v>
      </c>
      <c r="L99" s="38"/>
      <c r="M99" s="78">
        <f t="shared" ref="M99:N99" si="70">+M98</f>
        <v>0</v>
      </c>
      <c r="N99" s="78">
        <f t="shared" si="70"/>
        <v>0</v>
      </c>
    </row>
    <row r="100" spans="1:15" x14ac:dyDescent="0.25">
      <c r="A100" s="18">
        <f t="shared" si="59"/>
        <v>83</v>
      </c>
      <c r="B100" s="17" t="s">
        <v>0</v>
      </c>
      <c r="C100" s="54"/>
      <c r="J100" s="81"/>
      <c r="K100" s="76"/>
      <c r="L100" s="38"/>
    </row>
    <row r="101" spans="1:15" ht="13" x14ac:dyDescent="0.3">
      <c r="A101" s="18">
        <f t="shared" si="59"/>
        <v>84</v>
      </c>
      <c r="B101" s="75" t="s">
        <v>43</v>
      </c>
      <c r="C101" s="54"/>
      <c r="J101" s="81"/>
      <c r="K101" s="76"/>
    </row>
    <row r="102" spans="1:15" x14ac:dyDescent="0.25">
      <c r="A102" s="18">
        <f t="shared" si="59"/>
        <v>85</v>
      </c>
      <c r="B102" s="17" t="s">
        <v>44</v>
      </c>
      <c r="C102" s="54">
        <v>-379963</v>
      </c>
      <c r="D102" s="54">
        <v>0</v>
      </c>
      <c r="E102" s="54">
        <f t="shared" ref="E102:E125" si="71">+C102-D102</f>
        <v>-379963</v>
      </c>
      <c r="F102" s="54">
        <v>0</v>
      </c>
      <c r="G102" s="27">
        <f t="shared" ref="G102:G125" si="72">+E102+F102</f>
        <v>-379963</v>
      </c>
      <c r="H102" s="54">
        <v>0</v>
      </c>
      <c r="I102" s="27">
        <f t="shared" ref="I102:I124" si="73">+G102+H102</f>
        <v>-379963</v>
      </c>
      <c r="J102" s="51">
        <f t="shared" ref="J102:J125" si="74">VLOOKUP(L102,$C$308:$D$322,2,FALSE)</f>
        <v>0.99</v>
      </c>
      <c r="K102" s="27">
        <f t="shared" ref="K102:K125" si="75">IF(I102*J102=0,0, ROUND(I102*J102,0))</f>
        <v>-376163</v>
      </c>
      <c r="L102" s="18" t="s">
        <v>154</v>
      </c>
      <c r="M102" s="54">
        <v>0</v>
      </c>
      <c r="N102" s="27">
        <f t="shared" ref="N102:N125" si="76">K102+M102</f>
        <v>-376163</v>
      </c>
      <c r="O102" s="148"/>
    </row>
    <row r="103" spans="1:15" x14ac:dyDescent="0.25">
      <c r="A103" s="18">
        <f t="shared" si="59"/>
        <v>86</v>
      </c>
      <c r="B103" s="17" t="s">
        <v>45</v>
      </c>
      <c r="C103" s="54">
        <v>1045409</v>
      </c>
      <c r="D103" s="54">
        <v>0</v>
      </c>
      <c r="E103" s="54">
        <f t="shared" si="71"/>
        <v>1045409</v>
      </c>
      <c r="F103" s="54">
        <v>0</v>
      </c>
      <c r="G103" s="27">
        <f t="shared" si="72"/>
        <v>1045409</v>
      </c>
      <c r="H103" s="27">
        <v>0</v>
      </c>
      <c r="I103" s="27">
        <f t="shared" si="73"/>
        <v>1045409</v>
      </c>
      <c r="J103" s="51">
        <f t="shared" si="74"/>
        <v>0.99</v>
      </c>
      <c r="K103" s="27">
        <f t="shared" si="75"/>
        <v>1034955</v>
      </c>
      <c r="L103" s="18" t="s">
        <v>154</v>
      </c>
      <c r="M103" s="54">
        <v>2415</v>
      </c>
      <c r="N103" s="27">
        <f t="shared" si="76"/>
        <v>1037370</v>
      </c>
      <c r="O103" s="148"/>
    </row>
    <row r="104" spans="1:15" x14ac:dyDescent="0.25">
      <c r="A104" s="18">
        <f t="shared" si="59"/>
        <v>87</v>
      </c>
      <c r="B104" s="56" t="s">
        <v>243</v>
      </c>
      <c r="C104" s="54">
        <v>535524</v>
      </c>
      <c r="D104" s="54">
        <v>0</v>
      </c>
      <c r="E104" s="54">
        <f t="shared" si="71"/>
        <v>535524</v>
      </c>
      <c r="F104" s="54">
        <v>0</v>
      </c>
      <c r="G104" s="27">
        <f t="shared" si="72"/>
        <v>535524</v>
      </c>
      <c r="H104" s="54">
        <v>0</v>
      </c>
      <c r="I104" s="27">
        <f>+G104+H104</f>
        <v>535524</v>
      </c>
      <c r="J104" s="51">
        <f t="shared" si="74"/>
        <v>0.99</v>
      </c>
      <c r="K104" s="27">
        <f>IF(I104*J104=0,0, ROUND(I104*J104,0))</f>
        <v>530169</v>
      </c>
      <c r="L104" s="18" t="s">
        <v>154</v>
      </c>
      <c r="M104" s="54">
        <v>0</v>
      </c>
      <c r="N104" s="27">
        <f t="shared" si="76"/>
        <v>530169</v>
      </c>
      <c r="O104" s="148"/>
    </row>
    <row r="105" spans="1:15" x14ac:dyDescent="0.25">
      <c r="A105" s="18">
        <f t="shared" si="59"/>
        <v>88</v>
      </c>
      <c r="B105" s="17" t="s">
        <v>46</v>
      </c>
      <c r="C105" s="54">
        <v>5839</v>
      </c>
      <c r="D105" s="54">
        <v>0</v>
      </c>
      <c r="E105" s="54">
        <f t="shared" si="71"/>
        <v>5839</v>
      </c>
      <c r="F105" s="54">
        <v>0</v>
      </c>
      <c r="G105" s="27">
        <f t="shared" si="72"/>
        <v>5839</v>
      </c>
      <c r="H105" s="54">
        <v>0</v>
      </c>
      <c r="I105" s="27">
        <f t="shared" si="73"/>
        <v>5839</v>
      </c>
      <c r="J105" s="51">
        <f t="shared" si="74"/>
        <v>0.99</v>
      </c>
      <c r="K105" s="27">
        <f t="shared" si="75"/>
        <v>5781</v>
      </c>
      <c r="L105" s="18" t="s">
        <v>154</v>
      </c>
      <c r="M105" s="54">
        <v>0</v>
      </c>
      <c r="N105" s="27">
        <f t="shared" si="76"/>
        <v>5781</v>
      </c>
      <c r="O105" s="148"/>
    </row>
    <row r="106" spans="1:15" x14ac:dyDescent="0.25">
      <c r="A106" s="18">
        <f t="shared" si="59"/>
        <v>89</v>
      </c>
      <c r="B106" s="56" t="s">
        <v>244</v>
      </c>
      <c r="C106" s="54">
        <v>-332</v>
      </c>
      <c r="D106" s="54">
        <v>0</v>
      </c>
      <c r="E106" s="54">
        <f t="shared" si="71"/>
        <v>-332</v>
      </c>
      <c r="F106" s="54">
        <v>0</v>
      </c>
      <c r="G106" s="27">
        <f t="shared" si="72"/>
        <v>-332</v>
      </c>
      <c r="H106" s="54">
        <v>0</v>
      </c>
      <c r="I106" s="27">
        <f>+G106+H106</f>
        <v>-332</v>
      </c>
      <c r="J106" s="51">
        <f t="shared" si="74"/>
        <v>0.99</v>
      </c>
      <c r="K106" s="27">
        <f>IF(I106*J106=0,0, ROUND(I106*J106,0))</f>
        <v>-329</v>
      </c>
      <c r="L106" s="18" t="s">
        <v>154</v>
      </c>
      <c r="M106" s="54">
        <v>0</v>
      </c>
      <c r="N106" s="27">
        <f t="shared" si="76"/>
        <v>-329</v>
      </c>
      <c r="O106" s="148"/>
    </row>
    <row r="107" spans="1:15" x14ac:dyDescent="0.25">
      <c r="A107" s="18">
        <f t="shared" si="59"/>
        <v>90</v>
      </c>
      <c r="B107" s="17" t="s">
        <v>47</v>
      </c>
      <c r="C107" s="54">
        <v>-727</v>
      </c>
      <c r="D107" s="54">
        <v>0</v>
      </c>
      <c r="E107" s="54">
        <f t="shared" si="71"/>
        <v>-727</v>
      </c>
      <c r="F107" s="54">
        <v>0</v>
      </c>
      <c r="G107" s="27">
        <f t="shared" si="72"/>
        <v>-727</v>
      </c>
      <c r="H107" s="54">
        <v>0</v>
      </c>
      <c r="I107" s="27">
        <f t="shared" si="73"/>
        <v>-727</v>
      </c>
      <c r="J107" s="51">
        <f t="shared" si="74"/>
        <v>0.99</v>
      </c>
      <c r="K107" s="27">
        <f t="shared" si="75"/>
        <v>-720</v>
      </c>
      <c r="L107" s="18" t="s">
        <v>154</v>
      </c>
      <c r="M107" s="54">
        <v>0</v>
      </c>
      <c r="N107" s="27">
        <f t="shared" si="76"/>
        <v>-720</v>
      </c>
      <c r="O107" s="148"/>
    </row>
    <row r="108" spans="1:15" x14ac:dyDescent="0.25">
      <c r="A108" s="18">
        <f t="shared" si="59"/>
        <v>91</v>
      </c>
      <c r="B108" s="17" t="s">
        <v>48</v>
      </c>
      <c r="C108" s="54">
        <v>0</v>
      </c>
      <c r="D108" s="54">
        <v>0</v>
      </c>
      <c r="E108" s="54">
        <f t="shared" si="71"/>
        <v>0</v>
      </c>
      <c r="F108" s="54">
        <v>0</v>
      </c>
      <c r="G108" s="27">
        <f t="shared" si="72"/>
        <v>0</v>
      </c>
      <c r="H108" s="54">
        <v>0</v>
      </c>
      <c r="I108" s="27">
        <f t="shared" si="73"/>
        <v>0</v>
      </c>
      <c r="J108" s="51">
        <f t="shared" si="74"/>
        <v>0.99</v>
      </c>
      <c r="K108" s="27">
        <f t="shared" si="75"/>
        <v>0</v>
      </c>
      <c r="L108" s="18" t="s">
        <v>154</v>
      </c>
      <c r="M108" s="54">
        <v>0</v>
      </c>
      <c r="N108" s="27">
        <f t="shared" si="76"/>
        <v>0</v>
      </c>
      <c r="O108" s="148"/>
    </row>
    <row r="109" spans="1:15" x14ac:dyDescent="0.25">
      <c r="A109" s="122"/>
      <c r="B109" s="125" t="s">
        <v>371</v>
      </c>
      <c r="C109" s="54">
        <v>181212</v>
      </c>
      <c r="D109" s="54"/>
      <c r="E109" s="54">
        <f t="shared" ref="E109" si="77">+C109-D109</f>
        <v>181212</v>
      </c>
      <c r="F109" s="54">
        <v>0</v>
      </c>
      <c r="G109" s="27">
        <f t="shared" ref="G109" si="78">+E109+F109</f>
        <v>181212</v>
      </c>
      <c r="H109" s="54">
        <v>0</v>
      </c>
      <c r="I109" s="27">
        <f t="shared" ref="I109" si="79">+G109+H109</f>
        <v>181212</v>
      </c>
      <c r="J109" s="51">
        <f t="shared" si="74"/>
        <v>0.99</v>
      </c>
      <c r="K109" s="27">
        <f t="shared" ref="K109" si="80">IF(I109*J109=0,0, ROUND(I109*J109,0))</f>
        <v>179400</v>
      </c>
      <c r="L109" s="137" t="s">
        <v>154</v>
      </c>
      <c r="M109" s="54">
        <v>0</v>
      </c>
      <c r="N109" s="27">
        <f t="shared" ref="N109" si="81">K109+M109</f>
        <v>179400</v>
      </c>
      <c r="O109" s="148"/>
    </row>
    <row r="110" spans="1:15" x14ac:dyDescent="0.25">
      <c r="A110" s="18">
        <f>+A108+1</f>
        <v>92</v>
      </c>
      <c r="B110" s="17" t="s">
        <v>49</v>
      </c>
      <c r="C110" s="54">
        <v>404340</v>
      </c>
      <c r="D110" s="54">
        <v>0</v>
      </c>
      <c r="E110" s="54">
        <f t="shared" si="71"/>
        <v>404340</v>
      </c>
      <c r="F110" s="54">
        <v>0</v>
      </c>
      <c r="G110" s="27">
        <f t="shared" si="72"/>
        <v>404340</v>
      </c>
      <c r="H110" s="54">
        <v>0</v>
      </c>
      <c r="I110" s="27">
        <f t="shared" si="73"/>
        <v>404340</v>
      </c>
      <c r="J110" s="51">
        <f t="shared" si="74"/>
        <v>1</v>
      </c>
      <c r="K110" s="27">
        <f t="shared" si="75"/>
        <v>404340</v>
      </c>
      <c r="L110" s="84" t="s">
        <v>146</v>
      </c>
      <c r="M110" s="54">
        <v>0</v>
      </c>
      <c r="N110" s="27">
        <f t="shared" si="76"/>
        <v>404340</v>
      </c>
      <c r="O110" s="148"/>
    </row>
    <row r="111" spans="1:15" x14ac:dyDescent="0.25">
      <c r="A111" s="18">
        <f t="shared" si="59"/>
        <v>93</v>
      </c>
      <c r="B111" s="17" t="s">
        <v>310</v>
      </c>
      <c r="C111" s="54">
        <v>0</v>
      </c>
      <c r="D111" s="54">
        <v>0</v>
      </c>
      <c r="E111" s="54">
        <f t="shared" ref="E111" si="82">+C111-D111</f>
        <v>0</v>
      </c>
      <c r="F111" s="54">
        <v>0</v>
      </c>
      <c r="G111" s="27">
        <f t="shared" ref="G111" si="83">+E111+F111</f>
        <v>0</v>
      </c>
      <c r="H111" s="54">
        <v>0</v>
      </c>
      <c r="I111" s="27">
        <f>+G111+H111</f>
        <v>0</v>
      </c>
      <c r="J111" s="51">
        <f t="shared" si="74"/>
        <v>0.99</v>
      </c>
      <c r="K111" s="27">
        <f>IF(I111*J111=0,0, ROUND(I111*J111,0))</f>
        <v>0</v>
      </c>
      <c r="L111" s="18" t="s">
        <v>154</v>
      </c>
      <c r="M111" s="54">
        <v>0</v>
      </c>
      <c r="N111" s="27">
        <f t="shared" ref="N111" si="84">K111+M111</f>
        <v>0</v>
      </c>
      <c r="O111" s="148"/>
    </row>
    <row r="112" spans="1:15" x14ac:dyDescent="0.25">
      <c r="A112" s="18">
        <f t="shared" si="59"/>
        <v>94</v>
      </c>
      <c r="B112" s="56" t="s">
        <v>245</v>
      </c>
      <c r="C112" s="54">
        <v>-458101</v>
      </c>
      <c r="D112" s="54">
        <v>0</v>
      </c>
      <c r="E112" s="54">
        <f t="shared" si="71"/>
        <v>-458101</v>
      </c>
      <c r="F112" s="54">
        <v>0</v>
      </c>
      <c r="G112" s="27">
        <f t="shared" si="72"/>
        <v>-458101</v>
      </c>
      <c r="H112" s="54">
        <v>0</v>
      </c>
      <c r="I112" s="27">
        <f>+G112+H112</f>
        <v>-458101</v>
      </c>
      <c r="J112" s="51">
        <f t="shared" si="74"/>
        <v>0.99</v>
      </c>
      <c r="K112" s="27">
        <f>IF(I112*J112=0,0, ROUND(I112*J112,0))</f>
        <v>-453520</v>
      </c>
      <c r="L112" s="18" t="s">
        <v>154</v>
      </c>
      <c r="M112" s="54">
        <v>453520</v>
      </c>
      <c r="N112" s="27">
        <f t="shared" si="76"/>
        <v>0</v>
      </c>
      <c r="O112" s="148"/>
    </row>
    <row r="113" spans="1:15" x14ac:dyDescent="0.25">
      <c r="A113" s="18">
        <f t="shared" si="59"/>
        <v>95</v>
      </c>
      <c r="B113" s="17" t="s">
        <v>50</v>
      </c>
      <c r="C113" s="54">
        <v>369254</v>
      </c>
      <c r="D113" s="54">
        <v>0</v>
      </c>
      <c r="E113" s="54">
        <f t="shared" si="71"/>
        <v>369254</v>
      </c>
      <c r="F113" s="54">
        <v>0</v>
      </c>
      <c r="G113" s="27">
        <f t="shared" si="72"/>
        <v>369254</v>
      </c>
      <c r="H113" s="54">
        <v>0</v>
      </c>
      <c r="I113" s="27">
        <f t="shared" si="73"/>
        <v>369254</v>
      </c>
      <c r="J113" s="51">
        <f t="shared" si="74"/>
        <v>0.99</v>
      </c>
      <c r="K113" s="27">
        <f t="shared" si="75"/>
        <v>365561</v>
      </c>
      <c r="L113" s="18" t="s">
        <v>154</v>
      </c>
      <c r="M113" s="54">
        <v>0</v>
      </c>
      <c r="N113" s="27">
        <f t="shared" si="76"/>
        <v>365561</v>
      </c>
      <c r="O113" s="148"/>
    </row>
    <row r="114" spans="1:15" x14ac:dyDescent="0.25">
      <c r="A114" s="18">
        <f t="shared" si="59"/>
        <v>96</v>
      </c>
      <c r="B114" s="56" t="s">
        <v>278</v>
      </c>
      <c r="C114" s="54">
        <v>-2290</v>
      </c>
      <c r="D114" s="54">
        <v>0</v>
      </c>
      <c r="E114" s="54">
        <f>+C114-D114</f>
        <v>-2290</v>
      </c>
      <c r="F114" s="54">
        <v>0</v>
      </c>
      <c r="G114" s="27">
        <f t="shared" si="72"/>
        <v>-2290</v>
      </c>
      <c r="H114" s="54">
        <v>0</v>
      </c>
      <c r="I114" s="27">
        <f t="shared" ref="I114:I118" si="85">+G114+H114</f>
        <v>-2290</v>
      </c>
      <c r="J114" s="51">
        <f t="shared" si="74"/>
        <v>0.99</v>
      </c>
      <c r="K114" s="27">
        <f t="shared" ref="K114:K118" si="86">IF(I114*J114=0,0, ROUND(I114*J114,0))</f>
        <v>-2267</v>
      </c>
      <c r="L114" s="18" t="s">
        <v>154</v>
      </c>
      <c r="M114" s="54">
        <v>0</v>
      </c>
      <c r="N114" s="27">
        <f t="shared" si="76"/>
        <v>-2267</v>
      </c>
      <c r="O114" s="148"/>
    </row>
    <row r="115" spans="1:15" x14ac:dyDescent="0.25">
      <c r="A115" s="18">
        <f t="shared" si="59"/>
        <v>97</v>
      </c>
      <c r="B115" s="56" t="s">
        <v>246</v>
      </c>
      <c r="C115" s="54">
        <v>-2110344</v>
      </c>
      <c r="D115" s="54">
        <v>0</v>
      </c>
      <c r="E115" s="54">
        <f t="shared" si="71"/>
        <v>-2110344</v>
      </c>
      <c r="F115" s="54">
        <v>0</v>
      </c>
      <c r="G115" s="27">
        <f t="shared" si="72"/>
        <v>-2110344</v>
      </c>
      <c r="H115" s="54">
        <v>0</v>
      </c>
      <c r="I115" s="27">
        <f t="shared" si="85"/>
        <v>-2110344</v>
      </c>
      <c r="J115" s="51">
        <f t="shared" si="74"/>
        <v>0.99</v>
      </c>
      <c r="K115" s="27">
        <f t="shared" si="86"/>
        <v>-2089241</v>
      </c>
      <c r="L115" s="18" t="s">
        <v>154</v>
      </c>
      <c r="M115" s="54">
        <v>0</v>
      </c>
      <c r="N115" s="27">
        <f t="shared" si="76"/>
        <v>-2089241</v>
      </c>
      <c r="O115" s="148"/>
    </row>
    <row r="116" spans="1:15" x14ac:dyDescent="0.25">
      <c r="A116" s="18">
        <f t="shared" si="59"/>
        <v>98</v>
      </c>
      <c r="B116" s="64" t="s">
        <v>311</v>
      </c>
      <c r="C116" s="54">
        <v>0</v>
      </c>
      <c r="D116" s="54">
        <v>0</v>
      </c>
      <c r="E116" s="54">
        <f t="shared" ref="E116" si="87">+C116-D116</f>
        <v>0</v>
      </c>
      <c r="F116" s="54">
        <v>0</v>
      </c>
      <c r="G116" s="27">
        <f t="shared" ref="G116" si="88">+E116+F116</f>
        <v>0</v>
      </c>
      <c r="H116" s="54">
        <v>0</v>
      </c>
      <c r="I116" s="27">
        <f>+G116+H116</f>
        <v>0</v>
      </c>
      <c r="J116" s="51">
        <f t="shared" si="74"/>
        <v>0</v>
      </c>
      <c r="K116" s="27">
        <f>IF(I116*J116=0,0, ROUND(I116*J116,0))</f>
        <v>0</v>
      </c>
      <c r="L116" s="18" t="s">
        <v>152</v>
      </c>
      <c r="M116" s="54">
        <v>0</v>
      </c>
      <c r="N116" s="27">
        <f t="shared" ref="N116" si="89">K116+M116</f>
        <v>0</v>
      </c>
      <c r="O116" s="148"/>
    </row>
    <row r="117" spans="1:15" x14ac:dyDescent="0.25">
      <c r="A117" s="18">
        <f t="shared" si="59"/>
        <v>99</v>
      </c>
      <c r="B117" s="64" t="s">
        <v>312</v>
      </c>
      <c r="C117" s="54">
        <v>0</v>
      </c>
      <c r="D117" s="54">
        <v>0</v>
      </c>
      <c r="E117" s="54">
        <f t="shared" ref="E117" si="90">+C117-D117</f>
        <v>0</v>
      </c>
      <c r="F117" s="54">
        <v>0</v>
      </c>
      <c r="G117" s="27">
        <f t="shared" ref="G117" si="91">+E117+F117</f>
        <v>0</v>
      </c>
      <c r="H117" s="54">
        <v>0</v>
      </c>
      <c r="I117" s="27">
        <f>+G117+H117</f>
        <v>0</v>
      </c>
      <c r="J117" s="51">
        <f t="shared" si="74"/>
        <v>0</v>
      </c>
      <c r="K117" s="27">
        <f>IF(I117*J117=0,0, ROUND(I117*J117,0))</f>
        <v>0</v>
      </c>
      <c r="L117" s="18" t="s">
        <v>152</v>
      </c>
      <c r="M117" s="54">
        <v>0</v>
      </c>
      <c r="N117" s="27">
        <f t="shared" ref="N117" si="92">K117+M117</f>
        <v>0</v>
      </c>
      <c r="O117" s="148"/>
    </row>
    <row r="118" spans="1:15" x14ac:dyDescent="0.25">
      <c r="A118" s="18">
        <f t="shared" si="59"/>
        <v>100</v>
      </c>
      <c r="B118" s="56" t="s">
        <v>264</v>
      </c>
      <c r="C118" s="54">
        <v>0</v>
      </c>
      <c r="D118" s="27">
        <f>C118</f>
        <v>0</v>
      </c>
      <c r="E118" s="54">
        <f>+C118-D118</f>
        <v>0</v>
      </c>
      <c r="F118" s="54">
        <v>0</v>
      </c>
      <c r="G118" s="27">
        <f t="shared" si="72"/>
        <v>0</v>
      </c>
      <c r="H118" s="54">
        <v>0</v>
      </c>
      <c r="I118" s="27">
        <f t="shared" si="85"/>
        <v>0</v>
      </c>
      <c r="J118" s="51">
        <f t="shared" si="74"/>
        <v>0</v>
      </c>
      <c r="K118" s="27">
        <f t="shared" si="86"/>
        <v>0</v>
      </c>
      <c r="L118" s="18" t="s">
        <v>152</v>
      </c>
      <c r="M118" s="54">
        <v>0</v>
      </c>
      <c r="N118" s="27">
        <f t="shared" si="76"/>
        <v>0</v>
      </c>
      <c r="O118" s="148"/>
    </row>
    <row r="119" spans="1:15" x14ac:dyDescent="0.25">
      <c r="A119" s="18">
        <f t="shared" si="59"/>
        <v>101</v>
      </c>
      <c r="B119" s="17" t="s">
        <v>51</v>
      </c>
      <c r="C119" s="54">
        <v>0</v>
      </c>
      <c r="D119" s="27">
        <f>C119</f>
        <v>0</v>
      </c>
      <c r="E119" s="54">
        <f t="shared" si="71"/>
        <v>0</v>
      </c>
      <c r="F119" s="54">
        <v>0</v>
      </c>
      <c r="G119" s="27">
        <f t="shared" si="72"/>
        <v>0</v>
      </c>
      <c r="H119" s="54">
        <v>0</v>
      </c>
      <c r="I119" s="27">
        <f t="shared" si="73"/>
        <v>0</v>
      </c>
      <c r="J119" s="160">
        <f t="shared" si="74"/>
        <v>0.98299999999999998</v>
      </c>
      <c r="K119" s="161">
        <f t="shared" si="75"/>
        <v>0</v>
      </c>
      <c r="L119" s="155" t="s">
        <v>301</v>
      </c>
      <c r="M119" s="162">
        <v>0</v>
      </c>
      <c r="N119" s="161">
        <f t="shared" si="76"/>
        <v>0</v>
      </c>
      <c r="O119" s="148"/>
    </row>
    <row r="120" spans="1:15" x14ac:dyDescent="0.25">
      <c r="A120" s="18">
        <f t="shared" si="59"/>
        <v>102</v>
      </c>
      <c r="B120" s="17" t="s">
        <v>52</v>
      </c>
      <c r="C120" s="54">
        <v>-7890</v>
      </c>
      <c r="D120" s="27">
        <v>0</v>
      </c>
      <c r="E120" s="54">
        <f t="shared" si="71"/>
        <v>-7890</v>
      </c>
      <c r="F120" s="54">
        <v>0</v>
      </c>
      <c r="G120" s="27">
        <f t="shared" si="72"/>
        <v>-7890</v>
      </c>
      <c r="H120" s="54">
        <v>0</v>
      </c>
      <c r="I120" s="27">
        <f t="shared" si="73"/>
        <v>-7890</v>
      </c>
      <c r="J120" s="51">
        <f t="shared" si="74"/>
        <v>0</v>
      </c>
      <c r="K120" s="27">
        <f t="shared" si="75"/>
        <v>0</v>
      </c>
      <c r="L120" s="18" t="s">
        <v>152</v>
      </c>
      <c r="M120" s="54">
        <v>0</v>
      </c>
      <c r="N120" s="27">
        <f t="shared" si="76"/>
        <v>0</v>
      </c>
      <c r="O120" s="148"/>
    </row>
    <row r="121" spans="1:15" x14ac:dyDescent="0.25">
      <c r="A121" s="18">
        <f t="shared" si="59"/>
        <v>103</v>
      </c>
      <c r="B121" s="17" t="s">
        <v>53</v>
      </c>
      <c r="C121" s="54">
        <v>-7441</v>
      </c>
      <c r="D121" s="27">
        <v>0</v>
      </c>
      <c r="E121" s="54">
        <f t="shared" si="71"/>
        <v>-7441</v>
      </c>
      <c r="F121" s="54">
        <v>0</v>
      </c>
      <c r="G121" s="27">
        <f t="shared" si="72"/>
        <v>-7441</v>
      </c>
      <c r="H121" s="54">
        <v>0</v>
      </c>
      <c r="I121" s="27">
        <f t="shared" si="73"/>
        <v>-7441</v>
      </c>
      <c r="J121" s="51">
        <f t="shared" si="74"/>
        <v>0</v>
      </c>
      <c r="K121" s="27">
        <f t="shared" si="75"/>
        <v>0</v>
      </c>
      <c r="L121" s="18" t="s">
        <v>152</v>
      </c>
      <c r="M121" s="54">
        <v>0</v>
      </c>
      <c r="N121" s="27">
        <f t="shared" si="76"/>
        <v>0</v>
      </c>
      <c r="O121" s="148"/>
    </row>
    <row r="122" spans="1:15" x14ac:dyDescent="0.25">
      <c r="A122" s="18">
        <f t="shared" si="59"/>
        <v>104</v>
      </c>
      <c r="B122" s="17" t="s">
        <v>54</v>
      </c>
      <c r="C122" s="54">
        <v>0</v>
      </c>
      <c r="D122" s="27">
        <f>C122</f>
        <v>0</v>
      </c>
      <c r="E122" s="54">
        <f t="shared" si="71"/>
        <v>0</v>
      </c>
      <c r="F122" s="54">
        <v>0</v>
      </c>
      <c r="G122" s="27">
        <f t="shared" si="72"/>
        <v>0</v>
      </c>
      <c r="H122" s="54">
        <v>0</v>
      </c>
      <c r="I122" s="27">
        <f t="shared" si="73"/>
        <v>0</v>
      </c>
      <c r="J122" s="160">
        <f t="shared" si="74"/>
        <v>0.98299999999999998</v>
      </c>
      <c r="K122" s="161">
        <f t="shared" si="75"/>
        <v>0</v>
      </c>
      <c r="L122" s="156" t="s">
        <v>301</v>
      </c>
      <c r="M122" s="162">
        <v>0</v>
      </c>
      <c r="N122" s="161">
        <f t="shared" si="76"/>
        <v>0</v>
      </c>
      <c r="O122" s="148"/>
    </row>
    <row r="123" spans="1:15" x14ac:dyDescent="0.25">
      <c r="A123" s="18">
        <f t="shared" si="59"/>
        <v>105</v>
      </c>
      <c r="B123" s="17" t="s">
        <v>55</v>
      </c>
      <c r="C123" s="54">
        <v>73336</v>
      </c>
      <c r="D123" s="54">
        <v>0</v>
      </c>
      <c r="E123" s="54">
        <f t="shared" si="71"/>
        <v>73336</v>
      </c>
      <c r="F123" s="54">
        <v>0</v>
      </c>
      <c r="G123" s="27">
        <f t="shared" si="72"/>
        <v>73336</v>
      </c>
      <c r="H123" s="54">
        <v>0</v>
      </c>
      <c r="I123" s="27">
        <f t="shared" si="73"/>
        <v>73336</v>
      </c>
      <c r="J123" s="51">
        <f t="shared" si="74"/>
        <v>0.98499999999999999</v>
      </c>
      <c r="K123" s="27">
        <f t="shared" si="75"/>
        <v>72236</v>
      </c>
      <c r="L123" s="18" t="s">
        <v>155</v>
      </c>
      <c r="M123" s="54">
        <v>0</v>
      </c>
      <c r="N123" s="27">
        <f t="shared" si="76"/>
        <v>72236</v>
      </c>
      <c r="O123" s="148"/>
    </row>
    <row r="124" spans="1:15" x14ac:dyDescent="0.25">
      <c r="A124" s="18">
        <f t="shared" si="59"/>
        <v>106</v>
      </c>
      <c r="B124" s="17" t="s">
        <v>178</v>
      </c>
      <c r="C124" s="54">
        <v>0</v>
      </c>
      <c r="D124" s="54">
        <v>0</v>
      </c>
      <c r="E124" s="54">
        <f t="shared" si="71"/>
        <v>0</v>
      </c>
      <c r="F124" s="54">
        <v>0</v>
      </c>
      <c r="G124" s="27">
        <f t="shared" si="72"/>
        <v>0</v>
      </c>
      <c r="H124" s="27">
        <v>0</v>
      </c>
      <c r="I124" s="27">
        <f t="shared" si="73"/>
        <v>0</v>
      </c>
      <c r="J124" s="51">
        <f t="shared" si="74"/>
        <v>1</v>
      </c>
      <c r="K124" s="27">
        <f t="shared" si="75"/>
        <v>0</v>
      </c>
      <c r="L124" s="18" t="s">
        <v>146</v>
      </c>
      <c r="M124" s="27">
        <v>0</v>
      </c>
      <c r="N124" s="27">
        <f t="shared" si="76"/>
        <v>0</v>
      </c>
      <c r="O124" s="148"/>
    </row>
    <row r="125" spans="1:15" x14ac:dyDescent="0.25">
      <c r="A125" s="18">
        <f t="shared" si="59"/>
        <v>107</v>
      </c>
      <c r="B125" s="17" t="s">
        <v>179</v>
      </c>
      <c r="C125" s="54">
        <v>0</v>
      </c>
      <c r="D125" s="82">
        <v>0</v>
      </c>
      <c r="E125" s="82">
        <f t="shared" si="71"/>
        <v>0</v>
      </c>
      <c r="F125" s="54">
        <v>0</v>
      </c>
      <c r="G125" s="27">
        <f t="shared" si="72"/>
        <v>0</v>
      </c>
      <c r="H125" s="27">
        <v>0</v>
      </c>
      <c r="I125" s="82">
        <f>+G125+H125</f>
        <v>0</v>
      </c>
      <c r="J125" s="51">
        <f t="shared" si="74"/>
        <v>1</v>
      </c>
      <c r="K125" s="27">
        <f t="shared" si="75"/>
        <v>0</v>
      </c>
      <c r="L125" s="18" t="s">
        <v>146</v>
      </c>
      <c r="M125" s="27">
        <v>0</v>
      </c>
      <c r="N125" s="27">
        <f t="shared" si="76"/>
        <v>0</v>
      </c>
      <c r="O125" s="148"/>
    </row>
    <row r="126" spans="1:15" ht="13" x14ac:dyDescent="0.3">
      <c r="A126" s="18">
        <f t="shared" si="59"/>
        <v>108</v>
      </c>
      <c r="B126" s="75" t="s">
        <v>56</v>
      </c>
      <c r="C126" s="78">
        <f t="shared" ref="C126:I126" si="93">SUM(C102:C125)</f>
        <v>-352174</v>
      </c>
      <c r="D126" s="78">
        <f t="shared" si="93"/>
        <v>0</v>
      </c>
      <c r="E126" s="78">
        <f t="shared" si="93"/>
        <v>-352174</v>
      </c>
      <c r="F126" s="78">
        <f t="shared" si="93"/>
        <v>0</v>
      </c>
      <c r="G126" s="78">
        <f t="shared" si="93"/>
        <v>-352174</v>
      </c>
      <c r="H126" s="78">
        <f t="shared" si="93"/>
        <v>0</v>
      </c>
      <c r="I126" s="78">
        <f t="shared" si="93"/>
        <v>-352174</v>
      </c>
      <c r="J126" s="24"/>
      <c r="K126" s="80">
        <f>SUM(K102:K125)</f>
        <v>-329798</v>
      </c>
      <c r="M126" s="78">
        <f t="shared" ref="M126:N126" si="94">SUM(M102:M125)</f>
        <v>455935</v>
      </c>
      <c r="N126" s="78">
        <f t="shared" si="94"/>
        <v>126137</v>
      </c>
    </row>
    <row r="127" spans="1:15" x14ac:dyDescent="0.25">
      <c r="A127" s="18">
        <f t="shared" si="59"/>
        <v>109</v>
      </c>
      <c r="B127" s="17" t="s">
        <v>0</v>
      </c>
      <c r="C127" s="54"/>
      <c r="J127" s="81"/>
      <c r="K127" s="76"/>
    </row>
    <row r="128" spans="1:15" ht="13" x14ac:dyDescent="0.3">
      <c r="A128" s="18">
        <f t="shared" si="59"/>
        <v>110</v>
      </c>
      <c r="B128" s="75" t="s">
        <v>57</v>
      </c>
      <c r="C128" s="54"/>
      <c r="J128" s="81"/>
      <c r="K128" s="76"/>
    </row>
    <row r="129" spans="1:15" x14ac:dyDescent="0.25">
      <c r="A129" s="18">
        <f t="shared" si="59"/>
        <v>111</v>
      </c>
      <c r="B129" s="17" t="s">
        <v>58</v>
      </c>
      <c r="C129" s="54">
        <v>2936</v>
      </c>
      <c r="D129" s="54">
        <v>0</v>
      </c>
      <c r="E129" s="54">
        <f t="shared" ref="E129" si="95">+C129-D129</f>
        <v>2936</v>
      </c>
      <c r="F129" s="54">
        <v>0</v>
      </c>
      <c r="G129" s="27">
        <f t="shared" ref="G129:G160" si="96">+E129+F129</f>
        <v>2936</v>
      </c>
      <c r="H129" s="54">
        <v>0</v>
      </c>
      <c r="I129" s="27">
        <f t="shared" ref="I129:I137" si="97">+G129+H129</f>
        <v>2936</v>
      </c>
      <c r="J129" s="51">
        <f t="shared" ref="J129:J147" si="98">VLOOKUP(L129,$C$308:$D$322,2,FALSE)</f>
        <v>0.999</v>
      </c>
      <c r="K129" s="27">
        <f t="shared" ref="K129:K137" si="99">IF(I129*J129=0,0, ROUND(I129*J129,0))</f>
        <v>2933</v>
      </c>
      <c r="L129" s="18" t="s">
        <v>150</v>
      </c>
      <c r="M129" s="54">
        <v>0</v>
      </c>
      <c r="N129" s="27">
        <f t="shared" ref="N129:N172" si="100">K129+M129</f>
        <v>2933</v>
      </c>
      <c r="O129" s="148"/>
    </row>
    <row r="130" spans="1:15" x14ac:dyDescent="0.25">
      <c r="A130" s="18">
        <f t="shared" si="59"/>
        <v>112</v>
      </c>
      <c r="B130" s="17" t="s">
        <v>59</v>
      </c>
      <c r="C130" s="54">
        <v>64321</v>
      </c>
      <c r="D130" s="54">
        <v>0</v>
      </c>
      <c r="E130" s="54">
        <f t="shared" ref="E130:E140" si="101">+C130-D130</f>
        <v>64321</v>
      </c>
      <c r="F130" s="54">
        <v>0</v>
      </c>
      <c r="G130" s="27">
        <f t="shared" si="96"/>
        <v>64321</v>
      </c>
      <c r="H130" s="54">
        <v>0</v>
      </c>
      <c r="I130" s="27">
        <f t="shared" si="97"/>
        <v>64321</v>
      </c>
      <c r="J130" s="160">
        <f t="shared" si="98"/>
        <v>0.98299999999999998</v>
      </c>
      <c r="K130" s="161">
        <f t="shared" si="99"/>
        <v>63228</v>
      </c>
      <c r="L130" s="155" t="s">
        <v>301</v>
      </c>
      <c r="M130" s="162">
        <v>0</v>
      </c>
      <c r="N130" s="161">
        <f t="shared" si="100"/>
        <v>63228</v>
      </c>
      <c r="O130" s="148"/>
    </row>
    <row r="131" spans="1:15" x14ac:dyDescent="0.25">
      <c r="A131" s="18">
        <f t="shared" si="59"/>
        <v>113</v>
      </c>
      <c r="B131" s="56" t="s">
        <v>292</v>
      </c>
      <c r="C131" s="54">
        <v>2066559</v>
      </c>
      <c r="D131" s="54">
        <v>0</v>
      </c>
      <c r="E131" s="54">
        <f t="shared" si="101"/>
        <v>2066559</v>
      </c>
      <c r="F131" s="54">
        <v>0</v>
      </c>
      <c r="G131" s="27">
        <f t="shared" si="96"/>
        <v>2066559</v>
      </c>
      <c r="H131" s="54">
        <v>0</v>
      </c>
      <c r="I131" s="27">
        <f>+G131+H131</f>
        <v>2066559</v>
      </c>
      <c r="J131" s="51">
        <f t="shared" si="98"/>
        <v>0.98499999999999999</v>
      </c>
      <c r="K131" s="27">
        <f>IF(I131*J131=0,0, ROUND(I131*J131,0))</f>
        <v>2035561</v>
      </c>
      <c r="L131" s="18" t="s">
        <v>237</v>
      </c>
      <c r="M131" s="54">
        <v>0</v>
      </c>
      <c r="N131" s="27">
        <f t="shared" si="100"/>
        <v>2035561</v>
      </c>
      <c r="O131" s="148"/>
    </row>
    <row r="132" spans="1:15" x14ac:dyDescent="0.25">
      <c r="A132" s="18">
        <f t="shared" si="59"/>
        <v>114</v>
      </c>
      <c r="B132" s="56" t="s">
        <v>263</v>
      </c>
      <c r="C132" s="54">
        <v>0</v>
      </c>
      <c r="D132" s="54">
        <v>0</v>
      </c>
      <c r="E132" s="54">
        <f>+C132-D132</f>
        <v>0</v>
      </c>
      <c r="F132" s="54">
        <v>0</v>
      </c>
      <c r="G132" s="27">
        <f t="shared" si="96"/>
        <v>0</v>
      </c>
      <c r="H132" s="54">
        <v>0</v>
      </c>
      <c r="I132" s="27">
        <f>+G132+H132</f>
        <v>0</v>
      </c>
      <c r="J132" s="51">
        <f t="shared" si="98"/>
        <v>1</v>
      </c>
      <c r="K132" s="27">
        <f>IF(I132*J132=0,0, ROUND(I132*J132,0))</f>
        <v>0</v>
      </c>
      <c r="L132" s="18" t="s">
        <v>146</v>
      </c>
      <c r="M132" s="54"/>
      <c r="N132" s="27">
        <f t="shared" si="100"/>
        <v>0</v>
      </c>
      <c r="O132" s="148"/>
    </row>
    <row r="133" spans="1:15" x14ac:dyDescent="0.25">
      <c r="A133" s="18">
        <f t="shared" si="59"/>
        <v>115</v>
      </c>
      <c r="B133" s="17" t="s">
        <v>60</v>
      </c>
      <c r="C133" s="54">
        <v>-10618</v>
      </c>
      <c r="D133" s="54">
        <v>0</v>
      </c>
      <c r="E133" s="54">
        <f t="shared" si="101"/>
        <v>-10618</v>
      </c>
      <c r="F133" s="54">
        <v>0</v>
      </c>
      <c r="G133" s="27">
        <f t="shared" si="96"/>
        <v>-10618</v>
      </c>
      <c r="H133" s="27">
        <v>0</v>
      </c>
      <c r="I133" s="27">
        <f t="shared" si="97"/>
        <v>-10618</v>
      </c>
      <c r="J133" s="160">
        <f t="shared" si="98"/>
        <v>0.98299999999999998</v>
      </c>
      <c r="K133" s="161">
        <f t="shared" si="99"/>
        <v>-10437</v>
      </c>
      <c r="L133" s="155" t="s">
        <v>301</v>
      </c>
      <c r="M133" s="161">
        <v>0</v>
      </c>
      <c r="N133" s="161">
        <f t="shared" si="100"/>
        <v>-10437</v>
      </c>
      <c r="O133" s="148"/>
    </row>
    <row r="134" spans="1:15" x14ac:dyDescent="0.25">
      <c r="A134" s="18">
        <f t="shared" si="59"/>
        <v>116</v>
      </c>
      <c r="B134" s="17" t="s">
        <v>313</v>
      </c>
      <c r="C134" s="54">
        <v>-13196</v>
      </c>
      <c r="D134" s="54">
        <v>0</v>
      </c>
      <c r="E134" s="54">
        <f t="shared" si="101"/>
        <v>-13196</v>
      </c>
      <c r="F134" s="54">
        <v>0</v>
      </c>
      <c r="G134" s="27">
        <f t="shared" si="96"/>
        <v>-13196</v>
      </c>
      <c r="H134" s="54">
        <v>0</v>
      </c>
      <c r="I134" s="27">
        <f>+G134+H134</f>
        <v>-13196</v>
      </c>
      <c r="J134" s="160">
        <f t="shared" si="98"/>
        <v>0.98299999999999998</v>
      </c>
      <c r="K134" s="161">
        <f>IF(I134*J134=0,0, ROUND(I134*J134,0))</f>
        <v>-12972</v>
      </c>
      <c r="L134" s="155" t="s">
        <v>301</v>
      </c>
      <c r="M134" s="162">
        <v>0</v>
      </c>
      <c r="N134" s="161">
        <f t="shared" si="100"/>
        <v>-12972</v>
      </c>
      <c r="O134" s="148"/>
    </row>
    <row r="135" spans="1:15" x14ac:dyDescent="0.25">
      <c r="A135" s="18">
        <f t="shared" si="59"/>
        <v>117</v>
      </c>
      <c r="B135" s="17" t="s">
        <v>314</v>
      </c>
      <c r="C135" s="54">
        <v>68302</v>
      </c>
      <c r="D135" s="54">
        <v>0</v>
      </c>
      <c r="E135" s="54">
        <f t="shared" si="101"/>
        <v>68302</v>
      </c>
      <c r="F135" s="54">
        <v>0</v>
      </c>
      <c r="G135" s="27">
        <f t="shared" si="96"/>
        <v>68302</v>
      </c>
      <c r="H135" s="54">
        <v>0</v>
      </c>
      <c r="I135" s="27">
        <f>+G135+H135</f>
        <v>68302</v>
      </c>
      <c r="J135" s="160">
        <f t="shared" si="98"/>
        <v>0.98299999999999998</v>
      </c>
      <c r="K135" s="161">
        <f>IF(I135*J135=0,0, ROUND(I135*J135,0))</f>
        <v>67141</v>
      </c>
      <c r="L135" s="155" t="s">
        <v>301</v>
      </c>
      <c r="M135" s="162">
        <v>0</v>
      </c>
      <c r="N135" s="161">
        <f t="shared" si="100"/>
        <v>67141</v>
      </c>
      <c r="O135" s="148"/>
    </row>
    <row r="136" spans="1:15" x14ac:dyDescent="0.25">
      <c r="A136" s="18">
        <f t="shared" si="59"/>
        <v>118</v>
      </c>
      <c r="B136" s="17" t="s">
        <v>61</v>
      </c>
      <c r="C136" s="54">
        <v>0</v>
      </c>
      <c r="D136" s="54">
        <v>0</v>
      </c>
      <c r="E136" s="54">
        <f t="shared" si="101"/>
        <v>0</v>
      </c>
      <c r="F136" s="54">
        <v>0</v>
      </c>
      <c r="G136" s="27">
        <f t="shared" si="96"/>
        <v>0</v>
      </c>
      <c r="H136" s="54">
        <v>0</v>
      </c>
      <c r="I136" s="27">
        <f t="shared" si="97"/>
        <v>0</v>
      </c>
      <c r="J136" s="51">
        <f t="shared" si="98"/>
        <v>0.98499999999999999</v>
      </c>
      <c r="K136" s="27">
        <f t="shared" si="99"/>
        <v>0</v>
      </c>
      <c r="L136" s="18" t="s">
        <v>155</v>
      </c>
      <c r="M136" s="54">
        <v>0</v>
      </c>
      <c r="N136" s="27">
        <f t="shared" si="100"/>
        <v>0</v>
      </c>
      <c r="O136" s="148"/>
    </row>
    <row r="137" spans="1:15" x14ac:dyDescent="0.25">
      <c r="A137" s="18">
        <f t="shared" si="59"/>
        <v>119</v>
      </c>
      <c r="B137" s="17" t="s">
        <v>62</v>
      </c>
      <c r="C137" s="54">
        <v>-9441</v>
      </c>
      <c r="D137" s="54">
        <f>C137</f>
        <v>-9441</v>
      </c>
      <c r="E137" s="82">
        <f t="shared" si="101"/>
        <v>0</v>
      </c>
      <c r="F137" s="54">
        <v>0</v>
      </c>
      <c r="G137" s="27">
        <f t="shared" si="96"/>
        <v>0</v>
      </c>
      <c r="H137" s="54">
        <v>0</v>
      </c>
      <c r="I137" s="41">
        <f t="shared" si="97"/>
        <v>0</v>
      </c>
      <c r="J137" s="51">
        <f t="shared" si="98"/>
        <v>0</v>
      </c>
      <c r="K137" s="27">
        <f t="shared" si="99"/>
        <v>0</v>
      </c>
      <c r="L137" s="83" t="s">
        <v>238</v>
      </c>
      <c r="M137" s="54">
        <v>0</v>
      </c>
      <c r="N137" s="27">
        <f t="shared" si="100"/>
        <v>0</v>
      </c>
      <c r="O137" s="148"/>
    </row>
    <row r="138" spans="1:15" x14ac:dyDescent="0.25">
      <c r="A138" s="18">
        <f t="shared" si="59"/>
        <v>120</v>
      </c>
      <c r="B138" s="56" t="s">
        <v>247</v>
      </c>
      <c r="C138" s="54">
        <v>-535524</v>
      </c>
      <c r="D138" s="54">
        <v>0</v>
      </c>
      <c r="E138" s="54">
        <f t="shared" si="101"/>
        <v>-535524</v>
      </c>
      <c r="F138" s="54">
        <v>0</v>
      </c>
      <c r="G138" s="27">
        <f t="shared" si="96"/>
        <v>-535524</v>
      </c>
      <c r="H138" s="54">
        <v>0</v>
      </c>
      <c r="I138" s="27">
        <f t="shared" ref="I138:I140" si="102">+G138+H138</f>
        <v>-535524</v>
      </c>
      <c r="J138" s="51">
        <f t="shared" si="98"/>
        <v>0.99</v>
      </c>
      <c r="K138" s="27">
        <f t="shared" ref="K138:K140" si="103">IF(I138*J138=0,0, ROUND(I138*J138,0))</f>
        <v>-530169</v>
      </c>
      <c r="L138" s="18" t="s">
        <v>154</v>
      </c>
      <c r="M138" s="54">
        <v>0</v>
      </c>
      <c r="N138" s="27">
        <f t="shared" si="100"/>
        <v>-530169</v>
      </c>
      <c r="O138" s="148"/>
    </row>
    <row r="139" spans="1:15" x14ac:dyDescent="0.25">
      <c r="A139" s="18">
        <f t="shared" si="59"/>
        <v>121</v>
      </c>
      <c r="B139" s="56" t="s">
        <v>248</v>
      </c>
      <c r="C139" s="54">
        <v>332</v>
      </c>
      <c r="D139" s="54">
        <v>0</v>
      </c>
      <c r="E139" s="54">
        <f t="shared" si="101"/>
        <v>332</v>
      </c>
      <c r="F139" s="54">
        <v>0</v>
      </c>
      <c r="G139" s="27">
        <f t="shared" si="96"/>
        <v>332</v>
      </c>
      <c r="H139" s="54">
        <v>0</v>
      </c>
      <c r="I139" s="27">
        <f t="shared" si="102"/>
        <v>332</v>
      </c>
      <c r="J139" s="51">
        <f t="shared" si="98"/>
        <v>0.99</v>
      </c>
      <c r="K139" s="27">
        <f t="shared" si="103"/>
        <v>329</v>
      </c>
      <c r="L139" s="18" t="s">
        <v>154</v>
      </c>
      <c r="M139" s="54">
        <v>0</v>
      </c>
      <c r="N139" s="27">
        <f t="shared" si="100"/>
        <v>329</v>
      </c>
      <c r="O139" s="148"/>
    </row>
    <row r="140" spans="1:15" x14ac:dyDescent="0.25">
      <c r="A140" s="18">
        <f t="shared" si="59"/>
        <v>122</v>
      </c>
      <c r="B140" s="56" t="s">
        <v>249</v>
      </c>
      <c r="C140" s="54">
        <v>3596491</v>
      </c>
      <c r="D140" s="54">
        <v>0</v>
      </c>
      <c r="E140" s="54">
        <f t="shared" si="101"/>
        <v>3596491</v>
      </c>
      <c r="F140" s="54">
        <v>0</v>
      </c>
      <c r="G140" s="27">
        <f t="shared" si="96"/>
        <v>3596491</v>
      </c>
      <c r="H140" s="54">
        <v>0</v>
      </c>
      <c r="I140" s="27">
        <f t="shared" si="102"/>
        <v>3596491</v>
      </c>
      <c r="J140" s="51">
        <f t="shared" si="98"/>
        <v>0.99</v>
      </c>
      <c r="K140" s="27">
        <f t="shared" si="103"/>
        <v>3560526</v>
      </c>
      <c r="L140" s="18" t="s">
        <v>154</v>
      </c>
      <c r="M140" s="54">
        <v>0</v>
      </c>
      <c r="N140" s="27">
        <f t="shared" si="100"/>
        <v>3560526</v>
      </c>
      <c r="O140" s="148"/>
    </row>
    <row r="141" spans="1:15" x14ac:dyDescent="0.25">
      <c r="A141" s="18">
        <f t="shared" si="59"/>
        <v>123</v>
      </c>
      <c r="B141" s="56" t="s">
        <v>282</v>
      </c>
      <c r="C141" s="54">
        <v>0</v>
      </c>
      <c r="D141" s="27">
        <v>0</v>
      </c>
      <c r="E141" s="54">
        <f t="shared" ref="E141:E171" si="104">+C141-D141</f>
        <v>0</v>
      </c>
      <c r="F141" s="54">
        <v>0</v>
      </c>
      <c r="G141" s="27">
        <f t="shared" si="96"/>
        <v>0</v>
      </c>
      <c r="H141" s="54">
        <v>0</v>
      </c>
      <c r="I141" s="27">
        <f t="shared" ref="I141:I171" si="105">+G141+H141</f>
        <v>0</v>
      </c>
      <c r="J141" s="51">
        <f t="shared" si="98"/>
        <v>0.98499999999999999</v>
      </c>
      <c r="K141" s="27">
        <f t="shared" ref="K141:K171" si="106">IF(I141*J141=0,0, ROUND(I141*J141,0))</f>
        <v>0</v>
      </c>
      <c r="L141" s="18" t="s">
        <v>155</v>
      </c>
      <c r="M141" s="54">
        <v>0</v>
      </c>
      <c r="N141" s="27">
        <f t="shared" si="100"/>
        <v>0</v>
      </c>
      <c r="O141" s="148"/>
    </row>
    <row r="142" spans="1:15" x14ac:dyDescent="0.25">
      <c r="A142" s="18">
        <f t="shared" si="59"/>
        <v>124</v>
      </c>
      <c r="B142" s="56" t="s">
        <v>250</v>
      </c>
      <c r="C142" s="54">
        <v>0</v>
      </c>
      <c r="D142" s="54">
        <v>0</v>
      </c>
      <c r="E142" s="54">
        <f t="shared" si="104"/>
        <v>0</v>
      </c>
      <c r="F142" s="54">
        <v>0</v>
      </c>
      <c r="G142" s="27">
        <f t="shared" si="96"/>
        <v>0</v>
      </c>
      <c r="H142" s="54">
        <v>0</v>
      </c>
      <c r="I142" s="27">
        <f t="shared" si="105"/>
        <v>0</v>
      </c>
      <c r="J142" s="51">
        <f t="shared" si="98"/>
        <v>0</v>
      </c>
      <c r="K142" s="27">
        <f t="shared" si="106"/>
        <v>0</v>
      </c>
      <c r="L142" s="18" t="s">
        <v>152</v>
      </c>
      <c r="M142" s="54">
        <v>0</v>
      </c>
      <c r="N142" s="27">
        <f t="shared" si="100"/>
        <v>0</v>
      </c>
      <c r="O142" s="148"/>
    </row>
    <row r="143" spans="1:15" x14ac:dyDescent="0.25">
      <c r="A143" s="18">
        <f t="shared" si="59"/>
        <v>125</v>
      </c>
      <c r="B143" s="56" t="s">
        <v>279</v>
      </c>
      <c r="C143" s="54">
        <v>34914</v>
      </c>
      <c r="D143" s="27">
        <v>0</v>
      </c>
      <c r="E143" s="54">
        <f t="shared" si="104"/>
        <v>34914</v>
      </c>
      <c r="F143" s="54">
        <v>0</v>
      </c>
      <c r="G143" s="27">
        <f t="shared" si="96"/>
        <v>34914</v>
      </c>
      <c r="H143" s="54">
        <v>0</v>
      </c>
      <c r="I143" s="27">
        <f t="shared" si="105"/>
        <v>34914</v>
      </c>
      <c r="J143" s="51">
        <f t="shared" si="98"/>
        <v>0.98499999999999999</v>
      </c>
      <c r="K143" s="27">
        <f t="shared" si="106"/>
        <v>34390</v>
      </c>
      <c r="L143" s="18" t="s">
        <v>237</v>
      </c>
      <c r="M143" s="54">
        <v>0</v>
      </c>
      <c r="N143" s="27">
        <f t="shared" si="100"/>
        <v>34390</v>
      </c>
      <c r="O143" s="148"/>
    </row>
    <row r="144" spans="1:15" x14ac:dyDescent="0.25">
      <c r="A144" s="18">
        <f t="shared" si="59"/>
        <v>126</v>
      </c>
      <c r="B144" s="17" t="s">
        <v>325</v>
      </c>
      <c r="C144" s="54">
        <v>-462688</v>
      </c>
      <c r="D144" s="54">
        <v>0</v>
      </c>
      <c r="E144" s="54">
        <f t="shared" ref="E144" si="107">+C144-D144</f>
        <v>-462688</v>
      </c>
      <c r="F144" s="54">
        <v>0</v>
      </c>
      <c r="G144" s="27">
        <f t="shared" ref="G144" si="108">+E144+F144</f>
        <v>-462688</v>
      </c>
      <c r="H144" s="54">
        <v>0</v>
      </c>
      <c r="I144" s="27">
        <f t="shared" ref="I144" si="109">+G144+H144</f>
        <v>-462688</v>
      </c>
      <c r="J144" s="51">
        <f t="shared" si="98"/>
        <v>0.98499999999999999</v>
      </c>
      <c r="K144" s="27">
        <f t="shared" ref="K144" si="110">IF(I144*J144=0,0, ROUND(I144*J144,0))</f>
        <v>-455748</v>
      </c>
      <c r="L144" s="18" t="s">
        <v>237</v>
      </c>
      <c r="M144" s="54">
        <v>0</v>
      </c>
      <c r="N144" s="27">
        <f t="shared" ref="N144" si="111">K144+M144</f>
        <v>-455748</v>
      </c>
      <c r="O144" s="148"/>
    </row>
    <row r="145" spans="1:15" x14ac:dyDescent="0.25">
      <c r="A145" s="18">
        <f t="shared" si="59"/>
        <v>127</v>
      </c>
      <c r="B145" s="17" t="s">
        <v>347</v>
      </c>
      <c r="C145" s="54">
        <v>-22282236</v>
      </c>
      <c r="D145" s="54">
        <v>0</v>
      </c>
      <c r="E145" s="54">
        <f t="shared" si="104"/>
        <v>-22282236</v>
      </c>
      <c r="F145" s="54">
        <v>0</v>
      </c>
      <c r="G145" s="27">
        <f t="shared" si="96"/>
        <v>-22282236</v>
      </c>
      <c r="H145" s="54">
        <v>0</v>
      </c>
      <c r="I145" s="27">
        <f t="shared" si="105"/>
        <v>-22282236</v>
      </c>
      <c r="J145" s="51">
        <f t="shared" si="98"/>
        <v>0.98499999999999999</v>
      </c>
      <c r="K145" s="27">
        <f t="shared" si="106"/>
        <v>-21948002</v>
      </c>
      <c r="L145" s="18" t="s">
        <v>237</v>
      </c>
      <c r="M145" s="54">
        <v>0</v>
      </c>
      <c r="N145" s="27">
        <f t="shared" si="100"/>
        <v>-21948002</v>
      </c>
      <c r="O145" s="148"/>
    </row>
    <row r="146" spans="1:15" x14ac:dyDescent="0.25">
      <c r="A146" s="18">
        <f t="shared" si="59"/>
        <v>128</v>
      </c>
      <c r="B146" s="17" t="s">
        <v>348</v>
      </c>
      <c r="C146" s="54">
        <v>20643299</v>
      </c>
      <c r="D146" s="54">
        <v>0</v>
      </c>
      <c r="E146" s="54">
        <f t="shared" si="104"/>
        <v>20643299</v>
      </c>
      <c r="F146" s="54">
        <v>0</v>
      </c>
      <c r="G146" s="27">
        <f t="shared" si="96"/>
        <v>20643299</v>
      </c>
      <c r="H146" s="27">
        <v>0</v>
      </c>
      <c r="I146" s="27">
        <f t="shared" si="105"/>
        <v>20643299</v>
      </c>
      <c r="J146" s="51">
        <f t="shared" si="98"/>
        <v>0.98499999999999999</v>
      </c>
      <c r="K146" s="27">
        <f t="shared" si="106"/>
        <v>20333650</v>
      </c>
      <c r="L146" s="18" t="s">
        <v>237</v>
      </c>
      <c r="M146" s="27">
        <v>0</v>
      </c>
      <c r="N146" s="27">
        <f t="shared" si="100"/>
        <v>20333650</v>
      </c>
      <c r="O146" s="148"/>
    </row>
    <row r="147" spans="1:15" x14ac:dyDescent="0.25">
      <c r="A147" s="18">
        <f t="shared" si="59"/>
        <v>129</v>
      </c>
      <c r="B147" s="17" t="s">
        <v>328</v>
      </c>
      <c r="C147" s="54">
        <v>0</v>
      </c>
      <c r="D147" s="54">
        <v>0</v>
      </c>
      <c r="E147" s="54">
        <f t="shared" si="104"/>
        <v>0</v>
      </c>
      <c r="F147" s="54">
        <v>0</v>
      </c>
      <c r="G147" s="27">
        <f t="shared" si="96"/>
        <v>0</v>
      </c>
      <c r="H147" s="54">
        <v>0</v>
      </c>
      <c r="I147" s="27">
        <f t="shared" si="105"/>
        <v>0</v>
      </c>
      <c r="J147" s="51">
        <f t="shared" si="98"/>
        <v>1</v>
      </c>
      <c r="K147" s="27">
        <f t="shared" si="106"/>
        <v>0</v>
      </c>
      <c r="L147" s="18" t="s">
        <v>146</v>
      </c>
      <c r="M147" s="54"/>
      <c r="N147" s="27">
        <f t="shared" si="100"/>
        <v>0</v>
      </c>
      <c r="O147" s="148"/>
    </row>
    <row r="148" spans="1:15" x14ac:dyDescent="0.25">
      <c r="A148" s="18">
        <f t="shared" si="59"/>
        <v>130</v>
      </c>
      <c r="B148" s="17" t="s">
        <v>329</v>
      </c>
      <c r="C148" s="54">
        <v>6189686</v>
      </c>
      <c r="D148" s="54">
        <v>0</v>
      </c>
      <c r="E148" s="54">
        <f t="shared" si="104"/>
        <v>6189686</v>
      </c>
      <c r="F148" s="54">
        <v>0</v>
      </c>
      <c r="G148" s="27">
        <f t="shared" si="96"/>
        <v>6189686</v>
      </c>
      <c r="H148" s="54">
        <v>0</v>
      </c>
      <c r="I148" s="27">
        <f t="shared" si="105"/>
        <v>6189686</v>
      </c>
      <c r="J148" s="51">
        <v>1</v>
      </c>
      <c r="K148" s="27">
        <f t="shared" si="106"/>
        <v>6189686</v>
      </c>
      <c r="L148" s="18" t="s">
        <v>146</v>
      </c>
      <c r="M148" s="54">
        <v>-6189686</v>
      </c>
      <c r="N148" s="27">
        <f t="shared" si="100"/>
        <v>0</v>
      </c>
      <c r="O148" s="148"/>
    </row>
    <row r="149" spans="1:15" x14ac:dyDescent="0.25">
      <c r="A149" s="18">
        <f t="shared" si="59"/>
        <v>131</v>
      </c>
      <c r="B149" s="17" t="s">
        <v>330</v>
      </c>
      <c r="C149" s="54">
        <v>-260031</v>
      </c>
      <c r="D149" s="54">
        <v>0</v>
      </c>
      <c r="E149" s="54">
        <f t="shared" si="104"/>
        <v>-260031</v>
      </c>
      <c r="F149" s="54">
        <v>0</v>
      </c>
      <c r="G149" s="27">
        <f t="shared" si="96"/>
        <v>-260031</v>
      </c>
      <c r="H149" s="54">
        <v>0</v>
      </c>
      <c r="I149" s="27">
        <f t="shared" si="105"/>
        <v>-260031</v>
      </c>
      <c r="J149" s="51">
        <f t="shared" ref="J149:J154" si="112">VLOOKUP(L149,$C$308:$D$322,2,FALSE)</f>
        <v>0.98599999999999999</v>
      </c>
      <c r="K149" s="27">
        <f t="shared" si="106"/>
        <v>-256391</v>
      </c>
      <c r="L149" s="18" t="s">
        <v>151</v>
      </c>
      <c r="M149" s="54">
        <v>256391</v>
      </c>
      <c r="N149" s="27">
        <f t="shared" si="100"/>
        <v>0</v>
      </c>
      <c r="O149" s="148"/>
    </row>
    <row r="150" spans="1:15" x14ac:dyDescent="0.25">
      <c r="A150" s="18">
        <f t="shared" si="59"/>
        <v>132</v>
      </c>
      <c r="B150" s="17" t="s">
        <v>331</v>
      </c>
      <c r="C150" s="54">
        <v>0</v>
      </c>
      <c r="D150" s="54">
        <v>0</v>
      </c>
      <c r="E150" s="54">
        <f t="shared" si="104"/>
        <v>0</v>
      </c>
      <c r="F150" s="54">
        <v>0</v>
      </c>
      <c r="G150" s="27">
        <f t="shared" si="96"/>
        <v>0</v>
      </c>
      <c r="H150" s="54">
        <v>0</v>
      </c>
      <c r="I150" s="27">
        <f t="shared" si="105"/>
        <v>0</v>
      </c>
      <c r="J150" s="51">
        <f t="shared" si="112"/>
        <v>1</v>
      </c>
      <c r="K150" s="27">
        <f t="shared" si="106"/>
        <v>0</v>
      </c>
      <c r="L150" s="18" t="s">
        <v>146</v>
      </c>
      <c r="M150" s="54"/>
      <c r="N150" s="27">
        <f t="shared" si="100"/>
        <v>0</v>
      </c>
      <c r="O150" s="148"/>
    </row>
    <row r="151" spans="1:15" x14ac:dyDescent="0.25">
      <c r="A151" s="149">
        <f t="shared" si="59"/>
        <v>133</v>
      </c>
      <c r="B151" s="17" t="s">
        <v>332</v>
      </c>
      <c r="C151" s="54">
        <v>-464470</v>
      </c>
      <c r="D151" s="54">
        <v>0</v>
      </c>
      <c r="E151" s="54">
        <f t="shared" si="104"/>
        <v>-464470</v>
      </c>
      <c r="F151" s="54">
        <v>0</v>
      </c>
      <c r="G151" s="27">
        <f t="shared" si="96"/>
        <v>-464470</v>
      </c>
      <c r="H151" s="54">
        <v>0</v>
      </c>
      <c r="I151" s="27">
        <f t="shared" si="105"/>
        <v>-464470</v>
      </c>
      <c r="J151" s="51">
        <f t="shared" si="112"/>
        <v>0.98499999999999999</v>
      </c>
      <c r="K151" s="27">
        <f t="shared" si="106"/>
        <v>-457503</v>
      </c>
      <c r="L151" s="149" t="s">
        <v>225</v>
      </c>
      <c r="M151" s="54">
        <v>457503</v>
      </c>
      <c r="N151" s="27">
        <f t="shared" si="100"/>
        <v>0</v>
      </c>
      <c r="O151" s="148"/>
    </row>
    <row r="152" spans="1:15" x14ac:dyDescent="0.25">
      <c r="A152" s="18">
        <f t="shared" ref="A152:A240" si="113">+A151+1</f>
        <v>134</v>
      </c>
      <c r="B152" s="17" t="s">
        <v>333</v>
      </c>
      <c r="C152" s="54">
        <v>0</v>
      </c>
      <c r="D152" s="54">
        <f>C152</f>
        <v>0</v>
      </c>
      <c r="E152" s="54">
        <f t="shared" si="104"/>
        <v>0</v>
      </c>
      <c r="F152" s="54">
        <v>0</v>
      </c>
      <c r="G152" s="27">
        <f t="shared" si="96"/>
        <v>0</v>
      </c>
      <c r="H152" s="54">
        <v>0</v>
      </c>
      <c r="I152" s="27">
        <f t="shared" si="105"/>
        <v>0</v>
      </c>
      <c r="J152" s="51">
        <f t="shared" si="112"/>
        <v>0</v>
      </c>
      <c r="K152" s="27">
        <f t="shared" si="106"/>
        <v>0</v>
      </c>
      <c r="L152" s="18" t="s">
        <v>152</v>
      </c>
      <c r="M152" s="54"/>
      <c r="N152" s="27">
        <f t="shared" si="100"/>
        <v>0</v>
      </c>
      <c r="O152" s="148"/>
    </row>
    <row r="153" spans="1:15" x14ac:dyDescent="0.25">
      <c r="A153" s="18">
        <f t="shared" si="113"/>
        <v>135</v>
      </c>
      <c r="B153" s="17" t="s">
        <v>334</v>
      </c>
      <c r="C153" s="54">
        <v>0</v>
      </c>
      <c r="D153" s="54">
        <f>C153</f>
        <v>0</v>
      </c>
      <c r="E153" s="54">
        <f t="shared" si="104"/>
        <v>0</v>
      </c>
      <c r="F153" s="54">
        <v>0</v>
      </c>
      <c r="G153" s="27">
        <f t="shared" si="96"/>
        <v>0</v>
      </c>
      <c r="H153" s="54">
        <v>0</v>
      </c>
      <c r="I153" s="27">
        <f t="shared" si="105"/>
        <v>0</v>
      </c>
      <c r="J153" s="51">
        <f t="shared" si="112"/>
        <v>0</v>
      </c>
      <c r="K153" s="27">
        <f t="shared" si="106"/>
        <v>0</v>
      </c>
      <c r="L153" s="18" t="s">
        <v>152</v>
      </c>
      <c r="M153" s="54"/>
      <c r="N153" s="27">
        <f t="shared" si="100"/>
        <v>0</v>
      </c>
      <c r="O153" s="148"/>
    </row>
    <row r="154" spans="1:15" x14ac:dyDescent="0.25">
      <c r="A154" s="149">
        <f t="shared" si="113"/>
        <v>136</v>
      </c>
      <c r="B154" s="17" t="s">
        <v>335</v>
      </c>
      <c r="C154" s="54">
        <v>0</v>
      </c>
      <c r="D154" s="54">
        <v>0</v>
      </c>
      <c r="E154" s="54">
        <f t="shared" si="104"/>
        <v>0</v>
      </c>
      <c r="F154" s="54">
        <v>0</v>
      </c>
      <c r="G154" s="27">
        <f t="shared" si="96"/>
        <v>0</v>
      </c>
      <c r="H154" s="54">
        <v>0</v>
      </c>
      <c r="I154" s="27">
        <f t="shared" si="105"/>
        <v>0</v>
      </c>
      <c r="J154" s="51">
        <f t="shared" si="112"/>
        <v>0.98499999999999999</v>
      </c>
      <c r="K154" s="27">
        <f t="shared" si="106"/>
        <v>0</v>
      </c>
      <c r="L154" s="149" t="s">
        <v>225</v>
      </c>
      <c r="M154" s="54"/>
      <c r="N154" s="27">
        <f t="shared" si="100"/>
        <v>0</v>
      </c>
      <c r="O154" s="148"/>
    </row>
    <row r="155" spans="1:15" x14ac:dyDescent="0.25">
      <c r="A155" s="149">
        <f t="shared" si="113"/>
        <v>137</v>
      </c>
      <c r="B155" s="17" t="s">
        <v>336</v>
      </c>
      <c r="C155" s="54">
        <v>0</v>
      </c>
      <c r="D155" s="54">
        <v>0</v>
      </c>
      <c r="E155" s="54">
        <f t="shared" si="104"/>
        <v>0</v>
      </c>
      <c r="F155" s="54">
        <v>0</v>
      </c>
      <c r="G155" s="27">
        <f t="shared" si="96"/>
        <v>0</v>
      </c>
      <c r="H155" s="54">
        <v>0</v>
      </c>
      <c r="I155" s="27">
        <f t="shared" si="105"/>
        <v>0</v>
      </c>
      <c r="J155" s="51">
        <v>0.98565999999999998</v>
      </c>
      <c r="K155" s="27">
        <f t="shared" si="106"/>
        <v>0</v>
      </c>
      <c r="L155" s="149" t="s">
        <v>146</v>
      </c>
      <c r="M155" s="54"/>
      <c r="N155" s="27">
        <f t="shared" si="100"/>
        <v>0</v>
      </c>
      <c r="O155" s="148"/>
    </row>
    <row r="156" spans="1:15" x14ac:dyDescent="0.25">
      <c r="A156" s="149">
        <f t="shared" si="113"/>
        <v>138</v>
      </c>
      <c r="B156" s="17" t="s">
        <v>337</v>
      </c>
      <c r="C156" s="54">
        <v>0</v>
      </c>
      <c r="D156" s="54">
        <v>0</v>
      </c>
      <c r="E156" s="54">
        <f t="shared" si="104"/>
        <v>0</v>
      </c>
      <c r="F156" s="54">
        <v>0</v>
      </c>
      <c r="G156" s="27">
        <f t="shared" si="96"/>
        <v>0</v>
      </c>
      <c r="H156" s="54">
        <v>0</v>
      </c>
      <c r="I156" s="27">
        <f t="shared" si="105"/>
        <v>0</v>
      </c>
      <c r="J156" s="51">
        <f t="shared" ref="J156:J171" si="114">VLOOKUP(L156,$C$308:$D$322,2,FALSE)</f>
        <v>0.98499999999999999</v>
      </c>
      <c r="K156" s="27">
        <f t="shared" si="106"/>
        <v>0</v>
      </c>
      <c r="L156" s="149" t="s">
        <v>225</v>
      </c>
      <c r="M156" s="54"/>
      <c r="N156" s="27">
        <f t="shared" si="100"/>
        <v>0</v>
      </c>
      <c r="O156" s="148"/>
    </row>
    <row r="157" spans="1:15" x14ac:dyDescent="0.25">
      <c r="A157" s="18">
        <f t="shared" si="113"/>
        <v>139</v>
      </c>
      <c r="B157" s="17" t="s">
        <v>338</v>
      </c>
      <c r="C157" s="54">
        <v>0</v>
      </c>
      <c r="D157" s="54">
        <f>C157</f>
        <v>0</v>
      </c>
      <c r="E157" s="54">
        <f t="shared" si="104"/>
        <v>0</v>
      </c>
      <c r="F157" s="54">
        <v>0</v>
      </c>
      <c r="G157" s="27">
        <f t="shared" si="96"/>
        <v>0</v>
      </c>
      <c r="H157" s="54">
        <v>0</v>
      </c>
      <c r="I157" s="27">
        <f t="shared" si="105"/>
        <v>0</v>
      </c>
      <c r="J157" s="51">
        <f t="shared" si="114"/>
        <v>0</v>
      </c>
      <c r="K157" s="27">
        <f t="shared" si="106"/>
        <v>0</v>
      </c>
      <c r="L157" s="18" t="s">
        <v>152</v>
      </c>
      <c r="M157" s="54"/>
      <c r="N157" s="27">
        <f t="shared" si="100"/>
        <v>0</v>
      </c>
      <c r="O157" s="148"/>
    </row>
    <row r="158" spans="1:15" x14ac:dyDescent="0.25">
      <c r="A158" s="18">
        <f t="shared" si="113"/>
        <v>140</v>
      </c>
      <c r="B158" s="17" t="s">
        <v>339</v>
      </c>
      <c r="C158" s="54">
        <v>0</v>
      </c>
      <c r="D158" s="54">
        <f>C158</f>
        <v>0</v>
      </c>
      <c r="E158" s="54">
        <f t="shared" si="104"/>
        <v>0</v>
      </c>
      <c r="F158" s="54">
        <v>0</v>
      </c>
      <c r="G158" s="27">
        <f t="shared" si="96"/>
        <v>0</v>
      </c>
      <c r="H158" s="54">
        <v>0</v>
      </c>
      <c r="I158" s="27">
        <f t="shared" si="105"/>
        <v>0</v>
      </c>
      <c r="J158" s="51">
        <f t="shared" si="114"/>
        <v>0</v>
      </c>
      <c r="K158" s="27">
        <f t="shared" si="106"/>
        <v>0</v>
      </c>
      <c r="L158" s="18" t="s">
        <v>152</v>
      </c>
      <c r="M158" s="54"/>
      <c r="N158" s="27">
        <f t="shared" si="100"/>
        <v>0</v>
      </c>
      <c r="O158" s="148"/>
    </row>
    <row r="159" spans="1:15" x14ac:dyDescent="0.25">
      <c r="A159" s="18">
        <f t="shared" si="113"/>
        <v>141</v>
      </c>
      <c r="B159" s="17" t="s">
        <v>340</v>
      </c>
      <c r="C159" s="54">
        <v>27807</v>
      </c>
      <c r="D159" s="54">
        <v>0</v>
      </c>
      <c r="E159" s="54">
        <f t="shared" si="104"/>
        <v>27807</v>
      </c>
      <c r="F159" s="54">
        <v>0</v>
      </c>
      <c r="G159" s="27">
        <f t="shared" si="96"/>
        <v>27807</v>
      </c>
      <c r="H159" s="54">
        <v>0</v>
      </c>
      <c r="I159" s="27">
        <f>+G159+H159</f>
        <v>27807</v>
      </c>
      <c r="J159" s="51">
        <f t="shared" si="114"/>
        <v>0</v>
      </c>
      <c r="K159" s="27">
        <f>IF(I159*J159=0,0, ROUND(I159*J159,0))</f>
        <v>0</v>
      </c>
      <c r="L159" s="18" t="s">
        <v>152</v>
      </c>
      <c r="M159" s="54"/>
      <c r="N159" s="27">
        <f t="shared" si="100"/>
        <v>0</v>
      </c>
      <c r="O159" s="148"/>
    </row>
    <row r="160" spans="1:15" x14ac:dyDescent="0.25">
      <c r="A160" s="18">
        <f t="shared" si="113"/>
        <v>142</v>
      </c>
      <c r="B160" s="17" t="s">
        <v>341</v>
      </c>
      <c r="C160" s="54">
        <v>-58428</v>
      </c>
      <c r="D160" s="54">
        <v>0</v>
      </c>
      <c r="E160" s="54">
        <f t="shared" si="104"/>
        <v>-58428</v>
      </c>
      <c r="F160" s="54">
        <v>0</v>
      </c>
      <c r="G160" s="27">
        <f t="shared" si="96"/>
        <v>-58428</v>
      </c>
      <c r="H160" s="54">
        <v>0</v>
      </c>
      <c r="I160" s="27">
        <f>+G160+H160</f>
        <v>-58428</v>
      </c>
      <c r="J160" s="51">
        <f t="shared" si="114"/>
        <v>0</v>
      </c>
      <c r="K160" s="27">
        <f>IF(I160*J160=0,0, ROUND(I160*J160,0))</f>
        <v>0</v>
      </c>
      <c r="L160" s="18" t="s">
        <v>152</v>
      </c>
      <c r="M160" s="54"/>
      <c r="N160" s="27">
        <f t="shared" si="100"/>
        <v>0</v>
      </c>
      <c r="O160" s="148"/>
    </row>
    <row r="161" spans="1:15" x14ac:dyDescent="0.25">
      <c r="A161" s="18">
        <f t="shared" si="113"/>
        <v>143</v>
      </c>
      <c r="B161" s="17" t="s">
        <v>342</v>
      </c>
      <c r="C161" s="54">
        <v>-188154</v>
      </c>
      <c r="D161" s="54">
        <v>0</v>
      </c>
      <c r="E161" s="54">
        <f t="shared" ref="E161" si="115">+C161-D161</f>
        <v>-188154</v>
      </c>
      <c r="F161" s="54">
        <v>0</v>
      </c>
      <c r="G161" s="27">
        <f t="shared" ref="G161" si="116">+E161+F161</f>
        <v>-188154</v>
      </c>
      <c r="H161" s="54">
        <v>0</v>
      </c>
      <c r="I161" s="27">
        <f t="shared" ref="I161" si="117">+G161+H161</f>
        <v>-188154</v>
      </c>
      <c r="J161" s="51">
        <f t="shared" ref="J161" si="118">VLOOKUP(L161,$C$308:$D$322,2,FALSE)</f>
        <v>1</v>
      </c>
      <c r="K161" s="27">
        <f t="shared" ref="K161" si="119">IF(I161*J161=0,0, ROUND(I161*J161,0))</f>
        <v>-188154</v>
      </c>
      <c r="L161" s="149" t="s">
        <v>146</v>
      </c>
      <c r="M161" s="54">
        <f>103143+188154</f>
        <v>291297</v>
      </c>
      <c r="N161" s="27">
        <f t="shared" ref="N161" si="120">K161+M161</f>
        <v>103143</v>
      </c>
      <c r="O161" s="148"/>
    </row>
    <row r="162" spans="1:15" x14ac:dyDescent="0.25">
      <c r="A162" s="18">
        <f t="shared" si="113"/>
        <v>144</v>
      </c>
      <c r="B162" s="17" t="s">
        <v>343</v>
      </c>
      <c r="C162" s="54">
        <v>-36929</v>
      </c>
      <c r="D162" s="54">
        <v>0</v>
      </c>
      <c r="E162" s="54">
        <f t="shared" ref="E162" si="121">+C162-D162</f>
        <v>-36929</v>
      </c>
      <c r="F162" s="54">
        <v>0</v>
      </c>
      <c r="G162" s="27">
        <f t="shared" ref="G162" si="122">+E162+F162</f>
        <v>-36929</v>
      </c>
      <c r="H162" s="54">
        <v>0</v>
      </c>
      <c r="I162" s="27">
        <f t="shared" ref="I162" si="123">+G162+H162</f>
        <v>-36929</v>
      </c>
      <c r="J162" s="51">
        <f t="shared" si="114"/>
        <v>1</v>
      </c>
      <c r="K162" s="27">
        <f t="shared" ref="K162" si="124">IF(I162*J162=0,0, ROUND(I162*J162,0))</f>
        <v>-36929</v>
      </c>
      <c r="L162" s="18" t="s">
        <v>146</v>
      </c>
      <c r="M162" s="54"/>
      <c r="N162" s="27">
        <f t="shared" ref="N162" si="125">K162+M162</f>
        <v>-36929</v>
      </c>
      <c r="O162" s="148"/>
    </row>
    <row r="163" spans="1:15" x14ac:dyDescent="0.25">
      <c r="A163" s="18">
        <f t="shared" si="113"/>
        <v>145</v>
      </c>
      <c r="B163" s="17" t="s">
        <v>344</v>
      </c>
      <c r="C163" s="54">
        <v>0</v>
      </c>
      <c r="D163" s="54">
        <v>0</v>
      </c>
      <c r="E163" s="54">
        <f t="shared" si="104"/>
        <v>0</v>
      </c>
      <c r="F163" s="54">
        <v>0</v>
      </c>
      <c r="G163" s="27">
        <f t="shared" ref="G163:G171" si="126">+E163+F163</f>
        <v>0</v>
      </c>
      <c r="H163" s="54">
        <v>0</v>
      </c>
      <c r="I163" s="27">
        <f t="shared" si="105"/>
        <v>0</v>
      </c>
      <c r="J163" s="51">
        <f t="shared" si="114"/>
        <v>1</v>
      </c>
      <c r="K163" s="27">
        <f t="shared" si="106"/>
        <v>0</v>
      </c>
      <c r="L163" s="18" t="s">
        <v>146</v>
      </c>
      <c r="M163" s="54"/>
      <c r="N163" s="27">
        <f t="shared" si="100"/>
        <v>0</v>
      </c>
      <c r="O163" s="148"/>
    </row>
    <row r="164" spans="1:15" x14ac:dyDescent="0.25">
      <c r="A164" s="18">
        <f t="shared" si="113"/>
        <v>146</v>
      </c>
      <c r="B164" s="17" t="s">
        <v>345</v>
      </c>
      <c r="C164" s="54">
        <v>0</v>
      </c>
      <c r="D164" s="54">
        <v>0</v>
      </c>
      <c r="E164" s="54">
        <f t="shared" si="104"/>
        <v>0</v>
      </c>
      <c r="F164" s="54">
        <v>0</v>
      </c>
      <c r="G164" s="27">
        <f t="shared" si="126"/>
        <v>0</v>
      </c>
      <c r="H164" s="54">
        <v>0</v>
      </c>
      <c r="I164" s="27">
        <f t="shared" si="105"/>
        <v>0</v>
      </c>
      <c r="J164" s="51">
        <f t="shared" si="114"/>
        <v>1</v>
      </c>
      <c r="K164" s="27">
        <f t="shared" si="106"/>
        <v>0</v>
      </c>
      <c r="L164" s="18" t="s">
        <v>146</v>
      </c>
      <c r="M164" s="54"/>
      <c r="N164" s="27">
        <f t="shared" si="100"/>
        <v>0</v>
      </c>
      <c r="O164" s="148"/>
    </row>
    <row r="165" spans="1:15" x14ac:dyDescent="0.25">
      <c r="A165" s="122"/>
      <c r="B165" s="125" t="s">
        <v>372</v>
      </c>
      <c r="C165" s="54">
        <v>736511.47</v>
      </c>
      <c r="D165" s="54">
        <v>0</v>
      </c>
      <c r="E165" s="54">
        <f t="shared" ref="E165:E170" si="127">+C165-D165</f>
        <v>736511.47</v>
      </c>
      <c r="F165" s="54">
        <v>0</v>
      </c>
      <c r="G165" s="27">
        <f t="shared" si="126"/>
        <v>736511.47</v>
      </c>
      <c r="H165" s="54">
        <v>0</v>
      </c>
      <c r="I165" s="27">
        <f t="shared" ref="I165:I170" si="128">+G165+H165</f>
        <v>736511.47</v>
      </c>
      <c r="J165" s="51">
        <f t="shared" si="114"/>
        <v>0.98499999999999999</v>
      </c>
      <c r="K165" s="27">
        <f t="shared" ref="K165:K170" si="129">IF(I165*J165=0,0, ROUND(I165*J165,0))</f>
        <v>725464</v>
      </c>
      <c r="L165" s="139" t="s">
        <v>225</v>
      </c>
      <c r="M165" s="54">
        <v>0</v>
      </c>
      <c r="N165" s="27">
        <f t="shared" ref="N165:N170" si="130">K165+M165</f>
        <v>725464</v>
      </c>
      <c r="O165" s="148"/>
    </row>
    <row r="166" spans="1:15" x14ac:dyDescent="0.25">
      <c r="A166" s="122"/>
      <c r="B166" s="125" t="s">
        <v>373</v>
      </c>
      <c r="C166" s="54">
        <v>-1543540</v>
      </c>
      <c r="D166" s="54">
        <v>0</v>
      </c>
      <c r="E166" s="54">
        <f t="shared" si="127"/>
        <v>-1543540</v>
      </c>
      <c r="F166" s="54">
        <v>0</v>
      </c>
      <c r="G166" s="27">
        <f t="shared" si="126"/>
        <v>-1543540</v>
      </c>
      <c r="H166" s="54">
        <v>0</v>
      </c>
      <c r="I166" s="27">
        <f t="shared" si="128"/>
        <v>-1543540</v>
      </c>
      <c r="J166" s="51">
        <f t="shared" si="114"/>
        <v>0.98499999999999999</v>
      </c>
      <c r="K166" s="27">
        <f t="shared" si="129"/>
        <v>-1520387</v>
      </c>
      <c r="L166" s="139" t="s">
        <v>225</v>
      </c>
      <c r="M166" s="54">
        <v>0</v>
      </c>
      <c r="N166" s="27">
        <f t="shared" si="130"/>
        <v>-1520387</v>
      </c>
      <c r="O166" s="148"/>
    </row>
    <row r="167" spans="1:15" x14ac:dyDescent="0.25">
      <c r="A167" s="122"/>
      <c r="B167" s="125" t="s">
        <v>374</v>
      </c>
      <c r="C167" s="54">
        <v>-13749999.99</v>
      </c>
      <c r="D167" s="54">
        <v>0</v>
      </c>
      <c r="E167" s="54">
        <f t="shared" si="127"/>
        <v>-13749999.99</v>
      </c>
      <c r="F167" s="54">
        <v>0</v>
      </c>
      <c r="G167" s="27">
        <f t="shared" si="126"/>
        <v>-13749999.99</v>
      </c>
      <c r="H167" s="54">
        <v>0</v>
      </c>
      <c r="I167" s="27">
        <f t="shared" si="128"/>
        <v>-13749999.99</v>
      </c>
      <c r="J167" s="51">
        <f t="shared" si="114"/>
        <v>0.98499999999999999</v>
      </c>
      <c r="K167" s="27">
        <f t="shared" si="129"/>
        <v>-13543750</v>
      </c>
      <c r="L167" s="139" t="s">
        <v>225</v>
      </c>
      <c r="M167" s="54">
        <v>0</v>
      </c>
      <c r="N167" s="27">
        <f t="shared" si="130"/>
        <v>-13543750</v>
      </c>
      <c r="O167" s="148"/>
    </row>
    <row r="168" spans="1:15" x14ac:dyDescent="0.25">
      <c r="A168" s="122"/>
      <c r="B168" s="125" t="s">
        <v>375</v>
      </c>
      <c r="C168" s="54">
        <v>-5956225.5199999996</v>
      </c>
      <c r="D168" s="54">
        <v>0</v>
      </c>
      <c r="E168" s="54">
        <f t="shared" si="127"/>
        <v>-5956225.5199999996</v>
      </c>
      <c r="F168" s="54">
        <v>0</v>
      </c>
      <c r="G168" s="27">
        <f t="shared" si="126"/>
        <v>-5956225.5199999996</v>
      </c>
      <c r="H168" s="54">
        <v>0</v>
      </c>
      <c r="I168" s="27">
        <f t="shared" si="128"/>
        <v>-5956225.5199999996</v>
      </c>
      <c r="J168" s="51">
        <f t="shared" si="114"/>
        <v>0.98499999999999999</v>
      </c>
      <c r="K168" s="27">
        <f t="shared" si="129"/>
        <v>-5866882</v>
      </c>
      <c r="L168" s="139" t="s">
        <v>225</v>
      </c>
      <c r="M168" s="54">
        <v>0</v>
      </c>
      <c r="N168" s="27">
        <f t="shared" si="130"/>
        <v>-5866882</v>
      </c>
      <c r="O168" s="148"/>
    </row>
    <row r="169" spans="1:15" x14ac:dyDescent="0.25">
      <c r="A169" s="122"/>
      <c r="B169" s="125" t="s">
        <v>376</v>
      </c>
      <c r="C169" s="54">
        <v>-333379.67000000004</v>
      </c>
      <c r="D169" s="54">
        <v>0</v>
      </c>
      <c r="E169" s="54">
        <f t="shared" si="127"/>
        <v>-333379.67000000004</v>
      </c>
      <c r="F169" s="54">
        <v>0</v>
      </c>
      <c r="G169" s="27">
        <f t="shared" si="126"/>
        <v>-333379.67000000004</v>
      </c>
      <c r="H169" s="54">
        <v>0</v>
      </c>
      <c r="I169" s="27">
        <f t="shared" si="128"/>
        <v>-333379.67000000004</v>
      </c>
      <c r="J169" s="51">
        <f t="shared" si="114"/>
        <v>0.98499999999999999</v>
      </c>
      <c r="K169" s="27">
        <f t="shared" si="129"/>
        <v>-328379</v>
      </c>
      <c r="L169" s="139" t="s">
        <v>225</v>
      </c>
      <c r="M169" s="54">
        <v>-33163</v>
      </c>
      <c r="N169" s="27">
        <f t="shared" si="130"/>
        <v>-361542</v>
      </c>
      <c r="O169" s="148"/>
    </row>
    <row r="170" spans="1:15" x14ac:dyDescent="0.25">
      <c r="A170" s="122"/>
      <c r="B170" s="125" t="s">
        <v>377</v>
      </c>
      <c r="C170" s="54">
        <v>294065.67</v>
      </c>
      <c r="D170" s="54">
        <v>0</v>
      </c>
      <c r="E170" s="54">
        <f t="shared" si="127"/>
        <v>294065.67</v>
      </c>
      <c r="F170" s="54">
        <v>0</v>
      </c>
      <c r="G170" s="27">
        <f t="shared" si="126"/>
        <v>294065.67</v>
      </c>
      <c r="H170" s="54">
        <v>0</v>
      </c>
      <c r="I170" s="27">
        <f t="shared" si="128"/>
        <v>294065.67</v>
      </c>
      <c r="J170" s="51">
        <f t="shared" si="114"/>
        <v>0.98499999999999999</v>
      </c>
      <c r="K170" s="27">
        <f t="shared" si="129"/>
        <v>289655</v>
      </c>
      <c r="L170" s="139" t="s">
        <v>225</v>
      </c>
      <c r="M170" s="54">
        <v>0</v>
      </c>
      <c r="N170" s="27">
        <f t="shared" si="130"/>
        <v>289655</v>
      </c>
      <c r="O170" s="148"/>
    </row>
    <row r="171" spans="1:15" x14ac:dyDescent="0.25">
      <c r="A171" s="18">
        <f>+A164+1</f>
        <v>147</v>
      </c>
      <c r="B171" s="17" t="s">
        <v>346</v>
      </c>
      <c r="C171" s="54">
        <v>0</v>
      </c>
      <c r="D171" s="54">
        <v>0</v>
      </c>
      <c r="E171" s="54">
        <f t="shared" si="104"/>
        <v>0</v>
      </c>
      <c r="F171" s="54">
        <v>0</v>
      </c>
      <c r="G171" s="27">
        <f t="shared" si="126"/>
        <v>0</v>
      </c>
      <c r="H171" s="54">
        <v>0</v>
      </c>
      <c r="I171" s="27">
        <f t="shared" si="105"/>
        <v>0</v>
      </c>
      <c r="J171" s="51">
        <f t="shared" si="114"/>
        <v>0.98499999999999999</v>
      </c>
      <c r="K171" s="27">
        <f t="shared" si="106"/>
        <v>0</v>
      </c>
      <c r="L171" s="18" t="s">
        <v>237</v>
      </c>
      <c r="M171" s="54">
        <v>0</v>
      </c>
      <c r="N171" s="27">
        <f t="shared" si="100"/>
        <v>0</v>
      </c>
      <c r="O171" s="148"/>
    </row>
    <row r="172" spans="1:15" x14ac:dyDescent="0.25">
      <c r="A172" s="18">
        <f t="shared" si="113"/>
        <v>148</v>
      </c>
      <c r="B172" s="56"/>
      <c r="C172" s="54"/>
      <c r="D172" s="27"/>
      <c r="E172" s="54"/>
      <c r="F172" s="54"/>
      <c r="G172" s="27"/>
      <c r="H172" s="54"/>
      <c r="I172" s="27"/>
      <c r="J172" s="51"/>
      <c r="K172" s="27"/>
      <c r="L172" s="18"/>
      <c r="M172" s="54"/>
      <c r="N172" s="27">
        <f t="shared" si="100"/>
        <v>0</v>
      </c>
      <c r="O172" s="148"/>
    </row>
    <row r="173" spans="1:15" ht="13" x14ac:dyDescent="0.3">
      <c r="A173" s="18">
        <f t="shared" si="113"/>
        <v>149</v>
      </c>
      <c r="B173" s="75" t="s">
        <v>63</v>
      </c>
      <c r="C173" s="78">
        <f t="shared" ref="C173:I173" si="131">SUM(C129:C172)</f>
        <v>-12179636.039999999</v>
      </c>
      <c r="D173" s="78">
        <f t="shared" si="131"/>
        <v>-9441</v>
      </c>
      <c r="E173" s="78">
        <f t="shared" si="131"/>
        <v>-12170195.039999999</v>
      </c>
      <c r="F173" s="78">
        <f t="shared" si="131"/>
        <v>0</v>
      </c>
      <c r="G173" s="78">
        <f t="shared" si="131"/>
        <v>-12170195.039999999</v>
      </c>
      <c r="H173" s="78">
        <f t="shared" si="131"/>
        <v>0</v>
      </c>
      <c r="I173" s="78">
        <f t="shared" si="131"/>
        <v>-12170195.039999999</v>
      </c>
      <c r="J173" s="24"/>
      <c r="K173" s="78">
        <f>SUM(K129:K172)</f>
        <v>-11853140</v>
      </c>
      <c r="M173" s="78">
        <f>SUM(M129:M172)</f>
        <v>-5217658</v>
      </c>
      <c r="N173" s="78">
        <f>SUM(N129:N172)</f>
        <v>-17070798</v>
      </c>
    </row>
    <row r="174" spans="1:15" x14ac:dyDescent="0.25">
      <c r="A174" s="18">
        <f t="shared" si="113"/>
        <v>150</v>
      </c>
      <c r="B174" s="17" t="s">
        <v>0</v>
      </c>
      <c r="C174" s="54"/>
      <c r="E174" s="27"/>
      <c r="J174" s="81"/>
      <c r="K174" s="76"/>
    </row>
    <row r="175" spans="1:15" ht="13" x14ac:dyDescent="0.3">
      <c r="A175" s="18">
        <f t="shared" si="113"/>
        <v>151</v>
      </c>
      <c r="B175" s="75" t="s">
        <v>64</v>
      </c>
      <c r="C175" s="54"/>
      <c r="J175" s="81"/>
      <c r="K175" s="76"/>
    </row>
    <row r="176" spans="1:15" x14ac:dyDescent="0.25">
      <c r="A176" s="18">
        <f t="shared" si="113"/>
        <v>152</v>
      </c>
      <c r="B176" s="17" t="s">
        <v>358</v>
      </c>
      <c r="C176" s="82">
        <v>0</v>
      </c>
      <c r="D176" s="82">
        <v>0</v>
      </c>
      <c r="E176" s="82">
        <f>+C176-D176</f>
        <v>0</v>
      </c>
      <c r="F176" s="54">
        <v>0</v>
      </c>
      <c r="G176" s="27">
        <f>+E176+F176</f>
        <v>0</v>
      </c>
      <c r="H176" s="54">
        <v>0</v>
      </c>
      <c r="I176" s="82">
        <f>+G176+H176</f>
        <v>0</v>
      </c>
      <c r="J176" s="51">
        <f>VLOOKUP(L176,$C$308:$D$322,2,FALSE)</f>
        <v>0</v>
      </c>
      <c r="K176" s="27">
        <f>IF(I176*J176=0,0, ROUND(I176*J176,0))</f>
        <v>0</v>
      </c>
      <c r="L176" s="18" t="s">
        <v>152</v>
      </c>
      <c r="M176" s="54">
        <v>0</v>
      </c>
      <c r="N176" s="27">
        <f>K176+M176</f>
        <v>0</v>
      </c>
    </row>
    <row r="177" spans="1:15" ht="13" x14ac:dyDescent="0.3">
      <c r="A177" s="18">
        <f t="shared" si="113"/>
        <v>153</v>
      </c>
      <c r="B177" s="75" t="s">
        <v>65</v>
      </c>
      <c r="C177" s="78">
        <f t="shared" ref="C177:I177" si="132">+C176</f>
        <v>0</v>
      </c>
      <c r="D177" s="78">
        <f t="shared" si="132"/>
        <v>0</v>
      </c>
      <c r="E177" s="78">
        <f t="shared" si="132"/>
        <v>0</v>
      </c>
      <c r="F177" s="78">
        <f t="shared" si="132"/>
        <v>0</v>
      </c>
      <c r="G177" s="78">
        <f t="shared" si="132"/>
        <v>0</v>
      </c>
      <c r="H177" s="78">
        <f t="shared" si="132"/>
        <v>0</v>
      </c>
      <c r="I177" s="78">
        <f t="shared" si="132"/>
        <v>0</v>
      </c>
      <c r="J177" s="24"/>
      <c r="K177" s="80">
        <f>+K176</f>
        <v>0</v>
      </c>
      <c r="M177" s="78">
        <f t="shared" ref="M177:N177" si="133">+M176</f>
        <v>0</v>
      </c>
      <c r="N177" s="78">
        <f t="shared" si="133"/>
        <v>0</v>
      </c>
    </row>
    <row r="178" spans="1:15" x14ac:dyDescent="0.25">
      <c r="A178" s="18">
        <f t="shared" si="113"/>
        <v>154</v>
      </c>
      <c r="B178" s="17" t="s">
        <v>0</v>
      </c>
      <c r="C178" s="54"/>
      <c r="J178" s="81"/>
      <c r="K178" s="76"/>
    </row>
    <row r="179" spans="1:15" ht="13" x14ac:dyDescent="0.3">
      <c r="A179" s="18">
        <f t="shared" si="113"/>
        <v>155</v>
      </c>
      <c r="B179" s="75" t="s">
        <v>66</v>
      </c>
      <c r="C179" s="54">
        <v>0</v>
      </c>
      <c r="J179" s="81"/>
      <c r="K179" s="76"/>
    </row>
    <row r="180" spans="1:15" x14ac:dyDescent="0.25">
      <c r="A180" s="18">
        <f>+A179+1</f>
        <v>156</v>
      </c>
      <c r="B180" s="17" t="s">
        <v>67</v>
      </c>
      <c r="C180" s="54">
        <v>33651</v>
      </c>
      <c r="D180" s="54">
        <v>0</v>
      </c>
      <c r="E180" s="54">
        <f t="shared" ref="E180:E221" si="134">+C180-D180</f>
        <v>33651</v>
      </c>
      <c r="F180" s="54">
        <v>0</v>
      </c>
      <c r="G180" s="27">
        <f t="shared" ref="G180:G221" si="135">+E180+F180</f>
        <v>33651</v>
      </c>
      <c r="H180" s="27">
        <v>0</v>
      </c>
      <c r="I180" s="27">
        <f t="shared" ref="I180:I204" si="136">+G180+H180</f>
        <v>33651</v>
      </c>
      <c r="J180" s="51">
        <f t="shared" ref="J180:J187" si="137">VLOOKUP(L180,$C$308:$D$322,2,FALSE)</f>
        <v>0.98499999999999999</v>
      </c>
      <c r="K180" s="27">
        <f t="shared" ref="K180:K204" si="138">IF(I180*J180=0,0, ROUND(I180*J180,0))</f>
        <v>33146</v>
      </c>
      <c r="L180" s="18" t="s">
        <v>225</v>
      </c>
      <c r="M180" s="27">
        <v>0</v>
      </c>
      <c r="N180" s="27">
        <f t="shared" ref="N180:N221" si="139">K180+M180</f>
        <v>33146</v>
      </c>
      <c r="O180" s="148"/>
    </row>
    <row r="181" spans="1:15" x14ac:dyDescent="0.25">
      <c r="A181" s="18">
        <f t="shared" si="113"/>
        <v>157</v>
      </c>
      <c r="B181" s="17" t="s">
        <v>68</v>
      </c>
      <c r="C181" s="54">
        <v>-2716963</v>
      </c>
      <c r="D181" s="54">
        <v>0</v>
      </c>
      <c r="E181" s="54">
        <f t="shared" si="134"/>
        <v>-2716963</v>
      </c>
      <c r="F181" s="54">
        <v>0</v>
      </c>
      <c r="G181" s="27">
        <f t="shared" si="135"/>
        <v>-2716963</v>
      </c>
      <c r="H181" s="54">
        <v>0</v>
      </c>
      <c r="I181" s="27">
        <f t="shared" si="136"/>
        <v>-2716963</v>
      </c>
      <c r="J181" s="51">
        <f t="shared" si="137"/>
        <v>0.99</v>
      </c>
      <c r="K181" s="27">
        <f t="shared" si="138"/>
        <v>-2689793</v>
      </c>
      <c r="L181" s="18" t="s">
        <v>154</v>
      </c>
      <c r="M181" s="54">
        <v>-11256</v>
      </c>
      <c r="N181" s="27">
        <f t="shared" si="139"/>
        <v>-2701049</v>
      </c>
      <c r="O181" s="148"/>
    </row>
    <row r="182" spans="1:15" x14ac:dyDescent="0.25">
      <c r="A182" s="18">
        <f t="shared" si="113"/>
        <v>158</v>
      </c>
      <c r="B182" s="56" t="s">
        <v>251</v>
      </c>
      <c r="C182" s="54">
        <v>-3596491</v>
      </c>
      <c r="D182" s="54">
        <v>0</v>
      </c>
      <c r="E182" s="54">
        <f t="shared" si="134"/>
        <v>-3596491</v>
      </c>
      <c r="F182" s="54">
        <v>0</v>
      </c>
      <c r="G182" s="27">
        <f t="shared" si="135"/>
        <v>-3596491</v>
      </c>
      <c r="H182" s="54">
        <v>0</v>
      </c>
      <c r="I182" s="27">
        <f>+G182+H182</f>
        <v>-3596491</v>
      </c>
      <c r="J182" s="51">
        <f t="shared" si="137"/>
        <v>0.99</v>
      </c>
      <c r="K182" s="27">
        <f>IF(I182*J182=0,0, ROUND(I182*J182,0))</f>
        <v>-3560526</v>
      </c>
      <c r="L182" s="18" t="s">
        <v>154</v>
      </c>
      <c r="M182" s="54">
        <v>0</v>
      </c>
      <c r="N182" s="27">
        <f t="shared" si="139"/>
        <v>-3560526</v>
      </c>
      <c r="O182" s="148"/>
    </row>
    <row r="183" spans="1:15" x14ac:dyDescent="0.25">
      <c r="A183" s="18">
        <f t="shared" si="113"/>
        <v>159</v>
      </c>
      <c r="B183" s="17" t="s">
        <v>69</v>
      </c>
      <c r="C183" s="54">
        <v>151273</v>
      </c>
      <c r="D183" s="54">
        <v>0</v>
      </c>
      <c r="E183" s="54">
        <f t="shared" si="134"/>
        <v>151273</v>
      </c>
      <c r="F183" s="54">
        <v>0</v>
      </c>
      <c r="G183" s="27">
        <f t="shared" si="135"/>
        <v>151273</v>
      </c>
      <c r="H183" s="54">
        <v>0</v>
      </c>
      <c r="I183" s="27">
        <f t="shared" si="136"/>
        <v>151273</v>
      </c>
      <c r="J183" s="51">
        <f t="shared" si="137"/>
        <v>0.99</v>
      </c>
      <c r="K183" s="27">
        <f t="shared" si="138"/>
        <v>149760</v>
      </c>
      <c r="L183" s="18" t="s">
        <v>154</v>
      </c>
      <c r="M183" s="54">
        <v>0</v>
      </c>
      <c r="N183" s="27">
        <f t="shared" si="139"/>
        <v>149760</v>
      </c>
      <c r="O183" s="148"/>
    </row>
    <row r="184" spans="1:15" x14ac:dyDescent="0.25">
      <c r="A184" s="18">
        <f t="shared" si="113"/>
        <v>160</v>
      </c>
      <c r="B184" s="17" t="s">
        <v>70</v>
      </c>
      <c r="C184" s="54">
        <v>-18635614</v>
      </c>
      <c r="D184" s="27">
        <v>0</v>
      </c>
      <c r="E184" s="54">
        <f t="shared" si="134"/>
        <v>-18635614</v>
      </c>
      <c r="F184" s="54">
        <v>0</v>
      </c>
      <c r="G184" s="27">
        <f t="shared" si="135"/>
        <v>-18635614</v>
      </c>
      <c r="H184" s="27">
        <v>0</v>
      </c>
      <c r="I184" s="27">
        <f t="shared" si="136"/>
        <v>-18635614</v>
      </c>
      <c r="J184" s="51">
        <f t="shared" si="137"/>
        <v>0.98499999999999999</v>
      </c>
      <c r="K184" s="27">
        <f t="shared" si="138"/>
        <v>-18356080</v>
      </c>
      <c r="L184" s="18" t="s">
        <v>149</v>
      </c>
      <c r="M184" s="54">
        <v>-150304</v>
      </c>
      <c r="N184" s="27">
        <f t="shared" si="139"/>
        <v>-18506384</v>
      </c>
      <c r="O184" s="148"/>
    </row>
    <row r="185" spans="1:15" x14ac:dyDescent="0.25">
      <c r="A185" s="18">
        <f t="shared" si="113"/>
        <v>161</v>
      </c>
      <c r="B185" s="17" t="s">
        <v>315</v>
      </c>
      <c r="C185" s="54">
        <v>216620</v>
      </c>
      <c r="D185" s="54">
        <v>0</v>
      </c>
      <c r="E185" s="54">
        <f t="shared" si="134"/>
        <v>216620</v>
      </c>
      <c r="F185" s="54">
        <v>0</v>
      </c>
      <c r="G185" s="27">
        <f t="shared" si="135"/>
        <v>216620</v>
      </c>
      <c r="H185" s="54">
        <v>0</v>
      </c>
      <c r="I185" s="27">
        <f>+G185+H185</f>
        <v>216620</v>
      </c>
      <c r="J185" s="51">
        <f t="shared" si="137"/>
        <v>0.99</v>
      </c>
      <c r="K185" s="27">
        <f>IF(I185*J185=0,0, ROUND(I185*J185,0))</f>
        <v>214454</v>
      </c>
      <c r="L185" s="83" t="s">
        <v>154</v>
      </c>
      <c r="M185" s="54">
        <v>0</v>
      </c>
      <c r="N185" s="27">
        <f t="shared" si="139"/>
        <v>214454</v>
      </c>
      <c r="O185" s="148"/>
    </row>
    <row r="186" spans="1:15" x14ac:dyDescent="0.25">
      <c r="A186" s="18">
        <f t="shared" si="113"/>
        <v>162</v>
      </c>
      <c r="B186" s="56" t="s">
        <v>252</v>
      </c>
      <c r="C186" s="54">
        <v>0</v>
      </c>
      <c r="D186" s="54">
        <v>0</v>
      </c>
      <c r="E186" s="54">
        <f t="shared" si="134"/>
        <v>0</v>
      </c>
      <c r="F186" s="54">
        <v>0</v>
      </c>
      <c r="G186" s="27">
        <f t="shared" si="135"/>
        <v>0</v>
      </c>
      <c r="H186" s="54">
        <v>0</v>
      </c>
      <c r="I186" s="27">
        <f>+G186+H186</f>
        <v>0</v>
      </c>
      <c r="J186" s="51">
        <f t="shared" si="137"/>
        <v>0.99</v>
      </c>
      <c r="K186" s="27">
        <f>IF(I186*J186=0,0, ROUND(I186*J186,0))</f>
        <v>0</v>
      </c>
      <c r="L186" s="83" t="s">
        <v>154</v>
      </c>
      <c r="M186" s="54">
        <v>0</v>
      </c>
      <c r="N186" s="27">
        <f t="shared" si="139"/>
        <v>0</v>
      </c>
      <c r="O186" s="148"/>
    </row>
    <row r="187" spans="1:15" x14ac:dyDescent="0.25">
      <c r="A187" s="18">
        <f t="shared" si="113"/>
        <v>163</v>
      </c>
      <c r="B187" s="56" t="s">
        <v>253</v>
      </c>
      <c r="C187" s="54">
        <v>0</v>
      </c>
      <c r="D187" s="54">
        <v>0</v>
      </c>
      <c r="E187" s="54">
        <f t="shared" si="134"/>
        <v>0</v>
      </c>
      <c r="F187" s="54">
        <v>0</v>
      </c>
      <c r="G187" s="27">
        <f t="shared" si="135"/>
        <v>0</v>
      </c>
      <c r="H187" s="54">
        <v>0</v>
      </c>
      <c r="I187" s="27">
        <f>+G187+H187</f>
        <v>0</v>
      </c>
      <c r="J187" s="51">
        <f t="shared" si="137"/>
        <v>0.99</v>
      </c>
      <c r="K187" s="27">
        <f>IF(I187*J187=0,0, ROUND(I187*J187,0))</f>
        <v>0</v>
      </c>
      <c r="L187" s="83" t="s">
        <v>154</v>
      </c>
      <c r="M187" s="54">
        <v>0</v>
      </c>
      <c r="N187" s="27">
        <f t="shared" si="139"/>
        <v>0</v>
      </c>
      <c r="O187" s="148"/>
    </row>
    <row r="188" spans="1:15" x14ac:dyDescent="0.25">
      <c r="A188" s="122"/>
      <c r="B188" s="124" t="s">
        <v>378</v>
      </c>
      <c r="C188" s="54">
        <v>-8597566</v>
      </c>
      <c r="D188" s="54">
        <v>0</v>
      </c>
      <c r="E188" s="54">
        <f t="shared" ref="E188:E189" si="140">+C188-D188</f>
        <v>-8597566</v>
      </c>
      <c r="F188" s="54">
        <v>0</v>
      </c>
      <c r="G188" s="27">
        <f t="shared" ref="G188:G189" si="141">+E188+F188</f>
        <v>-8597566</v>
      </c>
      <c r="H188" s="27">
        <v>0</v>
      </c>
      <c r="I188" s="27">
        <f t="shared" ref="I188:I189" si="142">+G188+H188</f>
        <v>-8597566</v>
      </c>
      <c r="J188" s="51">
        <f t="shared" ref="J188:J189" si="143">VLOOKUP(L188,$C$308:$D$322,2,FALSE)</f>
        <v>0.98499999999999999</v>
      </c>
      <c r="K188" s="27">
        <f t="shared" ref="K188:K189" si="144">IF(I188*J188=0,0, ROUND(I188*J188,0))</f>
        <v>-8468603</v>
      </c>
      <c r="L188" s="139" t="s">
        <v>225</v>
      </c>
      <c r="M188" s="27">
        <v>0</v>
      </c>
      <c r="N188" s="27">
        <f t="shared" ref="N188:N189" si="145">K188+M188</f>
        <v>-8468603</v>
      </c>
      <c r="O188" s="148"/>
    </row>
    <row r="189" spans="1:15" x14ac:dyDescent="0.25">
      <c r="A189" s="122"/>
      <c r="B189" s="124" t="s">
        <v>379</v>
      </c>
      <c r="C189" s="54">
        <v>8624454</v>
      </c>
      <c r="D189" s="54">
        <v>0</v>
      </c>
      <c r="E189" s="54">
        <f t="shared" si="140"/>
        <v>8624454</v>
      </c>
      <c r="F189" s="54">
        <v>0</v>
      </c>
      <c r="G189" s="27">
        <f t="shared" si="141"/>
        <v>8624454</v>
      </c>
      <c r="H189" s="27">
        <v>0</v>
      </c>
      <c r="I189" s="27">
        <f t="shared" si="142"/>
        <v>8624454</v>
      </c>
      <c r="J189" s="51">
        <f t="shared" si="143"/>
        <v>0.98499999999999999</v>
      </c>
      <c r="K189" s="27">
        <f t="shared" si="144"/>
        <v>8495087</v>
      </c>
      <c r="L189" s="139" t="s">
        <v>225</v>
      </c>
      <c r="M189" s="27">
        <v>0</v>
      </c>
      <c r="N189" s="27">
        <f t="shared" si="145"/>
        <v>8495087</v>
      </c>
      <c r="O189" s="148"/>
    </row>
    <row r="190" spans="1:15" x14ac:dyDescent="0.25">
      <c r="A190" s="18">
        <f>+A187+1</f>
        <v>164</v>
      </c>
      <c r="B190" s="17" t="s">
        <v>71</v>
      </c>
      <c r="C190" s="54">
        <v>0</v>
      </c>
      <c r="D190" s="54">
        <v>0</v>
      </c>
      <c r="E190" s="54">
        <f t="shared" si="134"/>
        <v>0</v>
      </c>
      <c r="F190" s="54">
        <v>0</v>
      </c>
      <c r="G190" s="27">
        <f t="shared" si="135"/>
        <v>0</v>
      </c>
      <c r="H190" s="54">
        <v>0</v>
      </c>
      <c r="I190" s="27">
        <f t="shared" si="136"/>
        <v>0</v>
      </c>
      <c r="J190" s="51">
        <f>VLOOKUP(L190,$C$308:$D$322,2,FALSE)</f>
        <v>1</v>
      </c>
      <c r="K190" s="27">
        <f t="shared" si="138"/>
        <v>0</v>
      </c>
      <c r="L190" s="18" t="s">
        <v>146</v>
      </c>
      <c r="M190" s="54">
        <v>0</v>
      </c>
      <c r="N190" s="27">
        <f t="shared" si="139"/>
        <v>0</v>
      </c>
      <c r="O190" s="148"/>
    </row>
    <row r="191" spans="1:15" x14ac:dyDescent="0.25">
      <c r="A191" s="139"/>
      <c r="B191" s="125" t="s">
        <v>380</v>
      </c>
      <c r="C191" s="54">
        <v>-71358</v>
      </c>
      <c r="D191" s="54">
        <v>0</v>
      </c>
      <c r="E191" s="54">
        <f t="shared" si="134"/>
        <v>-71358</v>
      </c>
      <c r="F191" s="54">
        <v>0</v>
      </c>
      <c r="G191" s="27">
        <f t="shared" si="135"/>
        <v>-71358</v>
      </c>
      <c r="H191" s="27">
        <v>0</v>
      </c>
      <c r="I191" s="27">
        <f t="shared" si="136"/>
        <v>-71358</v>
      </c>
      <c r="J191" s="51">
        <f t="shared" ref="J191" si="146">VLOOKUP(L191,$C$308:$D$322,2,FALSE)</f>
        <v>0.98499999999999999</v>
      </c>
      <c r="K191" s="27">
        <f t="shared" si="138"/>
        <v>-70288</v>
      </c>
      <c r="L191" s="139" t="s">
        <v>225</v>
      </c>
      <c r="M191" s="27">
        <v>0</v>
      </c>
      <c r="N191" s="27">
        <f t="shared" si="139"/>
        <v>-70288</v>
      </c>
      <c r="O191" s="148"/>
    </row>
    <row r="192" spans="1:15" x14ac:dyDescent="0.25">
      <c r="A192" s="18">
        <f>+A190+1</f>
        <v>165</v>
      </c>
      <c r="B192" s="17" t="s">
        <v>268</v>
      </c>
      <c r="C192" s="54">
        <v>0</v>
      </c>
      <c r="D192" s="54">
        <f>C192</f>
        <v>0</v>
      </c>
      <c r="E192" s="54">
        <f>+C192-D192</f>
        <v>0</v>
      </c>
      <c r="F192" s="54">
        <v>0</v>
      </c>
      <c r="G192" s="27">
        <f t="shared" si="135"/>
        <v>0</v>
      </c>
      <c r="H192" s="54">
        <v>0</v>
      </c>
      <c r="I192" s="27">
        <f>+G192+H192</f>
        <v>0</v>
      </c>
      <c r="J192" s="51">
        <f t="shared" ref="J192:J205" si="147">VLOOKUP(L192,$C$308:$D$322,2,FALSE)</f>
        <v>0</v>
      </c>
      <c r="K192" s="27">
        <f>IF(I192*J192=0,0, ROUND(I192*J192,0))</f>
        <v>0</v>
      </c>
      <c r="L192" s="18" t="s">
        <v>152</v>
      </c>
      <c r="M192" s="54">
        <v>0</v>
      </c>
      <c r="N192" s="27">
        <f t="shared" si="139"/>
        <v>0</v>
      </c>
      <c r="O192" s="148"/>
    </row>
    <row r="193" spans="1:15" x14ac:dyDescent="0.25">
      <c r="A193" s="18">
        <f t="shared" si="113"/>
        <v>166</v>
      </c>
      <c r="B193" s="17" t="s">
        <v>180</v>
      </c>
      <c r="C193" s="54">
        <v>0</v>
      </c>
      <c r="D193" s="54">
        <f>C193</f>
        <v>0</v>
      </c>
      <c r="E193" s="54">
        <f>+C193-D193</f>
        <v>0</v>
      </c>
      <c r="F193" s="54">
        <v>0</v>
      </c>
      <c r="G193" s="27">
        <f t="shared" si="135"/>
        <v>0</v>
      </c>
      <c r="H193" s="54">
        <v>0</v>
      </c>
      <c r="I193" s="27">
        <f t="shared" si="136"/>
        <v>0</v>
      </c>
      <c r="J193" s="51">
        <f t="shared" si="147"/>
        <v>0.98499999999999999</v>
      </c>
      <c r="K193" s="27">
        <f t="shared" si="138"/>
        <v>0</v>
      </c>
      <c r="L193" s="18" t="s">
        <v>225</v>
      </c>
      <c r="M193" s="54">
        <v>0</v>
      </c>
      <c r="N193" s="27">
        <f t="shared" si="139"/>
        <v>0</v>
      </c>
      <c r="O193" s="148"/>
    </row>
    <row r="194" spans="1:15" x14ac:dyDescent="0.25">
      <c r="A194" s="18">
        <f t="shared" si="113"/>
        <v>167</v>
      </c>
      <c r="B194" s="17" t="s">
        <v>353</v>
      </c>
      <c r="C194" s="54">
        <v>0</v>
      </c>
      <c r="D194" s="54">
        <f>C194</f>
        <v>0</v>
      </c>
      <c r="E194" s="54">
        <f>+C194-D194</f>
        <v>0</v>
      </c>
      <c r="F194" s="54">
        <v>0</v>
      </c>
      <c r="G194" s="27">
        <f t="shared" ref="G194:G195" si="148">+E194+F194</f>
        <v>0</v>
      </c>
      <c r="H194" s="54">
        <v>0</v>
      </c>
      <c r="I194" s="27">
        <f t="shared" ref="I194:I195" si="149">+G194+H194</f>
        <v>0</v>
      </c>
      <c r="J194" s="51">
        <f t="shared" si="147"/>
        <v>0</v>
      </c>
      <c r="K194" s="27">
        <f t="shared" ref="K194:K196" si="150">IF(I194*J194=0,0, ROUND(I194*J194,0))</f>
        <v>0</v>
      </c>
      <c r="L194" s="18" t="s">
        <v>152</v>
      </c>
      <c r="M194" s="54">
        <v>0</v>
      </c>
      <c r="N194" s="27">
        <f t="shared" ref="N194:N195" si="151">K194+M194</f>
        <v>0</v>
      </c>
      <c r="O194" s="148"/>
    </row>
    <row r="195" spans="1:15" x14ac:dyDescent="0.25">
      <c r="A195" s="18">
        <f t="shared" si="113"/>
        <v>168</v>
      </c>
      <c r="B195" s="17" t="s">
        <v>354</v>
      </c>
      <c r="C195" s="54">
        <v>0</v>
      </c>
      <c r="D195" s="54">
        <f>C195</f>
        <v>0</v>
      </c>
      <c r="E195" s="54">
        <f>+C195-D195</f>
        <v>0</v>
      </c>
      <c r="F195" s="54">
        <v>0</v>
      </c>
      <c r="G195" s="27">
        <f t="shared" si="148"/>
        <v>0</v>
      </c>
      <c r="H195" s="54">
        <v>0</v>
      </c>
      <c r="I195" s="27">
        <f t="shared" si="149"/>
        <v>0</v>
      </c>
      <c r="J195" s="51">
        <f t="shared" si="147"/>
        <v>0</v>
      </c>
      <c r="K195" s="27">
        <f t="shared" si="150"/>
        <v>0</v>
      </c>
      <c r="L195" s="18" t="s">
        <v>152</v>
      </c>
      <c r="M195" s="54">
        <v>0</v>
      </c>
      <c r="N195" s="27">
        <f t="shared" si="151"/>
        <v>0</v>
      </c>
      <c r="O195" s="148"/>
    </row>
    <row r="196" spans="1:15" x14ac:dyDescent="0.25">
      <c r="A196" s="18">
        <f t="shared" si="113"/>
        <v>169</v>
      </c>
      <c r="B196" s="17" t="s">
        <v>316</v>
      </c>
      <c r="C196" s="54">
        <v>414000</v>
      </c>
      <c r="D196" s="54">
        <v>0</v>
      </c>
      <c r="E196" s="54">
        <f t="shared" ref="E196" si="152">+C196-D196</f>
        <v>414000</v>
      </c>
      <c r="F196" s="54">
        <v>0</v>
      </c>
      <c r="G196" s="27">
        <f t="shared" si="135"/>
        <v>414000</v>
      </c>
      <c r="H196" s="54">
        <v>0</v>
      </c>
      <c r="I196" s="27">
        <f>+G196+H196</f>
        <v>414000</v>
      </c>
      <c r="J196" s="51">
        <f t="shared" si="147"/>
        <v>0.98499999999999999</v>
      </c>
      <c r="K196" s="27">
        <f t="shared" si="150"/>
        <v>407790</v>
      </c>
      <c r="L196" s="139" t="s">
        <v>225</v>
      </c>
      <c r="M196" s="54">
        <v>-407790</v>
      </c>
      <c r="N196" s="27">
        <f t="shared" si="139"/>
        <v>0</v>
      </c>
      <c r="O196" s="148"/>
    </row>
    <row r="197" spans="1:15" x14ac:dyDescent="0.25">
      <c r="A197" s="18">
        <f t="shared" si="113"/>
        <v>170</v>
      </c>
      <c r="B197" s="17" t="s">
        <v>72</v>
      </c>
      <c r="C197" s="54">
        <v>-34849</v>
      </c>
      <c r="D197" s="54">
        <v>0</v>
      </c>
      <c r="E197" s="54">
        <f t="shared" si="134"/>
        <v>-34849</v>
      </c>
      <c r="F197" s="54">
        <v>0</v>
      </c>
      <c r="G197" s="27">
        <f t="shared" si="135"/>
        <v>-34849</v>
      </c>
      <c r="H197" s="27">
        <v>0</v>
      </c>
      <c r="I197" s="27">
        <f t="shared" si="136"/>
        <v>-34849</v>
      </c>
      <c r="J197" s="51">
        <f t="shared" si="147"/>
        <v>0</v>
      </c>
      <c r="K197" s="27">
        <f t="shared" si="138"/>
        <v>0</v>
      </c>
      <c r="L197" s="18" t="s">
        <v>152</v>
      </c>
      <c r="M197" s="27">
        <v>0</v>
      </c>
      <c r="N197" s="27">
        <f t="shared" si="139"/>
        <v>0</v>
      </c>
      <c r="O197" s="148"/>
    </row>
    <row r="198" spans="1:15" x14ac:dyDescent="0.25">
      <c r="A198" s="18">
        <f t="shared" si="113"/>
        <v>171</v>
      </c>
      <c r="B198" s="56" t="s">
        <v>254</v>
      </c>
      <c r="C198" s="54">
        <v>-27798</v>
      </c>
      <c r="D198" s="54">
        <v>0</v>
      </c>
      <c r="E198" s="54">
        <f t="shared" si="134"/>
        <v>-27798</v>
      </c>
      <c r="F198" s="54">
        <v>0</v>
      </c>
      <c r="G198" s="27">
        <f t="shared" si="135"/>
        <v>-27798</v>
      </c>
      <c r="H198" s="54">
        <v>0</v>
      </c>
      <c r="I198" s="27">
        <f>+G198+H198</f>
        <v>-27798</v>
      </c>
      <c r="J198" s="51">
        <f t="shared" si="147"/>
        <v>0</v>
      </c>
      <c r="K198" s="27">
        <f>IF(I198*J198=0,0, ROUND(I198*J198,0))</f>
        <v>0</v>
      </c>
      <c r="L198" s="83" t="s">
        <v>152</v>
      </c>
      <c r="M198" s="54">
        <v>0</v>
      </c>
      <c r="N198" s="27">
        <f t="shared" si="139"/>
        <v>0</v>
      </c>
      <c r="O198" s="148"/>
    </row>
    <row r="199" spans="1:15" x14ac:dyDescent="0.25">
      <c r="A199" s="18">
        <f t="shared" si="113"/>
        <v>172</v>
      </c>
      <c r="B199" s="56" t="s">
        <v>255</v>
      </c>
      <c r="C199" s="54">
        <v>0</v>
      </c>
      <c r="D199" s="54">
        <f>C199</f>
        <v>0</v>
      </c>
      <c r="E199" s="54">
        <f t="shared" si="134"/>
        <v>0</v>
      </c>
      <c r="F199" s="54">
        <v>0</v>
      </c>
      <c r="G199" s="27">
        <f t="shared" si="135"/>
        <v>0</v>
      </c>
      <c r="H199" s="54">
        <v>0</v>
      </c>
      <c r="I199" s="27">
        <f>+G199+H199</f>
        <v>0</v>
      </c>
      <c r="J199" s="51">
        <f t="shared" si="147"/>
        <v>0</v>
      </c>
      <c r="K199" s="27">
        <f>IF(I199*J199=0,0, ROUND(I199*J199,0))</f>
        <v>0</v>
      </c>
      <c r="L199" s="83" t="s">
        <v>152</v>
      </c>
      <c r="M199" s="54">
        <v>0</v>
      </c>
      <c r="N199" s="27">
        <f t="shared" si="139"/>
        <v>0</v>
      </c>
      <c r="O199" s="148"/>
    </row>
    <row r="200" spans="1:15" x14ac:dyDescent="0.25">
      <c r="A200" s="18">
        <f t="shared" si="113"/>
        <v>173</v>
      </c>
      <c r="B200" s="56" t="s">
        <v>356</v>
      </c>
      <c r="C200" s="54">
        <v>0</v>
      </c>
      <c r="D200" s="54">
        <f>C200</f>
        <v>0</v>
      </c>
      <c r="E200" s="54">
        <f>+C200-D200</f>
        <v>0</v>
      </c>
      <c r="F200" s="54">
        <v>0</v>
      </c>
      <c r="G200" s="27">
        <f t="shared" ref="G200" si="153">+E200+F200</f>
        <v>0</v>
      </c>
      <c r="H200" s="54">
        <v>0</v>
      </c>
      <c r="I200" s="27">
        <f>+G200+H200</f>
        <v>0</v>
      </c>
      <c r="J200" s="51">
        <f t="shared" si="147"/>
        <v>0</v>
      </c>
      <c r="K200" s="27">
        <f>IF(I200*J200=0,0, ROUND(I200*J200,0))</f>
        <v>0</v>
      </c>
      <c r="L200" s="18" t="s">
        <v>152</v>
      </c>
      <c r="M200" s="54">
        <v>0</v>
      </c>
      <c r="N200" s="27">
        <f t="shared" ref="N200" si="154">K200+M200</f>
        <v>0</v>
      </c>
      <c r="O200" s="148"/>
    </row>
    <row r="201" spans="1:15" x14ac:dyDescent="0.25">
      <c r="A201" s="18">
        <f t="shared" si="113"/>
        <v>174</v>
      </c>
      <c r="B201" s="17" t="s">
        <v>73</v>
      </c>
      <c r="C201" s="54">
        <v>7452221</v>
      </c>
      <c r="D201" s="54">
        <v>0</v>
      </c>
      <c r="E201" s="54">
        <f t="shared" si="134"/>
        <v>7452221</v>
      </c>
      <c r="F201" s="54">
        <v>0</v>
      </c>
      <c r="G201" s="27">
        <f t="shared" si="135"/>
        <v>7452221</v>
      </c>
      <c r="H201" s="54">
        <v>0</v>
      </c>
      <c r="I201" s="27">
        <f t="shared" si="136"/>
        <v>7452221</v>
      </c>
      <c r="J201" s="51">
        <f t="shared" si="147"/>
        <v>0.98499999999999999</v>
      </c>
      <c r="K201" s="27">
        <f t="shared" si="138"/>
        <v>7340438</v>
      </c>
      <c r="L201" s="18" t="s">
        <v>153</v>
      </c>
      <c r="M201" s="54">
        <v>0</v>
      </c>
      <c r="N201" s="27">
        <f t="shared" si="139"/>
        <v>7340438</v>
      </c>
      <c r="O201" s="148"/>
    </row>
    <row r="202" spans="1:15" x14ac:dyDescent="0.25">
      <c r="A202" s="18">
        <f t="shared" si="113"/>
        <v>175</v>
      </c>
      <c r="B202" s="17" t="s">
        <v>74</v>
      </c>
      <c r="C202" s="54">
        <v>-7452221</v>
      </c>
      <c r="D202" s="54">
        <v>0</v>
      </c>
      <c r="E202" s="54">
        <f t="shared" si="134"/>
        <v>-7452221</v>
      </c>
      <c r="F202" s="54">
        <v>0</v>
      </c>
      <c r="G202" s="27">
        <f t="shared" si="135"/>
        <v>-7452221</v>
      </c>
      <c r="H202" s="54">
        <v>0</v>
      </c>
      <c r="I202" s="27">
        <f t="shared" si="136"/>
        <v>-7452221</v>
      </c>
      <c r="J202" s="51">
        <f t="shared" si="147"/>
        <v>0.98499999999999999</v>
      </c>
      <c r="K202" s="27">
        <f t="shared" si="138"/>
        <v>-7340438</v>
      </c>
      <c r="L202" s="18" t="s">
        <v>153</v>
      </c>
      <c r="M202" s="54">
        <v>0</v>
      </c>
      <c r="N202" s="27">
        <f t="shared" si="139"/>
        <v>-7340438</v>
      </c>
      <c r="O202" s="148"/>
    </row>
    <row r="203" spans="1:15" x14ac:dyDescent="0.25">
      <c r="A203" s="18">
        <f t="shared" si="113"/>
        <v>176</v>
      </c>
      <c r="B203" s="17" t="s">
        <v>75</v>
      </c>
      <c r="C203" s="54">
        <v>-268254</v>
      </c>
      <c r="D203" s="54">
        <v>0</v>
      </c>
      <c r="E203" s="54">
        <f t="shared" si="134"/>
        <v>-268254</v>
      </c>
      <c r="F203" s="54">
        <v>0</v>
      </c>
      <c r="G203" s="27">
        <f t="shared" si="135"/>
        <v>-268254</v>
      </c>
      <c r="H203" s="54">
        <v>0</v>
      </c>
      <c r="I203" s="27">
        <f t="shared" si="136"/>
        <v>-268254</v>
      </c>
      <c r="J203" s="51">
        <f t="shared" si="147"/>
        <v>0.99</v>
      </c>
      <c r="K203" s="27">
        <f t="shared" si="138"/>
        <v>-265571</v>
      </c>
      <c r="L203" s="18" t="s">
        <v>154</v>
      </c>
      <c r="M203" s="54">
        <v>0</v>
      </c>
      <c r="N203" s="27">
        <f t="shared" si="139"/>
        <v>-265571</v>
      </c>
      <c r="O203" s="148"/>
    </row>
    <row r="204" spans="1:15" x14ac:dyDescent="0.25">
      <c r="A204" s="18">
        <f t="shared" si="113"/>
        <v>177</v>
      </c>
      <c r="B204" s="56" t="s">
        <v>256</v>
      </c>
      <c r="C204" s="54">
        <v>0</v>
      </c>
      <c r="D204" s="82">
        <v>0</v>
      </c>
      <c r="E204" s="82">
        <f t="shared" si="134"/>
        <v>0</v>
      </c>
      <c r="F204" s="54">
        <v>0</v>
      </c>
      <c r="G204" s="27">
        <f t="shared" si="135"/>
        <v>0</v>
      </c>
      <c r="H204" s="54">
        <v>0</v>
      </c>
      <c r="I204" s="41">
        <f t="shared" si="136"/>
        <v>0</v>
      </c>
      <c r="J204" s="51">
        <f t="shared" si="147"/>
        <v>0.98499999999999999</v>
      </c>
      <c r="K204" s="27">
        <f t="shared" si="138"/>
        <v>0</v>
      </c>
      <c r="L204" s="18" t="s">
        <v>225</v>
      </c>
      <c r="M204" s="54">
        <v>0</v>
      </c>
      <c r="N204" s="27">
        <f t="shared" si="139"/>
        <v>0</v>
      </c>
      <c r="O204" s="148"/>
    </row>
    <row r="205" spans="1:15" x14ac:dyDescent="0.25">
      <c r="A205" s="18">
        <f t="shared" si="113"/>
        <v>178</v>
      </c>
      <c r="B205" s="56" t="s">
        <v>257</v>
      </c>
      <c r="C205" s="54">
        <v>0</v>
      </c>
      <c r="D205" s="82">
        <v>0</v>
      </c>
      <c r="E205" s="82">
        <f t="shared" ref="E205" si="155">+C205-D205</f>
        <v>0</v>
      </c>
      <c r="F205" s="54">
        <v>0</v>
      </c>
      <c r="G205" s="27">
        <f t="shared" si="135"/>
        <v>0</v>
      </c>
      <c r="H205" s="54">
        <v>0</v>
      </c>
      <c r="I205" s="41">
        <f t="shared" ref="I205" si="156">+G205+H205</f>
        <v>0</v>
      </c>
      <c r="J205" s="51">
        <f t="shared" si="147"/>
        <v>0.98499999999999999</v>
      </c>
      <c r="K205" s="27">
        <f t="shared" ref="K205:K216" si="157">IF(I205*J205=0,0, ROUND(I205*J205,0))</f>
        <v>0</v>
      </c>
      <c r="L205" s="18" t="s">
        <v>225</v>
      </c>
      <c r="M205" s="54">
        <v>0</v>
      </c>
      <c r="N205" s="27">
        <f t="shared" si="139"/>
        <v>0</v>
      </c>
      <c r="O205" s="148"/>
    </row>
    <row r="206" spans="1:15" x14ac:dyDescent="0.25">
      <c r="A206" s="127"/>
      <c r="B206" s="64" t="s">
        <v>396</v>
      </c>
      <c r="C206" s="54">
        <v>0</v>
      </c>
      <c r="D206" s="82">
        <v>0</v>
      </c>
      <c r="E206" s="82">
        <f t="shared" ref="E206:E218" si="158">+C206-D206</f>
        <v>0</v>
      </c>
      <c r="F206" s="54">
        <v>0</v>
      </c>
      <c r="G206" s="27">
        <f t="shared" ref="G206:G218" si="159">+E206+F206</f>
        <v>0</v>
      </c>
      <c r="H206" s="54">
        <v>0</v>
      </c>
      <c r="I206" s="41">
        <f t="shared" ref="I206:I218" si="160">+G206+H206</f>
        <v>0</v>
      </c>
      <c r="J206" s="51">
        <f t="shared" ref="J206:J207" si="161">VLOOKUP(L206,$C$308:$D$322,2,FALSE)</f>
        <v>0</v>
      </c>
      <c r="K206" s="27">
        <f t="shared" si="157"/>
        <v>0</v>
      </c>
      <c r="L206" s="137" t="s">
        <v>152</v>
      </c>
      <c r="M206" s="54">
        <v>0</v>
      </c>
      <c r="N206" s="27">
        <f t="shared" ref="N206:N218" si="162">K206+M206</f>
        <v>0</v>
      </c>
      <c r="O206" s="148"/>
    </row>
    <row r="207" spans="1:15" x14ac:dyDescent="0.25">
      <c r="A207" s="127"/>
      <c r="B207" s="64" t="s">
        <v>387</v>
      </c>
      <c r="C207" s="54">
        <v>0</v>
      </c>
      <c r="D207" s="82">
        <v>0</v>
      </c>
      <c r="E207" s="82">
        <f t="shared" si="158"/>
        <v>0</v>
      </c>
      <c r="F207" s="54">
        <v>0</v>
      </c>
      <c r="G207" s="27">
        <f t="shared" si="159"/>
        <v>0</v>
      </c>
      <c r="H207" s="54">
        <v>0</v>
      </c>
      <c r="I207" s="41">
        <f t="shared" si="160"/>
        <v>0</v>
      </c>
      <c r="J207" s="51">
        <f t="shared" si="161"/>
        <v>0</v>
      </c>
      <c r="K207" s="27">
        <f t="shared" si="157"/>
        <v>0</v>
      </c>
      <c r="L207" s="137" t="s">
        <v>152</v>
      </c>
      <c r="M207" s="54">
        <v>0</v>
      </c>
      <c r="N207" s="27">
        <f t="shared" si="162"/>
        <v>0</v>
      </c>
      <c r="O207" s="148"/>
    </row>
    <row r="208" spans="1:15" x14ac:dyDescent="0.25">
      <c r="A208" s="127"/>
      <c r="B208" s="64" t="s">
        <v>388</v>
      </c>
      <c r="C208" s="54">
        <v>0</v>
      </c>
      <c r="D208" s="82">
        <v>0</v>
      </c>
      <c r="E208" s="82">
        <f t="shared" si="158"/>
        <v>0</v>
      </c>
      <c r="F208" s="54">
        <v>0</v>
      </c>
      <c r="G208" s="27">
        <f t="shared" si="159"/>
        <v>0</v>
      </c>
      <c r="H208" s="54">
        <v>0</v>
      </c>
      <c r="I208" s="41">
        <f t="shared" si="160"/>
        <v>0</v>
      </c>
      <c r="J208" s="51">
        <f t="shared" ref="J208:J216" si="163">VLOOKUP(L208,$C$308:$D$322,2,FALSE)</f>
        <v>1</v>
      </c>
      <c r="K208" s="27">
        <f t="shared" si="157"/>
        <v>0</v>
      </c>
      <c r="L208" s="127" t="s">
        <v>146</v>
      </c>
      <c r="M208" s="54">
        <v>0</v>
      </c>
      <c r="N208" s="27">
        <f t="shared" si="162"/>
        <v>0</v>
      </c>
      <c r="O208" s="148"/>
    </row>
    <row r="209" spans="1:15" x14ac:dyDescent="0.25">
      <c r="A209" s="127"/>
      <c r="B209" s="64" t="s">
        <v>397</v>
      </c>
      <c r="C209" s="54">
        <v>0</v>
      </c>
      <c r="D209" s="82">
        <v>0</v>
      </c>
      <c r="E209" s="82">
        <f t="shared" si="158"/>
        <v>0</v>
      </c>
      <c r="F209" s="54">
        <v>0</v>
      </c>
      <c r="G209" s="27">
        <f t="shared" si="159"/>
        <v>0</v>
      </c>
      <c r="H209" s="54">
        <v>0</v>
      </c>
      <c r="I209" s="41">
        <f t="shared" si="160"/>
        <v>0</v>
      </c>
      <c r="J209" s="51">
        <f t="shared" si="163"/>
        <v>0</v>
      </c>
      <c r="K209" s="27">
        <f t="shared" si="157"/>
        <v>0</v>
      </c>
      <c r="L209" s="137" t="s">
        <v>152</v>
      </c>
      <c r="M209" s="54">
        <v>0</v>
      </c>
      <c r="N209" s="27">
        <f t="shared" si="162"/>
        <v>0</v>
      </c>
      <c r="O209" s="148"/>
    </row>
    <row r="210" spans="1:15" x14ac:dyDescent="0.25">
      <c r="A210" s="127"/>
      <c r="B210" s="64" t="s">
        <v>389</v>
      </c>
      <c r="C210" s="54">
        <v>0</v>
      </c>
      <c r="D210" s="82">
        <v>0</v>
      </c>
      <c r="E210" s="82">
        <f t="shared" si="158"/>
        <v>0</v>
      </c>
      <c r="F210" s="54">
        <v>0</v>
      </c>
      <c r="G210" s="27">
        <f t="shared" si="159"/>
        <v>0</v>
      </c>
      <c r="H210" s="54">
        <v>0</v>
      </c>
      <c r="I210" s="41">
        <f t="shared" si="160"/>
        <v>0</v>
      </c>
      <c r="J210" s="51">
        <f t="shared" si="163"/>
        <v>0</v>
      </c>
      <c r="K210" s="27">
        <f t="shared" si="157"/>
        <v>0</v>
      </c>
      <c r="L210" s="137" t="s">
        <v>152</v>
      </c>
      <c r="M210" s="54">
        <v>0</v>
      </c>
      <c r="N210" s="27">
        <f t="shared" si="162"/>
        <v>0</v>
      </c>
      <c r="O210" s="148"/>
    </row>
    <row r="211" spans="1:15" x14ac:dyDescent="0.25">
      <c r="A211" s="127"/>
      <c r="B211" s="64" t="s">
        <v>390</v>
      </c>
      <c r="C211" s="54">
        <v>0</v>
      </c>
      <c r="D211" s="82">
        <v>0</v>
      </c>
      <c r="E211" s="82">
        <f t="shared" si="158"/>
        <v>0</v>
      </c>
      <c r="F211" s="54">
        <v>0</v>
      </c>
      <c r="G211" s="27">
        <f t="shared" si="159"/>
        <v>0</v>
      </c>
      <c r="H211" s="54">
        <v>0</v>
      </c>
      <c r="I211" s="41">
        <f t="shared" si="160"/>
        <v>0</v>
      </c>
      <c r="J211" s="51">
        <f t="shared" si="163"/>
        <v>1</v>
      </c>
      <c r="K211" s="27">
        <f t="shared" si="157"/>
        <v>0</v>
      </c>
      <c r="L211" s="127" t="s">
        <v>146</v>
      </c>
      <c r="M211" s="54">
        <v>0</v>
      </c>
      <c r="N211" s="27">
        <f t="shared" si="162"/>
        <v>0</v>
      </c>
      <c r="O211" s="148"/>
    </row>
    <row r="212" spans="1:15" x14ac:dyDescent="0.25">
      <c r="A212" s="127"/>
      <c r="B212" s="64" t="s">
        <v>391</v>
      </c>
      <c r="C212" s="54">
        <v>0</v>
      </c>
      <c r="D212" s="82">
        <v>0</v>
      </c>
      <c r="E212" s="82">
        <f t="shared" si="158"/>
        <v>0</v>
      </c>
      <c r="F212" s="54">
        <v>0</v>
      </c>
      <c r="G212" s="27">
        <f t="shared" si="159"/>
        <v>0</v>
      </c>
      <c r="H212" s="54">
        <v>0</v>
      </c>
      <c r="I212" s="41">
        <f t="shared" si="160"/>
        <v>0</v>
      </c>
      <c r="J212" s="51">
        <f t="shared" si="163"/>
        <v>0</v>
      </c>
      <c r="K212" s="27">
        <f t="shared" si="157"/>
        <v>0</v>
      </c>
      <c r="L212" s="137" t="s">
        <v>152</v>
      </c>
      <c r="M212" s="54">
        <v>0</v>
      </c>
      <c r="N212" s="27">
        <f t="shared" si="162"/>
        <v>0</v>
      </c>
      <c r="O212" s="148"/>
    </row>
    <row r="213" spans="1:15" x14ac:dyDescent="0.25">
      <c r="A213" s="127"/>
      <c r="B213" s="64" t="s">
        <v>392</v>
      </c>
      <c r="C213" s="54">
        <v>0</v>
      </c>
      <c r="D213" s="82">
        <v>0</v>
      </c>
      <c r="E213" s="82">
        <f t="shared" si="158"/>
        <v>0</v>
      </c>
      <c r="F213" s="54">
        <v>0</v>
      </c>
      <c r="G213" s="27">
        <f t="shared" si="159"/>
        <v>0</v>
      </c>
      <c r="H213" s="54">
        <v>0</v>
      </c>
      <c r="I213" s="41">
        <f t="shared" si="160"/>
        <v>0</v>
      </c>
      <c r="J213" s="51">
        <f t="shared" si="163"/>
        <v>0</v>
      </c>
      <c r="K213" s="27">
        <f t="shared" si="157"/>
        <v>0</v>
      </c>
      <c r="L213" s="137" t="s">
        <v>152</v>
      </c>
      <c r="M213" s="54">
        <v>0</v>
      </c>
      <c r="N213" s="27">
        <f t="shared" si="162"/>
        <v>0</v>
      </c>
      <c r="O213" s="148"/>
    </row>
    <row r="214" spans="1:15" x14ac:dyDescent="0.25">
      <c r="A214" s="127"/>
      <c r="B214" s="64" t="s">
        <v>393</v>
      </c>
      <c r="C214" s="54">
        <v>0</v>
      </c>
      <c r="D214" s="82">
        <v>0</v>
      </c>
      <c r="E214" s="82">
        <f t="shared" si="158"/>
        <v>0</v>
      </c>
      <c r="F214" s="54">
        <v>0</v>
      </c>
      <c r="G214" s="27">
        <f t="shared" si="159"/>
        <v>0</v>
      </c>
      <c r="H214" s="54">
        <v>0</v>
      </c>
      <c r="I214" s="41">
        <f t="shared" si="160"/>
        <v>0</v>
      </c>
      <c r="J214" s="51">
        <f t="shared" si="163"/>
        <v>1</v>
      </c>
      <c r="K214" s="27">
        <f t="shared" si="157"/>
        <v>0</v>
      </c>
      <c r="L214" s="127" t="s">
        <v>146</v>
      </c>
      <c r="M214" s="54">
        <v>0</v>
      </c>
      <c r="N214" s="27">
        <f t="shared" si="162"/>
        <v>0</v>
      </c>
      <c r="O214" s="148"/>
    </row>
    <row r="215" spans="1:15" x14ac:dyDescent="0.25">
      <c r="A215" s="127"/>
      <c r="B215" s="64" t="s">
        <v>394</v>
      </c>
      <c r="C215" s="54">
        <v>0</v>
      </c>
      <c r="D215" s="82">
        <v>0</v>
      </c>
      <c r="E215" s="82">
        <f t="shared" si="158"/>
        <v>0</v>
      </c>
      <c r="F215" s="54">
        <v>0</v>
      </c>
      <c r="G215" s="27">
        <f t="shared" si="159"/>
        <v>0</v>
      </c>
      <c r="H215" s="54">
        <v>0</v>
      </c>
      <c r="I215" s="41">
        <f t="shared" si="160"/>
        <v>0</v>
      </c>
      <c r="J215" s="51">
        <f t="shared" ref="J215" si="164">VLOOKUP(L215,$C$308:$D$322,2,FALSE)</f>
        <v>0</v>
      </c>
      <c r="K215" s="27">
        <f t="shared" ref="K215" si="165">IF(I215*J215=0,0, ROUND(I215*J215,0))</f>
        <v>0</v>
      </c>
      <c r="L215" s="137" t="s">
        <v>152</v>
      </c>
      <c r="M215" s="54">
        <v>0</v>
      </c>
      <c r="N215" s="27">
        <f t="shared" si="162"/>
        <v>0</v>
      </c>
      <c r="O215" s="148"/>
    </row>
    <row r="216" spans="1:15" x14ac:dyDescent="0.25">
      <c r="A216" s="127"/>
      <c r="B216" s="64" t="s">
        <v>395</v>
      </c>
      <c r="C216" s="54">
        <v>0</v>
      </c>
      <c r="D216" s="82">
        <v>0</v>
      </c>
      <c r="E216" s="82">
        <f t="shared" si="158"/>
        <v>0</v>
      </c>
      <c r="F216" s="54">
        <v>0</v>
      </c>
      <c r="G216" s="27">
        <f t="shared" si="159"/>
        <v>0</v>
      </c>
      <c r="H216" s="54">
        <v>0</v>
      </c>
      <c r="I216" s="41">
        <f t="shared" si="160"/>
        <v>0</v>
      </c>
      <c r="J216" s="51">
        <f t="shared" si="163"/>
        <v>1</v>
      </c>
      <c r="K216" s="27">
        <f t="shared" si="157"/>
        <v>0</v>
      </c>
      <c r="L216" s="127" t="s">
        <v>146</v>
      </c>
      <c r="M216" s="54">
        <v>0</v>
      </c>
      <c r="N216" s="27">
        <f t="shared" si="162"/>
        <v>0</v>
      </c>
      <c r="O216" s="148"/>
    </row>
    <row r="217" spans="1:15" x14ac:dyDescent="0.25">
      <c r="A217" s="127"/>
      <c r="B217" s="64" t="s">
        <v>398</v>
      </c>
      <c r="C217" s="54">
        <v>0</v>
      </c>
      <c r="D217" s="82">
        <v>0</v>
      </c>
      <c r="E217" s="82">
        <f t="shared" si="158"/>
        <v>0</v>
      </c>
      <c r="F217" s="54">
        <v>0</v>
      </c>
      <c r="G217" s="27">
        <f t="shared" si="159"/>
        <v>0</v>
      </c>
      <c r="H217" s="54">
        <v>0</v>
      </c>
      <c r="I217" s="41">
        <f t="shared" si="160"/>
        <v>0</v>
      </c>
      <c r="J217" s="51">
        <f t="shared" ref="J217:J218" si="166">VLOOKUP(L217,$C$308:$D$322,2,FALSE)</f>
        <v>0</v>
      </c>
      <c r="K217" s="27">
        <f t="shared" ref="K217:K218" si="167">IF(I217*J217=0,0, ROUND(I217*J217,0))</f>
        <v>0</v>
      </c>
      <c r="L217" s="137" t="s">
        <v>152</v>
      </c>
      <c r="M217" s="54">
        <v>0</v>
      </c>
      <c r="N217" s="27">
        <f t="shared" si="162"/>
        <v>0</v>
      </c>
      <c r="O217" s="148"/>
    </row>
    <row r="218" spans="1:15" x14ac:dyDescent="0.25">
      <c r="A218" s="127"/>
      <c r="B218" s="64" t="s">
        <v>399</v>
      </c>
      <c r="C218" s="54">
        <v>0</v>
      </c>
      <c r="D218" s="82">
        <v>0</v>
      </c>
      <c r="E218" s="82">
        <f t="shared" si="158"/>
        <v>0</v>
      </c>
      <c r="F218" s="54">
        <v>0</v>
      </c>
      <c r="G218" s="27">
        <f t="shared" si="159"/>
        <v>0</v>
      </c>
      <c r="H218" s="54">
        <v>0</v>
      </c>
      <c r="I218" s="41">
        <f t="shared" si="160"/>
        <v>0</v>
      </c>
      <c r="J218" s="51">
        <f t="shared" si="166"/>
        <v>0</v>
      </c>
      <c r="K218" s="27">
        <f t="shared" si="167"/>
        <v>0</v>
      </c>
      <c r="L218" s="137" t="s">
        <v>152</v>
      </c>
      <c r="M218" s="54">
        <v>0</v>
      </c>
      <c r="N218" s="27">
        <f t="shared" si="162"/>
        <v>0</v>
      </c>
      <c r="O218" s="148"/>
    </row>
    <row r="219" spans="1:15" x14ac:dyDescent="0.25">
      <c r="A219" s="18">
        <f>+A205+1</f>
        <v>179</v>
      </c>
      <c r="B219" s="64" t="s">
        <v>362</v>
      </c>
      <c r="C219" s="54">
        <v>-1759348</v>
      </c>
      <c r="D219" s="82">
        <v>0</v>
      </c>
      <c r="E219" s="82">
        <f t="shared" ref="E219" si="168">+C219-D219</f>
        <v>-1759348</v>
      </c>
      <c r="F219" s="54">
        <v>0</v>
      </c>
      <c r="G219" s="27">
        <f t="shared" si="135"/>
        <v>-1759348</v>
      </c>
      <c r="H219" s="54">
        <v>0</v>
      </c>
      <c r="I219" s="41">
        <f t="shared" ref="I219" si="169">+G219+H219</f>
        <v>-1759348</v>
      </c>
      <c r="J219" s="51">
        <f>VLOOKUP(L219,$C$308:$D$322,2,FALSE)</f>
        <v>0.98499999999999999</v>
      </c>
      <c r="K219" s="27">
        <f t="shared" ref="K219" si="170">IF(I219*J219=0,0, ROUND(I219*J219,0))</f>
        <v>-1732958</v>
      </c>
      <c r="L219" s="18" t="s">
        <v>225</v>
      </c>
      <c r="M219" s="54">
        <v>0</v>
      </c>
      <c r="N219" s="27">
        <f t="shared" si="139"/>
        <v>-1732958</v>
      </c>
      <c r="O219" s="148"/>
    </row>
    <row r="220" spans="1:15" x14ac:dyDescent="0.25">
      <c r="A220" s="122"/>
      <c r="B220" s="124" t="s">
        <v>381</v>
      </c>
      <c r="C220" s="54">
        <v>262164</v>
      </c>
      <c r="D220" s="82">
        <v>0</v>
      </c>
      <c r="E220" s="82">
        <f t="shared" ref="E220" si="171">+C220-D220</f>
        <v>262164</v>
      </c>
      <c r="F220" s="54">
        <v>0</v>
      </c>
      <c r="G220" s="27">
        <f t="shared" ref="G220" si="172">+E220+F220</f>
        <v>262164</v>
      </c>
      <c r="H220" s="54">
        <v>0</v>
      </c>
      <c r="I220" s="41">
        <f t="shared" ref="I220" si="173">+G220+H220</f>
        <v>262164</v>
      </c>
      <c r="J220" s="51">
        <f>VLOOKUP(L220,$C$308:$D$322,2,FALSE)</f>
        <v>0.98499999999999999</v>
      </c>
      <c r="K220" s="27">
        <f t="shared" ref="K220" si="174">IF(I220*J220=0,0, ROUND(I220*J220,0))</f>
        <v>258232</v>
      </c>
      <c r="L220" s="137" t="s">
        <v>225</v>
      </c>
      <c r="M220" s="54">
        <v>0</v>
      </c>
      <c r="N220" s="27">
        <f t="shared" ref="N220" si="175">K220+M220</f>
        <v>258232</v>
      </c>
      <c r="O220" s="148"/>
    </row>
    <row r="221" spans="1:15" x14ac:dyDescent="0.25">
      <c r="A221" s="18">
        <f>+A219+1</f>
        <v>180</v>
      </c>
      <c r="B221" s="64" t="s">
        <v>365</v>
      </c>
      <c r="C221" s="54">
        <v>0</v>
      </c>
      <c r="D221" s="54">
        <v>0</v>
      </c>
      <c r="E221" s="54">
        <f t="shared" si="134"/>
        <v>0</v>
      </c>
      <c r="F221" s="54">
        <v>0</v>
      </c>
      <c r="G221" s="27">
        <f t="shared" si="135"/>
        <v>0</v>
      </c>
      <c r="H221" s="54">
        <v>0</v>
      </c>
      <c r="I221" s="27">
        <f>+G221+H221</f>
        <v>0</v>
      </c>
      <c r="J221" s="51">
        <f>VLOOKUP(L221,$C$308:$D$322,2,FALSE)</f>
        <v>0</v>
      </c>
      <c r="K221" s="27">
        <f>IF(I221*J221=0,0, ROUND(I221*J221,0))</f>
        <v>0</v>
      </c>
      <c r="L221" s="83" t="s">
        <v>152</v>
      </c>
      <c r="M221" s="54">
        <v>0</v>
      </c>
      <c r="N221" s="27">
        <f t="shared" si="139"/>
        <v>0</v>
      </c>
      <c r="O221" s="148"/>
    </row>
    <row r="222" spans="1:15" ht="13" x14ac:dyDescent="0.3">
      <c r="A222" s="18">
        <f t="shared" si="113"/>
        <v>181</v>
      </c>
      <c r="B222" s="75" t="s">
        <v>76</v>
      </c>
      <c r="C222" s="78">
        <f>SUM(C180:C221)</f>
        <v>-26006079</v>
      </c>
      <c r="D222" s="78">
        <f t="shared" ref="D222:I222" si="176">SUM(D180:D221)</f>
        <v>0</v>
      </c>
      <c r="E222" s="78">
        <f t="shared" si="176"/>
        <v>-26006079</v>
      </c>
      <c r="F222" s="78">
        <f t="shared" si="176"/>
        <v>0</v>
      </c>
      <c r="G222" s="78">
        <f t="shared" si="176"/>
        <v>-26006079</v>
      </c>
      <c r="H222" s="78">
        <f t="shared" si="176"/>
        <v>0</v>
      </c>
      <c r="I222" s="78">
        <f t="shared" si="176"/>
        <v>-26006079</v>
      </c>
      <c r="J222" s="24"/>
      <c r="K222" s="78">
        <f>SUM(K180:K221)</f>
        <v>-25585350</v>
      </c>
      <c r="M222" s="78">
        <f>SUM(M180:M221)</f>
        <v>-569350</v>
      </c>
      <c r="N222" s="78">
        <f>SUM(N180:N221)</f>
        <v>-26154700</v>
      </c>
    </row>
    <row r="223" spans="1:15" x14ac:dyDescent="0.25">
      <c r="A223" s="18">
        <f t="shared" si="113"/>
        <v>182</v>
      </c>
      <c r="B223" s="17" t="s">
        <v>0</v>
      </c>
      <c r="C223" s="54"/>
      <c r="J223" s="81"/>
      <c r="K223" s="76"/>
    </row>
    <row r="224" spans="1:15" ht="13" x14ac:dyDescent="0.3">
      <c r="A224" s="18">
        <f t="shared" si="113"/>
        <v>183</v>
      </c>
      <c r="B224" s="75" t="s">
        <v>77</v>
      </c>
      <c r="C224" s="54"/>
      <c r="J224" s="81"/>
      <c r="K224" s="76"/>
    </row>
    <row r="225" spans="1:14" x14ac:dyDescent="0.25">
      <c r="A225" s="139"/>
      <c r="B225" s="125" t="s">
        <v>382</v>
      </c>
      <c r="C225" s="54">
        <v>139417</v>
      </c>
      <c r="D225" s="82">
        <v>0</v>
      </c>
      <c r="E225" s="82">
        <f t="shared" ref="E225" si="177">+C225-D225</f>
        <v>139417</v>
      </c>
      <c r="F225" s="54">
        <v>0</v>
      </c>
      <c r="G225" s="27">
        <f t="shared" ref="G225" si="178">+E225+F225</f>
        <v>139417</v>
      </c>
      <c r="H225" s="54">
        <v>0</v>
      </c>
      <c r="I225" s="41">
        <f t="shared" ref="I225" si="179">+G225+H225</f>
        <v>139417</v>
      </c>
      <c r="J225" s="51">
        <f>VLOOKUP(L225,$C$308:$D$322,2,FALSE)</f>
        <v>0.98499999999999999</v>
      </c>
      <c r="K225" s="27">
        <f t="shared" ref="K225" si="180">IF(I225*J225=0,0, ROUND(I225*J225,0))</f>
        <v>137326</v>
      </c>
      <c r="L225" s="139" t="s">
        <v>225</v>
      </c>
      <c r="M225" s="54">
        <v>0</v>
      </c>
      <c r="N225" s="27">
        <f t="shared" ref="N225" si="181">K225+M225</f>
        <v>137326</v>
      </c>
    </row>
    <row r="226" spans="1:14" x14ac:dyDescent="0.25">
      <c r="A226" s="18">
        <f>+A224+1</f>
        <v>184</v>
      </c>
      <c r="B226" s="17" t="s">
        <v>293</v>
      </c>
      <c r="C226" s="54">
        <v>-918</v>
      </c>
      <c r="D226" s="54">
        <v>0</v>
      </c>
      <c r="E226" s="54">
        <f t="shared" ref="E226:E236" si="182">+C226-D226</f>
        <v>-918</v>
      </c>
      <c r="F226" s="54">
        <v>0</v>
      </c>
      <c r="G226" s="27">
        <f t="shared" ref="G226:G236" si="183">+E226+F226</f>
        <v>-918</v>
      </c>
      <c r="H226" s="54">
        <v>0</v>
      </c>
      <c r="I226" s="27">
        <f t="shared" ref="I226:I235" si="184">+G226+H226</f>
        <v>-918</v>
      </c>
      <c r="J226" s="51">
        <f t="shared" ref="J226:J234" si="185">VLOOKUP(L226,$C$308:$D$322,2,FALSE)</f>
        <v>0.99</v>
      </c>
      <c r="K226" s="27">
        <f t="shared" ref="K226:K235" si="186">IF(I226*J226=0,0, ROUND(I226*J226,0))</f>
        <v>-909</v>
      </c>
      <c r="L226" s="18" t="s">
        <v>154</v>
      </c>
      <c r="M226" s="54">
        <v>0</v>
      </c>
      <c r="N226" s="27">
        <f t="shared" ref="N226:N236" si="187">K226+M226</f>
        <v>-909</v>
      </c>
    </row>
    <row r="227" spans="1:14" x14ac:dyDescent="0.25">
      <c r="A227" s="18">
        <f t="shared" si="113"/>
        <v>185</v>
      </c>
      <c r="B227" s="17" t="s">
        <v>78</v>
      </c>
      <c r="C227" s="54">
        <v>0</v>
      </c>
      <c r="D227" s="54">
        <v>0</v>
      </c>
      <c r="E227" s="54">
        <f t="shared" ref="E227" si="188">+C227-D227</f>
        <v>0</v>
      </c>
      <c r="F227" s="54">
        <v>0</v>
      </c>
      <c r="G227" s="27">
        <f t="shared" si="183"/>
        <v>0</v>
      </c>
      <c r="H227" s="54">
        <v>0</v>
      </c>
      <c r="I227" s="27">
        <f t="shared" ref="I227" si="189">+G227+H227</f>
        <v>0</v>
      </c>
      <c r="J227" s="51">
        <f t="shared" si="185"/>
        <v>0.99</v>
      </c>
      <c r="K227" s="27">
        <f t="shared" ref="K227" si="190">IF(I227*J227=0,0, ROUND(I227*J227,0))</f>
        <v>0</v>
      </c>
      <c r="L227" s="18" t="s">
        <v>154</v>
      </c>
      <c r="M227" s="54">
        <v>0</v>
      </c>
      <c r="N227" s="27">
        <f t="shared" si="187"/>
        <v>0</v>
      </c>
    </row>
    <row r="228" spans="1:14" x14ac:dyDescent="0.25">
      <c r="A228" s="18">
        <f t="shared" si="113"/>
        <v>186</v>
      </c>
      <c r="B228" s="17" t="s">
        <v>79</v>
      </c>
      <c r="C228" s="54">
        <v>93822</v>
      </c>
      <c r="D228" s="54">
        <v>0</v>
      </c>
      <c r="E228" s="54">
        <f t="shared" si="182"/>
        <v>93822</v>
      </c>
      <c r="F228" s="54">
        <v>0</v>
      </c>
      <c r="G228" s="27">
        <f t="shared" si="183"/>
        <v>93822</v>
      </c>
      <c r="H228" s="54">
        <v>0</v>
      </c>
      <c r="I228" s="27">
        <f t="shared" si="184"/>
        <v>93822</v>
      </c>
      <c r="J228" s="51">
        <f t="shared" si="185"/>
        <v>0.99</v>
      </c>
      <c r="K228" s="27">
        <f t="shared" si="186"/>
        <v>92884</v>
      </c>
      <c r="L228" s="18" t="s">
        <v>154</v>
      </c>
      <c r="M228" s="54">
        <v>0</v>
      </c>
      <c r="N228" s="27">
        <f t="shared" si="187"/>
        <v>92884</v>
      </c>
    </row>
    <row r="229" spans="1:14" x14ac:dyDescent="0.25">
      <c r="A229" s="18">
        <f t="shared" si="113"/>
        <v>187</v>
      </c>
      <c r="B229" s="17" t="s">
        <v>80</v>
      </c>
      <c r="C229" s="54">
        <v>429</v>
      </c>
      <c r="D229" s="54">
        <f>C229</f>
        <v>429</v>
      </c>
      <c r="E229" s="54">
        <f t="shared" si="182"/>
        <v>0</v>
      </c>
      <c r="F229" s="54">
        <v>0</v>
      </c>
      <c r="G229" s="27">
        <f t="shared" si="183"/>
        <v>0</v>
      </c>
      <c r="H229" s="54">
        <v>0</v>
      </c>
      <c r="I229" s="27">
        <f t="shared" si="184"/>
        <v>0</v>
      </c>
      <c r="J229" s="51">
        <f t="shared" si="185"/>
        <v>0</v>
      </c>
      <c r="K229" s="27">
        <f t="shared" si="186"/>
        <v>0</v>
      </c>
      <c r="L229" s="18" t="s">
        <v>152</v>
      </c>
      <c r="M229" s="54">
        <v>0</v>
      </c>
      <c r="N229" s="27">
        <f t="shared" si="187"/>
        <v>0</v>
      </c>
    </row>
    <row r="230" spans="1:14" x14ac:dyDescent="0.25">
      <c r="A230" s="18">
        <f t="shared" si="113"/>
        <v>188</v>
      </c>
      <c r="B230" s="17" t="s">
        <v>280</v>
      </c>
      <c r="C230" s="54">
        <v>0</v>
      </c>
      <c r="D230" s="27">
        <f>C230</f>
        <v>0</v>
      </c>
      <c r="E230" s="54">
        <f>+C230-D230</f>
        <v>0</v>
      </c>
      <c r="F230" s="54">
        <v>0</v>
      </c>
      <c r="G230" s="27">
        <f t="shared" si="183"/>
        <v>0</v>
      </c>
      <c r="H230" s="54">
        <v>0</v>
      </c>
      <c r="I230" s="27">
        <f>+G230+H230</f>
        <v>0</v>
      </c>
      <c r="J230" s="51">
        <f t="shared" si="185"/>
        <v>0</v>
      </c>
      <c r="K230" s="27">
        <f>IF(I230*J230=0,0, ROUND(I230*J230,0))</f>
        <v>0</v>
      </c>
      <c r="L230" s="18" t="s">
        <v>152</v>
      </c>
      <c r="M230" s="54">
        <v>0</v>
      </c>
      <c r="N230" s="27">
        <f t="shared" si="187"/>
        <v>0</v>
      </c>
    </row>
    <row r="231" spans="1:14" x14ac:dyDescent="0.25">
      <c r="A231" s="18">
        <f t="shared" si="113"/>
        <v>189</v>
      </c>
      <c r="B231" s="17" t="s">
        <v>81</v>
      </c>
      <c r="C231" s="54">
        <v>192931</v>
      </c>
      <c r="D231" s="54">
        <f>C231</f>
        <v>192931</v>
      </c>
      <c r="E231" s="54">
        <f t="shared" si="182"/>
        <v>0</v>
      </c>
      <c r="F231" s="54">
        <v>0</v>
      </c>
      <c r="G231" s="27">
        <f t="shared" si="183"/>
        <v>0</v>
      </c>
      <c r="H231" s="54">
        <v>0</v>
      </c>
      <c r="I231" s="27">
        <f t="shared" si="184"/>
        <v>0</v>
      </c>
      <c r="J231" s="51">
        <f t="shared" si="185"/>
        <v>0</v>
      </c>
      <c r="K231" s="27">
        <f t="shared" si="186"/>
        <v>0</v>
      </c>
      <c r="L231" s="18" t="s">
        <v>152</v>
      </c>
      <c r="M231" s="54">
        <v>0</v>
      </c>
      <c r="N231" s="27">
        <f t="shared" si="187"/>
        <v>0</v>
      </c>
    </row>
    <row r="232" spans="1:14" x14ac:dyDescent="0.25">
      <c r="A232" s="18">
        <f t="shared" si="113"/>
        <v>190</v>
      </c>
      <c r="B232" s="17" t="s">
        <v>281</v>
      </c>
      <c r="C232" s="54">
        <v>0</v>
      </c>
      <c r="D232" s="27">
        <v>0</v>
      </c>
      <c r="E232" s="54">
        <f>+C232-D232</f>
        <v>0</v>
      </c>
      <c r="F232" s="54">
        <v>0</v>
      </c>
      <c r="G232" s="27">
        <f t="shared" si="183"/>
        <v>0</v>
      </c>
      <c r="H232" s="54">
        <v>0</v>
      </c>
      <c r="I232" s="27">
        <f>+G232+H232</f>
        <v>0</v>
      </c>
      <c r="J232" s="51">
        <f t="shared" si="185"/>
        <v>0.99</v>
      </c>
      <c r="K232" s="27">
        <f>IF(I232*J232=0,0, ROUND(I232*J232,0))</f>
        <v>0</v>
      </c>
      <c r="L232" s="18" t="s">
        <v>154</v>
      </c>
      <c r="M232" s="54">
        <v>0</v>
      </c>
      <c r="N232" s="27">
        <f t="shared" si="187"/>
        <v>0</v>
      </c>
    </row>
    <row r="233" spans="1:14" x14ac:dyDescent="0.25">
      <c r="A233" s="18">
        <f t="shared" si="113"/>
        <v>191</v>
      </c>
      <c r="B233" s="56" t="s">
        <v>258</v>
      </c>
      <c r="C233" s="54">
        <v>0</v>
      </c>
      <c r="D233" s="54">
        <v>0</v>
      </c>
      <c r="E233" s="54">
        <f t="shared" si="182"/>
        <v>0</v>
      </c>
      <c r="F233" s="54">
        <v>0</v>
      </c>
      <c r="G233" s="27">
        <f t="shared" si="183"/>
        <v>0</v>
      </c>
      <c r="H233" s="54">
        <v>0</v>
      </c>
      <c r="I233" s="27">
        <f>+G233+H233</f>
        <v>0</v>
      </c>
      <c r="J233" s="51">
        <f t="shared" si="185"/>
        <v>0</v>
      </c>
      <c r="K233" s="27">
        <f>IF(I233*J233=0,0, ROUND(I233*J233,0))</f>
        <v>0</v>
      </c>
      <c r="L233" s="83" t="s">
        <v>152</v>
      </c>
      <c r="M233" s="54">
        <v>0</v>
      </c>
      <c r="N233" s="27">
        <f t="shared" si="187"/>
        <v>0</v>
      </c>
    </row>
    <row r="234" spans="1:14" x14ac:dyDescent="0.25">
      <c r="A234" s="18">
        <f t="shared" si="113"/>
        <v>192</v>
      </c>
      <c r="B234" s="17" t="s">
        <v>82</v>
      </c>
      <c r="C234" s="54">
        <v>0</v>
      </c>
      <c r="D234" s="54">
        <v>0</v>
      </c>
      <c r="E234" s="54">
        <f t="shared" si="182"/>
        <v>0</v>
      </c>
      <c r="F234" s="54">
        <v>0</v>
      </c>
      <c r="G234" s="27">
        <f t="shared" si="183"/>
        <v>0</v>
      </c>
      <c r="H234" s="27">
        <v>0</v>
      </c>
      <c r="I234" s="27">
        <f t="shared" si="184"/>
        <v>0</v>
      </c>
      <c r="J234" s="51">
        <f t="shared" si="185"/>
        <v>0.98499999999999999</v>
      </c>
      <c r="K234" s="27">
        <f t="shared" si="186"/>
        <v>0</v>
      </c>
      <c r="L234" s="18" t="s">
        <v>149</v>
      </c>
      <c r="M234" s="27">
        <v>0</v>
      </c>
      <c r="N234" s="27">
        <f t="shared" si="187"/>
        <v>0</v>
      </c>
    </row>
    <row r="235" spans="1:14" x14ac:dyDescent="0.25">
      <c r="A235" s="139"/>
      <c r="B235" s="125" t="s">
        <v>383</v>
      </c>
      <c r="C235" s="54">
        <v>-18382</v>
      </c>
      <c r="D235" s="82">
        <v>0</v>
      </c>
      <c r="E235" s="82">
        <f t="shared" si="182"/>
        <v>-18382</v>
      </c>
      <c r="F235" s="54">
        <v>0</v>
      </c>
      <c r="G235" s="27">
        <f t="shared" si="183"/>
        <v>-18382</v>
      </c>
      <c r="H235" s="54">
        <v>0</v>
      </c>
      <c r="I235" s="41">
        <f t="shared" si="184"/>
        <v>-18382</v>
      </c>
      <c r="J235" s="51">
        <f>VLOOKUP(L235,$C$308:$D$322,2,FALSE)</f>
        <v>0.98499999999999999</v>
      </c>
      <c r="K235" s="27">
        <f t="shared" si="186"/>
        <v>-18106</v>
      </c>
      <c r="L235" s="139" t="s">
        <v>225</v>
      </c>
      <c r="M235" s="54">
        <v>0</v>
      </c>
      <c r="N235" s="27">
        <f t="shared" si="187"/>
        <v>-18106</v>
      </c>
    </row>
    <row r="236" spans="1:14" x14ac:dyDescent="0.25">
      <c r="A236" s="18">
        <f>+A234+1</f>
        <v>193</v>
      </c>
      <c r="B236" s="56" t="s">
        <v>259</v>
      </c>
      <c r="C236" s="54">
        <v>66465</v>
      </c>
      <c r="D236" s="54">
        <v>0</v>
      </c>
      <c r="E236" s="54">
        <f t="shared" si="182"/>
        <v>66465</v>
      </c>
      <c r="F236" s="54">
        <v>0</v>
      </c>
      <c r="G236" s="27">
        <f t="shared" si="183"/>
        <v>66465</v>
      </c>
      <c r="H236" s="54">
        <v>0</v>
      </c>
      <c r="I236" s="27">
        <f>+G236+H236</f>
        <v>66465</v>
      </c>
      <c r="J236" s="51">
        <f>VLOOKUP(L236,$C$308:$D$322,2,FALSE)</f>
        <v>0</v>
      </c>
      <c r="K236" s="27">
        <f>IF(I236*J236=0,0, ROUND(I236*J236,0))</f>
        <v>0</v>
      </c>
      <c r="L236" s="83" t="s">
        <v>152</v>
      </c>
      <c r="M236" s="54">
        <v>0</v>
      </c>
      <c r="N236" s="27">
        <f t="shared" si="187"/>
        <v>0</v>
      </c>
    </row>
    <row r="237" spans="1:14" ht="13" x14ac:dyDescent="0.3">
      <c r="A237" s="18">
        <f t="shared" si="113"/>
        <v>194</v>
      </c>
      <c r="B237" s="75" t="s">
        <v>83</v>
      </c>
      <c r="C237" s="78">
        <f t="shared" ref="C237:I237" si="191">SUM(C225:C236)</f>
        <v>473764</v>
      </c>
      <c r="D237" s="78">
        <f t="shared" si="191"/>
        <v>193360</v>
      </c>
      <c r="E237" s="78">
        <f t="shared" si="191"/>
        <v>280404</v>
      </c>
      <c r="F237" s="78">
        <f t="shared" si="191"/>
        <v>0</v>
      </c>
      <c r="G237" s="78">
        <f t="shared" si="191"/>
        <v>280404</v>
      </c>
      <c r="H237" s="78">
        <f t="shared" si="191"/>
        <v>0</v>
      </c>
      <c r="I237" s="78">
        <f t="shared" si="191"/>
        <v>280404</v>
      </c>
      <c r="J237" s="24"/>
      <c r="K237" s="78">
        <f>SUM(K225:K236)</f>
        <v>211195</v>
      </c>
      <c r="M237" s="78">
        <f>SUM(M225:M236)</f>
        <v>0</v>
      </c>
      <c r="N237" s="78">
        <f>SUM(N225:N236)</f>
        <v>211195</v>
      </c>
    </row>
    <row r="238" spans="1:14" x14ac:dyDescent="0.25">
      <c r="A238" s="18">
        <f t="shared" si="113"/>
        <v>195</v>
      </c>
      <c r="B238" s="17" t="s">
        <v>0</v>
      </c>
      <c r="C238" s="54"/>
      <c r="J238" s="81"/>
      <c r="K238" s="76"/>
    </row>
    <row r="239" spans="1:14" ht="13" x14ac:dyDescent="0.3">
      <c r="A239" s="18">
        <f t="shared" si="113"/>
        <v>196</v>
      </c>
      <c r="B239" s="75" t="s">
        <v>84</v>
      </c>
      <c r="C239" s="54"/>
      <c r="J239" s="81"/>
      <c r="K239" s="76"/>
    </row>
    <row r="240" spans="1:14" x14ac:dyDescent="0.25">
      <c r="A240" s="18">
        <f t="shared" si="113"/>
        <v>197</v>
      </c>
      <c r="B240" s="17" t="s">
        <v>85</v>
      </c>
      <c r="C240" s="54">
        <v>-124055</v>
      </c>
      <c r="D240" s="54">
        <v>0</v>
      </c>
      <c r="E240" s="54">
        <f>+C240-D240</f>
        <v>-124055</v>
      </c>
      <c r="F240" s="54">
        <v>0</v>
      </c>
      <c r="G240" s="27">
        <f t="shared" ref="G240:G241" si="192">+E240+F240</f>
        <v>-124055</v>
      </c>
      <c r="H240" s="54">
        <v>0</v>
      </c>
      <c r="I240" s="27">
        <f>+G240+H240</f>
        <v>-124055</v>
      </c>
      <c r="J240" s="51">
        <f>VLOOKUP(L240,$C$308:$D$322,2,FALSE)</f>
        <v>0.98499999999999999</v>
      </c>
      <c r="K240" s="27">
        <f>IF(I240*J240=0,0, ROUND(I240*J240,0))</f>
        <v>-122194</v>
      </c>
      <c r="L240" s="18" t="s">
        <v>225</v>
      </c>
      <c r="M240" s="54">
        <v>0</v>
      </c>
      <c r="N240" s="27">
        <f t="shared" ref="N240:N241" si="193">K240+M240</f>
        <v>-122194</v>
      </c>
    </row>
    <row r="241" spans="1:14" x14ac:dyDescent="0.25">
      <c r="A241" s="18">
        <f t="shared" ref="A241:A297" si="194">+A240+1</f>
        <v>198</v>
      </c>
      <c r="B241" s="17" t="s">
        <v>86</v>
      </c>
      <c r="C241" s="54">
        <v>0</v>
      </c>
      <c r="D241" s="82">
        <v>0</v>
      </c>
      <c r="E241" s="82">
        <f>+C241-D241</f>
        <v>0</v>
      </c>
      <c r="F241" s="54">
        <v>0</v>
      </c>
      <c r="G241" s="27">
        <f t="shared" si="192"/>
        <v>0</v>
      </c>
      <c r="H241" s="54">
        <v>0</v>
      </c>
      <c r="I241" s="82">
        <f>+G241+H241</f>
        <v>0</v>
      </c>
      <c r="J241" s="51">
        <f>VLOOKUP(L241,$C$308:$D$322,2,FALSE)</f>
        <v>0.98499999999999999</v>
      </c>
      <c r="K241" s="27">
        <f>IF(I241*J241=0,0, ROUND(I241*J241,0))</f>
        <v>0</v>
      </c>
      <c r="L241" s="18" t="s">
        <v>225</v>
      </c>
      <c r="M241" s="54">
        <v>0</v>
      </c>
      <c r="N241" s="27">
        <f t="shared" si="193"/>
        <v>0</v>
      </c>
    </row>
    <row r="242" spans="1:14" ht="13" x14ac:dyDescent="0.3">
      <c r="A242" s="18">
        <f t="shared" si="194"/>
        <v>199</v>
      </c>
      <c r="B242" s="75" t="s">
        <v>87</v>
      </c>
      <c r="C242" s="78">
        <f t="shared" ref="C242:I242" si="195">SUM(C240:C241)</f>
        <v>-124055</v>
      </c>
      <c r="D242" s="78">
        <f t="shared" si="195"/>
        <v>0</v>
      </c>
      <c r="E242" s="78">
        <f t="shared" si="195"/>
        <v>-124055</v>
      </c>
      <c r="F242" s="78">
        <f t="shared" si="195"/>
        <v>0</v>
      </c>
      <c r="G242" s="78">
        <f t="shared" si="195"/>
        <v>-124055</v>
      </c>
      <c r="H242" s="78">
        <f t="shared" si="195"/>
        <v>0</v>
      </c>
      <c r="I242" s="78">
        <f t="shared" si="195"/>
        <v>-124055</v>
      </c>
      <c r="J242" s="24"/>
      <c r="K242" s="78">
        <f>SUM(K240:K241)</f>
        <v>-122194</v>
      </c>
      <c r="M242" s="78">
        <f t="shared" ref="M242:N242" si="196">SUM(M240:M241)</f>
        <v>0</v>
      </c>
      <c r="N242" s="78">
        <f t="shared" si="196"/>
        <v>-122194</v>
      </c>
    </row>
    <row r="243" spans="1:14" x14ac:dyDescent="0.25">
      <c r="A243" s="18">
        <f t="shared" si="194"/>
        <v>200</v>
      </c>
      <c r="B243" s="17" t="s">
        <v>0</v>
      </c>
      <c r="C243" s="54"/>
      <c r="J243" s="81"/>
      <c r="K243" s="76"/>
    </row>
    <row r="244" spans="1:14" ht="13" x14ac:dyDescent="0.3">
      <c r="A244" s="18">
        <f t="shared" si="194"/>
        <v>201</v>
      </c>
      <c r="B244" s="75" t="s">
        <v>88</v>
      </c>
      <c r="C244" s="54"/>
      <c r="J244" s="81"/>
      <c r="K244" s="76"/>
    </row>
    <row r="245" spans="1:14" x14ac:dyDescent="0.25">
      <c r="A245" s="18">
        <f t="shared" si="194"/>
        <v>202</v>
      </c>
      <c r="B245" s="17" t="s">
        <v>89</v>
      </c>
      <c r="C245" s="54">
        <v>-3718466</v>
      </c>
      <c r="D245" s="54">
        <v>0</v>
      </c>
      <c r="E245" s="54">
        <f>+C245-D245</f>
        <v>-3718466</v>
      </c>
      <c r="F245" s="54">
        <v>0</v>
      </c>
      <c r="G245" s="27">
        <f>+E245+F245</f>
        <v>-3718466</v>
      </c>
      <c r="H245" s="54">
        <v>0</v>
      </c>
      <c r="I245" s="27">
        <f>+G245+H245</f>
        <v>-3718466</v>
      </c>
      <c r="J245" s="51">
        <f>VLOOKUP(L245,$C$308:$D$322,2,FALSE)</f>
        <v>0.98499999999999999</v>
      </c>
      <c r="K245" s="27">
        <f>IF(I245*J245=0,0, ROUND(I245*J245,0))</f>
        <v>-3662689</v>
      </c>
      <c r="L245" s="18" t="s">
        <v>225</v>
      </c>
      <c r="M245" s="54">
        <v>0</v>
      </c>
      <c r="N245" s="27">
        <f>K245+M245</f>
        <v>-3662689</v>
      </c>
    </row>
    <row r="246" spans="1:14" ht="13" x14ac:dyDescent="0.3">
      <c r="A246" s="18">
        <f t="shared" si="194"/>
        <v>203</v>
      </c>
      <c r="B246" s="75" t="s">
        <v>90</v>
      </c>
      <c r="C246" s="78">
        <f t="shared" ref="C246:I246" si="197">SUM(C245:C245)</f>
        <v>-3718466</v>
      </c>
      <c r="D246" s="78">
        <f t="shared" si="197"/>
        <v>0</v>
      </c>
      <c r="E246" s="78">
        <f t="shared" si="197"/>
        <v>-3718466</v>
      </c>
      <c r="F246" s="78">
        <f t="shared" si="197"/>
        <v>0</v>
      </c>
      <c r="G246" s="78">
        <f t="shared" si="197"/>
        <v>-3718466</v>
      </c>
      <c r="H246" s="78">
        <f t="shared" si="197"/>
        <v>0</v>
      </c>
      <c r="I246" s="78">
        <f t="shared" si="197"/>
        <v>-3718466</v>
      </c>
      <c r="J246" s="24"/>
      <c r="K246" s="80">
        <f>SUM(K245:K245)</f>
        <v>-3662689</v>
      </c>
      <c r="M246" s="78">
        <f t="shared" ref="M246:N246" si="198">SUM(M245:M245)</f>
        <v>0</v>
      </c>
      <c r="N246" s="78">
        <f t="shared" si="198"/>
        <v>-3662689</v>
      </c>
    </row>
    <row r="247" spans="1:14" x14ac:dyDescent="0.25">
      <c r="A247" s="18">
        <f t="shared" si="194"/>
        <v>204</v>
      </c>
      <c r="B247" s="17" t="s">
        <v>0</v>
      </c>
      <c r="C247" s="54"/>
      <c r="J247" s="81"/>
      <c r="K247" s="76"/>
    </row>
    <row r="248" spans="1:14" ht="13" x14ac:dyDescent="0.3">
      <c r="A248" s="18">
        <f t="shared" si="194"/>
        <v>205</v>
      </c>
      <c r="B248" s="75" t="s">
        <v>91</v>
      </c>
      <c r="C248" s="54"/>
      <c r="J248" s="81"/>
      <c r="K248" s="76"/>
    </row>
    <row r="249" spans="1:14" x14ac:dyDescent="0.25">
      <c r="A249" s="18">
        <f t="shared" si="194"/>
        <v>206</v>
      </c>
      <c r="B249" s="17" t="s">
        <v>349</v>
      </c>
      <c r="C249" s="82">
        <v>37226</v>
      </c>
      <c r="D249" s="82">
        <v>0</v>
      </c>
      <c r="E249" s="82">
        <f>+C249-D249</f>
        <v>37226</v>
      </c>
      <c r="F249" s="82">
        <v>0</v>
      </c>
      <c r="G249" s="27">
        <f>+E249+F249</f>
        <v>37226</v>
      </c>
      <c r="H249" s="54">
        <v>0</v>
      </c>
      <c r="I249" s="82">
        <f>+G249+H249</f>
        <v>37226</v>
      </c>
      <c r="J249" s="51">
        <f>VLOOKUP(L249,$C$308:$D$322,2,FALSE)</f>
        <v>0.98499999999999999</v>
      </c>
      <c r="K249" s="27">
        <f>IF(I249*J249=0,0, ROUND(I249*J249,0))</f>
        <v>36668</v>
      </c>
      <c r="L249" s="18" t="s">
        <v>237</v>
      </c>
      <c r="M249" s="54">
        <v>0</v>
      </c>
      <c r="N249" s="27">
        <f>K249+M249</f>
        <v>36668</v>
      </c>
    </row>
    <row r="250" spans="1:14" ht="13" x14ac:dyDescent="0.3">
      <c r="A250" s="18">
        <f t="shared" si="194"/>
        <v>207</v>
      </c>
      <c r="B250" s="75" t="s">
        <v>92</v>
      </c>
      <c r="C250" s="78">
        <f t="shared" ref="C250:I250" si="199">SUM(C249:C249)</f>
        <v>37226</v>
      </c>
      <c r="D250" s="78">
        <f t="shared" si="199"/>
        <v>0</v>
      </c>
      <c r="E250" s="78">
        <f t="shared" si="199"/>
        <v>37226</v>
      </c>
      <c r="F250" s="78">
        <f t="shared" si="199"/>
        <v>0</v>
      </c>
      <c r="G250" s="78">
        <f t="shared" si="199"/>
        <v>37226</v>
      </c>
      <c r="H250" s="78">
        <f t="shared" si="199"/>
        <v>0</v>
      </c>
      <c r="I250" s="78">
        <f t="shared" si="199"/>
        <v>37226</v>
      </c>
      <c r="J250" s="24"/>
      <c r="K250" s="80">
        <f>SUM(K249:K249)</f>
        <v>36668</v>
      </c>
      <c r="M250" s="78">
        <f t="shared" ref="M250:N250" si="200">SUM(M249:M249)</f>
        <v>0</v>
      </c>
      <c r="N250" s="78">
        <f t="shared" si="200"/>
        <v>36668</v>
      </c>
    </row>
    <row r="251" spans="1:14" x14ac:dyDescent="0.25">
      <c r="A251" s="18">
        <f t="shared" si="194"/>
        <v>208</v>
      </c>
      <c r="B251" s="17" t="s">
        <v>0</v>
      </c>
      <c r="C251" s="54"/>
      <c r="J251" s="81"/>
      <c r="K251" s="76"/>
    </row>
    <row r="252" spans="1:14" ht="13" x14ac:dyDescent="0.3">
      <c r="A252" s="18">
        <f t="shared" si="194"/>
        <v>209</v>
      </c>
      <c r="B252" s="75" t="s">
        <v>93</v>
      </c>
      <c r="C252" s="54"/>
      <c r="J252" s="81"/>
      <c r="K252" s="76"/>
    </row>
    <row r="253" spans="1:14" x14ac:dyDescent="0.25">
      <c r="A253" s="18">
        <f t="shared" si="194"/>
        <v>210</v>
      </c>
      <c r="B253" s="17" t="s">
        <v>94</v>
      </c>
      <c r="C253" s="54">
        <v>0</v>
      </c>
      <c r="D253" s="54">
        <f>C253</f>
        <v>0</v>
      </c>
      <c r="E253" s="54">
        <f t="shared" ref="E253:E263" si="201">+C253-D253</f>
        <v>0</v>
      </c>
      <c r="F253" s="54">
        <v>0</v>
      </c>
      <c r="G253" s="27">
        <f t="shared" ref="G253:G263" si="202">+E253+F253</f>
        <v>0</v>
      </c>
      <c r="H253" s="54">
        <v>0</v>
      </c>
      <c r="I253" s="27">
        <f t="shared" ref="I253:I263" si="203">+G253+H253</f>
        <v>0</v>
      </c>
      <c r="J253" s="51">
        <f t="shared" ref="J253:J263" si="204">VLOOKUP(L253,$C$308:$D$322,2,FALSE)</f>
        <v>0</v>
      </c>
      <c r="K253" s="27">
        <f t="shared" ref="K253:K263" si="205">IF(I253*J253=0,0, ROUND(I253*J253,0))</f>
        <v>0</v>
      </c>
      <c r="L253" s="83" t="s">
        <v>238</v>
      </c>
      <c r="M253" s="54">
        <v>0</v>
      </c>
      <c r="N253" s="27">
        <f t="shared" ref="N253:N263" si="206">K253+M253</f>
        <v>0</v>
      </c>
    </row>
    <row r="254" spans="1:14" x14ac:dyDescent="0.25">
      <c r="A254" s="18">
        <f t="shared" si="194"/>
        <v>211</v>
      </c>
      <c r="B254" s="17" t="s">
        <v>95</v>
      </c>
      <c r="C254" s="54">
        <v>6372725</v>
      </c>
      <c r="D254" s="54">
        <v>0</v>
      </c>
      <c r="E254" s="54">
        <f t="shared" si="201"/>
        <v>6372725</v>
      </c>
      <c r="F254" s="54">
        <v>0</v>
      </c>
      <c r="G254" s="27">
        <f t="shared" si="202"/>
        <v>6372725</v>
      </c>
      <c r="H254" s="54">
        <v>0</v>
      </c>
      <c r="I254" s="27">
        <f t="shared" si="203"/>
        <v>6372725</v>
      </c>
      <c r="J254" s="51">
        <f t="shared" si="204"/>
        <v>0.98599999999999999</v>
      </c>
      <c r="K254" s="27">
        <f t="shared" si="205"/>
        <v>6283507</v>
      </c>
      <c r="L254" s="18" t="s">
        <v>151</v>
      </c>
      <c r="M254" s="54">
        <v>0</v>
      </c>
      <c r="N254" s="27">
        <f t="shared" si="206"/>
        <v>6283507</v>
      </c>
    </row>
    <row r="255" spans="1:14" x14ac:dyDescent="0.25">
      <c r="A255" s="18">
        <f t="shared" si="194"/>
        <v>212</v>
      </c>
      <c r="B255" s="17" t="s">
        <v>96</v>
      </c>
      <c r="C255" s="54">
        <v>0</v>
      </c>
      <c r="D255" s="54">
        <v>0</v>
      </c>
      <c r="E255" s="54">
        <f t="shared" si="201"/>
        <v>0</v>
      </c>
      <c r="F255" s="54">
        <v>0</v>
      </c>
      <c r="G255" s="27">
        <f t="shared" si="202"/>
        <v>0</v>
      </c>
      <c r="H255" s="54">
        <v>0</v>
      </c>
      <c r="I255" s="27">
        <f t="shared" si="203"/>
        <v>0</v>
      </c>
      <c r="J255" s="51">
        <f t="shared" si="204"/>
        <v>0</v>
      </c>
      <c r="K255" s="27">
        <f t="shared" si="205"/>
        <v>0</v>
      </c>
      <c r="L255" s="83" t="s">
        <v>238</v>
      </c>
      <c r="M255" s="54">
        <v>0</v>
      </c>
      <c r="N255" s="27">
        <f t="shared" si="206"/>
        <v>0</v>
      </c>
    </row>
    <row r="256" spans="1:14" x14ac:dyDescent="0.25">
      <c r="A256" s="18">
        <f t="shared" si="194"/>
        <v>213</v>
      </c>
      <c r="B256" s="17" t="s">
        <v>97</v>
      </c>
      <c r="C256" s="54">
        <v>0</v>
      </c>
      <c r="D256" s="54">
        <v>0</v>
      </c>
      <c r="E256" s="54">
        <f t="shared" si="201"/>
        <v>0</v>
      </c>
      <c r="F256" s="54">
        <v>0</v>
      </c>
      <c r="G256" s="27">
        <f t="shared" si="202"/>
        <v>0</v>
      </c>
      <c r="H256" s="54">
        <v>0</v>
      </c>
      <c r="I256" s="27">
        <f t="shared" si="203"/>
        <v>0</v>
      </c>
      <c r="J256" s="51">
        <f t="shared" si="204"/>
        <v>0</v>
      </c>
      <c r="K256" s="27">
        <f t="shared" si="205"/>
        <v>0</v>
      </c>
      <c r="L256" s="83" t="s">
        <v>238</v>
      </c>
      <c r="M256" s="54">
        <v>0</v>
      </c>
      <c r="N256" s="27">
        <f t="shared" si="206"/>
        <v>0</v>
      </c>
    </row>
    <row r="257" spans="1:14" x14ac:dyDescent="0.25">
      <c r="A257" s="18">
        <f t="shared" si="194"/>
        <v>214</v>
      </c>
      <c r="B257" s="17" t="s">
        <v>98</v>
      </c>
      <c r="C257" s="54">
        <v>287340</v>
      </c>
      <c r="D257" s="54">
        <v>0</v>
      </c>
      <c r="E257" s="54">
        <f t="shared" si="201"/>
        <v>287340</v>
      </c>
      <c r="F257" s="54">
        <v>0</v>
      </c>
      <c r="G257" s="27">
        <f t="shared" si="202"/>
        <v>287340</v>
      </c>
      <c r="H257" s="54">
        <v>0</v>
      </c>
      <c r="I257" s="27">
        <f t="shared" si="203"/>
        <v>287340</v>
      </c>
      <c r="J257" s="51">
        <f t="shared" si="204"/>
        <v>0.98599999999999999</v>
      </c>
      <c r="K257" s="27">
        <f t="shared" si="205"/>
        <v>283317</v>
      </c>
      <c r="L257" s="18" t="s">
        <v>151</v>
      </c>
      <c r="M257" s="54">
        <v>0</v>
      </c>
      <c r="N257" s="27">
        <f t="shared" si="206"/>
        <v>283317</v>
      </c>
    </row>
    <row r="258" spans="1:14" x14ac:dyDescent="0.25">
      <c r="A258" s="18">
        <f t="shared" si="194"/>
        <v>215</v>
      </c>
      <c r="B258" s="17" t="s">
        <v>99</v>
      </c>
      <c r="C258" s="54">
        <v>0</v>
      </c>
      <c r="D258" s="54">
        <v>0</v>
      </c>
      <c r="E258" s="54">
        <f t="shared" si="201"/>
        <v>0</v>
      </c>
      <c r="F258" s="54">
        <v>0</v>
      </c>
      <c r="G258" s="27">
        <f t="shared" si="202"/>
        <v>0</v>
      </c>
      <c r="H258" s="54">
        <v>0</v>
      </c>
      <c r="I258" s="27">
        <f t="shared" si="203"/>
        <v>0</v>
      </c>
      <c r="J258" s="51">
        <f t="shared" si="204"/>
        <v>0.98599999999999999</v>
      </c>
      <c r="K258" s="27">
        <f t="shared" si="205"/>
        <v>0</v>
      </c>
      <c r="L258" s="18" t="s">
        <v>151</v>
      </c>
      <c r="M258" s="54">
        <v>0</v>
      </c>
      <c r="N258" s="27">
        <f t="shared" si="206"/>
        <v>0</v>
      </c>
    </row>
    <row r="259" spans="1:14" x14ac:dyDescent="0.25">
      <c r="A259" s="18">
        <f t="shared" si="194"/>
        <v>216</v>
      </c>
      <c r="B259" s="17" t="s">
        <v>100</v>
      </c>
      <c r="C259" s="54">
        <v>9181</v>
      </c>
      <c r="D259" s="54">
        <v>0</v>
      </c>
      <c r="E259" s="54">
        <f t="shared" si="201"/>
        <v>9181</v>
      </c>
      <c r="F259" s="54">
        <v>0</v>
      </c>
      <c r="G259" s="27">
        <f t="shared" si="202"/>
        <v>9181</v>
      </c>
      <c r="H259" s="54">
        <v>0</v>
      </c>
      <c r="I259" s="27">
        <f t="shared" si="203"/>
        <v>9181</v>
      </c>
      <c r="J259" s="51">
        <f t="shared" si="204"/>
        <v>0.98599999999999999</v>
      </c>
      <c r="K259" s="27">
        <f t="shared" si="205"/>
        <v>9052</v>
      </c>
      <c r="L259" s="18" t="s">
        <v>151</v>
      </c>
      <c r="M259" s="54">
        <v>0</v>
      </c>
      <c r="N259" s="27">
        <f t="shared" si="206"/>
        <v>9052</v>
      </c>
    </row>
    <row r="260" spans="1:14" x14ac:dyDescent="0.25">
      <c r="A260" s="18">
        <f t="shared" si="194"/>
        <v>217</v>
      </c>
      <c r="B260" s="17" t="s">
        <v>260</v>
      </c>
      <c r="C260" s="54">
        <v>0</v>
      </c>
      <c r="D260" s="54">
        <v>0</v>
      </c>
      <c r="E260" s="54">
        <f t="shared" si="201"/>
        <v>0</v>
      </c>
      <c r="F260" s="54">
        <v>0</v>
      </c>
      <c r="G260" s="27">
        <f t="shared" si="202"/>
        <v>0</v>
      </c>
      <c r="H260" s="54">
        <v>0</v>
      </c>
      <c r="I260" s="27">
        <f>+G260+H260</f>
        <v>0</v>
      </c>
      <c r="J260" s="51">
        <f t="shared" si="204"/>
        <v>0.98599999999999999</v>
      </c>
      <c r="K260" s="27">
        <f>IF(I260*J260=0,0, ROUND(I260*J260,0))</f>
        <v>0</v>
      </c>
      <c r="L260" s="84" t="s">
        <v>151</v>
      </c>
      <c r="M260" s="54">
        <v>0</v>
      </c>
      <c r="N260" s="27">
        <f t="shared" si="206"/>
        <v>0</v>
      </c>
    </row>
    <row r="261" spans="1:14" x14ac:dyDescent="0.25">
      <c r="A261" s="18">
        <f t="shared" si="194"/>
        <v>218</v>
      </c>
      <c r="B261" s="17" t="s">
        <v>101</v>
      </c>
      <c r="C261" s="54">
        <v>0</v>
      </c>
      <c r="D261" s="54">
        <f t="shared" ref="D261:D262" si="207">C261</f>
        <v>0</v>
      </c>
      <c r="E261" s="54">
        <f t="shared" si="201"/>
        <v>0</v>
      </c>
      <c r="F261" s="54">
        <v>0</v>
      </c>
      <c r="G261" s="27">
        <f t="shared" si="202"/>
        <v>0</v>
      </c>
      <c r="H261" s="54">
        <v>0</v>
      </c>
      <c r="I261" s="27">
        <f t="shared" si="203"/>
        <v>0</v>
      </c>
      <c r="J261" s="51">
        <f t="shared" si="204"/>
        <v>0</v>
      </c>
      <c r="K261" s="27">
        <f t="shared" si="205"/>
        <v>0</v>
      </c>
      <c r="L261" s="83" t="s">
        <v>238</v>
      </c>
      <c r="M261" s="54">
        <v>0</v>
      </c>
      <c r="N261" s="27">
        <f t="shared" si="206"/>
        <v>0</v>
      </c>
    </row>
    <row r="262" spans="1:14" x14ac:dyDescent="0.25">
      <c r="A262" s="18">
        <f t="shared" si="194"/>
        <v>219</v>
      </c>
      <c r="B262" s="17" t="s">
        <v>261</v>
      </c>
      <c r="C262" s="54">
        <v>0</v>
      </c>
      <c r="D262" s="54">
        <f t="shared" si="207"/>
        <v>0</v>
      </c>
      <c r="E262" s="54">
        <f t="shared" si="201"/>
        <v>0</v>
      </c>
      <c r="F262" s="54">
        <v>0</v>
      </c>
      <c r="G262" s="27">
        <f t="shared" si="202"/>
        <v>0</v>
      </c>
      <c r="H262" s="54">
        <v>0</v>
      </c>
      <c r="I262" s="27">
        <f>+G262+H262</f>
        <v>0</v>
      </c>
      <c r="J262" s="51">
        <f t="shared" si="204"/>
        <v>0</v>
      </c>
      <c r="K262" s="27">
        <f>IF(I262*J262=0,0, ROUND(I262*J262,0))</f>
        <v>0</v>
      </c>
      <c r="L262" s="83" t="s">
        <v>238</v>
      </c>
      <c r="M262" s="54">
        <v>0</v>
      </c>
      <c r="N262" s="27">
        <f t="shared" si="206"/>
        <v>0</v>
      </c>
    </row>
    <row r="263" spans="1:14" x14ac:dyDescent="0.25">
      <c r="A263" s="18">
        <f t="shared" si="194"/>
        <v>220</v>
      </c>
      <c r="B263" s="17" t="s">
        <v>102</v>
      </c>
      <c r="C263" s="82">
        <v>-3290753</v>
      </c>
      <c r="D263" s="82">
        <v>0</v>
      </c>
      <c r="E263" s="82">
        <f t="shared" si="201"/>
        <v>-3290753</v>
      </c>
      <c r="F263" s="54">
        <v>0</v>
      </c>
      <c r="G263" s="27">
        <f t="shared" si="202"/>
        <v>-3290753</v>
      </c>
      <c r="H263" s="54">
        <v>0</v>
      </c>
      <c r="I263" s="41">
        <f t="shared" si="203"/>
        <v>-3290753</v>
      </c>
      <c r="J263" s="51">
        <f t="shared" si="204"/>
        <v>0.98599999999999999</v>
      </c>
      <c r="K263" s="27">
        <f t="shared" si="205"/>
        <v>-3244682</v>
      </c>
      <c r="L263" s="18" t="s">
        <v>151</v>
      </c>
      <c r="M263" s="54">
        <v>0</v>
      </c>
      <c r="N263" s="27">
        <f t="shared" si="206"/>
        <v>-3244682</v>
      </c>
    </row>
    <row r="264" spans="1:14" ht="13" x14ac:dyDescent="0.3">
      <c r="A264" s="18">
        <f t="shared" si="194"/>
        <v>221</v>
      </c>
      <c r="B264" s="75" t="s">
        <v>103</v>
      </c>
      <c r="C264" s="78">
        <f t="shared" ref="C264:I264" si="208">SUM(C253:C263)</f>
        <v>3378493</v>
      </c>
      <c r="D264" s="78">
        <f t="shared" si="208"/>
        <v>0</v>
      </c>
      <c r="E264" s="78">
        <f t="shared" si="208"/>
        <v>3378493</v>
      </c>
      <c r="F264" s="78">
        <f t="shared" si="208"/>
        <v>0</v>
      </c>
      <c r="G264" s="78">
        <f t="shared" si="208"/>
        <v>3378493</v>
      </c>
      <c r="H264" s="78">
        <f t="shared" si="208"/>
        <v>0</v>
      </c>
      <c r="I264" s="78">
        <f t="shared" si="208"/>
        <v>3378493</v>
      </c>
      <c r="J264" s="24"/>
      <c r="K264" s="80">
        <f>SUM(K253:K263)</f>
        <v>3331194</v>
      </c>
      <c r="M264" s="78">
        <f t="shared" ref="M264:N264" si="209">SUM(M253:M263)</f>
        <v>0</v>
      </c>
      <c r="N264" s="78">
        <f t="shared" si="209"/>
        <v>3331194</v>
      </c>
    </row>
    <row r="265" spans="1:14" x14ac:dyDescent="0.25">
      <c r="A265" s="18">
        <f t="shared" si="194"/>
        <v>222</v>
      </c>
      <c r="B265" s="17" t="s">
        <v>0</v>
      </c>
      <c r="C265" s="54"/>
      <c r="J265" s="81"/>
      <c r="K265" s="76"/>
    </row>
    <row r="266" spans="1:14" ht="13" x14ac:dyDescent="0.3">
      <c r="A266" s="18">
        <f t="shared" si="194"/>
        <v>223</v>
      </c>
      <c r="B266" s="75" t="s">
        <v>104</v>
      </c>
      <c r="C266" s="54"/>
      <c r="J266" s="81"/>
      <c r="K266" s="76"/>
    </row>
    <row r="267" spans="1:14" x14ac:dyDescent="0.25">
      <c r="A267" s="18">
        <f t="shared" si="194"/>
        <v>224</v>
      </c>
      <c r="B267" s="17" t="s">
        <v>105</v>
      </c>
      <c r="C267" s="54">
        <v>320607</v>
      </c>
      <c r="D267" s="54">
        <v>0</v>
      </c>
      <c r="E267" s="54">
        <f t="shared" ref="E267:E273" si="210">+C267-D267</f>
        <v>320607</v>
      </c>
      <c r="F267" s="54">
        <v>0</v>
      </c>
      <c r="G267" s="27">
        <f t="shared" ref="G267:G273" si="211">+E267+F267</f>
        <v>320607</v>
      </c>
      <c r="H267" s="54">
        <v>0</v>
      </c>
      <c r="I267" s="27">
        <f t="shared" ref="I267:I273" si="212">+G267+H267</f>
        <v>320607</v>
      </c>
      <c r="J267" s="51">
        <f t="shared" ref="J267:J273" si="213">VLOOKUP(L267,$C$308:$D$322,2,FALSE)</f>
        <v>0.98599999999999999</v>
      </c>
      <c r="K267" s="27">
        <f t="shared" ref="K267:K273" si="214">IF(I267*J267=0,0, ROUND(I267*J267,0))</f>
        <v>316119</v>
      </c>
      <c r="L267" s="18" t="s">
        <v>151</v>
      </c>
      <c r="M267" s="54">
        <v>0</v>
      </c>
      <c r="N267" s="27">
        <f t="shared" ref="N267:N273" si="215">K267+M267</f>
        <v>316119</v>
      </c>
    </row>
    <row r="268" spans="1:14" x14ac:dyDescent="0.25">
      <c r="A268" s="18">
        <f t="shared" si="194"/>
        <v>225</v>
      </c>
      <c r="B268" s="17" t="s">
        <v>265</v>
      </c>
      <c r="C268" s="54">
        <v>0</v>
      </c>
      <c r="D268" s="54">
        <v>0</v>
      </c>
      <c r="E268" s="54">
        <f t="shared" si="210"/>
        <v>0</v>
      </c>
      <c r="F268" s="54">
        <v>0</v>
      </c>
      <c r="G268" s="27">
        <f t="shared" si="211"/>
        <v>0</v>
      </c>
      <c r="H268" s="54">
        <v>0</v>
      </c>
      <c r="I268" s="27">
        <f t="shared" si="212"/>
        <v>0</v>
      </c>
      <c r="J268" s="51">
        <f t="shared" si="213"/>
        <v>0.98599999999999999</v>
      </c>
      <c r="K268" s="27">
        <f t="shared" si="214"/>
        <v>0</v>
      </c>
      <c r="L268" s="83" t="s">
        <v>151</v>
      </c>
      <c r="M268" s="54">
        <v>0</v>
      </c>
      <c r="N268" s="27">
        <f t="shared" si="215"/>
        <v>0</v>
      </c>
    </row>
    <row r="269" spans="1:14" x14ac:dyDescent="0.25">
      <c r="A269" s="18">
        <f t="shared" si="194"/>
        <v>226</v>
      </c>
      <c r="B269" s="17" t="s">
        <v>262</v>
      </c>
      <c r="C269" s="54">
        <v>0</v>
      </c>
      <c r="D269" s="54">
        <f>C269</f>
        <v>0</v>
      </c>
      <c r="E269" s="54">
        <f t="shared" si="210"/>
        <v>0</v>
      </c>
      <c r="F269" s="54">
        <v>0</v>
      </c>
      <c r="G269" s="27">
        <f t="shared" si="211"/>
        <v>0</v>
      </c>
      <c r="H269" s="54">
        <v>0</v>
      </c>
      <c r="I269" s="27">
        <f t="shared" si="212"/>
        <v>0</v>
      </c>
      <c r="J269" s="51">
        <f t="shared" si="213"/>
        <v>0</v>
      </c>
      <c r="K269" s="27">
        <f t="shared" si="214"/>
        <v>0</v>
      </c>
      <c r="L269" s="83" t="s">
        <v>238</v>
      </c>
      <c r="M269" s="54">
        <v>0</v>
      </c>
      <c r="N269" s="27">
        <f t="shared" si="215"/>
        <v>0</v>
      </c>
    </row>
    <row r="270" spans="1:14" x14ac:dyDescent="0.25">
      <c r="A270" s="18">
        <f t="shared" si="194"/>
        <v>227</v>
      </c>
      <c r="B270" s="17" t="s">
        <v>106</v>
      </c>
      <c r="C270" s="54">
        <v>0</v>
      </c>
      <c r="D270" s="54">
        <f>C270</f>
        <v>0</v>
      </c>
      <c r="E270" s="54">
        <f t="shared" si="210"/>
        <v>0</v>
      </c>
      <c r="F270" s="54">
        <v>0</v>
      </c>
      <c r="G270" s="27">
        <f t="shared" si="211"/>
        <v>0</v>
      </c>
      <c r="H270" s="54">
        <v>0</v>
      </c>
      <c r="I270" s="27">
        <f t="shared" si="212"/>
        <v>0</v>
      </c>
      <c r="J270" s="51">
        <f t="shared" si="213"/>
        <v>0</v>
      </c>
      <c r="K270" s="27">
        <f t="shared" si="214"/>
        <v>0</v>
      </c>
      <c r="L270" s="83" t="s">
        <v>238</v>
      </c>
      <c r="M270" s="54">
        <v>0</v>
      </c>
      <c r="N270" s="27">
        <f t="shared" si="215"/>
        <v>0</v>
      </c>
    </row>
    <row r="271" spans="1:14" x14ac:dyDescent="0.25">
      <c r="A271" s="18">
        <f t="shared" si="194"/>
        <v>228</v>
      </c>
      <c r="B271" s="17" t="s">
        <v>266</v>
      </c>
      <c r="C271" s="54">
        <v>0</v>
      </c>
      <c r="D271" s="54">
        <v>0</v>
      </c>
      <c r="E271" s="54">
        <f t="shared" si="210"/>
        <v>0</v>
      </c>
      <c r="F271" s="54">
        <v>0</v>
      </c>
      <c r="G271" s="27">
        <f t="shared" si="211"/>
        <v>0</v>
      </c>
      <c r="H271" s="54">
        <v>0</v>
      </c>
      <c r="I271" s="27">
        <f t="shared" si="212"/>
        <v>0</v>
      </c>
      <c r="J271" s="51">
        <f t="shared" si="213"/>
        <v>0.98599999999999999</v>
      </c>
      <c r="K271" s="27">
        <f t="shared" si="214"/>
        <v>0</v>
      </c>
      <c r="L271" s="83" t="s">
        <v>151</v>
      </c>
      <c r="M271" s="54">
        <v>0</v>
      </c>
      <c r="N271" s="27">
        <f t="shared" si="215"/>
        <v>0</v>
      </c>
    </row>
    <row r="272" spans="1:14" x14ac:dyDescent="0.25">
      <c r="A272" s="18">
        <f t="shared" si="194"/>
        <v>229</v>
      </c>
      <c r="B272" s="17" t="s">
        <v>267</v>
      </c>
      <c r="C272" s="54">
        <v>0</v>
      </c>
      <c r="D272" s="54">
        <v>0</v>
      </c>
      <c r="E272" s="54">
        <f t="shared" si="210"/>
        <v>0</v>
      </c>
      <c r="F272" s="54">
        <v>0</v>
      </c>
      <c r="G272" s="27">
        <f t="shared" si="211"/>
        <v>0</v>
      </c>
      <c r="H272" s="54">
        <v>0</v>
      </c>
      <c r="I272" s="27">
        <f t="shared" si="212"/>
        <v>0</v>
      </c>
      <c r="J272" s="51">
        <f t="shared" si="213"/>
        <v>0.98599999999999999</v>
      </c>
      <c r="K272" s="27">
        <f t="shared" si="214"/>
        <v>0</v>
      </c>
      <c r="L272" s="83" t="s">
        <v>151</v>
      </c>
      <c r="M272" s="54">
        <v>0</v>
      </c>
      <c r="N272" s="27">
        <f t="shared" si="215"/>
        <v>0</v>
      </c>
    </row>
    <row r="273" spans="1:16" x14ac:dyDescent="0.25">
      <c r="A273" s="18">
        <f t="shared" si="194"/>
        <v>230</v>
      </c>
      <c r="B273" s="17" t="s">
        <v>107</v>
      </c>
      <c r="C273" s="54">
        <v>0</v>
      </c>
      <c r="D273" s="82">
        <v>0</v>
      </c>
      <c r="E273" s="82">
        <f t="shared" si="210"/>
        <v>0</v>
      </c>
      <c r="F273" s="54">
        <v>0</v>
      </c>
      <c r="G273" s="27">
        <f t="shared" si="211"/>
        <v>0</v>
      </c>
      <c r="H273" s="54">
        <v>0</v>
      </c>
      <c r="I273" s="82">
        <f t="shared" si="212"/>
        <v>0</v>
      </c>
      <c r="J273" s="51">
        <f t="shared" si="213"/>
        <v>0.98599999999999999</v>
      </c>
      <c r="K273" s="27">
        <f t="shared" si="214"/>
        <v>0</v>
      </c>
      <c r="L273" s="18" t="s">
        <v>151</v>
      </c>
      <c r="M273" s="54">
        <v>0</v>
      </c>
      <c r="N273" s="27">
        <f t="shared" si="215"/>
        <v>0</v>
      </c>
    </row>
    <row r="274" spans="1:16" ht="13" x14ac:dyDescent="0.3">
      <c r="A274" s="18">
        <f t="shared" si="194"/>
        <v>231</v>
      </c>
      <c r="B274" s="75" t="s">
        <v>108</v>
      </c>
      <c r="C274" s="78">
        <f t="shared" ref="C274:I274" si="216">SUM(C267:C273)</f>
        <v>320607</v>
      </c>
      <c r="D274" s="78">
        <f t="shared" si="216"/>
        <v>0</v>
      </c>
      <c r="E274" s="78">
        <f t="shared" si="216"/>
        <v>320607</v>
      </c>
      <c r="F274" s="78">
        <f t="shared" si="216"/>
        <v>0</v>
      </c>
      <c r="G274" s="78">
        <f t="shared" si="216"/>
        <v>320607</v>
      </c>
      <c r="H274" s="78">
        <f t="shared" si="216"/>
        <v>0</v>
      </c>
      <c r="I274" s="78">
        <f t="shared" si="216"/>
        <v>320607</v>
      </c>
      <c r="J274" s="24"/>
      <c r="K274" s="80">
        <f>SUM(K267:K273)</f>
        <v>316119</v>
      </c>
      <c r="M274" s="78">
        <f t="shared" ref="M274:N274" si="217">SUM(M267:M273)</f>
        <v>0</v>
      </c>
      <c r="N274" s="78">
        <f t="shared" si="217"/>
        <v>316119</v>
      </c>
    </row>
    <row r="275" spans="1:16" x14ac:dyDescent="0.25">
      <c r="A275" s="18">
        <f t="shared" si="194"/>
        <v>232</v>
      </c>
      <c r="B275" s="17" t="s">
        <v>0</v>
      </c>
      <c r="C275" s="54"/>
      <c r="J275" s="81"/>
      <c r="K275" s="76"/>
    </row>
    <row r="276" spans="1:16" ht="13" x14ac:dyDescent="0.3">
      <c r="A276" s="18"/>
      <c r="B276" s="75" t="s">
        <v>109</v>
      </c>
      <c r="C276" s="85">
        <f t="shared" ref="C276:I276" si="218">+C43+C55+C62+C71+C76+C80+C84+C90+C95+C99+C126+C173+C177+C222+C237+C242+C246+C250+C264+C274</f>
        <v>-66149164.039999992</v>
      </c>
      <c r="D276" s="85">
        <f t="shared" si="218"/>
        <v>-763605</v>
      </c>
      <c r="E276" s="85">
        <f t="shared" si="218"/>
        <v>-65385559.039999992</v>
      </c>
      <c r="F276" s="85">
        <f t="shared" si="218"/>
        <v>0</v>
      </c>
      <c r="G276" s="85">
        <f t="shared" si="218"/>
        <v>-65385559.039999992</v>
      </c>
      <c r="H276" s="85">
        <f t="shared" si="218"/>
        <v>0</v>
      </c>
      <c r="I276" s="85">
        <f t="shared" si="218"/>
        <v>-65385559.039999992</v>
      </c>
      <c r="J276" s="24"/>
      <c r="K276" s="85">
        <f>+K43+K55+K62+K71+K76+K80+K84+K90+K95+K99+K126+K173+K177+K222+K237+K242+K246+K250+K264+K274</f>
        <v>-64279712</v>
      </c>
      <c r="M276" s="85">
        <f>+M43+M55+M62+M71+M76+M80+M84+M90+M95+M99+M126+M173+M177+M222+M237+M242+M246+M250+M264+M274</f>
        <v>-86674</v>
      </c>
      <c r="N276" s="85">
        <f>+N43+N55+N62+N71+N76+N80+N84+N90+N95+N99+N126+N173+N177+N222+N237+N242+N246+N250+N264+N274</f>
        <v>-64366386</v>
      </c>
      <c r="O276" s="27"/>
      <c r="P276" s="27"/>
    </row>
    <row r="277" spans="1:16" x14ac:dyDescent="0.25">
      <c r="A277" s="18">
        <f t="shared" si="194"/>
        <v>1</v>
      </c>
      <c r="B277" s="17" t="s">
        <v>0</v>
      </c>
      <c r="C277" s="54"/>
      <c r="J277" s="81"/>
      <c r="K277" s="76"/>
    </row>
    <row r="278" spans="1:16" x14ac:dyDescent="0.25">
      <c r="A278" s="18">
        <f t="shared" si="194"/>
        <v>2</v>
      </c>
      <c r="C278" s="54"/>
      <c r="E278" s="54"/>
      <c r="F278" s="54"/>
      <c r="G278" s="54"/>
      <c r="H278" s="54"/>
      <c r="I278" s="54"/>
      <c r="J278" s="81"/>
      <c r="K278" s="86"/>
      <c r="M278" s="54"/>
      <c r="N278" s="54"/>
    </row>
    <row r="279" spans="1:16" x14ac:dyDescent="0.25">
      <c r="A279" s="18">
        <f t="shared" si="194"/>
        <v>3</v>
      </c>
      <c r="B279" s="56" t="s">
        <v>274</v>
      </c>
      <c r="C279" s="46">
        <v>254585</v>
      </c>
      <c r="D279" s="46">
        <f>+C279</f>
        <v>254585</v>
      </c>
      <c r="E279" s="46">
        <f>+C279-D279</f>
        <v>0</v>
      </c>
      <c r="F279" s="46">
        <v>0</v>
      </c>
      <c r="G279" s="26">
        <f>+E279+F279</f>
        <v>0</v>
      </c>
      <c r="H279" s="46">
        <v>0</v>
      </c>
      <c r="I279" s="46">
        <f>+G279-H279</f>
        <v>0</v>
      </c>
      <c r="K279" s="87">
        <v>0</v>
      </c>
      <c r="M279" s="46">
        <v>0</v>
      </c>
      <c r="N279" s="26">
        <f>K279+M279</f>
        <v>0</v>
      </c>
    </row>
    <row r="280" spans="1:16" ht="13" x14ac:dyDescent="0.3">
      <c r="A280" s="18">
        <f t="shared" si="194"/>
        <v>4</v>
      </c>
      <c r="B280" s="75" t="s">
        <v>110</v>
      </c>
      <c r="C280" s="54">
        <f t="shared" ref="C280:I280" si="219">+C20+C276+C279</f>
        <v>-20310939.579999991</v>
      </c>
      <c r="D280" s="54">
        <f t="shared" si="219"/>
        <v>-5085942</v>
      </c>
      <c r="E280" s="54">
        <f t="shared" si="219"/>
        <v>-15224997.579999991</v>
      </c>
      <c r="F280" s="54">
        <f t="shared" si="219"/>
        <v>0</v>
      </c>
      <c r="G280" s="54">
        <f t="shared" si="219"/>
        <v>-15224997.579999991</v>
      </c>
      <c r="H280" s="54">
        <f t="shared" si="219"/>
        <v>0</v>
      </c>
      <c r="I280" s="54">
        <f t="shared" si="219"/>
        <v>-15224997.579999991</v>
      </c>
      <c r="K280" s="54">
        <f>+K20+K276+K279</f>
        <v>-14949517</v>
      </c>
      <c r="M280" s="54">
        <f>+M20+M276+M279</f>
        <v>-43734039</v>
      </c>
      <c r="N280" s="54">
        <f>+N20+N276+N279</f>
        <v>-58683556</v>
      </c>
    </row>
    <row r="281" spans="1:16" x14ac:dyDescent="0.25">
      <c r="A281" s="18">
        <f t="shared" si="194"/>
        <v>5</v>
      </c>
      <c r="B281" s="17" t="s">
        <v>111</v>
      </c>
      <c r="C281" s="88">
        <v>0.21</v>
      </c>
      <c r="D281" s="88">
        <v>0.21</v>
      </c>
      <c r="E281" s="88">
        <v>0.21</v>
      </c>
      <c r="F281" s="88">
        <v>0.21</v>
      </c>
      <c r="G281" s="88">
        <v>0.21</v>
      </c>
      <c r="H281" s="88">
        <v>0.21</v>
      </c>
      <c r="I281" s="88">
        <v>0.21</v>
      </c>
      <c r="K281" s="89">
        <v>0.21</v>
      </c>
      <c r="M281" s="88">
        <v>0.21</v>
      </c>
      <c r="N281" s="88">
        <v>0.21</v>
      </c>
    </row>
    <row r="282" spans="1:16" x14ac:dyDescent="0.25">
      <c r="A282" s="18">
        <f t="shared" si="194"/>
        <v>6</v>
      </c>
      <c r="B282" s="17" t="s">
        <v>112</v>
      </c>
      <c r="C282" s="54">
        <f t="shared" ref="C282:I282" si="220">ROUND(C280*C281,0)</f>
        <v>-4265297</v>
      </c>
      <c r="D282" s="54">
        <f t="shared" si="220"/>
        <v>-1068048</v>
      </c>
      <c r="E282" s="54">
        <f t="shared" si="220"/>
        <v>-3197249</v>
      </c>
      <c r="F282" s="54">
        <f t="shared" si="220"/>
        <v>0</v>
      </c>
      <c r="G282" s="54">
        <f t="shared" si="220"/>
        <v>-3197249</v>
      </c>
      <c r="H282" s="54">
        <f t="shared" si="220"/>
        <v>0</v>
      </c>
      <c r="I282" s="54">
        <f t="shared" si="220"/>
        <v>-3197249</v>
      </c>
      <c r="K282" s="54">
        <f>ROUND(K280*K281,0)</f>
        <v>-3139399</v>
      </c>
      <c r="M282" s="54">
        <f t="shared" ref="M282:N282" si="221">ROUND(M280*M281,0)</f>
        <v>-9184148</v>
      </c>
      <c r="N282" s="54">
        <f t="shared" si="221"/>
        <v>-12323547</v>
      </c>
      <c r="O282" s="148"/>
    </row>
    <row r="283" spans="1:16" x14ac:dyDescent="0.25">
      <c r="A283" s="18">
        <f t="shared" si="194"/>
        <v>7</v>
      </c>
      <c r="B283" s="56" t="s">
        <v>269</v>
      </c>
      <c r="C283" s="54">
        <v>1390776</v>
      </c>
      <c r="D283" s="54">
        <f t="shared" ref="D283:D291" si="222">+C283</f>
        <v>1390776</v>
      </c>
      <c r="E283" s="54">
        <f t="shared" ref="E283:E291" si="223">+C283-D283</f>
        <v>0</v>
      </c>
      <c r="F283" s="54">
        <v>0</v>
      </c>
      <c r="G283" s="27">
        <f t="shared" ref="G283:G291" si="224">+E283+F283</f>
        <v>0</v>
      </c>
      <c r="H283" s="54">
        <v>0</v>
      </c>
      <c r="I283" s="54">
        <f t="shared" ref="I283:I291" si="225">+G283+H283</f>
        <v>0</v>
      </c>
      <c r="K283" s="86">
        <v>0</v>
      </c>
      <c r="M283" s="54">
        <v>0</v>
      </c>
      <c r="N283" s="27">
        <f t="shared" ref="N283:N291" si="226">K283+M283</f>
        <v>0</v>
      </c>
    </row>
    <row r="284" spans="1:16" x14ac:dyDescent="0.25">
      <c r="A284" s="18">
        <f t="shared" si="194"/>
        <v>8</v>
      </c>
      <c r="B284" s="64" t="s">
        <v>350</v>
      </c>
      <c r="C284" s="54">
        <v>19795</v>
      </c>
      <c r="D284" s="54">
        <f t="shared" si="222"/>
        <v>19795</v>
      </c>
      <c r="E284" s="54">
        <f t="shared" si="223"/>
        <v>0</v>
      </c>
      <c r="F284" s="54">
        <v>0</v>
      </c>
      <c r="G284" s="27">
        <f t="shared" si="224"/>
        <v>0</v>
      </c>
      <c r="H284" s="54">
        <v>0</v>
      </c>
      <c r="I284" s="54">
        <f t="shared" si="225"/>
        <v>0</v>
      </c>
      <c r="K284" s="86">
        <v>0</v>
      </c>
      <c r="M284" s="54">
        <v>0</v>
      </c>
      <c r="N284" s="27">
        <f t="shared" si="226"/>
        <v>0</v>
      </c>
    </row>
    <row r="285" spans="1:16" x14ac:dyDescent="0.25">
      <c r="A285" s="122"/>
      <c r="B285" s="64" t="s">
        <v>384</v>
      </c>
      <c r="C285" s="54">
        <v>-290136</v>
      </c>
      <c r="D285" s="54">
        <f t="shared" si="222"/>
        <v>-290136</v>
      </c>
      <c r="E285" s="54">
        <f t="shared" si="223"/>
        <v>0</v>
      </c>
      <c r="F285" s="54">
        <v>0</v>
      </c>
      <c r="G285" s="27">
        <f t="shared" ref="G285:G286" si="227">+E285+F285</f>
        <v>0</v>
      </c>
      <c r="H285" s="54">
        <v>0</v>
      </c>
      <c r="I285" s="54">
        <f t="shared" ref="I285:I286" si="228">+G285+H285</f>
        <v>0</v>
      </c>
      <c r="K285" s="86">
        <v>0</v>
      </c>
      <c r="M285" s="54">
        <v>0</v>
      </c>
      <c r="N285" s="27">
        <f t="shared" ref="N285:N286" si="229">K285+M285</f>
        <v>0</v>
      </c>
    </row>
    <row r="286" spans="1:16" x14ac:dyDescent="0.25">
      <c r="A286" s="122"/>
      <c r="B286" s="64" t="s">
        <v>385</v>
      </c>
      <c r="C286" s="54">
        <v>-61000</v>
      </c>
      <c r="D286" s="54">
        <f t="shared" si="222"/>
        <v>-61000</v>
      </c>
      <c r="E286" s="54">
        <f t="shared" si="223"/>
        <v>0</v>
      </c>
      <c r="F286" s="54">
        <v>0</v>
      </c>
      <c r="G286" s="27">
        <f t="shared" si="227"/>
        <v>0</v>
      </c>
      <c r="H286" s="54">
        <v>0</v>
      </c>
      <c r="I286" s="54">
        <f t="shared" si="228"/>
        <v>0</v>
      </c>
      <c r="K286" s="86">
        <v>0</v>
      </c>
      <c r="M286" s="54">
        <v>0</v>
      </c>
      <c r="N286" s="27">
        <f t="shared" si="229"/>
        <v>0</v>
      </c>
    </row>
    <row r="287" spans="1:16" x14ac:dyDescent="0.25">
      <c r="A287" s="18">
        <f>+A284+1</f>
        <v>9</v>
      </c>
      <c r="B287" s="64" t="s">
        <v>351</v>
      </c>
      <c r="C287" s="54">
        <v>0</v>
      </c>
      <c r="D287" s="54">
        <f t="shared" si="222"/>
        <v>0</v>
      </c>
      <c r="E287" s="54">
        <f t="shared" si="223"/>
        <v>0</v>
      </c>
      <c r="F287" s="54">
        <v>0</v>
      </c>
      <c r="G287" s="27">
        <f t="shared" si="224"/>
        <v>0</v>
      </c>
      <c r="H287" s="54">
        <v>0</v>
      </c>
      <c r="I287" s="54">
        <f t="shared" si="225"/>
        <v>0</v>
      </c>
      <c r="K287" s="86">
        <v>0</v>
      </c>
      <c r="M287" s="54">
        <v>0</v>
      </c>
      <c r="N287" s="27">
        <f t="shared" si="226"/>
        <v>0</v>
      </c>
    </row>
    <row r="288" spans="1:16" x14ac:dyDescent="0.25">
      <c r="A288" s="18">
        <f t="shared" si="194"/>
        <v>10</v>
      </c>
      <c r="B288" s="64" t="s">
        <v>352</v>
      </c>
      <c r="C288" s="54">
        <v>0</v>
      </c>
      <c r="D288" s="54">
        <f t="shared" si="222"/>
        <v>0</v>
      </c>
      <c r="E288" s="54">
        <f t="shared" si="223"/>
        <v>0</v>
      </c>
      <c r="F288" s="54">
        <v>0</v>
      </c>
      <c r="G288" s="27">
        <f t="shared" si="224"/>
        <v>0</v>
      </c>
      <c r="H288" s="54">
        <v>0</v>
      </c>
      <c r="I288" s="54">
        <f t="shared" si="225"/>
        <v>0</v>
      </c>
      <c r="K288" s="86">
        <v>0</v>
      </c>
      <c r="M288" s="54">
        <v>0</v>
      </c>
      <c r="N288" s="27">
        <f t="shared" ref="N288:N290" si="230">K288+M288</f>
        <v>0</v>
      </c>
    </row>
    <row r="289" spans="1:14" x14ac:dyDescent="0.25">
      <c r="A289" s="18">
        <f t="shared" si="194"/>
        <v>11</v>
      </c>
      <c r="B289" s="64" t="s">
        <v>364</v>
      </c>
      <c r="C289" s="82">
        <v>-7005</v>
      </c>
      <c r="D289" s="54">
        <f t="shared" si="222"/>
        <v>-7005</v>
      </c>
      <c r="E289" s="82">
        <f t="shared" si="223"/>
        <v>0</v>
      </c>
      <c r="F289" s="82">
        <v>0</v>
      </c>
      <c r="G289" s="41">
        <f t="shared" si="224"/>
        <v>0</v>
      </c>
      <c r="H289" s="82">
        <v>0</v>
      </c>
      <c r="I289" s="82">
        <f t="shared" si="225"/>
        <v>0</v>
      </c>
      <c r="J289" s="72">
        <f>VLOOKUP(L289,$C$308:$D$322,2,FALSE)</f>
        <v>0</v>
      </c>
      <c r="K289" s="41">
        <f>IF(I289*J289=0,0, ROUND(I289*J289,0))</f>
        <v>0</v>
      </c>
      <c r="L289" s="90" t="s">
        <v>238</v>
      </c>
      <c r="M289" s="82">
        <v>0</v>
      </c>
      <c r="N289" s="27">
        <f t="shared" ref="N289" si="231">K289+M289</f>
        <v>0</v>
      </c>
    </row>
    <row r="290" spans="1:14" x14ac:dyDescent="0.25">
      <c r="A290" s="18">
        <f t="shared" si="194"/>
        <v>12</v>
      </c>
      <c r="B290" s="64" t="s">
        <v>363</v>
      </c>
      <c r="C290" s="82">
        <f>-4724587</f>
        <v>-4724587</v>
      </c>
      <c r="D290" s="54">
        <f t="shared" si="222"/>
        <v>-4724587</v>
      </c>
      <c r="E290" s="82">
        <f t="shared" si="223"/>
        <v>0</v>
      </c>
      <c r="F290" s="82">
        <v>0</v>
      </c>
      <c r="G290" s="41">
        <f t="shared" si="224"/>
        <v>0</v>
      </c>
      <c r="H290" s="82">
        <v>0</v>
      </c>
      <c r="I290" s="82">
        <f t="shared" si="225"/>
        <v>0</v>
      </c>
      <c r="J290" s="72">
        <f>VLOOKUP(L290,$C$308:$D$322,2,FALSE)</f>
        <v>0</v>
      </c>
      <c r="K290" s="41">
        <f>IF(I290*J290=0,0, ROUND(I290*J290,0))</f>
        <v>0</v>
      </c>
      <c r="L290" s="90" t="s">
        <v>238</v>
      </c>
      <c r="M290" s="82">
        <v>0</v>
      </c>
      <c r="N290" s="27">
        <f t="shared" si="230"/>
        <v>0</v>
      </c>
    </row>
    <row r="291" spans="1:14" x14ac:dyDescent="0.25">
      <c r="A291" s="18">
        <f t="shared" si="194"/>
        <v>13</v>
      </c>
      <c r="B291" s="17" t="s">
        <v>181</v>
      </c>
      <c r="C291" s="46">
        <v>0</v>
      </c>
      <c r="D291" s="54">
        <f t="shared" si="222"/>
        <v>0</v>
      </c>
      <c r="E291" s="54">
        <f t="shared" si="223"/>
        <v>0</v>
      </c>
      <c r="F291" s="54">
        <v>0</v>
      </c>
      <c r="G291" s="27">
        <f t="shared" si="224"/>
        <v>0</v>
      </c>
      <c r="H291" s="46">
        <v>0</v>
      </c>
      <c r="I291" s="46">
        <f t="shared" si="225"/>
        <v>0</v>
      </c>
      <c r="J291" s="51">
        <f>VLOOKUP(L291,$C$308:$D$322,2,FALSE)</f>
        <v>0</v>
      </c>
      <c r="K291" s="27">
        <f>IF(I291*J291=0,0, ROUND(I291*J291,0))</f>
        <v>0</v>
      </c>
      <c r="L291" s="83" t="s">
        <v>238</v>
      </c>
      <c r="M291" s="46">
        <v>0</v>
      </c>
      <c r="N291" s="27">
        <f t="shared" si="226"/>
        <v>0</v>
      </c>
    </row>
    <row r="292" spans="1:14" ht="13.5" thickBot="1" x14ac:dyDescent="0.35">
      <c r="A292" s="18">
        <f t="shared" si="194"/>
        <v>14</v>
      </c>
      <c r="B292" s="75" t="s">
        <v>113</v>
      </c>
      <c r="C292" s="91">
        <f t="shared" ref="C292:I292" si="232">SUM(C282:C291)</f>
        <v>-7937454</v>
      </c>
      <c r="D292" s="91">
        <f t="shared" si="232"/>
        <v>-4740205</v>
      </c>
      <c r="E292" s="91">
        <f t="shared" si="232"/>
        <v>-3197249</v>
      </c>
      <c r="F292" s="91">
        <f t="shared" si="232"/>
        <v>0</v>
      </c>
      <c r="G292" s="91">
        <f t="shared" si="232"/>
        <v>-3197249</v>
      </c>
      <c r="H292" s="91">
        <f t="shared" si="232"/>
        <v>0</v>
      </c>
      <c r="I292" s="91">
        <f t="shared" si="232"/>
        <v>-3197249</v>
      </c>
      <c r="J292" s="75"/>
      <c r="K292" s="92">
        <f>SUM(K282:K291)</f>
        <v>-3139399</v>
      </c>
      <c r="M292" s="91">
        <f t="shared" ref="M292:N292" si="233">SUM(M282:M291)</f>
        <v>-9184148</v>
      </c>
      <c r="N292" s="91">
        <f t="shared" si="233"/>
        <v>-12323547</v>
      </c>
    </row>
    <row r="293" spans="1:14" ht="13" thickTop="1" x14ac:dyDescent="0.25">
      <c r="A293" s="18">
        <f t="shared" si="194"/>
        <v>15</v>
      </c>
      <c r="C293" s="82"/>
      <c r="K293" s="76"/>
    </row>
    <row r="294" spans="1:14" x14ac:dyDescent="0.25">
      <c r="A294" s="18">
        <f t="shared" si="194"/>
        <v>16</v>
      </c>
      <c r="C294" s="27"/>
      <c r="J294" s="27"/>
      <c r="K294" s="76"/>
      <c r="M294" s="82"/>
    </row>
    <row r="295" spans="1:14" x14ac:dyDescent="0.25">
      <c r="A295" s="18">
        <f t="shared" si="194"/>
        <v>17</v>
      </c>
      <c r="C295" s="138"/>
      <c r="J295" s="27"/>
      <c r="K295" s="76"/>
      <c r="M295" s="27"/>
    </row>
    <row r="296" spans="1:14" x14ac:dyDescent="0.25">
      <c r="A296" s="18">
        <f t="shared" si="194"/>
        <v>18</v>
      </c>
      <c r="C296" s="163"/>
      <c r="E296" s="27"/>
      <c r="K296" s="76"/>
    </row>
    <row r="297" spans="1:14" x14ac:dyDescent="0.25">
      <c r="A297" s="18">
        <f t="shared" si="194"/>
        <v>19</v>
      </c>
      <c r="C297" s="163"/>
      <c r="K297" s="76"/>
    </row>
    <row r="298" spans="1:14" x14ac:dyDescent="0.25">
      <c r="K298" s="76"/>
    </row>
    <row r="299" spans="1:14" x14ac:dyDescent="0.25">
      <c r="D299" s="27"/>
      <c r="K299" s="76"/>
    </row>
    <row r="300" spans="1:14" x14ac:dyDescent="0.25">
      <c r="D300" s="36"/>
      <c r="K300" s="76"/>
    </row>
    <row r="301" spans="1:14" x14ac:dyDescent="0.25">
      <c r="K301" s="76"/>
    </row>
    <row r="302" spans="1:14" x14ac:dyDescent="0.25">
      <c r="K302" s="76"/>
    </row>
    <row r="303" spans="1:14" x14ac:dyDescent="0.25">
      <c r="K303" s="76"/>
    </row>
    <row r="304" spans="1:14" x14ac:dyDescent="0.25">
      <c r="K304" s="76"/>
    </row>
    <row r="305" spans="3:11" x14ac:dyDescent="0.25">
      <c r="K305" s="76"/>
    </row>
    <row r="306" spans="3:11" x14ac:dyDescent="0.25">
      <c r="K306" s="76"/>
    </row>
    <row r="307" spans="3:11" ht="13" x14ac:dyDescent="0.3">
      <c r="C307" s="93" t="s">
        <v>226</v>
      </c>
      <c r="D307" s="94"/>
      <c r="K307" s="76"/>
    </row>
    <row r="308" spans="3:11" x14ac:dyDescent="0.25">
      <c r="C308" s="95" t="s">
        <v>225</v>
      </c>
      <c r="D308" s="44">
        <v>0.98499999999999999</v>
      </c>
      <c r="K308" s="76"/>
    </row>
    <row r="309" spans="3:11" x14ac:dyDescent="0.25">
      <c r="C309" s="95" t="s">
        <v>153</v>
      </c>
      <c r="D309" s="44">
        <v>0.98499999999999999</v>
      </c>
      <c r="K309" s="76"/>
    </row>
    <row r="310" spans="3:11" x14ac:dyDescent="0.25">
      <c r="C310" s="95" t="s">
        <v>149</v>
      </c>
      <c r="D310" s="44">
        <v>0.98499999999999999</v>
      </c>
      <c r="K310" s="76"/>
    </row>
    <row r="311" spans="3:11" x14ac:dyDescent="0.25">
      <c r="C311" s="95" t="s">
        <v>155</v>
      </c>
      <c r="D311" s="44">
        <v>0.98499999999999999</v>
      </c>
      <c r="K311" s="76"/>
    </row>
    <row r="312" spans="3:11" x14ac:dyDescent="0.25">
      <c r="C312" s="95" t="s">
        <v>150</v>
      </c>
      <c r="D312" s="44">
        <v>0.999</v>
      </c>
      <c r="K312" s="76"/>
    </row>
    <row r="313" spans="3:11" x14ac:dyDescent="0.25">
      <c r="C313" s="95" t="s">
        <v>299</v>
      </c>
      <c r="D313" s="44">
        <v>0.99299999999999999</v>
      </c>
      <c r="K313" s="76"/>
    </row>
    <row r="314" spans="3:11" x14ac:dyDescent="0.25">
      <c r="C314" s="95" t="s">
        <v>151</v>
      </c>
      <c r="D314" s="44">
        <v>0.98599999999999999</v>
      </c>
      <c r="K314" s="76"/>
    </row>
    <row r="315" spans="3:11" x14ac:dyDescent="0.25">
      <c r="C315" s="95" t="s">
        <v>154</v>
      </c>
      <c r="D315" s="44">
        <v>0.99</v>
      </c>
      <c r="K315" s="76"/>
    </row>
    <row r="316" spans="3:11" x14ac:dyDescent="0.25">
      <c r="C316" s="157" t="s">
        <v>300</v>
      </c>
      <c r="D316" s="158">
        <v>0.98</v>
      </c>
      <c r="K316" s="76"/>
    </row>
    <row r="317" spans="3:11" x14ac:dyDescent="0.25">
      <c r="C317" s="159" t="s">
        <v>301</v>
      </c>
      <c r="D317" s="158">
        <v>0.98299999999999998</v>
      </c>
      <c r="K317" s="76"/>
    </row>
    <row r="318" spans="3:11" x14ac:dyDescent="0.25">
      <c r="C318" s="96" t="s">
        <v>302</v>
      </c>
      <c r="D318" s="44">
        <v>0</v>
      </c>
      <c r="K318" s="76"/>
    </row>
    <row r="319" spans="3:11" x14ac:dyDescent="0.25">
      <c r="C319" s="95" t="s">
        <v>237</v>
      </c>
      <c r="D319" s="44">
        <v>0.98499999999999999</v>
      </c>
      <c r="K319" s="76"/>
    </row>
    <row r="320" spans="3:11" x14ac:dyDescent="0.25">
      <c r="C320" s="95" t="s">
        <v>146</v>
      </c>
      <c r="D320" s="44">
        <v>1</v>
      </c>
      <c r="K320" s="76"/>
    </row>
    <row r="321" spans="2:11" x14ac:dyDescent="0.25">
      <c r="C321" s="95" t="s">
        <v>152</v>
      </c>
      <c r="D321" s="44">
        <v>0</v>
      </c>
      <c r="K321" s="76"/>
    </row>
    <row r="322" spans="2:11" x14ac:dyDescent="0.25">
      <c r="C322" s="95" t="s">
        <v>238</v>
      </c>
      <c r="D322" s="44">
        <v>0</v>
      </c>
      <c r="K322" s="76"/>
    </row>
    <row r="323" spans="2:11" x14ac:dyDescent="0.25">
      <c r="K323" s="76"/>
    </row>
    <row r="324" spans="2:11" ht="13" x14ac:dyDescent="0.3">
      <c r="B324" s="10"/>
      <c r="C324" s="10"/>
      <c r="D324" s="10"/>
      <c r="E324" s="10"/>
    </row>
    <row r="325" spans="2:11" ht="13" x14ac:dyDescent="0.3">
      <c r="B325" s="10"/>
      <c r="C325" s="10"/>
      <c r="D325" s="10"/>
      <c r="E325" s="10"/>
    </row>
  </sheetData>
  <mergeCells count="5">
    <mergeCell ref="A3:J3"/>
    <mergeCell ref="A4:J4"/>
    <mergeCell ref="A5:J5"/>
    <mergeCell ref="A1:J1"/>
    <mergeCell ref="A2:J2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2" max="13" man="1"/>
    <brk id="127" max="13" man="1"/>
    <brk id="178" max="13" man="1"/>
    <brk id="251" max="13" man="1"/>
    <brk id="29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topLeftCell="C58" zoomScaleNormal="100" workbookViewId="0">
      <selection activeCell="I138" sqref="I138"/>
    </sheetView>
  </sheetViews>
  <sheetFormatPr defaultColWidth="9.1796875" defaultRowHeight="12.5" x14ac:dyDescent="0.25"/>
  <cols>
    <col min="1" max="1" width="10.81640625" style="17" bestFit="1" customWidth="1"/>
    <col min="2" max="2" width="60.7265625" style="17" customWidth="1"/>
    <col min="3" max="15" width="15.7265625" style="17" customWidth="1"/>
    <col min="16" max="16384" width="9.1796875" style="17"/>
  </cols>
  <sheetData>
    <row r="1" spans="1:14" ht="13" x14ac:dyDescent="0.3">
      <c r="A1" s="153" t="s">
        <v>286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ht="13" x14ac:dyDescent="0.3">
      <c r="A2" s="153" t="s">
        <v>172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4" ht="13" x14ac:dyDescent="0.3">
      <c r="A3" s="153" t="s">
        <v>173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4" ht="13" x14ac:dyDescent="0.3">
      <c r="A4" s="153" t="s">
        <v>118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4" ht="13" x14ac:dyDescent="0.3">
      <c r="A5" s="153" t="str">
        <f>Summary!A4</f>
        <v>Twelve Months Ended March 31, 2020</v>
      </c>
      <c r="B5" s="154"/>
      <c r="C5" s="154"/>
      <c r="D5" s="154"/>
      <c r="E5" s="154"/>
      <c r="F5" s="154"/>
      <c r="G5" s="154"/>
      <c r="H5" s="154"/>
      <c r="I5" s="154"/>
      <c r="J5" s="154"/>
    </row>
    <row r="9" spans="1:14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</row>
    <row r="10" spans="1:14" x14ac:dyDescent="0.25">
      <c r="E10" s="18" t="s">
        <v>114</v>
      </c>
      <c r="F10" s="18" t="s">
        <v>176</v>
      </c>
      <c r="G10" s="18" t="s">
        <v>114</v>
      </c>
      <c r="H10" s="18"/>
      <c r="I10" s="18" t="s">
        <v>212</v>
      </c>
    </row>
    <row r="11" spans="1:14" x14ac:dyDescent="0.25">
      <c r="C11" s="18" t="s">
        <v>114</v>
      </c>
      <c r="D11" s="18" t="s">
        <v>124</v>
      </c>
      <c r="E11" s="18" t="s">
        <v>122</v>
      </c>
      <c r="F11" s="18" t="s">
        <v>177</v>
      </c>
      <c r="G11" s="18" t="s">
        <v>122</v>
      </c>
      <c r="H11" s="18"/>
      <c r="I11" s="18" t="s">
        <v>304</v>
      </c>
      <c r="J11" s="18" t="s">
        <v>294</v>
      </c>
      <c r="K11" s="18" t="s">
        <v>294</v>
      </c>
      <c r="M11" s="18" t="s">
        <v>295</v>
      </c>
      <c r="N11" s="18" t="s">
        <v>294</v>
      </c>
    </row>
    <row r="12" spans="1:14" x14ac:dyDescent="0.25">
      <c r="C12" s="18" t="s">
        <v>174</v>
      </c>
      <c r="D12" s="18" t="s">
        <v>125</v>
      </c>
      <c r="E12" s="18" t="s">
        <v>175</v>
      </c>
      <c r="F12" s="18" t="s">
        <v>129</v>
      </c>
      <c r="G12" s="18" t="s">
        <v>306</v>
      </c>
      <c r="H12" s="18" t="s">
        <v>129</v>
      </c>
      <c r="I12" s="18" t="s">
        <v>130</v>
      </c>
      <c r="J12" s="18" t="s">
        <v>140</v>
      </c>
      <c r="K12" s="18" t="s">
        <v>142</v>
      </c>
      <c r="L12" s="18" t="s">
        <v>140</v>
      </c>
      <c r="M12" s="18" t="s">
        <v>183</v>
      </c>
      <c r="N12" s="18" t="s">
        <v>276</v>
      </c>
    </row>
    <row r="13" spans="1:14" ht="13" x14ac:dyDescent="0.3">
      <c r="A13" s="74" t="s">
        <v>119</v>
      </c>
      <c r="B13" s="97" t="s">
        <v>157</v>
      </c>
      <c r="C13" s="74" t="str">
        <f>Summary!C13</f>
        <v>12 Mo. 03/31/20</v>
      </c>
      <c r="D13" s="74" t="s">
        <v>126</v>
      </c>
      <c r="E13" s="74" t="s">
        <v>123</v>
      </c>
      <c r="F13" s="74" t="s">
        <v>130</v>
      </c>
      <c r="G13" s="74" t="s">
        <v>130</v>
      </c>
      <c r="H13" s="74" t="s">
        <v>130</v>
      </c>
      <c r="I13" s="74" t="str">
        <f>C13</f>
        <v>12 Mo. 03/31/20</v>
      </c>
      <c r="J13" s="74" t="s">
        <v>141</v>
      </c>
      <c r="K13" s="74" t="s">
        <v>143</v>
      </c>
      <c r="L13" s="74" t="s">
        <v>144</v>
      </c>
      <c r="M13" s="74" t="s">
        <v>130</v>
      </c>
      <c r="N13" s="74" t="s">
        <v>143</v>
      </c>
    </row>
    <row r="14" spans="1:14" ht="13" x14ac:dyDescent="0.3">
      <c r="A14" s="6"/>
      <c r="B14" s="79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ht="13" x14ac:dyDescent="0.3">
      <c r="A15" s="6"/>
      <c r="B15" s="79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ht="13" x14ac:dyDescent="0.3">
      <c r="A16" s="6"/>
      <c r="B16" s="79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5" ht="13" x14ac:dyDescent="0.3">
      <c r="A17" s="6"/>
      <c r="B17" s="79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3" x14ac:dyDescent="0.3">
      <c r="A18" s="6"/>
      <c r="B18" s="7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5" ht="13" x14ac:dyDescent="0.3">
      <c r="A19" s="6"/>
      <c r="B19" s="79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5" ht="13" x14ac:dyDescent="0.3">
      <c r="A20" s="6"/>
      <c r="B20" s="79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5" ht="13" x14ac:dyDescent="0.3">
      <c r="A21" s="6"/>
      <c r="B21" s="79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5" ht="13" x14ac:dyDescent="0.3">
      <c r="A22" s="18">
        <v>1</v>
      </c>
      <c r="B22" s="75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x14ac:dyDescent="0.25">
      <c r="A23" s="18">
        <f>A22+1</f>
        <v>2</v>
      </c>
      <c r="B23" s="17" t="s">
        <v>2</v>
      </c>
      <c r="C23" s="61">
        <v>5040</v>
      </c>
      <c r="D23" s="61">
        <v>5040</v>
      </c>
      <c r="E23" s="54">
        <f t="shared" ref="E23:E42" si="0">+C23-D23</f>
        <v>0</v>
      </c>
      <c r="F23" s="27">
        <f>+'DFIT Computations'!G23</f>
        <v>0</v>
      </c>
      <c r="G23" s="27">
        <f>+E23+F23</f>
        <v>0</v>
      </c>
      <c r="H23" s="27">
        <f>+'DFIT Computations'!I23</f>
        <v>0</v>
      </c>
      <c r="I23" s="27">
        <f>+G23+H23</f>
        <v>0</v>
      </c>
      <c r="J23" s="51">
        <f t="shared" ref="J23:J42" si="1">VLOOKUP(L23,$C$306:$D$320,2,FALSE)</f>
        <v>0.98499999999999999</v>
      </c>
      <c r="K23" s="42">
        <f t="shared" ref="K23:K42" si="2">IF(I23*J23=0,0, ROUND(I23*J23,0))</f>
        <v>0</v>
      </c>
      <c r="L23" s="18" t="str">
        <f>'DFIT Computations'!M23</f>
        <v>GROSS PLT</v>
      </c>
      <c r="M23" s="27">
        <f>+'DFIT Computations'!N23</f>
        <v>0</v>
      </c>
      <c r="N23" s="27">
        <f>K23+M23</f>
        <v>0</v>
      </c>
      <c r="O23" s="27"/>
    </row>
    <row r="24" spans="1:15" x14ac:dyDescent="0.25">
      <c r="A24" s="18">
        <f t="shared" ref="A24:A95" si="3">A23+1</f>
        <v>3</v>
      </c>
      <c r="B24" s="17" t="s">
        <v>170</v>
      </c>
      <c r="C24" s="61">
        <v>0</v>
      </c>
      <c r="D24" s="61">
        <v>0</v>
      </c>
      <c r="E24" s="54">
        <f t="shared" si="0"/>
        <v>0</v>
      </c>
      <c r="F24" s="27">
        <f>+'DFIT Computations'!G24</f>
        <v>0</v>
      </c>
      <c r="G24" s="27">
        <f t="shared" ref="G24:G42" si="4">+E24+F24</f>
        <v>0</v>
      </c>
      <c r="H24" s="27">
        <f>+'DFIT Computations'!I24</f>
        <v>0</v>
      </c>
      <c r="I24" s="27">
        <f t="shared" ref="I24:I42" si="5">+G24+H24</f>
        <v>0</v>
      </c>
      <c r="J24" s="51">
        <f t="shared" si="1"/>
        <v>0.98499999999999999</v>
      </c>
      <c r="K24" s="42">
        <f t="shared" si="2"/>
        <v>0</v>
      </c>
      <c r="L24" s="18" t="str">
        <f>'DFIT Computations'!M24</f>
        <v>GROSS PLT</v>
      </c>
      <c r="M24" s="27">
        <f>+'DFIT Computations'!N24</f>
        <v>0</v>
      </c>
      <c r="N24" s="27">
        <f t="shared" ref="N24:N42" si="6">K24+M24</f>
        <v>0</v>
      </c>
      <c r="O24" s="27"/>
    </row>
    <row r="25" spans="1:15" x14ac:dyDescent="0.25">
      <c r="A25" s="18">
        <f t="shared" si="3"/>
        <v>4</v>
      </c>
      <c r="B25" s="17" t="s">
        <v>3</v>
      </c>
      <c r="C25" s="61">
        <v>-3225865.61</v>
      </c>
      <c r="D25" s="61">
        <f>-(3225866+1735047)</f>
        <v>-4960913</v>
      </c>
      <c r="E25" s="54">
        <f t="shared" si="0"/>
        <v>1735047.3900000001</v>
      </c>
      <c r="F25" s="27">
        <f>+'DFIT Computations'!G25</f>
        <v>0</v>
      </c>
      <c r="G25" s="27">
        <f t="shared" si="4"/>
        <v>1735047.3900000001</v>
      </c>
      <c r="H25" s="27">
        <f>+'DFIT Computations'!I25</f>
        <v>0</v>
      </c>
      <c r="I25" s="27">
        <f t="shared" si="5"/>
        <v>1735047.3900000001</v>
      </c>
      <c r="J25" s="51">
        <f t="shared" si="1"/>
        <v>0.98499999999999999</v>
      </c>
      <c r="K25" s="42">
        <f t="shared" si="2"/>
        <v>1709022</v>
      </c>
      <c r="L25" s="18" t="str">
        <f>'DFIT Computations'!M25</f>
        <v>GROSS PLT</v>
      </c>
      <c r="M25" s="27">
        <f>+'DFIT Computations'!N25</f>
        <v>-976309</v>
      </c>
      <c r="N25" s="27">
        <f t="shared" si="6"/>
        <v>732713</v>
      </c>
      <c r="O25" s="27"/>
    </row>
    <row r="26" spans="1:15" x14ac:dyDescent="0.25">
      <c r="A26" s="18">
        <f t="shared" si="3"/>
        <v>5</v>
      </c>
      <c r="B26" s="17" t="s">
        <v>171</v>
      </c>
      <c r="C26" s="61">
        <v>0</v>
      </c>
      <c r="D26" s="61">
        <v>0</v>
      </c>
      <c r="E26" s="54">
        <f t="shared" si="0"/>
        <v>0</v>
      </c>
      <c r="F26" s="27">
        <f>+'DFIT Computations'!G26</f>
        <v>0</v>
      </c>
      <c r="G26" s="27">
        <f t="shared" si="4"/>
        <v>0</v>
      </c>
      <c r="H26" s="27">
        <f>+'DFIT Computations'!I26</f>
        <v>0</v>
      </c>
      <c r="I26" s="27">
        <f t="shared" si="5"/>
        <v>0</v>
      </c>
      <c r="J26" s="51">
        <f t="shared" si="1"/>
        <v>0.98499999999999999</v>
      </c>
      <c r="K26" s="42">
        <f t="shared" si="2"/>
        <v>0</v>
      </c>
      <c r="L26" s="18" t="str">
        <f>'DFIT Computations'!M26</f>
        <v>GROSS PLT</v>
      </c>
      <c r="M26" s="27">
        <f>+'DFIT Computations'!N26</f>
        <v>0</v>
      </c>
      <c r="N26" s="27">
        <f t="shared" si="6"/>
        <v>0</v>
      </c>
      <c r="O26" s="27"/>
    </row>
    <row r="27" spans="1:15" x14ac:dyDescent="0.25">
      <c r="A27" s="122"/>
      <c r="B27" s="124" t="s">
        <v>367</v>
      </c>
      <c r="C27" s="61">
        <v>1131972.3500000001</v>
      </c>
      <c r="D27" s="61">
        <f>1131972+511522</f>
        <v>1643494</v>
      </c>
      <c r="E27" s="54">
        <f t="shared" si="0"/>
        <v>-511521.64999999991</v>
      </c>
      <c r="F27" s="27">
        <f>+'DFIT Computations'!G27</f>
        <v>0</v>
      </c>
      <c r="G27" s="27">
        <f t="shared" si="4"/>
        <v>-511521.64999999991</v>
      </c>
      <c r="H27" s="27"/>
      <c r="I27" s="27">
        <f t="shared" si="5"/>
        <v>-511521.64999999991</v>
      </c>
      <c r="J27" s="51">
        <f t="shared" si="1"/>
        <v>0.98499999999999999</v>
      </c>
      <c r="K27" s="42">
        <f t="shared" ref="K27" si="7">IF(I27*J27=0,0, ROUND(I27*J27,0))</f>
        <v>-503849</v>
      </c>
      <c r="L27" s="142" t="str">
        <f>'DFIT Computations'!M28</f>
        <v>GROSS PLT</v>
      </c>
      <c r="M27" s="27">
        <f>+'DFIT Computations'!N27</f>
        <v>0</v>
      </c>
      <c r="N27" s="27">
        <f t="shared" ref="N27" si="8">K27+M27</f>
        <v>-503849</v>
      </c>
      <c r="O27" s="27"/>
    </row>
    <row r="28" spans="1:15" x14ac:dyDescent="0.25">
      <c r="A28" s="18">
        <f>A26+1</f>
        <v>6</v>
      </c>
      <c r="B28" s="17" t="s">
        <v>4</v>
      </c>
      <c r="C28" s="61">
        <v>0</v>
      </c>
      <c r="D28" s="61">
        <v>0</v>
      </c>
      <c r="E28" s="54">
        <f t="shared" si="0"/>
        <v>0</v>
      </c>
      <c r="F28" s="27">
        <f>+'DFIT Computations'!G28</f>
        <v>0</v>
      </c>
      <c r="G28" s="27">
        <f t="shared" si="4"/>
        <v>0</v>
      </c>
      <c r="H28" s="27">
        <f>+'DFIT Computations'!I28</f>
        <v>0</v>
      </c>
      <c r="I28" s="27">
        <f t="shared" si="5"/>
        <v>0</v>
      </c>
      <c r="J28" s="51">
        <f t="shared" si="1"/>
        <v>0.98499999999999999</v>
      </c>
      <c r="K28" s="42">
        <f t="shared" si="2"/>
        <v>0</v>
      </c>
      <c r="L28" s="18" t="str">
        <f>'DFIT Computations'!M28</f>
        <v>GROSS PLT</v>
      </c>
      <c r="M28" s="27">
        <f>+'DFIT Computations'!N28</f>
        <v>0</v>
      </c>
      <c r="N28" s="27">
        <f t="shared" si="6"/>
        <v>0</v>
      </c>
      <c r="O28" s="27"/>
    </row>
    <row r="29" spans="1:15" x14ac:dyDescent="0.25">
      <c r="A29" s="18">
        <f t="shared" si="3"/>
        <v>7</v>
      </c>
      <c r="B29" s="17" t="s">
        <v>5</v>
      </c>
      <c r="C29" s="61">
        <v>0</v>
      </c>
      <c r="D29" s="61">
        <v>0</v>
      </c>
      <c r="E29" s="54">
        <f t="shared" si="0"/>
        <v>0</v>
      </c>
      <c r="F29" s="27">
        <f>+'DFIT Computations'!G29</f>
        <v>0</v>
      </c>
      <c r="G29" s="27">
        <f t="shared" si="4"/>
        <v>0</v>
      </c>
      <c r="H29" s="27">
        <f>+'DFIT Computations'!I29</f>
        <v>0</v>
      </c>
      <c r="I29" s="27">
        <f t="shared" si="5"/>
        <v>0</v>
      </c>
      <c r="J29" s="51">
        <f t="shared" si="1"/>
        <v>0.98499999999999999</v>
      </c>
      <c r="K29" s="42">
        <f t="shared" si="2"/>
        <v>0</v>
      </c>
      <c r="L29" s="18" t="str">
        <f>'DFIT Computations'!M29</f>
        <v>GROSS PLT</v>
      </c>
      <c r="M29" s="27">
        <f>+'DFIT Computations'!N29</f>
        <v>0</v>
      </c>
      <c r="N29" s="27">
        <f t="shared" si="6"/>
        <v>0</v>
      </c>
      <c r="O29" s="27"/>
    </row>
    <row r="30" spans="1:15" x14ac:dyDescent="0.25">
      <c r="A30" s="18">
        <f t="shared" si="3"/>
        <v>8</v>
      </c>
      <c r="B30" s="17" t="s">
        <v>6</v>
      </c>
      <c r="C30" s="61">
        <v>0</v>
      </c>
      <c r="D30" s="61">
        <v>0</v>
      </c>
      <c r="E30" s="54">
        <f t="shared" si="0"/>
        <v>0</v>
      </c>
      <c r="F30" s="27">
        <f>+'DFIT Computations'!G30</f>
        <v>0</v>
      </c>
      <c r="G30" s="27">
        <f t="shared" si="4"/>
        <v>0</v>
      </c>
      <c r="H30" s="27">
        <f>+'DFIT Computations'!I30</f>
        <v>0</v>
      </c>
      <c r="I30" s="27">
        <f t="shared" si="5"/>
        <v>0</v>
      </c>
      <c r="J30" s="51">
        <f t="shared" si="1"/>
        <v>0.98499999999999999</v>
      </c>
      <c r="K30" s="42">
        <f t="shared" si="2"/>
        <v>0</v>
      </c>
      <c r="L30" s="18" t="str">
        <f>'DFIT Computations'!M30</f>
        <v>TRAN PLT</v>
      </c>
      <c r="M30" s="27">
        <f>+'DFIT Computations'!N30</f>
        <v>0</v>
      </c>
      <c r="N30" s="27">
        <f t="shared" si="6"/>
        <v>0</v>
      </c>
      <c r="O30" s="27"/>
    </row>
    <row r="31" spans="1:15" x14ac:dyDescent="0.25">
      <c r="A31" s="18">
        <f t="shared" si="3"/>
        <v>9</v>
      </c>
      <c r="B31" s="56" t="s">
        <v>239</v>
      </c>
      <c r="C31" s="61">
        <v>-7447.95</v>
      </c>
      <c r="D31" s="61">
        <v>0</v>
      </c>
      <c r="E31" s="54">
        <f t="shared" si="0"/>
        <v>-7447.95</v>
      </c>
      <c r="F31" s="27">
        <f>+'DFIT Computations'!G31</f>
        <v>0</v>
      </c>
      <c r="G31" s="27">
        <f t="shared" si="4"/>
        <v>-7447.95</v>
      </c>
      <c r="H31" s="27">
        <f>+'DFIT Computations'!I31</f>
        <v>0</v>
      </c>
      <c r="I31" s="27">
        <f t="shared" si="5"/>
        <v>-7447.95</v>
      </c>
      <c r="J31" s="51">
        <f t="shared" si="1"/>
        <v>0.98499999999999999</v>
      </c>
      <c r="K31" s="42">
        <f t="shared" si="2"/>
        <v>-7336</v>
      </c>
      <c r="L31" s="18" t="str">
        <f>'DFIT Computations'!M31</f>
        <v>PROD PLT</v>
      </c>
      <c r="M31" s="27">
        <f>+'DFIT Computations'!N31</f>
        <v>0</v>
      </c>
      <c r="N31" s="27">
        <f t="shared" si="6"/>
        <v>-7336</v>
      </c>
      <c r="O31" s="27"/>
    </row>
    <row r="32" spans="1:15" x14ac:dyDescent="0.25">
      <c r="A32" s="18">
        <f t="shared" si="3"/>
        <v>10</v>
      </c>
      <c r="B32" s="56" t="s">
        <v>288</v>
      </c>
      <c r="C32" s="61">
        <v>199080</v>
      </c>
      <c r="D32" s="61">
        <v>199080</v>
      </c>
      <c r="E32" s="54">
        <f t="shared" si="0"/>
        <v>0</v>
      </c>
      <c r="F32" s="27">
        <f>+'DFIT Computations'!G32</f>
        <v>0</v>
      </c>
      <c r="G32" s="27">
        <f t="shared" si="4"/>
        <v>0</v>
      </c>
      <c r="H32" s="27">
        <f>+'DFIT Computations'!I32</f>
        <v>0</v>
      </c>
      <c r="I32" s="27">
        <f t="shared" si="5"/>
        <v>0</v>
      </c>
      <c r="J32" s="51">
        <f t="shared" si="1"/>
        <v>0.98499999999999999</v>
      </c>
      <c r="K32" s="42">
        <f t="shared" si="2"/>
        <v>0</v>
      </c>
      <c r="L32" s="18" t="str">
        <f>'DFIT Computations'!M32</f>
        <v>TRAN PLT</v>
      </c>
      <c r="M32" s="27">
        <f>+'DFIT Computations'!N32</f>
        <v>0</v>
      </c>
      <c r="N32" s="27">
        <f t="shared" si="6"/>
        <v>0</v>
      </c>
      <c r="O32" s="27"/>
    </row>
    <row r="33" spans="1:15" x14ac:dyDescent="0.25">
      <c r="A33" s="18">
        <f t="shared" si="3"/>
        <v>11</v>
      </c>
      <c r="B33" s="56" t="s">
        <v>296</v>
      </c>
      <c r="C33" s="61">
        <v>0</v>
      </c>
      <c r="D33" s="61">
        <v>0</v>
      </c>
      <c r="E33" s="54">
        <f t="shared" si="0"/>
        <v>0</v>
      </c>
      <c r="F33" s="27">
        <f>+'DFIT Computations'!G33</f>
        <v>0</v>
      </c>
      <c r="G33" s="27">
        <f t="shared" si="4"/>
        <v>0</v>
      </c>
      <c r="H33" s="27">
        <f>+'DFIT Computations'!I33</f>
        <v>0</v>
      </c>
      <c r="I33" s="27">
        <f t="shared" ref="I33" si="9">+G33+H33</f>
        <v>0</v>
      </c>
      <c r="J33" s="51">
        <f t="shared" si="1"/>
        <v>0.98499999999999999</v>
      </c>
      <c r="K33" s="42">
        <f t="shared" ref="K33" si="10">IF(I33*J33=0,0, ROUND(I33*J33,0))</f>
        <v>0</v>
      </c>
      <c r="L33" s="18" t="str">
        <f>'DFIT Computations'!M33</f>
        <v>TRAN PLT</v>
      </c>
      <c r="M33" s="27">
        <f>+'DFIT Computations'!N33</f>
        <v>0</v>
      </c>
      <c r="N33" s="27">
        <f t="shared" si="6"/>
        <v>0</v>
      </c>
      <c r="O33" s="27"/>
    </row>
    <row r="34" spans="1:15" x14ac:dyDescent="0.25">
      <c r="A34" s="18">
        <f t="shared" si="3"/>
        <v>12</v>
      </c>
      <c r="B34" s="17" t="s">
        <v>7</v>
      </c>
      <c r="C34" s="61">
        <v>0</v>
      </c>
      <c r="D34" s="61">
        <v>0</v>
      </c>
      <c r="E34" s="54">
        <f t="shared" si="0"/>
        <v>0</v>
      </c>
      <c r="F34" s="27">
        <f>+'DFIT Computations'!G34</f>
        <v>0</v>
      </c>
      <c r="G34" s="27">
        <f t="shared" si="4"/>
        <v>0</v>
      </c>
      <c r="H34" s="27">
        <f>+'DFIT Computations'!I34</f>
        <v>0</v>
      </c>
      <c r="I34" s="27">
        <f t="shared" si="5"/>
        <v>0</v>
      </c>
      <c r="J34" s="51">
        <f t="shared" si="1"/>
        <v>0.98499999999999999</v>
      </c>
      <c r="K34" s="42">
        <f t="shared" si="2"/>
        <v>0</v>
      </c>
      <c r="L34" s="18" t="str">
        <f>'DFIT Computations'!M34</f>
        <v>GROSS PLT</v>
      </c>
      <c r="M34" s="27">
        <f>+'DFIT Computations'!N34</f>
        <v>0</v>
      </c>
      <c r="N34" s="27">
        <f t="shared" si="6"/>
        <v>0</v>
      </c>
      <c r="O34" s="27"/>
    </row>
    <row r="35" spans="1:15" x14ac:dyDescent="0.25">
      <c r="A35" s="18">
        <f t="shared" si="3"/>
        <v>13</v>
      </c>
      <c r="B35" s="17" t="s">
        <v>8</v>
      </c>
      <c r="C35" s="61">
        <v>-357814.05</v>
      </c>
      <c r="D35" s="61">
        <v>0</v>
      </c>
      <c r="E35" s="54">
        <f t="shared" si="0"/>
        <v>-357814.05</v>
      </c>
      <c r="F35" s="27">
        <f>+'DFIT Computations'!G35</f>
        <v>0</v>
      </c>
      <c r="G35" s="27">
        <f t="shared" si="4"/>
        <v>-357814.05</v>
      </c>
      <c r="H35" s="27">
        <f>+'DFIT Computations'!I35</f>
        <v>0</v>
      </c>
      <c r="I35" s="27">
        <f t="shared" si="5"/>
        <v>-357814.05</v>
      </c>
      <c r="J35" s="51">
        <f t="shared" si="1"/>
        <v>0.98499999999999999</v>
      </c>
      <c r="K35" s="42">
        <f t="shared" ref="K35:K41" si="11">IF(I35*J35=0,0, ROUND(I35*J35,0))</f>
        <v>-352447</v>
      </c>
      <c r="L35" s="18" t="str">
        <f>'DFIT Computations'!M35</f>
        <v>PROD PLT</v>
      </c>
      <c r="M35" s="27">
        <f>+'DFIT Computations'!N35</f>
        <v>-10843</v>
      </c>
      <c r="N35" s="27">
        <f t="shared" si="6"/>
        <v>-363290</v>
      </c>
      <c r="O35" s="27"/>
    </row>
    <row r="36" spans="1:15" x14ac:dyDescent="0.25">
      <c r="A36" s="122"/>
      <c r="B36" s="125" t="s">
        <v>368</v>
      </c>
      <c r="C36" s="61">
        <v>-1086494.01</v>
      </c>
      <c r="D36" s="61"/>
      <c r="E36" s="54">
        <f t="shared" si="0"/>
        <v>-1086494.01</v>
      </c>
      <c r="F36" s="27">
        <f>+'DFIT Computations'!G36</f>
        <v>0</v>
      </c>
      <c r="G36" s="27">
        <f t="shared" si="4"/>
        <v>-1086494.01</v>
      </c>
      <c r="H36" s="27"/>
      <c r="I36" s="27">
        <f t="shared" si="5"/>
        <v>-1086494.01</v>
      </c>
      <c r="J36" s="51">
        <f t="shared" si="1"/>
        <v>0.98499999999999999</v>
      </c>
      <c r="K36" s="42">
        <f t="shared" si="11"/>
        <v>-1070197</v>
      </c>
      <c r="L36" s="142" t="str">
        <f>'DFIT Computations'!M37</f>
        <v>PROD PLT</v>
      </c>
      <c r="M36" s="27">
        <f>+'DFIT Computations'!N36</f>
        <v>0</v>
      </c>
      <c r="N36" s="27">
        <f t="shared" ref="N36" si="12">K36+M36</f>
        <v>-1070197</v>
      </c>
      <c r="O36" s="27"/>
    </row>
    <row r="37" spans="1:15" x14ac:dyDescent="0.25">
      <c r="A37" s="18">
        <f>A35+1</f>
        <v>14</v>
      </c>
      <c r="B37" s="17" t="s">
        <v>323</v>
      </c>
      <c r="C37" s="61">
        <v>0</v>
      </c>
      <c r="D37" s="61">
        <v>0</v>
      </c>
      <c r="E37" s="54">
        <f t="shared" si="0"/>
        <v>0</v>
      </c>
      <c r="F37" s="27">
        <f>+'DFIT Computations'!G37</f>
        <v>0</v>
      </c>
      <c r="G37" s="27">
        <f t="shared" ref="G37" si="13">+E37+F37</f>
        <v>0</v>
      </c>
      <c r="H37" s="27">
        <f>+'DFIT Computations'!I37</f>
        <v>0</v>
      </c>
      <c r="I37" s="27">
        <f t="shared" ref="I37" si="14">+G37+H37</f>
        <v>0</v>
      </c>
      <c r="J37" s="51">
        <f t="shared" si="1"/>
        <v>0.98499999999999999</v>
      </c>
      <c r="K37" s="42">
        <f t="shared" si="11"/>
        <v>0</v>
      </c>
      <c r="L37" s="18" t="str">
        <f>'DFIT Computations'!M37</f>
        <v>PROD PLT</v>
      </c>
      <c r="M37" s="27">
        <f>+'DFIT Computations'!N37</f>
        <v>0</v>
      </c>
      <c r="N37" s="27">
        <f t="shared" ref="N37" si="15">K37+M37</f>
        <v>0</v>
      </c>
      <c r="O37" s="27"/>
    </row>
    <row r="38" spans="1:15" x14ac:dyDescent="0.25">
      <c r="A38" s="18">
        <f t="shared" si="3"/>
        <v>15</v>
      </c>
      <c r="B38" s="17" t="s">
        <v>355</v>
      </c>
      <c r="C38" s="61">
        <v>0</v>
      </c>
      <c r="D38" s="61">
        <v>0</v>
      </c>
      <c r="E38" s="54">
        <f t="shared" si="0"/>
        <v>0</v>
      </c>
      <c r="F38" s="27">
        <f>+'DFIT Computations'!G38</f>
        <v>0</v>
      </c>
      <c r="G38" s="27">
        <f t="shared" ref="G38" si="16">+E38+F38</f>
        <v>0</v>
      </c>
      <c r="H38" s="27">
        <f>+'DFIT Computations'!I38</f>
        <v>0</v>
      </c>
      <c r="I38" s="27">
        <f t="shared" ref="I38" si="17">+G38+H38</f>
        <v>0</v>
      </c>
      <c r="J38" s="51">
        <f t="shared" si="1"/>
        <v>0.98499999999999999</v>
      </c>
      <c r="K38" s="42">
        <f t="shared" si="11"/>
        <v>0</v>
      </c>
      <c r="L38" s="18" t="str">
        <f>'DFIT Computations'!M38</f>
        <v>GROSS PLT</v>
      </c>
      <c r="M38" s="27">
        <f>+'DFIT Computations'!N38</f>
        <v>0</v>
      </c>
      <c r="N38" s="27">
        <f t="shared" ref="N38" si="18">K38+M38</f>
        <v>0</v>
      </c>
      <c r="O38" s="27"/>
    </row>
    <row r="39" spans="1:15" x14ac:dyDescent="0.25">
      <c r="A39" s="18">
        <f t="shared" si="3"/>
        <v>16</v>
      </c>
      <c r="B39" s="17" t="s">
        <v>9</v>
      </c>
      <c r="C39" s="61">
        <v>-67215.12</v>
      </c>
      <c r="D39" s="61">
        <v>-67215</v>
      </c>
      <c r="E39" s="54">
        <f t="shared" si="0"/>
        <v>-0.11999999999534339</v>
      </c>
      <c r="F39" s="27">
        <f>+'DFIT Computations'!G39</f>
        <v>0</v>
      </c>
      <c r="G39" s="27">
        <f t="shared" si="4"/>
        <v>-0.11999999999534339</v>
      </c>
      <c r="H39" s="27">
        <f>+'DFIT Computations'!I39</f>
        <v>0</v>
      </c>
      <c r="I39" s="27">
        <f t="shared" si="5"/>
        <v>-0.11999999999534339</v>
      </c>
      <c r="J39" s="51">
        <f t="shared" si="1"/>
        <v>0.98499999999999999</v>
      </c>
      <c r="K39" s="42">
        <f t="shared" si="11"/>
        <v>0</v>
      </c>
      <c r="L39" s="18" t="str">
        <f>'DFIT Computations'!M39</f>
        <v>GROSS PLT</v>
      </c>
      <c r="M39" s="27">
        <f>+'DFIT Computations'!N39</f>
        <v>0</v>
      </c>
      <c r="N39" s="27">
        <f t="shared" si="6"/>
        <v>0</v>
      </c>
      <c r="O39" s="27"/>
    </row>
    <row r="40" spans="1:15" x14ac:dyDescent="0.25">
      <c r="A40" s="18">
        <f t="shared" si="3"/>
        <v>17</v>
      </c>
      <c r="B40" s="17" t="s">
        <v>236</v>
      </c>
      <c r="C40" s="61">
        <v>-1062039.23</v>
      </c>
      <c r="D40" s="61">
        <f>-(1062039-1060090)</f>
        <v>-1949</v>
      </c>
      <c r="E40" s="54">
        <f t="shared" si="0"/>
        <v>-1060090.23</v>
      </c>
      <c r="F40" s="27">
        <f>+'DFIT Computations'!G40</f>
        <v>0</v>
      </c>
      <c r="G40" s="27">
        <f t="shared" si="4"/>
        <v>-1060090.23</v>
      </c>
      <c r="H40" s="27">
        <f>+'DFIT Computations'!I40</f>
        <v>0</v>
      </c>
      <c r="I40" s="27">
        <f t="shared" ref="I40" si="19">+G40+H40</f>
        <v>-1060090.23</v>
      </c>
      <c r="J40" s="51">
        <f t="shared" si="1"/>
        <v>0.98499999999999999</v>
      </c>
      <c r="K40" s="42">
        <f t="shared" si="11"/>
        <v>-1044189</v>
      </c>
      <c r="L40" s="18" t="str">
        <f>'DFIT Computations'!M40</f>
        <v>GROSS PLT</v>
      </c>
      <c r="M40" s="27">
        <f>+'DFIT Computations'!N40</f>
        <v>0</v>
      </c>
      <c r="N40" s="27">
        <f t="shared" si="6"/>
        <v>-1044189</v>
      </c>
      <c r="O40" s="27"/>
    </row>
    <row r="41" spans="1:15" x14ac:dyDescent="0.25">
      <c r="A41" s="18">
        <f t="shared" si="3"/>
        <v>18</v>
      </c>
      <c r="B41" s="56" t="s">
        <v>240</v>
      </c>
      <c r="C41" s="61">
        <v>0</v>
      </c>
      <c r="D41" s="61">
        <v>0</v>
      </c>
      <c r="E41" s="54">
        <f t="shared" si="0"/>
        <v>0</v>
      </c>
      <c r="F41" s="27">
        <f>+'DFIT Computations'!G41</f>
        <v>0</v>
      </c>
      <c r="G41" s="27">
        <f t="shared" si="4"/>
        <v>0</v>
      </c>
      <c r="H41" s="27">
        <f>+'DFIT Computations'!I41</f>
        <v>0</v>
      </c>
      <c r="I41" s="27">
        <f t="shared" si="5"/>
        <v>0</v>
      </c>
      <c r="J41" s="51">
        <f t="shared" si="1"/>
        <v>0.98499999999999999</v>
      </c>
      <c r="K41" s="42">
        <f t="shared" si="11"/>
        <v>0</v>
      </c>
      <c r="L41" s="18" t="str">
        <f>'DFIT Computations'!M41</f>
        <v>PROD PLT</v>
      </c>
      <c r="M41" s="27">
        <f>+'DFIT Computations'!N41</f>
        <v>0</v>
      </c>
      <c r="N41" s="27">
        <f t="shared" si="6"/>
        <v>0</v>
      </c>
      <c r="O41" s="27"/>
    </row>
    <row r="42" spans="1:15" x14ac:dyDescent="0.25">
      <c r="A42" s="18">
        <f t="shared" si="3"/>
        <v>19</v>
      </c>
      <c r="B42" s="17" t="s">
        <v>10</v>
      </c>
      <c r="C42" s="61">
        <v>-243178.52</v>
      </c>
      <c r="D42" s="61">
        <f>-(243179-120594)</f>
        <v>-122585</v>
      </c>
      <c r="E42" s="54">
        <f t="shared" si="0"/>
        <v>-120593.51999999999</v>
      </c>
      <c r="F42" s="27">
        <f>+'DFIT Computations'!G42</f>
        <v>0</v>
      </c>
      <c r="G42" s="27">
        <f t="shared" si="4"/>
        <v>-120593.51999999999</v>
      </c>
      <c r="H42" s="27">
        <f>+'DFIT Computations'!I42</f>
        <v>0</v>
      </c>
      <c r="I42" s="27">
        <f t="shared" si="5"/>
        <v>-120593.51999999999</v>
      </c>
      <c r="J42" s="51">
        <f t="shared" si="1"/>
        <v>0.999</v>
      </c>
      <c r="K42" s="42">
        <f t="shared" si="2"/>
        <v>-120473</v>
      </c>
      <c r="L42" s="18" t="str">
        <f>'DFIT Computations'!M42</f>
        <v>DIST PLT</v>
      </c>
      <c r="M42" s="27">
        <f>+'DFIT Computations'!N42</f>
        <v>0</v>
      </c>
      <c r="N42" s="27">
        <f t="shared" si="6"/>
        <v>-120473</v>
      </c>
      <c r="O42" s="27"/>
    </row>
    <row r="43" spans="1:15" ht="13" x14ac:dyDescent="0.3">
      <c r="A43" s="18">
        <f t="shared" si="3"/>
        <v>20</v>
      </c>
      <c r="B43" s="75" t="s">
        <v>11</v>
      </c>
      <c r="C43" s="78">
        <f t="shared" ref="C43:I43" si="20">SUM(C23:C42)</f>
        <v>-4713962.1399999987</v>
      </c>
      <c r="D43" s="78">
        <f t="shared" si="20"/>
        <v>-3305048</v>
      </c>
      <c r="E43" s="78">
        <f t="shared" si="20"/>
        <v>-1408914.1399999997</v>
      </c>
      <c r="F43" s="78">
        <f t="shared" ref="F43" si="21">SUM(F23:F42)</f>
        <v>0</v>
      </c>
      <c r="G43" s="78">
        <f t="shared" si="20"/>
        <v>-1408914.1399999997</v>
      </c>
      <c r="H43" s="78">
        <f t="shared" si="20"/>
        <v>0</v>
      </c>
      <c r="I43" s="78">
        <f t="shared" si="20"/>
        <v>-1408914.1399999997</v>
      </c>
      <c r="J43" s="24"/>
      <c r="K43" s="78">
        <f>SUM(K23:K42)</f>
        <v>-1389469</v>
      </c>
      <c r="M43" s="78">
        <f t="shared" ref="M43:N43" si="22">SUM(M23:M42)</f>
        <v>-987152</v>
      </c>
      <c r="N43" s="78">
        <f t="shared" si="22"/>
        <v>-2376621</v>
      </c>
      <c r="O43" s="27"/>
    </row>
    <row r="44" spans="1:15" x14ac:dyDescent="0.25">
      <c r="A44" s="18">
        <f t="shared" si="3"/>
        <v>21</v>
      </c>
      <c r="B44" s="17" t="s">
        <v>0</v>
      </c>
      <c r="C44" s="36"/>
      <c r="D44" s="82"/>
      <c r="E44" s="82"/>
      <c r="F44" s="41"/>
      <c r="G44" s="41"/>
      <c r="H44" s="41"/>
      <c r="I44" s="41"/>
      <c r="J44" s="81"/>
      <c r="M44" s="41"/>
      <c r="N44" s="41"/>
    </row>
    <row r="45" spans="1:15" ht="13" x14ac:dyDescent="0.3">
      <c r="A45" s="18">
        <f t="shared" si="3"/>
        <v>22</v>
      </c>
      <c r="B45" s="75" t="s">
        <v>12</v>
      </c>
      <c r="C45" s="36"/>
      <c r="D45" s="82"/>
      <c r="E45" s="82"/>
      <c r="F45" s="41"/>
      <c r="G45" s="41"/>
      <c r="H45" s="41"/>
      <c r="I45" s="41"/>
      <c r="J45" s="81"/>
      <c r="M45" s="41"/>
      <c r="N45" s="41"/>
    </row>
    <row r="46" spans="1:15" x14ac:dyDescent="0.25">
      <c r="A46" s="18">
        <f t="shared" si="3"/>
        <v>23</v>
      </c>
      <c r="B46" s="17" t="s">
        <v>13</v>
      </c>
      <c r="C46" s="61">
        <v>0</v>
      </c>
      <c r="D46" s="61">
        <v>0</v>
      </c>
      <c r="E46" s="54">
        <f t="shared" ref="E46:E54" si="23">+C46-D46</f>
        <v>0</v>
      </c>
      <c r="F46" s="27">
        <f>+'DFIT Computations'!G46</f>
        <v>0</v>
      </c>
      <c r="G46" s="27">
        <f t="shared" ref="G46:G54" si="24">+E46+F46</f>
        <v>0</v>
      </c>
      <c r="H46" s="27">
        <f>+'DFIT Computations'!I46</f>
        <v>0</v>
      </c>
      <c r="I46" s="27">
        <f t="shared" ref="I46:I54" si="25">+G46+H46</f>
        <v>0</v>
      </c>
      <c r="J46" s="51">
        <f t="shared" ref="J46:J54" si="26">VLOOKUP(L46,$C$306:$D$320,2,FALSE)</f>
        <v>0</v>
      </c>
      <c r="K46" s="42">
        <f t="shared" ref="K46:K54" si="27">IF(I46*J46=0,0, ROUND(I46*J46,0))</f>
        <v>0</v>
      </c>
      <c r="L46" s="18" t="str">
        <f>'DFIT Computations'!M46</f>
        <v>NON-APPLIC</v>
      </c>
      <c r="M46" s="27">
        <v>0</v>
      </c>
      <c r="N46" s="27">
        <f t="shared" ref="N46:N54" si="28">K46+M46</f>
        <v>0</v>
      </c>
      <c r="O46" s="27"/>
    </row>
    <row r="47" spans="1:15" x14ac:dyDescent="0.25">
      <c r="A47" s="18">
        <f t="shared" si="3"/>
        <v>24</v>
      </c>
      <c r="B47" s="17" t="s">
        <v>289</v>
      </c>
      <c r="C47" s="61">
        <v>0</v>
      </c>
      <c r="D47" s="61">
        <v>0</v>
      </c>
      <c r="E47" s="54">
        <f t="shared" si="23"/>
        <v>0</v>
      </c>
      <c r="F47" s="27">
        <f>+'DFIT Computations'!G47</f>
        <v>0</v>
      </c>
      <c r="G47" s="27">
        <f t="shared" si="24"/>
        <v>0</v>
      </c>
      <c r="H47" s="27">
        <f>+'DFIT Computations'!I47</f>
        <v>0</v>
      </c>
      <c r="I47" s="27">
        <f t="shared" ref="I47" si="29">+G47+H47</f>
        <v>0</v>
      </c>
      <c r="J47" s="51">
        <f t="shared" si="26"/>
        <v>1</v>
      </c>
      <c r="K47" s="42">
        <f t="shared" ref="K47" si="30">IF(I47*J47=0,0, ROUND(I47*J47,0))</f>
        <v>0</v>
      </c>
      <c r="L47" s="18" t="str">
        <f>'DFIT Computations'!M47</f>
        <v>SPECIFIC</v>
      </c>
      <c r="M47" s="27">
        <v>0</v>
      </c>
      <c r="N47" s="27">
        <f t="shared" si="28"/>
        <v>0</v>
      </c>
      <c r="O47" s="27"/>
    </row>
    <row r="48" spans="1:15" x14ac:dyDescent="0.25">
      <c r="A48" s="18">
        <f t="shared" si="3"/>
        <v>25</v>
      </c>
      <c r="B48" s="17" t="s">
        <v>14</v>
      </c>
      <c r="C48" s="61">
        <v>294102.28999999998</v>
      </c>
      <c r="D48" s="61">
        <v>0</v>
      </c>
      <c r="E48" s="54">
        <f t="shared" si="23"/>
        <v>294102.28999999998</v>
      </c>
      <c r="F48" s="27">
        <f>+'DFIT Computations'!G48</f>
        <v>0</v>
      </c>
      <c r="G48" s="27">
        <f t="shared" si="24"/>
        <v>294102.28999999998</v>
      </c>
      <c r="H48" s="27">
        <f>+'DFIT Computations'!I48</f>
        <v>0</v>
      </c>
      <c r="I48" s="27">
        <f t="shared" si="25"/>
        <v>294102.28999999998</v>
      </c>
      <c r="J48" s="51">
        <f t="shared" si="26"/>
        <v>0.98499999999999999</v>
      </c>
      <c r="K48" s="42">
        <f t="shared" si="27"/>
        <v>289691</v>
      </c>
      <c r="L48" s="18" t="str">
        <f>'DFIT Computations'!M48</f>
        <v>GROSS PLT</v>
      </c>
      <c r="M48" s="27">
        <f>+'DFIT Computations'!N48</f>
        <v>95271</v>
      </c>
      <c r="N48" s="27">
        <f t="shared" si="28"/>
        <v>384962</v>
      </c>
      <c r="O48" s="27"/>
    </row>
    <row r="49" spans="1:15" x14ac:dyDescent="0.25">
      <c r="A49" s="18">
        <f t="shared" si="3"/>
        <v>26</v>
      </c>
      <c r="B49" s="17" t="s">
        <v>228</v>
      </c>
      <c r="C49" s="61">
        <v>-169411.46</v>
      </c>
      <c r="D49" s="61">
        <f>170085-169411</f>
        <v>674</v>
      </c>
      <c r="E49" s="54">
        <f t="shared" si="23"/>
        <v>-170085.46</v>
      </c>
      <c r="F49" s="27">
        <f>+'DFIT Computations'!G49</f>
        <v>0</v>
      </c>
      <c r="G49" s="27">
        <f t="shared" si="24"/>
        <v>-170085.46</v>
      </c>
      <c r="H49" s="27">
        <f>+'DFIT Computations'!I49</f>
        <v>0</v>
      </c>
      <c r="I49" s="27">
        <f t="shared" si="25"/>
        <v>-170085.46</v>
      </c>
      <c r="J49" s="51">
        <f t="shared" si="26"/>
        <v>0.98499999999999999</v>
      </c>
      <c r="K49" s="42">
        <f t="shared" ref="K49:K52" si="31">IF(I49*J49=0,0, ROUND(I49*J49,0))</f>
        <v>-167534</v>
      </c>
      <c r="L49" s="18" t="str">
        <f>'DFIT Computations'!M49</f>
        <v>GROSS PLT</v>
      </c>
      <c r="M49" s="27">
        <f>+'DFIT Computations'!N49</f>
        <v>0</v>
      </c>
      <c r="N49" s="27">
        <f t="shared" si="28"/>
        <v>-167534</v>
      </c>
      <c r="O49" s="27"/>
    </row>
    <row r="50" spans="1:15" x14ac:dyDescent="0.25">
      <c r="A50" s="18">
        <f t="shared" si="3"/>
        <v>27</v>
      </c>
      <c r="B50" s="17" t="s">
        <v>298</v>
      </c>
      <c r="C50" s="61">
        <v>0</v>
      </c>
      <c r="D50" s="61">
        <v>0</v>
      </c>
      <c r="E50" s="54">
        <f t="shared" si="23"/>
        <v>0</v>
      </c>
      <c r="F50" s="27">
        <f>+'DFIT Computations'!G50</f>
        <v>0</v>
      </c>
      <c r="G50" s="27">
        <f t="shared" si="24"/>
        <v>0</v>
      </c>
      <c r="H50" s="27">
        <f>+'DFIT Computations'!I50</f>
        <v>0</v>
      </c>
      <c r="I50" s="27">
        <f t="shared" ref="I50" si="32">+G50+H50</f>
        <v>0</v>
      </c>
      <c r="J50" s="51">
        <f t="shared" si="26"/>
        <v>0.98499999999999999</v>
      </c>
      <c r="K50" s="42">
        <f t="shared" si="31"/>
        <v>0</v>
      </c>
      <c r="L50" s="18" t="str">
        <f>'DFIT Computations'!M50</f>
        <v>TRAN PLT</v>
      </c>
      <c r="M50" s="27">
        <f>+'DFIT Computations'!N50</f>
        <v>0</v>
      </c>
      <c r="N50" s="27">
        <f t="shared" si="28"/>
        <v>0</v>
      </c>
      <c r="O50" s="27"/>
    </row>
    <row r="51" spans="1:15" x14ac:dyDescent="0.25">
      <c r="A51" s="18">
        <f t="shared" si="3"/>
        <v>28</v>
      </c>
      <c r="B51" s="17" t="s">
        <v>291</v>
      </c>
      <c r="C51" s="61">
        <v>0</v>
      </c>
      <c r="D51" s="61">
        <v>0</v>
      </c>
      <c r="E51" s="54">
        <f t="shared" si="23"/>
        <v>0</v>
      </c>
      <c r="F51" s="27">
        <f>+'DFIT Computations'!G51</f>
        <v>0</v>
      </c>
      <c r="G51" s="27">
        <f t="shared" si="24"/>
        <v>0</v>
      </c>
      <c r="H51" s="27">
        <f>+'DFIT Computations'!I51</f>
        <v>0</v>
      </c>
      <c r="I51" s="27">
        <f t="shared" si="25"/>
        <v>0</v>
      </c>
      <c r="J51" s="51">
        <f t="shared" si="26"/>
        <v>0.98499999999999999</v>
      </c>
      <c r="K51" s="42">
        <f t="shared" si="31"/>
        <v>0</v>
      </c>
      <c r="L51" s="18" t="str">
        <f>'DFIT Computations'!M51</f>
        <v>TRAN PLT</v>
      </c>
      <c r="M51" s="27">
        <f>+'DFIT Computations'!N51</f>
        <v>0</v>
      </c>
      <c r="N51" s="27">
        <f t="shared" si="28"/>
        <v>0</v>
      </c>
      <c r="O51" s="27"/>
    </row>
    <row r="52" spans="1:15" x14ac:dyDescent="0.25">
      <c r="A52" s="18">
        <f t="shared" si="3"/>
        <v>29</v>
      </c>
      <c r="B52" s="17" t="s">
        <v>290</v>
      </c>
      <c r="C52" s="61">
        <v>-7819</v>
      </c>
      <c r="D52" s="61">
        <f>4468-7819</f>
        <v>-3351</v>
      </c>
      <c r="E52" s="54">
        <f t="shared" si="23"/>
        <v>-4468</v>
      </c>
      <c r="F52" s="27">
        <f>+'DFIT Computations'!G52</f>
        <v>0</v>
      </c>
      <c r="G52" s="27">
        <f t="shared" si="24"/>
        <v>-4468</v>
      </c>
      <c r="H52" s="27">
        <f>+'DFIT Computations'!I52</f>
        <v>0</v>
      </c>
      <c r="I52" s="27">
        <f t="shared" si="25"/>
        <v>-4468</v>
      </c>
      <c r="J52" s="51">
        <f t="shared" si="26"/>
        <v>0.98499999999999999</v>
      </c>
      <c r="K52" s="42">
        <f t="shared" si="31"/>
        <v>-4401</v>
      </c>
      <c r="L52" s="18" t="str">
        <f>'DFIT Computations'!M52</f>
        <v>TRAN PLT</v>
      </c>
      <c r="M52" s="27">
        <f>+'DFIT Computations'!N52</f>
        <v>0</v>
      </c>
      <c r="N52" s="27">
        <f t="shared" si="28"/>
        <v>-4401</v>
      </c>
      <c r="O52" s="27"/>
    </row>
    <row r="53" spans="1:15" x14ac:dyDescent="0.25">
      <c r="A53" s="18">
        <f t="shared" si="3"/>
        <v>30</v>
      </c>
      <c r="B53" s="17" t="s">
        <v>15</v>
      </c>
      <c r="C53" s="61">
        <v>-551072.88</v>
      </c>
      <c r="D53" s="61">
        <v>0</v>
      </c>
      <c r="E53" s="54">
        <f t="shared" si="23"/>
        <v>-551072.88</v>
      </c>
      <c r="F53" s="27">
        <f>+'DFIT Computations'!G53</f>
        <v>0</v>
      </c>
      <c r="G53" s="27">
        <f t="shared" si="24"/>
        <v>-551072.88</v>
      </c>
      <c r="H53" s="27">
        <f>+'DFIT Computations'!I53</f>
        <v>0</v>
      </c>
      <c r="I53" s="27">
        <f t="shared" si="25"/>
        <v>-551072.88</v>
      </c>
      <c r="J53" s="51">
        <f t="shared" si="26"/>
        <v>0.98499999999999999</v>
      </c>
      <c r="K53" s="42">
        <f t="shared" si="27"/>
        <v>-542807</v>
      </c>
      <c r="L53" s="18" t="str">
        <f>'DFIT Computations'!M53</f>
        <v>GROSS PLT</v>
      </c>
      <c r="M53" s="27">
        <f>+'DFIT Computations'!N53</f>
        <v>0</v>
      </c>
      <c r="N53" s="27">
        <f t="shared" si="28"/>
        <v>-542807</v>
      </c>
      <c r="O53" s="27"/>
    </row>
    <row r="54" spans="1:15" x14ac:dyDescent="0.25">
      <c r="A54" s="18">
        <f t="shared" si="3"/>
        <v>31</v>
      </c>
      <c r="B54" s="17" t="s">
        <v>229</v>
      </c>
      <c r="C54" s="61">
        <v>291422.45</v>
      </c>
      <c r="D54" s="61">
        <f>-(292239-291422)</f>
        <v>-817</v>
      </c>
      <c r="E54" s="54">
        <f t="shared" si="23"/>
        <v>292239.45</v>
      </c>
      <c r="F54" s="27">
        <f>+'DFIT Computations'!G54</f>
        <v>0</v>
      </c>
      <c r="G54" s="27">
        <f t="shared" si="24"/>
        <v>292239.45</v>
      </c>
      <c r="H54" s="27">
        <f>+'DFIT Computations'!I54</f>
        <v>0</v>
      </c>
      <c r="I54" s="27">
        <f t="shared" si="25"/>
        <v>292239.45</v>
      </c>
      <c r="J54" s="51">
        <f t="shared" si="26"/>
        <v>0.98499999999999999</v>
      </c>
      <c r="K54" s="42">
        <f t="shared" si="27"/>
        <v>287856</v>
      </c>
      <c r="L54" s="18" t="str">
        <f>'DFIT Computations'!M54</f>
        <v>GROSS PLT</v>
      </c>
      <c r="M54" s="27">
        <f>+'DFIT Computations'!N54</f>
        <v>0</v>
      </c>
      <c r="N54" s="27">
        <f t="shared" si="28"/>
        <v>287856</v>
      </c>
      <c r="O54" s="27"/>
    </row>
    <row r="55" spans="1:15" ht="13" x14ac:dyDescent="0.3">
      <c r="A55" s="18">
        <f t="shared" si="3"/>
        <v>32</v>
      </c>
      <c r="B55" s="75" t="s">
        <v>16</v>
      </c>
      <c r="C55" s="78">
        <f t="shared" ref="C55:I55" si="33">SUM(C46:C54)</f>
        <v>-142778.60000000003</v>
      </c>
      <c r="D55" s="78">
        <f t="shared" si="33"/>
        <v>-3494</v>
      </c>
      <c r="E55" s="78">
        <f t="shared" si="33"/>
        <v>-139284.60000000003</v>
      </c>
      <c r="F55" s="78">
        <f t="shared" ref="F55" si="34">SUM(F46:F54)</f>
        <v>0</v>
      </c>
      <c r="G55" s="78">
        <f t="shared" si="33"/>
        <v>-139284.60000000003</v>
      </c>
      <c r="H55" s="78">
        <f t="shared" si="33"/>
        <v>0</v>
      </c>
      <c r="I55" s="78">
        <f t="shared" si="33"/>
        <v>-139284.60000000003</v>
      </c>
      <c r="J55" s="24"/>
      <c r="K55" s="78">
        <f>SUM(K46:K54)</f>
        <v>-137195</v>
      </c>
      <c r="M55" s="78">
        <f t="shared" ref="M55:N55" si="35">SUM(M46:M54)</f>
        <v>95271</v>
      </c>
      <c r="N55" s="78">
        <f t="shared" si="35"/>
        <v>-41924</v>
      </c>
      <c r="O55" s="27"/>
    </row>
    <row r="56" spans="1:15" x14ac:dyDescent="0.25">
      <c r="A56" s="18">
        <f t="shared" si="3"/>
        <v>33</v>
      </c>
      <c r="B56" s="17" t="s">
        <v>0</v>
      </c>
      <c r="C56" s="36"/>
      <c r="D56" s="82"/>
      <c r="E56" s="82"/>
      <c r="F56" s="41"/>
      <c r="G56" s="41"/>
      <c r="H56" s="41"/>
      <c r="I56" s="41"/>
      <c r="J56" s="81"/>
      <c r="M56" s="41"/>
      <c r="N56" s="41"/>
    </row>
    <row r="57" spans="1:15" ht="13" x14ac:dyDescent="0.3">
      <c r="A57" s="18">
        <f t="shared" si="3"/>
        <v>34</v>
      </c>
      <c r="B57" s="75" t="s">
        <v>17</v>
      </c>
      <c r="C57" s="36"/>
      <c r="D57" s="82"/>
      <c r="E57" s="82"/>
      <c r="F57" s="41"/>
      <c r="G57" s="41"/>
      <c r="H57" s="41"/>
      <c r="I57" s="41"/>
      <c r="J57" s="81"/>
      <c r="M57" s="41"/>
      <c r="N57" s="41"/>
    </row>
    <row r="58" spans="1:15" x14ac:dyDescent="0.25">
      <c r="A58" s="18">
        <f t="shared" si="3"/>
        <v>35</v>
      </c>
      <c r="B58" s="17" t="s">
        <v>230</v>
      </c>
      <c r="C58" s="61">
        <v>0</v>
      </c>
      <c r="D58" s="61">
        <v>0</v>
      </c>
      <c r="E58" s="54">
        <f t="shared" ref="E58:E61" si="36">+C58-D58</f>
        <v>0</v>
      </c>
      <c r="F58" s="27">
        <f>+'DFIT Computations'!G58</f>
        <v>0</v>
      </c>
      <c r="G58" s="27">
        <f t="shared" ref="G58:G61" si="37">+E58+F58</f>
        <v>0</v>
      </c>
      <c r="H58" s="27">
        <f>+'DFIT Computations'!I58</f>
        <v>0</v>
      </c>
      <c r="I58" s="27">
        <f t="shared" ref="I58:I61" si="38">+G58+H58</f>
        <v>0</v>
      </c>
      <c r="J58" s="51">
        <f>VLOOKUP(L58,$C$306:$D$320,2,FALSE)</f>
        <v>0.98499999999999999</v>
      </c>
      <c r="K58" s="42">
        <f t="shared" ref="K58:K61" si="39">IF(I58*J58=0,0, ROUND(I58*J58,0))</f>
        <v>0</v>
      </c>
      <c r="L58" s="18" t="str">
        <f>'DFIT Computations'!M58</f>
        <v>GROSS PLT</v>
      </c>
      <c r="M58" s="27">
        <f>+'DFIT Computations'!N58</f>
        <v>0</v>
      </c>
      <c r="N58" s="27">
        <f t="shared" ref="N58:N61" si="40">K58+M58</f>
        <v>0</v>
      </c>
      <c r="O58" s="27"/>
    </row>
    <row r="59" spans="1:15" x14ac:dyDescent="0.25">
      <c r="A59" s="18">
        <f t="shared" si="3"/>
        <v>36</v>
      </c>
      <c r="B59" s="17" t="s">
        <v>231</v>
      </c>
      <c r="C59" s="61">
        <v>0</v>
      </c>
      <c r="D59" s="61">
        <v>0</v>
      </c>
      <c r="E59" s="54">
        <f t="shared" si="36"/>
        <v>0</v>
      </c>
      <c r="F59" s="27">
        <f>+'DFIT Computations'!G59</f>
        <v>0</v>
      </c>
      <c r="G59" s="27">
        <f t="shared" si="37"/>
        <v>0</v>
      </c>
      <c r="H59" s="27">
        <f>+'DFIT Computations'!I59</f>
        <v>0</v>
      </c>
      <c r="I59" s="27">
        <f t="shared" si="38"/>
        <v>0</v>
      </c>
      <c r="J59" s="51">
        <f>VLOOKUP(L59,$C$306:$D$320,2,FALSE)</f>
        <v>0.98499999999999999</v>
      </c>
      <c r="K59" s="42">
        <f t="shared" si="39"/>
        <v>0</v>
      </c>
      <c r="L59" s="18" t="str">
        <f>'DFIT Computations'!M59</f>
        <v>GROSS PLT</v>
      </c>
      <c r="M59" s="27">
        <f>+'DFIT Computations'!N59</f>
        <v>0</v>
      </c>
      <c r="N59" s="27">
        <f t="shared" si="40"/>
        <v>0</v>
      </c>
      <c r="O59" s="27"/>
    </row>
    <row r="60" spans="1:15" x14ac:dyDescent="0.25">
      <c r="A60" s="18">
        <f t="shared" si="3"/>
        <v>37</v>
      </c>
      <c r="B60" s="17" t="s">
        <v>20</v>
      </c>
      <c r="C60" s="61">
        <v>0</v>
      </c>
      <c r="D60" s="61">
        <v>0</v>
      </c>
      <c r="E60" s="54">
        <f t="shared" si="36"/>
        <v>0</v>
      </c>
      <c r="F60" s="27">
        <f>+'DFIT Computations'!G60</f>
        <v>0</v>
      </c>
      <c r="G60" s="27">
        <f t="shared" si="37"/>
        <v>0</v>
      </c>
      <c r="H60" s="27">
        <f>+'DFIT Computations'!I60</f>
        <v>0</v>
      </c>
      <c r="I60" s="27">
        <f t="shared" si="38"/>
        <v>0</v>
      </c>
      <c r="J60" s="51">
        <f>VLOOKUP(L60,$C$306:$D$320,2,FALSE)</f>
        <v>0.99</v>
      </c>
      <c r="K60" s="42">
        <f t="shared" si="39"/>
        <v>0</v>
      </c>
      <c r="L60" s="18" t="str">
        <f>'DFIT Computations'!M60</f>
        <v>LABOR</v>
      </c>
      <c r="M60" s="27">
        <f>+'DFIT Computations'!N60</f>
        <v>0</v>
      </c>
      <c r="N60" s="27">
        <f t="shared" si="40"/>
        <v>0</v>
      </c>
      <c r="O60" s="27"/>
    </row>
    <row r="61" spans="1:15" x14ac:dyDescent="0.25">
      <c r="A61" s="18">
        <f t="shared" si="3"/>
        <v>38</v>
      </c>
      <c r="B61" s="17" t="s">
        <v>232</v>
      </c>
      <c r="C61" s="61">
        <v>0</v>
      </c>
      <c r="D61" s="61">
        <v>0</v>
      </c>
      <c r="E61" s="54">
        <f t="shared" si="36"/>
        <v>0</v>
      </c>
      <c r="F61" s="27">
        <f>+'DFIT Computations'!G61</f>
        <v>0</v>
      </c>
      <c r="G61" s="27">
        <f t="shared" si="37"/>
        <v>0</v>
      </c>
      <c r="H61" s="27">
        <f>+'DFIT Computations'!I61</f>
        <v>0</v>
      </c>
      <c r="I61" s="27">
        <f t="shared" si="38"/>
        <v>0</v>
      </c>
      <c r="J61" s="51">
        <f>VLOOKUP(L61,$C$306:$D$320,2,FALSE)</f>
        <v>0.98499999999999999</v>
      </c>
      <c r="K61" s="42">
        <f t="shared" si="39"/>
        <v>0</v>
      </c>
      <c r="L61" s="18" t="str">
        <f>'DFIT Computations'!M61</f>
        <v>GROSS PLT</v>
      </c>
      <c r="M61" s="27">
        <f>+'DFIT Computations'!N61</f>
        <v>0</v>
      </c>
      <c r="N61" s="27">
        <f t="shared" si="40"/>
        <v>0</v>
      </c>
      <c r="O61" s="27"/>
    </row>
    <row r="62" spans="1:15" ht="13" x14ac:dyDescent="0.3">
      <c r="A62" s="18">
        <f t="shared" si="3"/>
        <v>39</v>
      </c>
      <c r="B62" s="75" t="s">
        <v>22</v>
      </c>
      <c r="C62" s="78">
        <f t="shared" ref="C62:I62" si="41">SUM(C58:C61)</f>
        <v>0</v>
      </c>
      <c r="D62" s="78">
        <f t="shared" si="41"/>
        <v>0</v>
      </c>
      <c r="E62" s="78">
        <f t="shared" si="41"/>
        <v>0</v>
      </c>
      <c r="F62" s="78">
        <f t="shared" ref="F62" si="42">SUM(F58:F61)</f>
        <v>0</v>
      </c>
      <c r="G62" s="78">
        <f t="shared" si="41"/>
        <v>0</v>
      </c>
      <c r="H62" s="78">
        <f t="shared" si="41"/>
        <v>0</v>
      </c>
      <c r="I62" s="78">
        <f t="shared" si="41"/>
        <v>0</v>
      </c>
      <c r="J62" s="24"/>
      <c r="K62" s="78">
        <f>SUM(K58:K61)</f>
        <v>0</v>
      </c>
      <c r="M62" s="78">
        <f t="shared" ref="M62:N62" si="43">SUM(M58:M61)</f>
        <v>0</v>
      </c>
      <c r="N62" s="78">
        <f t="shared" si="43"/>
        <v>0</v>
      </c>
      <c r="O62" s="27"/>
    </row>
    <row r="63" spans="1:15" x14ac:dyDescent="0.25">
      <c r="A63" s="18">
        <f t="shared" si="3"/>
        <v>40</v>
      </c>
      <c r="B63" s="17" t="s">
        <v>0</v>
      </c>
      <c r="C63" s="36"/>
      <c r="D63" s="38"/>
      <c r="E63" s="38"/>
      <c r="F63" s="38"/>
      <c r="G63" s="38"/>
      <c r="H63" s="38"/>
      <c r="I63" s="38"/>
      <c r="J63" s="81"/>
      <c r="M63" s="38"/>
      <c r="N63" s="38"/>
    </row>
    <row r="64" spans="1:15" ht="13" x14ac:dyDescent="0.3">
      <c r="A64" s="18">
        <f t="shared" si="3"/>
        <v>41</v>
      </c>
      <c r="B64" s="75" t="s">
        <v>23</v>
      </c>
      <c r="C64" s="36"/>
      <c r="D64" s="38"/>
      <c r="E64" s="38"/>
      <c r="F64" s="38"/>
      <c r="G64" s="38"/>
      <c r="H64" s="38"/>
      <c r="I64" s="38"/>
      <c r="J64" s="81"/>
      <c r="M64" s="38"/>
      <c r="N64" s="38"/>
    </row>
    <row r="65" spans="1:15" x14ac:dyDescent="0.25">
      <c r="A65" s="18">
        <f t="shared" si="3"/>
        <v>42</v>
      </c>
      <c r="B65" s="17" t="s">
        <v>24</v>
      </c>
      <c r="C65" s="61">
        <v>0</v>
      </c>
      <c r="D65" s="61">
        <v>0</v>
      </c>
      <c r="E65" s="54">
        <f t="shared" ref="E65:E69" si="44">+C65-D65</f>
        <v>0</v>
      </c>
      <c r="F65" s="27">
        <f>+'DFIT Computations'!G65</f>
        <v>0</v>
      </c>
      <c r="G65" s="27">
        <f t="shared" ref="G65:G70" si="45">+E65+F65</f>
        <v>0</v>
      </c>
      <c r="H65" s="27">
        <f>+'DFIT Computations'!I65</f>
        <v>0</v>
      </c>
      <c r="I65" s="27">
        <f t="shared" ref="I65:I70" si="46">+G65+H65</f>
        <v>0</v>
      </c>
      <c r="J65" s="51">
        <f t="shared" ref="J65:J70" si="47">VLOOKUP(L65,$C$306:$D$320,2,FALSE)</f>
        <v>0.98499999999999999</v>
      </c>
      <c r="K65" s="42">
        <f t="shared" ref="K65:K70" si="48">IF(I65*J65=0,0, ROUND(I65*J65,0))</f>
        <v>0</v>
      </c>
      <c r="L65" s="18" t="str">
        <f>'DFIT Computations'!M65</f>
        <v>GROSS PLT</v>
      </c>
      <c r="M65" s="27">
        <f>+'DFIT Computations'!N65</f>
        <v>0</v>
      </c>
      <c r="N65" s="27">
        <f t="shared" ref="N65:N70" si="49">K65+M65</f>
        <v>0</v>
      </c>
      <c r="O65" s="27"/>
    </row>
    <row r="66" spans="1:15" x14ac:dyDescent="0.25">
      <c r="A66" s="18">
        <f t="shared" si="3"/>
        <v>43</v>
      </c>
      <c r="B66" s="17" t="s">
        <v>233</v>
      </c>
      <c r="C66" s="61">
        <v>-214280.24</v>
      </c>
      <c r="D66" s="61">
        <f>205482-214280</f>
        <v>-8798</v>
      </c>
      <c r="E66" s="54">
        <f t="shared" si="44"/>
        <v>-205482.23999999999</v>
      </c>
      <c r="F66" s="27">
        <f>+'DFIT Computations'!G66</f>
        <v>0</v>
      </c>
      <c r="G66" s="27">
        <f t="shared" si="45"/>
        <v>-205482.23999999999</v>
      </c>
      <c r="H66" s="27">
        <f>+'DFIT Computations'!I66</f>
        <v>0</v>
      </c>
      <c r="I66" s="27">
        <f t="shared" si="46"/>
        <v>-205482.23999999999</v>
      </c>
      <c r="J66" s="51">
        <f t="shared" si="47"/>
        <v>0.98499999999999999</v>
      </c>
      <c r="K66" s="42">
        <f t="shared" si="48"/>
        <v>-202400</v>
      </c>
      <c r="L66" s="18" t="str">
        <f>'DFIT Computations'!M66</f>
        <v>GROSS PLT</v>
      </c>
      <c r="M66" s="27">
        <f>+'DFIT Computations'!N66</f>
        <v>0</v>
      </c>
      <c r="N66" s="27">
        <f t="shared" si="49"/>
        <v>-202400</v>
      </c>
      <c r="O66" s="27"/>
    </row>
    <row r="67" spans="1:15" x14ac:dyDescent="0.25">
      <c r="A67" s="18">
        <f t="shared" si="3"/>
        <v>44</v>
      </c>
      <c r="B67" s="56" t="s">
        <v>241</v>
      </c>
      <c r="C67" s="61">
        <v>10019492.279999999</v>
      </c>
      <c r="D67" s="61">
        <f>-(9571079-10019492)</f>
        <v>448413</v>
      </c>
      <c r="E67" s="54">
        <f t="shared" si="44"/>
        <v>9571079.2799999993</v>
      </c>
      <c r="F67" s="27">
        <f>+'DFIT Computations'!G67</f>
        <v>0</v>
      </c>
      <c r="G67" s="27">
        <f t="shared" si="45"/>
        <v>9571079.2799999993</v>
      </c>
      <c r="H67" s="27">
        <f>+'DFIT Computations'!I67</f>
        <v>0</v>
      </c>
      <c r="I67" s="27">
        <f t="shared" si="46"/>
        <v>9571079.2799999993</v>
      </c>
      <c r="J67" s="51">
        <f t="shared" si="47"/>
        <v>0.98499999999999999</v>
      </c>
      <c r="K67" s="42">
        <f t="shared" si="48"/>
        <v>9427513</v>
      </c>
      <c r="L67" s="18" t="str">
        <f>'DFIT Computations'!M67</f>
        <v>PROD PLT</v>
      </c>
      <c r="M67" s="27">
        <f>+'DFIT Computations'!N67</f>
        <v>0</v>
      </c>
      <c r="N67" s="27">
        <f t="shared" si="49"/>
        <v>9427513</v>
      </c>
      <c r="O67" s="27"/>
    </row>
    <row r="68" spans="1:15" x14ac:dyDescent="0.25">
      <c r="A68" s="18">
        <f t="shared" si="3"/>
        <v>45</v>
      </c>
      <c r="B68" s="56" t="s">
        <v>242</v>
      </c>
      <c r="C68" s="61">
        <v>1758960</v>
      </c>
      <c r="D68" s="61">
        <v>1758960</v>
      </c>
      <c r="E68" s="54">
        <f t="shared" si="44"/>
        <v>0</v>
      </c>
      <c r="F68" s="27">
        <f>+'DFIT Computations'!G68</f>
        <v>0</v>
      </c>
      <c r="G68" s="27">
        <f t="shared" si="45"/>
        <v>0</v>
      </c>
      <c r="H68" s="27">
        <f>+'DFIT Computations'!I68</f>
        <v>0</v>
      </c>
      <c r="I68" s="27">
        <f t="shared" si="46"/>
        <v>0</v>
      </c>
      <c r="J68" s="51">
        <f t="shared" si="47"/>
        <v>0.98499999999999999</v>
      </c>
      <c r="K68" s="42">
        <f t="shared" si="48"/>
        <v>0</v>
      </c>
      <c r="L68" s="18" t="str">
        <f>'DFIT Computations'!M68</f>
        <v>PROD PLT</v>
      </c>
      <c r="M68" s="27">
        <f>+'DFIT Computations'!N68</f>
        <v>0</v>
      </c>
      <c r="N68" s="27">
        <f t="shared" si="49"/>
        <v>0</v>
      </c>
      <c r="O68" s="27"/>
    </row>
    <row r="69" spans="1:15" x14ac:dyDescent="0.25">
      <c r="A69" s="18">
        <f t="shared" si="3"/>
        <v>46</v>
      </c>
      <c r="B69" s="17" t="s">
        <v>25</v>
      </c>
      <c r="C69" s="61">
        <v>-102036.06</v>
      </c>
      <c r="D69" s="61">
        <f>-(24+102036)</f>
        <v>-102060</v>
      </c>
      <c r="E69" s="54">
        <f t="shared" si="44"/>
        <v>23.940000000002328</v>
      </c>
      <c r="F69" s="27">
        <f>+'DFIT Computations'!G69</f>
        <v>0</v>
      </c>
      <c r="G69" s="27">
        <f t="shared" si="45"/>
        <v>23.940000000002328</v>
      </c>
      <c r="H69" s="27">
        <f>+'DFIT Computations'!I69</f>
        <v>0</v>
      </c>
      <c r="I69" s="27">
        <f t="shared" si="46"/>
        <v>23.940000000002328</v>
      </c>
      <c r="J69" s="51">
        <f t="shared" si="47"/>
        <v>0.98499999999999999</v>
      </c>
      <c r="K69" s="42">
        <f t="shared" si="48"/>
        <v>24</v>
      </c>
      <c r="L69" s="18" t="str">
        <f>'DFIT Computations'!M69</f>
        <v>GROSS PLT</v>
      </c>
      <c r="M69" s="27">
        <f>+'DFIT Computations'!N69</f>
        <v>0</v>
      </c>
      <c r="N69" s="27">
        <f t="shared" si="49"/>
        <v>24</v>
      </c>
      <c r="O69" s="27"/>
    </row>
    <row r="70" spans="1:15" x14ac:dyDescent="0.25">
      <c r="A70" s="18">
        <f t="shared" si="3"/>
        <v>47</v>
      </c>
      <c r="B70" s="17" t="s">
        <v>234</v>
      </c>
      <c r="C70" s="61">
        <v>-20306.060000000001</v>
      </c>
      <c r="D70" s="61">
        <f>(22175-20306)</f>
        <v>1869</v>
      </c>
      <c r="E70" s="54">
        <f t="shared" ref="E70" si="50">+C70-D70</f>
        <v>-22175.06</v>
      </c>
      <c r="F70" s="27">
        <f>+'DFIT Computations'!G70</f>
        <v>0</v>
      </c>
      <c r="G70" s="27">
        <f t="shared" si="45"/>
        <v>-22175.06</v>
      </c>
      <c r="H70" s="27">
        <f>+'DFIT Computations'!I70</f>
        <v>0</v>
      </c>
      <c r="I70" s="27">
        <f t="shared" si="46"/>
        <v>-22175.06</v>
      </c>
      <c r="J70" s="51">
        <f t="shared" si="47"/>
        <v>0.98499999999999999</v>
      </c>
      <c r="K70" s="42">
        <f t="shared" si="48"/>
        <v>-21842</v>
      </c>
      <c r="L70" s="18" t="str">
        <f>'DFIT Computations'!M70</f>
        <v>GROSS PLT</v>
      </c>
      <c r="M70" s="27">
        <f>+'DFIT Computations'!N70</f>
        <v>0</v>
      </c>
      <c r="N70" s="27">
        <f t="shared" si="49"/>
        <v>-21842</v>
      </c>
      <c r="O70" s="27"/>
    </row>
    <row r="71" spans="1:15" ht="13" x14ac:dyDescent="0.3">
      <c r="A71" s="18">
        <f t="shared" si="3"/>
        <v>48</v>
      </c>
      <c r="B71" s="75" t="s">
        <v>26</v>
      </c>
      <c r="C71" s="78">
        <f t="shared" ref="C71:I71" si="51">SUM(C65:C70)</f>
        <v>11441829.919999998</v>
      </c>
      <c r="D71" s="78">
        <f t="shared" si="51"/>
        <v>2098384</v>
      </c>
      <c r="E71" s="78">
        <f t="shared" si="51"/>
        <v>9343445.9199999981</v>
      </c>
      <c r="F71" s="78">
        <f t="shared" ref="F71" si="52">SUM(F65:F70)</f>
        <v>0</v>
      </c>
      <c r="G71" s="78">
        <f t="shared" si="51"/>
        <v>9343445.9199999981</v>
      </c>
      <c r="H71" s="78">
        <f t="shared" si="51"/>
        <v>0</v>
      </c>
      <c r="I71" s="78">
        <f t="shared" si="51"/>
        <v>9343445.9199999981</v>
      </c>
      <c r="J71" s="24"/>
      <c r="K71" s="78">
        <f>SUM(K65:K70)</f>
        <v>9203295</v>
      </c>
      <c r="M71" s="78">
        <f t="shared" ref="M71:N71" si="53">SUM(M65:M70)</f>
        <v>0</v>
      </c>
      <c r="N71" s="78">
        <f t="shared" si="53"/>
        <v>9203295</v>
      </c>
      <c r="O71" s="27"/>
    </row>
    <row r="72" spans="1:15" x14ac:dyDescent="0.25">
      <c r="A72" s="18">
        <f t="shared" si="3"/>
        <v>49</v>
      </c>
      <c r="B72" s="17" t="s">
        <v>0</v>
      </c>
      <c r="C72" s="36"/>
      <c r="D72" s="82"/>
      <c r="E72" s="82"/>
      <c r="F72" s="41"/>
      <c r="G72" s="82"/>
      <c r="H72" s="41"/>
      <c r="I72" s="37"/>
      <c r="J72" s="81"/>
      <c r="M72" s="41"/>
      <c r="N72" s="41"/>
    </row>
    <row r="73" spans="1:15" ht="13" x14ac:dyDescent="0.3">
      <c r="A73" s="18">
        <f t="shared" si="3"/>
        <v>50</v>
      </c>
      <c r="B73" s="75" t="s">
        <v>27</v>
      </c>
      <c r="C73" s="36"/>
      <c r="D73" s="98"/>
      <c r="E73" s="98"/>
      <c r="F73" s="98"/>
      <c r="G73" s="98"/>
      <c r="H73" s="98"/>
      <c r="I73" s="98"/>
      <c r="J73" s="81"/>
      <c r="M73" s="98"/>
      <c r="N73" s="98"/>
    </row>
    <row r="74" spans="1:15" x14ac:dyDescent="0.25">
      <c r="A74" s="18">
        <f t="shared" si="3"/>
        <v>51</v>
      </c>
      <c r="B74" s="17" t="s">
        <v>28</v>
      </c>
      <c r="C74" s="61">
        <v>0</v>
      </c>
      <c r="D74" s="61">
        <v>0</v>
      </c>
      <c r="E74" s="54">
        <f>+C74-D74</f>
        <v>0</v>
      </c>
      <c r="F74" s="27">
        <f>+'DFIT Computations'!G74</f>
        <v>0</v>
      </c>
      <c r="G74" s="27">
        <f>+E74+F74</f>
        <v>0</v>
      </c>
      <c r="H74" s="27">
        <f>+'DFIT Computations'!I74</f>
        <v>0</v>
      </c>
      <c r="I74" s="27">
        <f>+G74+H74</f>
        <v>0</v>
      </c>
      <c r="J74" s="51">
        <f>VLOOKUP(L74,$C$306:$D$320,2,FALSE)</f>
        <v>0.98499999999999999</v>
      </c>
      <c r="K74" s="42">
        <f>IF(I74*J74=0,0, ROUND(I74*J74,0))</f>
        <v>0</v>
      </c>
      <c r="L74" s="18" t="str">
        <f>'DFIT Computations'!M74</f>
        <v>GROSS PLT</v>
      </c>
      <c r="M74" s="27">
        <v>0</v>
      </c>
      <c r="N74" s="27">
        <f>K74+M74</f>
        <v>0</v>
      </c>
      <c r="O74" s="27"/>
    </row>
    <row r="75" spans="1:15" x14ac:dyDescent="0.25">
      <c r="A75" s="18">
        <f t="shared" si="3"/>
        <v>52</v>
      </c>
      <c r="B75" s="17" t="s">
        <v>324</v>
      </c>
      <c r="C75" s="61">
        <v>621835.19999999995</v>
      </c>
      <c r="D75" s="61">
        <f>-(731430-621835)</f>
        <v>-109595</v>
      </c>
      <c r="E75" s="54">
        <f>+C75-D75</f>
        <v>731430.2</v>
      </c>
      <c r="F75" s="27">
        <f>+'DFIT Computations'!G75</f>
        <v>0</v>
      </c>
      <c r="G75" s="27">
        <f>+E75+F75</f>
        <v>731430.2</v>
      </c>
      <c r="H75" s="27">
        <f>+'DFIT Computations'!I75</f>
        <v>0</v>
      </c>
      <c r="I75" s="27">
        <f>+G75+H75</f>
        <v>731430.2</v>
      </c>
      <c r="J75" s="51">
        <f>VLOOKUP(L75,$C$306:$D$320,2,FALSE)</f>
        <v>0.98499999999999999</v>
      </c>
      <c r="K75" s="42">
        <f>IF(I75*J75=0,0, ROUND(I75*J75,0))</f>
        <v>720459</v>
      </c>
      <c r="L75" s="18" t="str">
        <f>'DFIT Computations'!M75</f>
        <v>GROSS PLT</v>
      </c>
      <c r="M75" s="27">
        <f>+'DFIT Computations'!N75</f>
        <v>0</v>
      </c>
      <c r="N75" s="27">
        <f>K75+M75</f>
        <v>720459</v>
      </c>
      <c r="O75" s="27"/>
    </row>
    <row r="76" spans="1:15" ht="13" x14ac:dyDescent="0.3">
      <c r="A76" s="18">
        <f t="shared" si="3"/>
        <v>53</v>
      </c>
      <c r="B76" s="75" t="s">
        <v>29</v>
      </c>
      <c r="C76" s="78">
        <f t="shared" ref="C76:I76" si="54">SUM(C74:C75)</f>
        <v>621835.19999999995</v>
      </c>
      <c r="D76" s="78">
        <f t="shared" si="54"/>
        <v>-109595</v>
      </c>
      <c r="E76" s="78">
        <f t="shared" si="54"/>
        <v>731430.2</v>
      </c>
      <c r="F76" s="78">
        <f t="shared" si="54"/>
        <v>0</v>
      </c>
      <c r="G76" s="78">
        <f t="shared" si="54"/>
        <v>731430.2</v>
      </c>
      <c r="H76" s="78">
        <f t="shared" si="54"/>
        <v>0</v>
      </c>
      <c r="I76" s="78">
        <f t="shared" si="54"/>
        <v>731430.2</v>
      </c>
      <c r="J76" s="24"/>
      <c r="K76" s="78">
        <f>SUM(K74:K75)</f>
        <v>720459</v>
      </c>
      <c r="M76" s="78">
        <f>SUM(M74:M75)</f>
        <v>0</v>
      </c>
      <c r="N76" s="78">
        <f>SUM(N74:N75)</f>
        <v>720459</v>
      </c>
      <c r="O76" s="27"/>
    </row>
    <row r="77" spans="1:15" x14ac:dyDescent="0.25">
      <c r="A77" s="18">
        <f t="shared" si="3"/>
        <v>54</v>
      </c>
      <c r="B77" s="17" t="s">
        <v>0</v>
      </c>
      <c r="C77" s="36"/>
      <c r="D77" s="38"/>
      <c r="E77" s="38"/>
      <c r="F77" s="38"/>
      <c r="G77" s="38"/>
      <c r="H77" s="38"/>
      <c r="I77" s="38"/>
      <c r="J77" s="81"/>
      <c r="M77" s="38"/>
      <c r="N77" s="38"/>
    </row>
    <row r="78" spans="1:15" ht="13" x14ac:dyDescent="0.3">
      <c r="A78" s="18">
        <f t="shared" si="3"/>
        <v>55</v>
      </c>
      <c r="B78" s="75" t="s">
        <v>30</v>
      </c>
      <c r="C78" s="36"/>
      <c r="D78" s="38"/>
      <c r="E78" s="38"/>
      <c r="F78" s="38"/>
      <c r="G78" s="38"/>
      <c r="H78" s="38"/>
      <c r="I78" s="38"/>
      <c r="J78" s="81"/>
      <c r="M78" s="38"/>
      <c r="N78" s="38"/>
    </row>
    <row r="79" spans="1:15" x14ac:dyDescent="0.25">
      <c r="A79" s="18">
        <f t="shared" si="3"/>
        <v>56</v>
      </c>
      <c r="B79" s="17" t="s">
        <v>31</v>
      </c>
      <c r="C79" s="61">
        <v>-397366.62</v>
      </c>
      <c r="D79" s="61">
        <f>1997567-397367</f>
        <v>1600200</v>
      </c>
      <c r="E79" s="54">
        <f>+C79-D79</f>
        <v>-1997566.62</v>
      </c>
      <c r="F79" s="27">
        <f>+'DFIT Computations'!G79</f>
        <v>0</v>
      </c>
      <c r="G79" s="27">
        <f>+E79+F79</f>
        <v>-1997566.62</v>
      </c>
      <c r="H79" s="27">
        <f>+'DFIT Computations'!I79</f>
        <v>0</v>
      </c>
      <c r="I79" s="27">
        <f>+G79+H79</f>
        <v>-1997566.62</v>
      </c>
      <c r="J79" s="51">
        <f>VLOOKUP(L79,$C$306:$D$320,2,FALSE)</f>
        <v>0.98499999999999999</v>
      </c>
      <c r="K79" s="42">
        <f>IF(I79*J79=0,0, ROUND(I79*J79,0))</f>
        <v>-1967603</v>
      </c>
      <c r="L79" s="18" t="str">
        <f>'DFIT Computations'!M79</f>
        <v>PROD PLT</v>
      </c>
      <c r="M79" s="27">
        <f>+'DFIT Computations'!N79</f>
        <v>0</v>
      </c>
      <c r="N79" s="27">
        <f>K79+M79</f>
        <v>-1967603</v>
      </c>
      <c r="O79" s="27"/>
    </row>
    <row r="80" spans="1:15" ht="13" x14ac:dyDescent="0.3">
      <c r="A80" s="18">
        <f>A79+1</f>
        <v>57</v>
      </c>
      <c r="B80" s="75" t="s">
        <v>32</v>
      </c>
      <c r="C80" s="78">
        <f t="shared" ref="C80:I80" si="55">+C79</f>
        <v>-397366.62</v>
      </c>
      <c r="D80" s="78">
        <f t="shared" si="55"/>
        <v>1600200</v>
      </c>
      <c r="E80" s="78">
        <f t="shared" si="55"/>
        <v>-1997566.62</v>
      </c>
      <c r="F80" s="78">
        <f t="shared" si="55"/>
        <v>0</v>
      </c>
      <c r="G80" s="78">
        <f t="shared" si="55"/>
        <v>-1997566.62</v>
      </c>
      <c r="H80" s="78">
        <f t="shared" si="55"/>
        <v>0</v>
      </c>
      <c r="I80" s="78">
        <f t="shared" si="55"/>
        <v>-1997566.62</v>
      </c>
      <c r="J80" s="24"/>
      <c r="K80" s="78">
        <f>+K79</f>
        <v>-1967603</v>
      </c>
      <c r="M80" s="78">
        <f>+M79</f>
        <v>0</v>
      </c>
      <c r="N80" s="78">
        <f>+N79</f>
        <v>-1967603</v>
      </c>
      <c r="O80" s="27"/>
    </row>
    <row r="81" spans="1:15" x14ac:dyDescent="0.25">
      <c r="A81" s="18">
        <f t="shared" si="3"/>
        <v>58</v>
      </c>
      <c r="B81" s="17" t="s">
        <v>0</v>
      </c>
      <c r="C81" s="36"/>
      <c r="D81" s="82"/>
      <c r="E81" s="82"/>
      <c r="F81" s="41"/>
      <c r="G81" s="41"/>
      <c r="H81" s="41"/>
      <c r="I81" s="41"/>
      <c r="J81" s="81"/>
      <c r="M81" s="41"/>
      <c r="N81" s="41"/>
    </row>
    <row r="82" spans="1:15" ht="13" x14ac:dyDescent="0.3">
      <c r="A82" s="18">
        <f t="shared" si="3"/>
        <v>59</v>
      </c>
      <c r="B82" s="75" t="s">
        <v>33</v>
      </c>
      <c r="C82" s="36"/>
      <c r="D82" s="82"/>
      <c r="E82" s="82"/>
      <c r="F82" s="41"/>
      <c r="G82" s="82"/>
      <c r="H82" s="41"/>
      <c r="I82" s="37"/>
      <c r="J82" s="81"/>
      <c r="M82" s="41"/>
      <c r="N82" s="41"/>
    </row>
    <row r="83" spans="1:15" x14ac:dyDescent="0.25">
      <c r="A83" s="18">
        <f t="shared" si="3"/>
        <v>60</v>
      </c>
      <c r="B83" s="17" t="s">
        <v>357</v>
      </c>
      <c r="C83" s="61">
        <v>135829.26</v>
      </c>
      <c r="D83" s="61">
        <f>-(159862-135829)</f>
        <v>-24033</v>
      </c>
      <c r="E83" s="54">
        <f t="shared" ref="E83" si="56">+C83-D83</f>
        <v>159862.26</v>
      </c>
      <c r="F83" s="27">
        <f>+'DFIT Computations'!G83</f>
        <v>0</v>
      </c>
      <c r="G83" s="27">
        <f>+E83+F83</f>
        <v>159862.26</v>
      </c>
      <c r="H83" s="27">
        <f>+'DFIT Computations'!I83</f>
        <v>0</v>
      </c>
      <c r="I83" s="27">
        <f>+G83+H83</f>
        <v>159862.26</v>
      </c>
      <c r="J83" s="51">
        <f>VLOOKUP(L83,$C$306:$D$320,2,FALSE)</f>
        <v>0.98499999999999999</v>
      </c>
      <c r="K83" s="42">
        <f>IF(I83*J83=0,0, ROUND(I83*J83,0))</f>
        <v>157464</v>
      </c>
      <c r="L83" s="18" t="str">
        <f>'DFIT Computations'!M83</f>
        <v>NET PLANT</v>
      </c>
      <c r="M83" s="27">
        <f>+'DFIT Computations'!N83</f>
        <v>0</v>
      </c>
      <c r="N83" s="27">
        <f>K83+M83</f>
        <v>157464</v>
      </c>
      <c r="O83" s="27"/>
    </row>
    <row r="84" spans="1:15" ht="13" x14ac:dyDescent="0.3">
      <c r="A84" s="18">
        <f t="shared" si="3"/>
        <v>61</v>
      </c>
      <c r="B84" s="75" t="s">
        <v>34</v>
      </c>
      <c r="C84" s="78">
        <f t="shared" ref="C84:I84" si="57">SUM(C83:C83)</f>
        <v>135829.26</v>
      </c>
      <c r="D84" s="78">
        <f t="shared" si="57"/>
        <v>-24033</v>
      </c>
      <c r="E84" s="78">
        <f t="shared" si="57"/>
        <v>159862.26</v>
      </c>
      <c r="F84" s="78">
        <f t="shared" ref="F84" si="58">SUM(F83:F83)</f>
        <v>0</v>
      </c>
      <c r="G84" s="78">
        <f t="shared" si="57"/>
        <v>159862.26</v>
      </c>
      <c r="H84" s="78">
        <f t="shared" si="57"/>
        <v>0</v>
      </c>
      <c r="I84" s="78">
        <f t="shared" si="57"/>
        <v>159862.26</v>
      </c>
      <c r="J84" s="24"/>
      <c r="K84" s="99">
        <f>SUM(K83:K83)</f>
        <v>157464</v>
      </c>
      <c r="M84" s="78">
        <f t="shared" ref="M84:N84" si="59">SUM(M83:M83)</f>
        <v>0</v>
      </c>
      <c r="N84" s="78">
        <f t="shared" si="59"/>
        <v>157464</v>
      </c>
      <c r="O84" s="27"/>
    </row>
    <row r="85" spans="1:15" x14ac:dyDescent="0.25">
      <c r="A85" s="18">
        <f t="shared" si="3"/>
        <v>62</v>
      </c>
      <c r="B85" s="17" t="s">
        <v>0</v>
      </c>
      <c r="C85" s="36"/>
      <c r="D85" s="38"/>
      <c r="E85" s="38"/>
      <c r="F85" s="38"/>
      <c r="G85" s="38"/>
      <c r="H85" s="38"/>
      <c r="I85" s="38"/>
      <c r="J85" s="81"/>
      <c r="M85" s="38"/>
      <c r="N85" s="38"/>
    </row>
    <row r="86" spans="1:15" ht="13" x14ac:dyDescent="0.3">
      <c r="A86" s="18">
        <f t="shared" si="3"/>
        <v>63</v>
      </c>
      <c r="B86" s="75" t="s">
        <v>35</v>
      </c>
      <c r="C86" s="36"/>
      <c r="D86" s="38"/>
      <c r="E86" s="38"/>
      <c r="F86" s="38"/>
      <c r="G86" s="38"/>
      <c r="H86" s="38"/>
      <c r="I86" s="38"/>
      <c r="J86" s="81"/>
      <c r="M86" s="38"/>
      <c r="N86" s="38"/>
    </row>
    <row r="87" spans="1:15" x14ac:dyDescent="0.25">
      <c r="A87" s="18">
        <f t="shared" si="3"/>
        <v>64</v>
      </c>
      <c r="B87" s="17" t="s">
        <v>36</v>
      </c>
      <c r="C87" s="61">
        <v>3583.75</v>
      </c>
      <c r="D87" s="61">
        <v>0</v>
      </c>
      <c r="E87" s="54">
        <f>+C87-D87</f>
        <v>3583.75</v>
      </c>
      <c r="F87" s="27">
        <f>+'DFIT Computations'!G87</f>
        <v>0</v>
      </c>
      <c r="G87" s="27">
        <f>+E87+F87</f>
        <v>3583.75</v>
      </c>
      <c r="H87" s="27">
        <f>+'DFIT Computations'!I87</f>
        <v>0</v>
      </c>
      <c r="I87" s="27">
        <f>+G87+H87</f>
        <v>3583.75</v>
      </c>
      <c r="J87" s="51">
        <f>VLOOKUP(L87,$C$306:$D$320,2,FALSE)</f>
        <v>1</v>
      </c>
      <c r="K87" s="42">
        <f>IF(I87*J87=0,0, ROUND(I87*J87,0))</f>
        <v>3584</v>
      </c>
      <c r="L87" s="18" t="str">
        <f>'DFIT Computations'!M87</f>
        <v>SPECIFIC</v>
      </c>
      <c r="M87" s="27">
        <f>+'DFIT Computations'!N87</f>
        <v>0</v>
      </c>
      <c r="N87" s="27">
        <f>K87+M87</f>
        <v>3584</v>
      </c>
      <c r="O87" s="27"/>
    </row>
    <row r="88" spans="1:15" x14ac:dyDescent="0.25">
      <c r="A88" s="122"/>
      <c r="B88" s="124" t="s">
        <v>369</v>
      </c>
      <c r="C88" s="61">
        <v>37705.1</v>
      </c>
      <c r="D88" s="61"/>
      <c r="E88" s="54">
        <f t="shared" ref="E88:E89" si="60">+C88-D88</f>
        <v>37705.1</v>
      </c>
      <c r="F88" s="27">
        <f>+'DFIT Computations'!G88</f>
        <v>0</v>
      </c>
      <c r="G88" s="27">
        <f t="shared" ref="G88:G89" si="61">+E88+F88</f>
        <v>37705.1</v>
      </c>
      <c r="H88" s="27">
        <f>+'DFIT Computations'!I90</f>
        <v>0</v>
      </c>
      <c r="I88" s="27">
        <f t="shared" ref="I88:I89" si="62">+G88+H88</f>
        <v>37705.1</v>
      </c>
      <c r="J88" s="51">
        <f>VLOOKUP(L88,$C$306:$D$320,2,FALSE)</f>
        <v>1</v>
      </c>
      <c r="K88" s="42">
        <f t="shared" ref="K88:K89" si="63">IF(I88*J88=0,0, ROUND(I88*J88,0))</f>
        <v>37705</v>
      </c>
      <c r="L88" s="144" t="str">
        <f>'DFIT Computations'!M88</f>
        <v>SPECIFIC</v>
      </c>
      <c r="M88" s="27">
        <f>+'DFIT Computations'!N88</f>
        <v>0</v>
      </c>
      <c r="N88" s="27">
        <f t="shared" ref="N88:N89" si="64">K88+M88</f>
        <v>37705</v>
      </c>
      <c r="O88" s="27"/>
    </row>
    <row r="89" spans="1:15" x14ac:dyDescent="0.25">
      <c r="A89" s="122"/>
      <c r="B89" s="124" t="s">
        <v>370</v>
      </c>
      <c r="C89" s="61">
        <v>13407.59</v>
      </c>
      <c r="D89" s="61"/>
      <c r="E89" s="54">
        <f t="shared" si="60"/>
        <v>13407.59</v>
      </c>
      <c r="F89" s="27">
        <f>+'DFIT Computations'!G89</f>
        <v>0</v>
      </c>
      <c r="G89" s="27">
        <f t="shared" si="61"/>
        <v>13407.59</v>
      </c>
      <c r="H89" s="27">
        <f>+'DFIT Computations'!I91</f>
        <v>0</v>
      </c>
      <c r="I89" s="27">
        <f t="shared" si="62"/>
        <v>13407.59</v>
      </c>
      <c r="J89" s="51">
        <f>VLOOKUP(L89,$C$306:$D$320,2,FALSE)</f>
        <v>1</v>
      </c>
      <c r="K89" s="42">
        <f t="shared" si="63"/>
        <v>13408</v>
      </c>
      <c r="L89" s="144" t="str">
        <f>'DFIT Computations'!M89</f>
        <v>SPECIFIC</v>
      </c>
      <c r="M89" s="27">
        <f>+'DFIT Computations'!N89</f>
        <v>0</v>
      </c>
      <c r="N89" s="27">
        <f t="shared" si="64"/>
        <v>13408</v>
      </c>
      <c r="O89" s="27"/>
    </row>
    <row r="90" spans="1:15" ht="13" x14ac:dyDescent="0.3">
      <c r="A90" s="18">
        <f>A87+1</f>
        <v>65</v>
      </c>
      <c r="B90" s="75" t="s">
        <v>37</v>
      </c>
      <c r="C90" s="78">
        <f>SUM(C87:C89)</f>
        <v>54696.44</v>
      </c>
      <c r="D90" s="78">
        <f>SUM(D87:D89)</f>
        <v>0</v>
      </c>
      <c r="E90" s="78">
        <f>SUM(E87:E89)</f>
        <v>54696.44</v>
      </c>
      <c r="F90" s="78">
        <f t="shared" ref="F90:I90" si="65">SUM(F87:F89)</f>
        <v>0</v>
      </c>
      <c r="G90" s="78">
        <f t="shared" si="65"/>
        <v>54696.44</v>
      </c>
      <c r="H90" s="78">
        <f>SUM(H87:H89)</f>
        <v>0</v>
      </c>
      <c r="I90" s="78">
        <f t="shared" si="65"/>
        <v>54696.44</v>
      </c>
      <c r="J90" s="24"/>
      <c r="K90" s="78">
        <f>SUM(K87:K89)</f>
        <v>54697</v>
      </c>
      <c r="M90" s="78">
        <f>SUM(M87:M89)</f>
        <v>0</v>
      </c>
      <c r="N90" s="78">
        <f>SUM(N87:N89)</f>
        <v>54697</v>
      </c>
      <c r="O90" s="27"/>
    </row>
    <row r="91" spans="1:15" x14ac:dyDescent="0.25">
      <c r="A91" s="18">
        <f t="shared" si="3"/>
        <v>66</v>
      </c>
      <c r="B91" s="17" t="s">
        <v>0</v>
      </c>
      <c r="C91" s="36"/>
      <c r="D91" s="82"/>
      <c r="E91" s="82"/>
      <c r="F91" s="41"/>
      <c r="G91" s="41"/>
      <c r="H91" s="41"/>
      <c r="I91" s="41"/>
      <c r="J91" s="81"/>
      <c r="M91" s="41"/>
      <c r="N91" s="41"/>
    </row>
    <row r="92" spans="1:15" ht="13" x14ac:dyDescent="0.3">
      <c r="A92" s="18">
        <f t="shared" si="3"/>
        <v>67</v>
      </c>
      <c r="B92" s="75" t="s">
        <v>38</v>
      </c>
      <c r="C92" s="36"/>
      <c r="D92" s="82"/>
      <c r="E92" s="82"/>
      <c r="F92" s="41"/>
      <c r="G92" s="41"/>
      <c r="H92" s="41"/>
      <c r="I92" s="41"/>
      <c r="J92" s="81"/>
      <c r="M92" s="41"/>
      <c r="N92" s="41"/>
    </row>
    <row r="93" spans="1:15" x14ac:dyDescent="0.25">
      <c r="A93" s="18">
        <f t="shared" si="3"/>
        <v>68</v>
      </c>
      <c r="B93" s="17" t="s">
        <v>326</v>
      </c>
      <c r="C93" s="61">
        <v>0</v>
      </c>
      <c r="D93" s="61">
        <v>0</v>
      </c>
      <c r="E93" s="54">
        <f t="shared" ref="E93:E94" si="66">+C93-D93</f>
        <v>0</v>
      </c>
      <c r="F93" s="27">
        <f>+'DFIT Computations'!G93</f>
        <v>0</v>
      </c>
      <c r="G93" s="27">
        <f t="shared" ref="G93:G94" si="67">+E93+F93</f>
        <v>0</v>
      </c>
      <c r="H93" s="27">
        <f>+'DFIT Computations'!I93</f>
        <v>0</v>
      </c>
      <c r="I93" s="27">
        <f t="shared" ref="I93:I94" si="68">+G93+H93</f>
        <v>0</v>
      </c>
      <c r="J93" s="51">
        <f>VLOOKUP(L93,$C$306:$D$320,2,FALSE)</f>
        <v>1</v>
      </c>
      <c r="K93" s="42">
        <f t="shared" ref="K93:K94" si="69">IF(I93*J93=0,0, ROUND(I93*J93,0))</f>
        <v>0</v>
      </c>
      <c r="L93" s="18" t="str">
        <f>'DFIT Computations'!M93</f>
        <v>SPECIFIC</v>
      </c>
      <c r="M93" s="27">
        <f>+'DFIT Computations'!N93</f>
        <v>0</v>
      </c>
      <c r="N93" s="27">
        <f t="shared" ref="N93:N94" si="70">K93+M93</f>
        <v>0</v>
      </c>
      <c r="O93" s="27"/>
    </row>
    <row r="94" spans="1:15" x14ac:dyDescent="0.25">
      <c r="A94" s="18">
        <f t="shared" si="3"/>
        <v>69</v>
      </c>
      <c r="B94" s="17" t="s">
        <v>327</v>
      </c>
      <c r="C94" s="61">
        <v>0</v>
      </c>
      <c r="D94" s="61">
        <v>0</v>
      </c>
      <c r="E94" s="54">
        <f t="shared" si="66"/>
        <v>0</v>
      </c>
      <c r="F94" s="27">
        <f>+'DFIT Computations'!G94</f>
        <v>0</v>
      </c>
      <c r="G94" s="27">
        <f t="shared" si="67"/>
        <v>0</v>
      </c>
      <c r="H94" s="27">
        <f>+'DFIT Computations'!I94</f>
        <v>0</v>
      </c>
      <c r="I94" s="27">
        <f t="shared" si="68"/>
        <v>0</v>
      </c>
      <c r="J94" s="51">
        <f>VLOOKUP(L94,$C$306:$D$320,2,FALSE)</f>
        <v>1</v>
      </c>
      <c r="K94" s="42">
        <f t="shared" si="69"/>
        <v>0</v>
      </c>
      <c r="L94" s="18" t="str">
        <f>'DFIT Computations'!M94</f>
        <v>SPECIFIC</v>
      </c>
      <c r="M94" s="27">
        <f>+'DFIT Computations'!N94</f>
        <v>0</v>
      </c>
      <c r="N94" s="27">
        <f t="shared" si="70"/>
        <v>0</v>
      </c>
      <c r="O94" s="27"/>
    </row>
    <row r="95" spans="1:15" ht="13" x14ac:dyDescent="0.3">
      <c r="A95" s="18">
        <f t="shared" si="3"/>
        <v>70</v>
      </c>
      <c r="B95" s="75" t="s">
        <v>39</v>
      </c>
      <c r="C95" s="78">
        <f t="shared" ref="C95:I95" si="71">SUM(C93:C94)</f>
        <v>0</v>
      </c>
      <c r="D95" s="78">
        <f t="shared" si="71"/>
        <v>0</v>
      </c>
      <c r="E95" s="78">
        <f t="shared" si="71"/>
        <v>0</v>
      </c>
      <c r="F95" s="78">
        <f t="shared" si="71"/>
        <v>0</v>
      </c>
      <c r="G95" s="78">
        <f t="shared" si="71"/>
        <v>0</v>
      </c>
      <c r="H95" s="78">
        <f t="shared" si="71"/>
        <v>0</v>
      </c>
      <c r="I95" s="78">
        <f t="shared" si="71"/>
        <v>0</v>
      </c>
      <c r="J95" s="24"/>
      <c r="K95" s="99">
        <f>SUM(K93:K94)</f>
        <v>0</v>
      </c>
      <c r="M95" s="78">
        <f>SUM(M93:M94)</f>
        <v>0</v>
      </c>
      <c r="N95" s="78">
        <f>SUM(N93:N94)</f>
        <v>0</v>
      </c>
      <c r="O95" s="27"/>
    </row>
    <row r="96" spans="1:15" x14ac:dyDescent="0.25">
      <c r="A96" s="18">
        <f t="shared" ref="A96:A160" si="72">A95+1</f>
        <v>71</v>
      </c>
      <c r="B96" s="17" t="s">
        <v>0</v>
      </c>
      <c r="C96" s="36"/>
      <c r="D96" s="82"/>
      <c r="E96" s="82"/>
      <c r="F96" s="41"/>
      <c r="G96" s="41"/>
      <c r="H96" s="41"/>
      <c r="I96" s="41"/>
      <c r="J96" s="81"/>
      <c r="M96" s="41"/>
      <c r="N96" s="41"/>
    </row>
    <row r="97" spans="1:15" ht="13" x14ac:dyDescent="0.3">
      <c r="A97" s="18">
        <f t="shared" si="72"/>
        <v>72</v>
      </c>
      <c r="B97" s="75" t="s">
        <v>40</v>
      </c>
      <c r="C97" s="36"/>
      <c r="D97" s="82"/>
      <c r="E97" s="82"/>
      <c r="F97" s="41"/>
      <c r="G97" s="41"/>
      <c r="H97" s="41"/>
      <c r="I97" s="41"/>
      <c r="J97" s="81"/>
      <c r="M97" s="41"/>
      <c r="N97" s="41"/>
    </row>
    <row r="98" spans="1:15" x14ac:dyDescent="0.25">
      <c r="A98" s="18">
        <f t="shared" si="72"/>
        <v>73</v>
      </c>
      <c r="B98" s="17" t="s">
        <v>41</v>
      </c>
      <c r="C98" s="61">
        <v>0</v>
      </c>
      <c r="D98" s="61">
        <v>0</v>
      </c>
      <c r="E98" s="54">
        <f>+C98-D98</f>
        <v>0</v>
      </c>
      <c r="F98" s="27">
        <f>+'DFIT Computations'!G98</f>
        <v>0</v>
      </c>
      <c r="G98" s="27">
        <f>+E98+F98</f>
        <v>0</v>
      </c>
      <c r="H98" s="27">
        <f>+'DFIT Computations'!I98</f>
        <v>0</v>
      </c>
      <c r="I98" s="27">
        <f>+G98+H98</f>
        <v>0</v>
      </c>
      <c r="J98" s="51">
        <f>VLOOKUP(L98,$C$306:$D$320,2,FALSE)</f>
        <v>0</v>
      </c>
      <c r="K98" s="42">
        <f>IF(I98*J98=0,0, ROUND(I98*J98,0))</f>
        <v>0</v>
      </c>
      <c r="L98" s="18" t="str">
        <f>'DFIT Computations'!M98</f>
        <v>NON-UTILITY</v>
      </c>
      <c r="M98" s="27">
        <f>+'DFIT Computations'!N98</f>
        <v>0</v>
      </c>
      <c r="N98" s="27">
        <f>K98+M98</f>
        <v>0</v>
      </c>
      <c r="O98" s="27"/>
    </row>
    <row r="99" spans="1:15" ht="13" x14ac:dyDescent="0.3">
      <c r="A99" s="18">
        <f t="shared" si="72"/>
        <v>74</v>
      </c>
      <c r="B99" s="75" t="s">
        <v>42</v>
      </c>
      <c r="C99" s="78">
        <f t="shared" ref="C99:I99" si="73">+C98</f>
        <v>0</v>
      </c>
      <c r="D99" s="78">
        <f t="shared" si="73"/>
        <v>0</v>
      </c>
      <c r="E99" s="78">
        <f t="shared" si="73"/>
        <v>0</v>
      </c>
      <c r="F99" s="78">
        <f t="shared" ref="F99" si="74">+F98</f>
        <v>0</v>
      </c>
      <c r="G99" s="78">
        <f t="shared" si="73"/>
        <v>0</v>
      </c>
      <c r="H99" s="78">
        <f t="shared" si="73"/>
        <v>0</v>
      </c>
      <c r="I99" s="78">
        <f t="shared" si="73"/>
        <v>0</v>
      </c>
      <c r="J99" s="24"/>
      <c r="K99" s="99">
        <f>SUM(K98)</f>
        <v>0</v>
      </c>
      <c r="M99" s="78">
        <f t="shared" ref="M99:N99" si="75">+M98</f>
        <v>0</v>
      </c>
      <c r="N99" s="78">
        <f t="shared" si="75"/>
        <v>0</v>
      </c>
      <c r="O99" s="27"/>
    </row>
    <row r="100" spans="1:15" x14ac:dyDescent="0.25">
      <c r="A100" s="18">
        <f t="shared" si="72"/>
        <v>75</v>
      </c>
      <c r="B100" s="17" t="s">
        <v>0</v>
      </c>
      <c r="C100" s="36"/>
      <c r="D100" s="82"/>
      <c r="E100" s="82"/>
      <c r="F100" s="41"/>
      <c r="G100" s="41"/>
      <c r="H100" s="41"/>
      <c r="I100" s="41"/>
      <c r="J100" s="81"/>
      <c r="M100" s="41"/>
      <c r="N100" s="41"/>
    </row>
    <row r="101" spans="1:15" ht="13" x14ac:dyDescent="0.3">
      <c r="A101" s="18">
        <f t="shared" si="72"/>
        <v>76</v>
      </c>
      <c r="B101" s="75" t="s">
        <v>43</v>
      </c>
      <c r="C101" s="36"/>
      <c r="D101" s="82"/>
      <c r="E101" s="82"/>
      <c r="F101" s="41"/>
      <c r="G101" s="41"/>
      <c r="H101" s="41"/>
      <c r="I101" s="41"/>
      <c r="J101" s="81"/>
      <c r="M101" s="41"/>
      <c r="N101" s="41"/>
    </row>
    <row r="102" spans="1:15" x14ac:dyDescent="0.25">
      <c r="A102" s="18">
        <f t="shared" si="72"/>
        <v>77</v>
      </c>
      <c r="B102" s="17" t="s">
        <v>44</v>
      </c>
      <c r="C102" s="61">
        <v>79792.31</v>
      </c>
      <c r="D102" s="61">
        <v>0</v>
      </c>
      <c r="E102" s="54">
        <f t="shared" ref="E102:E125" si="76">+C102-D102</f>
        <v>79792.31</v>
      </c>
      <c r="F102" s="27">
        <f>+'DFIT Computations'!G102</f>
        <v>0</v>
      </c>
      <c r="G102" s="27">
        <f t="shared" ref="G102:G125" si="77">+E102+F102</f>
        <v>79792.31</v>
      </c>
      <c r="H102" s="27">
        <f>+'DFIT Computations'!I102</f>
        <v>0</v>
      </c>
      <c r="I102" s="27">
        <f t="shared" ref="I102:I125" si="78">+G102+H102</f>
        <v>79792.31</v>
      </c>
      <c r="J102" s="51">
        <f t="shared" ref="J102:J125" si="79">VLOOKUP(L102,$C$306:$D$320,2,FALSE)</f>
        <v>0.99</v>
      </c>
      <c r="K102" s="42">
        <f t="shared" ref="K102:K125" si="80">IF(I102*J102=0,0, ROUND(I102*J102,0))</f>
        <v>78994</v>
      </c>
      <c r="L102" s="18" t="str">
        <f>'DFIT Computations'!M102</f>
        <v>LABOR</v>
      </c>
      <c r="M102" s="27">
        <f>+'DFIT Computations'!N102</f>
        <v>0</v>
      </c>
      <c r="N102" s="27">
        <f t="shared" ref="N102:N125" si="81">K102+M102</f>
        <v>78994</v>
      </c>
      <c r="O102" s="27"/>
    </row>
    <row r="103" spans="1:15" x14ac:dyDescent="0.25">
      <c r="A103" s="18">
        <f t="shared" si="72"/>
        <v>78</v>
      </c>
      <c r="B103" s="17" t="s">
        <v>45</v>
      </c>
      <c r="C103" s="61">
        <v>-255740.92</v>
      </c>
      <c r="D103" s="61">
        <f>219536-255741</f>
        <v>-36205</v>
      </c>
      <c r="E103" s="54">
        <f t="shared" si="76"/>
        <v>-219535.92</v>
      </c>
      <c r="F103" s="27">
        <f>+'DFIT Computations'!G103</f>
        <v>0</v>
      </c>
      <c r="G103" s="27">
        <f t="shared" si="77"/>
        <v>-219535.92</v>
      </c>
      <c r="H103" s="27">
        <f>+'DFIT Computations'!I103</f>
        <v>0</v>
      </c>
      <c r="I103" s="27">
        <f t="shared" si="78"/>
        <v>-219535.92</v>
      </c>
      <c r="J103" s="51">
        <f t="shared" si="79"/>
        <v>0.99</v>
      </c>
      <c r="K103" s="42">
        <f t="shared" si="80"/>
        <v>-217341</v>
      </c>
      <c r="L103" s="18" t="str">
        <f>'DFIT Computations'!M103</f>
        <v>LABOR</v>
      </c>
      <c r="M103" s="27">
        <f>+'DFIT Computations'!N103</f>
        <v>-507</v>
      </c>
      <c r="N103" s="27">
        <f t="shared" si="81"/>
        <v>-217848</v>
      </c>
      <c r="O103" s="27"/>
    </row>
    <row r="104" spans="1:15" x14ac:dyDescent="0.25">
      <c r="A104" s="18">
        <f t="shared" si="72"/>
        <v>79</v>
      </c>
      <c r="B104" s="56" t="s">
        <v>243</v>
      </c>
      <c r="C104" s="61">
        <v>-68254.720000000001</v>
      </c>
      <c r="D104" s="61">
        <f>112460-68255</f>
        <v>44205</v>
      </c>
      <c r="E104" s="54">
        <f t="shared" si="76"/>
        <v>-112459.72</v>
      </c>
      <c r="F104" s="27">
        <f>+'DFIT Computations'!G104</f>
        <v>0</v>
      </c>
      <c r="G104" s="27">
        <f t="shared" si="77"/>
        <v>-112459.72</v>
      </c>
      <c r="H104" s="27">
        <f>+'DFIT Computations'!I104</f>
        <v>0</v>
      </c>
      <c r="I104" s="27">
        <f t="shared" si="78"/>
        <v>-112459.72</v>
      </c>
      <c r="J104" s="51">
        <f t="shared" si="79"/>
        <v>0.99</v>
      </c>
      <c r="K104" s="42">
        <f t="shared" si="80"/>
        <v>-111335</v>
      </c>
      <c r="L104" s="18" t="str">
        <f>'DFIT Computations'!M104</f>
        <v>LABOR</v>
      </c>
      <c r="M104" s="27">
        <f>+'DFIT Computations'!N104</f>
        <v>0</v>
      </c>
      <c r="N104" s="27">
        <f t="shared" si="81"/>
        <v>-111335</v>
      </c>
      <c r="O104" s="27"/>
    </row>
    <row r="105" spans="1:15" x14ac:dyDescent="0.25">
      <c r="A105" s="18">
        <f t="shared" si="72"/>
        <v>80</v>
      </c>
      <c r="B105" s="17" t="s">
        <v>46</v>
      </c>
      <c r="C105" s="61">
        <v>-1226.1199999999999</v>
      </c>
      <c r="D105" s="61">
        <v>0</v>
      </c>
      <c r="E105" s="54">
        <f t="shared" si="76"/>
        <v>-1226.1199999999999</v>
      </c>
      <c r="F105" s="27">
        <f>+'DFIT Computations'!G105</f>
        <v>0</v>
      </c>
      <c r="G105" s="27">
        <f t="shared" si="77"/>
        <v>-1226.1199999999999</v>
      </c>
      <c r="H105" s="27">
        <f>+'DFIT Computations'!I105</f>
        <v>0</v>
      </c>
      <c r="I105" s="27">
        <f t="shared" si="78"/>
        <v>-1226.1199999999999</v>
      </c>
      <c r="J105" s="51">
        <f t="shared" si="79"/>
        <v>0.99</v>
      </c>
      <c r="K105" s="42">
        <f t="shared" si="80"/>
        <v>-1214</v>
      </c>
      <c r="L105" s="18" t="str">
        <f>'DFIT Computations'!M105</f>
        <v>LABOR</v>
      </c>
      <c r="M105" s="27">
        <f>+'DFIT Computations'!N105</f>
        <v>0</v>
      </c>
      <c r="N105" s="27">
        <f t="shared" si="81"/>
        <v>-1214</v>
      </c>
      <c r="O105" s="27"/>
    </row>
    <row r="106" spans="1:15" x14ac:dyDescent="0.25">
      <c r="A106" s="18">
        <f t="shared" si="72"/>
        <v>81</v>
      </c>
      <c r="B106" s="56" t="s">
        <v>244</v>
      </c>
      <c r="C106" s="61">
        <v>69.67</v>
      </c>
      <c r="D106" s="61">
        <v>0</v>
      </c>
      <c r="E106" s="54">
        <f t="shared" si="76"/>
        <v>69.67</v>
      </c>
      <c r="F106" s="27">
        <f>+'DFIT Computations'!G106</f>
        <v>0</v>
      </c>
      <c r="G106" s="27">
        <f t="shared" si="77"/>
        <v>69.67</v>
      </c>
      <c r="H106" s="27">
        <f>+'DFIT Computations'!I106</f>
        <v>0</v>
      </c>
      <c r="I106" s="27">
        <f t="shared" si="78"/>
        <v>69.67</v>
      </c>
      <c r="J106" s="51">
        <f t="shared" si="79"/>
        <v>0.99</v>
      </c>
      <c r="K106" s="42">
        <f t="shared" si="80"/>
        <v>69</v>
      </c>
      <c r="L106" s="18" t="str">
        <f>'DFIT Computations'!M106</f>
        <v>LABOR</v>
      </c>
      <c r="M106" s="27">
        <f>+'DFIT Computations'!N106</f>
        <v>0</v>
      </c>
      <c r="N106" s="27">
        <f t="shared" si="81"/>
        <v>69</v>
      </c>
      <c r="O106" s="27"/>
    </row>
    <row r="107" spans="1:15" x14ac:dyDescent="0.25">
      <c r="A107" s="18">
        <f t="shared" si="72"/>
        <v>82</v>
      </c>
      <c r="B107" s="17" t="s">
        <v>47</v>
      </c>
      <c r="C107" s="61">
        <v>152.69</v>
      </c>
      <c r="D107" s="61">
        <v>0</v>
      </c>
      <c r="E107" s="54">
        <f t="shared" si="76"/>
        <v>152.69</v>
      </c>
      <c r="F107" s="27">
        <f>+'DFIT Computations'!G107</f>
        <v>0</v>
      </c>
      <c r="G107" s="27">
        <f t="shared" si="77"/>
        <v>152.69</v>
      </c>
      <c r="H107" s="27">
        <f>+'DFIT Computations'!I107</f>
        <v>0</v>
      </c>
      <c r="I107" s="27">
        <f t="shared" si="78"/>
        <v>152.69</v>
      </c>
      <c r="J107" s="51">
        <f t="shared" si="79"/>
        <v>0.99</v>
      </c>
      <c r="K107" s="42">
        <f t="shared" si="80"/>
        <v>151</v>
      </c>
      <c r="L107" s="18" t="str">
        <f>'DFIT Computations'!M107</f>
        <v>LABOR</v>
      </c>
      <c r="M107" s="27">
        <f>+'DFIT Computations'!N107</f>
        <v>0</v>
      </c>
      <c r="N107" s="27">
        <f t="shared" si="81"/>
        <v>151</v>
      </c>
      <c r="O107" s="27"/>
    </row>
    <row r="108" spans="1:15" x14ac:dyDescent="0.25">
      <c r="A108" s="18">
        <f t="shared" si="72"/>
        <v>83</v>
      </c>
      <c r="B108" s="17" t="s">
        <v>48</v>
      </c>
      <c r="C108" s="61">
        <v>-2448.39</v>
      </c>
      <c r="D108" s="61">
        <v>-2448</v>
      </c>
      <c r="E108" s="54">
        <f t="shared" si="76"/>
        <v>-0.38999999999987267</v>
      </c>
      <c r="F108" s="27">
        <f>+'DFIT Computations'!G108</f>
        <v>0</v>
      </c>
      <c r="G108" s="27">
        <f t="shared" si="77"/>
        <v>-0.38999999999987267</v>
      </c>
      <c r="H108" s="27">
        <f>+'DFIT Computations'!I108</f>
        <v>0</v>
      </c>
      <c r="I108" s="27">
        <f t="shared" si="78"/>
        <v>-0.38999999999987267</v>
      </c>
      <c r="J108" s="51">
        <f t="shared" si="79"/>
        <v>0.99</v>
      </c>
      <c r="K108" s="42">
        <f t="shared" si="80"/>
        <v>0</v>
      </c>
      <c r="L108" s="18" t="str">
        <f>'DFIT Computations'!M108</f>
        <v>LABOR</v>
      </c>
      <c r="M108" s="27">
        <f>+'DFIT Computations'!N108</f>
        <v>0</v>
      </c>
      <c r="N108" s="27">
        <f t="shared" si="81"/>
        <v>0</v>
      </c>
      <c r="O108" s="27"/>
    </row>
    <row r="109" spans="1:15" x14ac:dyDescent="0.25">
      <c r="A109" s="122"/>
      <c r="B109" s="125" t="s">
        <v>371</v>
      </c>
      <c r="C109" s="61">
        <v>-38054.449999999997</v>
      </c>
      <c r="D109" s="61">
        <v>0</v>
      </c>
      <c r="E109" s="54">
        <f t="shared" si="76"/>
        <v>-38054.449999999997</v>
      </c>
      <c r="F109" s="27">
        <f>+'DFIT Computations'!G109</f>
        <v>0</v>
      </c>
      <c r="G109" s="27">
        <f t="shared" si="77"/>
        <v>-38054.449999999997</v>
      </c>
      <c r="H109" s="27"/>
      <c r="I109" s="27">
        <f t="shared" si="78"/>
        <v>-38054.449999999997</v>
      </c>
      <c r="J109" s="51">
        <f t="shared" si="79"/>
        <v>0.99</v>
      </c>
      <c r="K109" s="42">
        <f t="shared" ref="K109" si="82">IF(I109*J109=0,0, ROUND(I109*J109,0))</f>
        <v>-37674</v>
      </c>
      <c r="L109" s="144" t="str">
        <f>'DFIT Computations'!M109</f>
        <v>LABOR</v>
      </c>
      <c r="M109" s="27">
        <f>+'DFIT Computations'!N109</f>
        <v>0</v>
      </c>
      <c r="N109" s="27">
        <f t="shared" ref="N109" si="83">K109+M109</f>
        <v>-37674</v>
      </c>
      <c r="O109" s="27"/>
    </row>
    <row r="110" spans="1:15" x14ac:dyDescent="0.25">
      <c r="A110" s="18">
        <f>A108+1</f>
        <v>84</v>
      </c>
      <c r="B110" s="17" t="s">
        <v>49</v>
      </c>
      <c r="C110" s="61">
        <v>-84911.37</v>
      </c>
      <c r="D110" s="61">
        <v>0</v>
      </c>
      <c r="E110" s="54">
        <f t="shared" si="76"/>
        <v>-84911.37</v>
      </c>
      <c r="F110" s="27">
        <f>+'DFIT Computations'!G110</f>
        <v>0</v>
      </c>
      <c r="G110" s="27">
        <f t="shared" si="77"/>
        <v>-84911.37</v>
      </c>
      <c r="H110" s="27">
        <f>+'DFIT Computations'!I110</f>
        <v>0</v>
      </c>
      <c r="I110" s="27">
        <f t="shared" si="78"/>
        <v>-84911.37</v>
      </c>
      <c r="J110" s="51">
        <f t="shared" si="79"/>
        <v>1</v>
      </c>
      <c r="K110" s="42">
        <f t="shared" si="80"/>
        <v>-84911</v>
      </c>
      <c r="L110" s="18" t="str">
        <f>'DFIT Computations'!M110</f>
        <v>SPECIFIC</v>
      </c>
      <c r="M110" s="27">
        <f>+'DFIT Computations'!N110</f>
        <v>0</v>
      </c>
      <c r="N110" s="27">
        <f t="shared" si="81"/>
        <v>-84911</v>
      </c>
      <c r="O110" s="27"/>
    </row>
    <row r="111" spans="1:15" x14ac:dyDescent="0.25">
      <c r="A111" s="18">
        <f t="shared" si="72"/>
        <v>85</v>
      </c>
      <c r="B111" s="17" t="s">
        <v>310</v>
      </c>
      <c r="C111" s="61">
        <v>0</v>
      </c>
      <c r="D111" s="61">
        <v>0</v>
      </c>
      <c r="E111" s="54">
        <f>+C111-D111</f>
        <v>0</v>
      </c>
      <c r="F111" s="27">
        <f>+'DFIT Computations'!G111</f>
        <v>0</v>
      </c>
      <c r="G111" s="27">
        <f t="shared" si="77"/>
        <v>0</v>
      </c>
      <c r="H111" s="27">
        <f>+'DFIT Computations'!I111</f>
        <v>0</v>
      </c>
      <c r="I111" s="27">
        <f>+G111+H111</f>
        <v>0</v>
      </c>
      <c r="J111" s="51">
        <f t="shared" si="79"/>
        <v>0.99</v>
      </c>
      <c r="K111" s="42">
        <f>IF(I111*J111=0,0, ROUND(I111*J111,0))</f>
        <v>0</v>
      </c>
      <c r="L111" s="18" t="str">
        <f>'DFIT Computations'!M111</f>
        <v>LABOR</v>
      </c>
      <c r="M111" s="27">
        <f>+'DFIT Computations'!N111</f>
        <v>0</v>
      </c>
      <c r="N111" s="27">
        <f t="shared" si="81"/>
        <v>0</v>
      </c>
      <c r="O111" s="27"/>
    </row>
    <row r="112" spans="1:15" x14ac:dyDescent="0.25">
      <c r="A112" s="18">
        <f t="shared" si="72"/>
        <v>86</v>
      </c>
      <c r="B112" s="56" t="s">
        <v>245</v>
      </c>
      <c r="C112" s="61">
        <v>241802.12</v>
      </c>
      <c r="D112" s="61">
        <f>-(96201-241802)</f>
        <v>145601</v>
      </c>
      <c r="E112" s="54">
        <f t="shared" si="76"/>
        <v>96201.12</v>
      </c>
      <c r="F112" s="27">
        <f>+'DFIT Computations'!G112</f>
        <v>0</v>
      </c>
      <c r="G112" s="27">
        <f t="shared" si="77"/>
        <v>96201.12</v>
      </c>
      <c r="H112" s="27">
        <f>+'DFIT Computations'!I112</f>
        <v>0</v>
      </c>
      <c r="I112" s="27">
        <f t="shared" si="78"/>
        <v>96201.12</v>
      </c>
      <c r="J112" s="51">
        <f t="shared" si="79"/>
        <v>0.99</v>
      </c>
      <c r="K112" s="42">
        <f t="shared" si="80"/>
        <v>95239</v>
      </c>
      <c r="L112" s="18" t="str">
        <f>'DFIT Computations'!M112</f>
        <v>LABOR</v>
      </c>
      <c r="M112" s="27">
        <f>+'DFIT Computations'!N112</f>
        <v>-95239</v>
      </c>
      <c r="N112" s="27">
        <f t="shared" si="81"/>
        <v>0</v>
      </c>
      <c r="O112" s="27"/>
    </row>
    <row r="113" spans="1:15" x14ac:dyDescent="0.25">
      <c r="A113" s="18">
        <f t="shared" si="72"/>
        <v>87</v>
      </c>
      <c r="B113" s="17" t="s">
        <v>50</v>
      </c>
      <c r="C113" s="61">
        <v>-65999.740000000005</v>
      </c>
      <c r="D113" s="61">
        <f>77543-66000</f>
        <v>11543</v>
      </c>
      <c r="E113" s="54">
        <f t="shared" si="76"/>
        <v>-77542.740000000005</v>
      </c>
      <c r="F113" s="27">
        <f>+'DFIT Computations'!G113</f>
        <v>0</v>
      </c>
      <c r="G113" s="27">
        <f t="shared" si="77"/>
        <v>-77542.740000000005</v>
      </c>
      <c r="H113" s="27">
        <f>+'DFIT Computations'!I113</f>
        <v>0</v>
      </c>
      <c r="I113" s="27">
        <f t="shared" si="78"/>
        <v>-77542.740000000005</v>
      </c>
      <c r="J113" s="51">
        <f t="shared" si="79"/>
        <v>0.99</v>
      </c>
      <c r="K113" s="42">
        <f t="shared" si="80"/>
        <v>-76767</v>
      </c>
      <c r="L113" s="18" t="str">
        <f>'DFIT Computations'!M113</f>
        <v>LABOR</v>
      </c>
      <c r="M113" s="27">
        <f>+'DFIT Computations'!N113</f>
        <v>0</v>
      </c>
      <c r="N113" s="27">
        <f t="shared" si="81"/>
        <v>-76767</v>
      </c>
      <c r="O113" s="27"/>
    </row>
    <row r="114" spans="1:15" x14ac:dyDescent="0.25">
      <c r="A114" s="18">
        <f t="shared" si="72"/>
        <v>88</v>
      </c>
      <c r="B114" s="56" t="s">
        <v>278</v>
      </c>
      <c r="C114" s="61">
        <v>480.85</v>
      </c>
      <c r="D114" s="61">
        <v>0</v>
      </c>
      <c r="E114" s="54">
        <f t="shared" ref="E114" si="84">+C114-D114</f>
        <v>480.85</v>
      </c>
      <c r="F114" s="27">
        <f>+'DFIT Computations'!G114</f>
        <v>0</v>
      </c>
      <c r="G114" s="27">
        <f t="shared" si="77"/>
        <v>480.85</v>
      </c>
      <c r="H114" s="27">
        <f>+'DFIT Computations'!I114</f>
        <v>0</v>
      </c>
      <c r="I114" s="27">
        <f t="shared" ref="I114" si="85">+G114+H114</f>
        <v>480.85</v>
      </c>
      <c r="J114" s="51">
        <f t="shared" si="79"/>
        <v>0.99</v>
      </c>
      <c r="K114" s="42">
        <f t="shared" ref="K114" si="86">IF(I114*J114=0,0, ROUND(I114*J114,0))</f>
        <v>476</v>
      </c>
      <c r="L114" s="18" t="str">
        <f>'DFIT Computations'!M114</f>
        <v>LABOR</v>
      </c>
      <c r="M114" s="27">
        <f>+'DFIT Computations'!N114</f>
        <v>0</v>
      </c>
      <c r="N114" s="27">
        <f t="shared" si="81"/>
        <v>476</v>
      </c>
      <c r="O114" s="27"/>
    </row>
    <row r="115" spans="1:15" x14ac:dyDescent="0.25">
      <c r="A115" s="18">
        <f t="shared" si="72"/>
        <v>89</v>
      </c>
      <c r="B115" s="56" t="s">
        <v>246</v>
      </c>
      <c r="C115" s="61">
        <v>443172.24</v>
      </c>
      <c r="D115" s="61">
        <v>0</v>
      </c>
      <c r="E115" s="54">
        <f t="shared" si="76"/>
        <v>443172.24</v>
      </c>
      <c r="F115" s="27">
        <f>+'DFIT Computations'!G115</f>
        <v>0</v>
      </c>
      <c r="G115" s="27">
        <f t="shared" si="77"/>
        <v>443172.24</v>
      </c>
      <c r="H115" s="27">
        <f>+'DFIT Computations'!I115</f>
        <v>0</v>
      </c>
      <c r="I115" s="27">
        <f t="shared" si="78"/>
        <v>443172.24</v>
      </c>
      <c r="J115" s="51">
        <f t="shared" si="79"/>
        <v>0.99</v>
      </c>
      <c r="K115" s="42">
        <f t="shared" si="80"/>
        <v>438741</v>
      </c>
      <c r="L115" s="18" t="str">
        <f>'DFIT Computations'!M115</f>
        <v>LABOR</v>
      </c>
      <c r="M115" s="27">
        <f>+'DFIT Computations'!N115</f>
        <v>0</v>
      </c>
      <c r="N115" s="27">
        <f t="shared" si="81"/>
        <v>438741</v>
      </c>
      <c r="O115" s="27"/>
    </row>
    <row r="116" spans="1:15" x14ac:dyDescent="0.25">
      <c r="A116" s="18">
        <f t="shared" si="72"/>
        <v>90</v>
      </c>
      <c r="B116" s="56" t="s">
        <v>311</v>
      </c>
      <c r="C116" s="61">
        <v>0</v>
      </c>
      <c r="D116" s="61">
        <v>0</v>
      </c>
      <c r="E116" s="54">
        <f>+C116-D116</f>
        <v>0</v>
      </c>
      <c r="F116" s="27">
        <f>+'DFIT Computations'!G116</f>
        <v>0</v>
      </c>
      <c r="G116" s="27">
        <f t="shared" ref="G116:G117" si="87">+E116+F116</f>
        <v>0</v>
      </c>
      <c r="H116" s="27">
        <f>+'DFIT Computations'!I116</f>
        <v>0</v>
      </c>
      <c r="I116" s="27">
        <f>+G116+H116</f>
        <v>0</v>
      </c>
      <c r="J116" s="51">
        <f t="shared" si="79"/>
        <v>0</v>
      </c>
      <c r="K116" s="42">
        <f>IF(I116*J116=0,0, ROUND(I116*J116,0))</f>
        <v>0</v>
      </c>
      <c r="L116" s="18" t="str">
        <f>'DFIT Computations'!M116</f>
        <v>NON-APPLIC</v>
      </c>
      <c r="M116" s="27">
        <f>+'DFIT Computations'!N116</f>
        <v>0</v>
      </c>
      <c r="N116" s="27">
        <f t="shared" ref="N116:N117" si="88">K116+M116</f>
        <v>0</v>
      </c>
      <c r="O116" s="27"/>
    </row>
    <row r="117" spans="1:15" x14ac:dyDescent="0.25">
      <c r="A117" s="18">
        <f t="shared" si="72"/>
        <v>91</v>
      </c>
      <c r="B117" s="56" t="s">
        <v>312</v>
      </c>
      <c r="C117" s="61">
        <v>0</v>
      </c>
      <c r="D117" s="61">
        <v>0</v>
      </c>
      <c r="E117" s="54">
        <f>+C117-D117</f>
        <v>0</v>
      </c>
      <c r="F117" s="27">
        <f>+'DFIT Computations'!G117</f>
        <v>0</v>
      </c>
      <c r="G117" s="27">
        <f t="shared" si="87"/>
        <v>0</v>
      </c>
      <c r="H117" s="27">
        <f>+'DFIT Computations'!I117</f>
        <v>0</v>
      </c>
      <c r="I117" s="27">
        <f>+G117+H117</f>
        <v>0</v>
      </c>
      <c r="J117" s="51">
        <f t="shared" si="79"/>
        <v>0</v>
      </c>
      <c r="K117" s="42">
        <f>IF(I117*J117=0,0, ROUND(I117*J117,0))</f>
        <v>0</v>
      </c>
      <c r="L117" s="18" t="str">
        <f>'DFIT Computations'!M117</f>
        <v>NON-APPLIC</v>
      </c>
      <c r="M117" s="27">
        <f>+'DFIT Computations'!N117</f>
        <v>0</v>
      </c>
      <c r="N117" s="27">
        <f t="shared" si="88"/>
        <v>0</v>
      </c>
      <c r="O117" s="27"/>
    </row>
    <row r="118" spans="1:15" x14ac:dyDescent="0.25">
      <c r="A118" s="18">
        <f t="shared" si="72"/>
        <v>92</v>
      </c>
      <c r="B118" s="56" t="s">
        <v>264</v>
      </c>
      <c r="C118" s="61">
        <v>0</v>
      </c>
      <c r="D118" s="61">
        <v>0</v>
      </c>
      <c r="E118" s="54">
        <f>+C118-D118</f>
        <v>0</v>
      </c>
      <c r="F118" s="27">
        <f>+'DFIT Computations'!G118</f>
        <v>0</v>
      </c>
      <c r="G118" s="27">
        <f t="shared" si="77"/>
        <v>0</v>
      </c>
      <c r="H118" s="27">
        <f>+'DFIT Computations'!I118</f>
        <v>0</v>
      </c>
      <c r="I118" s="27">
        <f>+G118+H118</f>
        <v>0</v>
      </c>
      <c r="J118" s="51">
        <f t="shared" si="79"/>
        <v>0</v>
      </c>
      <c r="K118" s="42">
        <f>IF(I118*J118=0,0, ROUND(I118*J118,0))</f>
        <v>0</v>
      </c>
      <c r="L118" s="18" t="str">
        <f>'DFIT Computations'!M118</f>
        <v>NON-APPLIC</v>
      </c>
      <c r="M118" s="27">
        <f>+'DFIT Computations'!N118</f>
        <v>0</v>
      </c>
      <c r="N118" s="27">
        <f t="shared" si="81"/>
        <v>0</v>
      </c>
      <c r="O118" s="27"/>
    </row>
    <row r="119" spans="1:15" x14ac:dyDescent="0.25">
      <c r="A119" s="18">
        <f t="shared" si="72"/>
        <v>93</v>
      </c>
      <c r="B119" s="17" t="s">
        <v>51</v>
      </c>
      <c r="C119" s="61">
        <v>0</v>
      </c>
      <c r="D119" s="61">
        <v>0</v>
      </c>
      <c r="E119" s="54">
        <f t="shared" si="76"/>
        <v>0</v>
      </c>
      <c r="F119" s="27">
        <f>+'DFIT Computations'!G119</f>
        <v>0</v>
      </c>
      <c r="G119" s="27">
        <f t="shared" si="77"/>
        <v>0</v>
      </c>
      <c r="H119" s="27">
        <f>+'DFIT Computations'!I119</f>
        <v>0</v>
      </c>
      <c r="I119" s="27">
        <f t="shared" si="78"/>
        <v>0</v>
      </c>
      <c r="J119" s="160">
        <f t="shared" si="79"/>
        <v>0.98299999999999998</v>
      </c>
      <c r="K119" s="164">
        <f t="shared" si="80"/>
        <v>0</v>
      </c>
      <c r="L119" s="155" t="str">
        <f>'DFIT Computations'!M119</f>
        <v>REVENUE</v>
      </c>
      <c r="M119" s="161">
        <f>+'DFIT Computations'!N119</f>
        <v>0</v>
      </c>
      <c r="N119" s="161">
        <f t="shared" si="81"/>
        <v>0</v>
      </c>
      <c r="O119" s="27"/>
    </row>
    <row r="120" spans="1:15" x14ac:dyDescent="0.25">
      <c r="A120" s="18">
        <f t="shared" si="72"/>
        <v>94</v>
      </c>
      <c r="B120" s="17" t="s">
        <v>52</v>
      </c>
      <c r="C120" s="61">
        <v>1656.9</v>
      </c>
      <c r="D120" s="61">
        <v>0</v>
      </c>
      <c r="E120" s="54">
        <f t="shared" si="76"/>
        <v>1656.9</v>
      </c>
      <c r="F120" s="27">
        <f>+'DFIT Computations'!G120</f>
        <v>0</v>
      </c>
      <c r="G120" s="27">
        <f t="shared" si="77"/>
        <v>1656.9</v>
      </c>
      <c r="H120" s="27">
        <f>+'DFIT Computations'!I120</f>
        <v>0</v>
      </c>
      <c r="I120" s="27">
        <f t="shared" si="78"/>
        <v>1656.9</v>
      </c>
      <c r="J120" s="51">
        <f t="shared" si="79"/>
        <v>0</v>
      </c>
      <c r="K120" s="42">
        <f t="shared" si="80"/>
        <v>0</v>
      </c>
      <c r="L120" s="18" t="str">
        <f>'DFIT Computations'!M120</f>
        <v>NON-APPLIC</v>
      </c>
      <c r="M120" s="27">
        <f>+'DFIT Computations'!N120</f>
        <v>0</v>
      </c>
      <c r="N120" s="27">
        <f t="shared" si="81"/>
        <v>0</v>
      </c>
      <c r="O120" s="27"/>
    </row>
    <row r="121" spans="1:15" x14ac:dyDescent="0.25">
      <c r="A121" s="18">
        <f t="shared" si="72"/>
        <v>95</v>
      </c>
      <c r="B121" s="17" t="s">
        <v>53</v>
      </c>
      <c r="C121" s="61">
        <v>1562.61</v>
      </c>
      <c r="D121" s="61">
        <v>0</v>
      </c>
      <c r="E121" s="54">
        <f t="shared" si="76"/>
        <v>1562.61</v>
      </c>
      <c r="F121" s="27">
        <f>+'DFIT Computations'!G121</f>
        <v>0</v>
      </c>
      <c r="G121" s="27">
        <f t="shared" si="77"/>
        <v>1562.61</v>
      </c>
      <c r="H121" s="27">
        <f>+'DFIT Computations'!I121</f>
        <v>0</v>
      </c>
      <c r="I121" s="27">
        <f t="shared" si="78"/>
        <v>1562.61</v>
      </c>
      <c r="J121" s="51">
        <f t="shared" si="79"/>
        <v>0</v>
      </c>
      <c r="K121" s="42">
        <f t="shared" si="80"/>
        <v>0</v>
      </c>
      <c r="L121" s="18" t="str">
        <f>'DFIT Computations'!M121</f>
        <v>NON-APPLIC</v>
      </c>
      <c r="M121" s="27">
        <f>+'DFIT Computations'!N121</f>
        <v>0</v>
      </c>
      <c r="N121" s="27">
        <f t="shared" si="81"/>
        <v>0</v>
      </c>
      <c r="O121" s="27"/>
    </row>
    <row r="122" spans="1:15" x14ac:dyDescent="0.25">
      <c r="A122" s="18">
        <f t="shared" si="72"/>
        <v>96</v>
      </c>
      <c r="B122" s="17" t="s">
        <v>54</v>
      </c>
      <c r="C122" s="61">
        <v>0</v>
      </c>
      <c r="D122" s="61">
        <v>0</v>
      </c>
      <c r="E122" s="54">
        <f t="shared" si="76"/>
        <v>0</v>
      </c>
      <c r="F122" s="27">
        <f>+'DFIT Computations'!G122</f>
        <v>0</v>
      </c>
      <c r="G122" s="27">
        <f t="shared" si="77"/>
        <v>0</v>
      </c>
      <c r="H122" s="27">
        <f>+'DFIT Computations'!I122</f>
        <v>0</v>
      </c>
      <c r="I122" s="27">
        <f t="shared" si="78"/>
        <v>0</v>
      </c>
      <c r="J122" s="160">
        <f t="shared" si="79"/>
        <v>0.98299999999999998</v>
      </c>
      <c r="K122" s="164">
        <f t="shared" si="80"/>
        <v>0</v>
      </c>
      <c r="L122" s="155" t="str">
        <f>'DFIT Computations'!M122</f>
        <v>REVENUE</v>
      </c>
      <c r="M122" s="161">
        <f>+'DFIT Computations'!N122</f>
        <v>0</v>
      </c>
      <c r="N122" s="161">
        <f t="shared" si="81"/>
        <v>0</v>
      </c>
      <c r="O122" s="27"/>
    </row>
    <row r="123" spans="1:15" x14ac:dyDescent="0.25">
      <c r="A123" s="18">
        <f t="shared" si="72"/>
        <v>97</v>
      </c>
      <c r="B123" s="17" t="s">
        <v>55</v>
      </c>
      <c r="C123" s="61">
        <v>-15400.51</v>
      </c>
      <c r="D123" s="61">
        <v>0</v>
      </c>
      <c r="E123" s="54">
        <f t="shared" si="76"/>
        <v>-15400.51</v>
      </c>
      <c r="F123" s="27">
        <f>+'DFIT Computations'!G123</f>
        <v>0</v>
      </c>
      <c r="G123" s="27">
        <f t="shared" si="77"/>
        <v>-15400.51</v>
      </c>
      <c r="H123" s="27">
        <f>+'DFIT Computations'!I123</f>
        <v>0</v>
      </c>
      <c r="I123" s="27">
        <f t="shared" si="78"/>
        <v>-15400.51</v>
      </c>
      <c r="J123" s="51">
        <f t="shared" si="79"/>
        <v>0.98499999999999999</v>
      </c>
      <c r="K123" s="42">
        <f t="shared" si="80"/>
        <v>-15170</v>
      </c>
      <c r="L123" s="18" t="str">
        <f>'DFIT Computations'!M123</f>
        <v>TRAN PLT</v>
      </c>
      <c r="M123" s="27">
        <f>+'DFIT Computations'!N123</f>
        <v>0</v>
      </c>
      <c r="N123" s="27">
        <f t="shared" si="81"/>
        <v>-15170</v>
      </c>
      <c r="O123" s="27"/>
    </row>
    <row r="124" spans="1:15" x14ac:dyDescent="0.25">
      <c r="A124" s="18">
        <f t="shared" si="72"/>
        <v>98</v>
      </c>
      <c r="B124" s="17" t="s">
        <v>178</v>
      </c>
      <c r="C124" s="61">
        <v>0</v>
      </c>
      <c r="D124" s="61">
        <v>0</v>
      </c>
      <c r="E124" s="54">
        <f t="shared" si="76"/>
        <v>0</v>
      </c>
      <c r="F124" s="27">
        <f>+'DFIT Computations'!G124</f>
        <v>0</v>
      </c>
      <c r="G124" s="27">
        <f t="shared" si="77"/>
        <v>0</v>
      </c>
      <c r="H124" s="27">
        <f>+'DFIT Computations'!I124</f>
        <v>0</v>
      </c>
      <c r="I124" s="27">
        <f t="shared" si="78"/>
        <v>0</v>
      </c>
      <c r="J124" s="51">
        <f t="shared" si="79"/>
        <v>1</v>
      </c>
      <c r="K124" s="42">
        <f t="shared" si="80"/>
        <v>0</v>
      </c>
      <c r="L124" s="18" t="str">
        <f>'DFIT Computations'!M124</f>
        <v>SPECIFIC</v>
      </c>
      <c r="M124" s="27">
        <f>+'DFIT Computations'!N124</f>
        <v>0</v>
      </c>
      <c r="N124" s="27">
        <f t="shared" si="81"/>
        <v>0</v>
      </c>
      <c r="O124" s="27"/>
    </row>
    <row r="125" spans="1:15" x14ac:dyDescent="0.25">
      <c r="A125" s="18">
        <f t="shared" si="72"/>
        <v>99</v>
      </c>
      <c r="B125" s="17" t="s">
        <v>179</v>
      </c>
      <c r="C125" s="61">
        <v>0</v>
      </c>
      <c r="D125" s="61">
        <v>0</v>
      </c>
      <c r="E125" s="54">
        <f t="shared" si="76"/>
        <v>0</v>
      </c>
      <c r="F125" s="27">
        <f>+'DFIT Computations'!G125</f>
        <v>0</v>
      </c>
      <c r="G125" s="27">
        <f t="shared" si="77"/>
        <v>0</v>
      </c>
      <c r="H125" s="27">
        <f>+'DFIT Computations'!I125</f>
        <v>0</v>
      </c>
      <c r="I125" s="27">
        <f t="shared" si="78"/>
        <v>0</v>
      </c>
      <c r="J125" s="51">
        <f t="shared" si="79"/>
        <v>1</v>
      </c>
      <c r="K125" s="42">
        <f t="shared" si="80"/>
        <v>0</v>
      </c>
      <c r="L125" s="18" t="str">
        <f>'DFIT Computations'!M125</f>
        <v>SPECIFIC</v>
      </c>
      <c r="M125" s="27">
        <f>+'DFIT Computations'!N125</f>
        <v>0</v>
      </c>
      <c r="N125" s="27">
        <f t="shared" si="81"/>
        <v>0</v>
      </c>
      <c r="O125" s="27"/>
    </row>
    <row r="126" spans="1:15" ht="13" x14ac:dyDescent="0.3">
      <c r="A126" s="18">
        <f t="shared" si="72"/>
        <v>100</v>
      </c>
      <c r="B126" s="75" t="s">
        <v>56</v>
      </c>
      <c r="C126" s="78">
        <f t="shared" ref="C126:I126" si="89">SUM(C102:C125)</f>
        <v>236653.16999999998</v>
      </c>
      <c r="D126" s="78">
        <f t="shared" si="89"/>
        <v>162696</v>
      </c>
      <c r="E126" s="78">
        <f t="shared" si="89"/>
        <v>73957.169999999984</v>
      </c>
      <c r="F126" s="78">
        <f t="shared" ref="F126" si="90">SUM(F102:F125)</f>
        <v>0</v>
      </c>
      <c r="G126" s="78">
        <f t="shared" si="89"/>
        <v>73957.169999999984</v>
      </c>
      <c r="H126" s="78">
        <f t="shared" si="89"/>
        <v>0</v>
      </c>
      <c r="I126" s="78">
        <f t="shared" si="89"/>
        <v>73957.169999999984</v>
      </c>
      <c r="J126" s="24"/>
      <c r="K126" s="78">
        <f>SUM(K102:K125)</f>
        <v>69258</v>
      </c>
      <c r="M126" s="78">
        <f t="shared" ref="M126:N126" si="91">SUM(M102:M125)</f>
        <v>-95746</v>
      </c>
      <c r="N126" s="78">
        <f t="shared" si="91"/>
        <v>-26488</v>
      </c>
      <c r="O126" s="27"/>
    </row>
    <row r="127" spans="1:15" x14ac:dyDescent="0.25">
      <c r="A127" s="18">
        <f t="shared" si="72"/>
        <v>101</v>
      </c>
      <c r="B127" s="17" t="s">
        <v>0</v>
      </c>
      <c r="C127" s="36"/>
      <c r="D127" s="82"/>
      <c r="E127" s="82"/>
      <c r="F127" s="41"/>
      <c r="G127" s="41"/>
      <c r="H127" s="41"/>
      <c r="I127" s="41"/>
      <c r="J127" s="81"/>
      <c r="M127" s="41"/>
      <c r="N127" s="41"/>
    </row>
    <row r="128" spans="1:15" ht="13" x14ac:dyDescent="0.3">
      <c r="A128" s="18">
        <f t="shared" si="72"/>
        <v>102</v>
      </c>
      <c r="B128" s="75" t="s">
        <v>57</v>
      </c>
      <c r="C128" s="36"/>
      <c r="D128" s="82"/>
      <c r="E128" s="82"/>
      <c r="F128" s="41"/>
      <c r="G128" s="41"/>
      <c r="H128" s="41"/>
      <c r="I128" s="41"/>
      <c r="J128" s="81"/>
      <c r="M128" s="41"/>
      <c r="N128" s="41"/>
    </row>
    <row r="129" spans="1:15" x14ac:dyDescent="0.25">
      <c r="A129" s="18">
        <f t="shared" si="72"/>
        <v>103</v>
      </c>
      <c r="B129" s="17" t="s">
        <v>58</v>
      </c>
      <c r="C129" s="61">
        <v>-616.46</v>
      </c>
      <c r="D129" s="61">
        <v>0</v>
      </c>
      <c r="E129" s="54">
        <f t="shared" ref="E129:E146" si="92">+C129-D129</f>
        <v>-616.46</v>
      </c>
      <c r="F129" s="27">
        <f>+'DFIT Computations'!G129</f>
        <v>0</v>
      </c>
      <c r="G129" s="27">
        <f t="shared" ref="G129:G146" si="93">+E129+F129</f>
        <v>-616.46</v>
      </c>
      <c r="H129" s="27">
        <f>+'DFIT Computations'!I129</f>
        <v>0</v>
      </c>
      <c r="I129" s="27">
        <f t="shared" ref="I129:I146" si="94">+G129+H129</f>
        <v>-616.46</v>
      </c>
      <c r="J129" s="51">
        <f t="shared" ref="J129:J147" si="95">VLOOKUP(L129,$C$306:$D$320,2,FALSE)</f>
        <v>0.999</v>
      </c>
      <c r="K129" s="42">
        <f t="shared" ref="K129:K146" si="96">IF(I129*J129=0,0, ROUND(I129*J129,0))</f>
        <v>-616</v>
      </c>
      <c r="L129" s="18" t="str">
        <f>'DFIT Computations'!M129</f>
        <v>DIST PLT</v>
      </c>
      <c r="M129" s="27">
        <f>+'DFIT Computations'!N129</f>
        <v>0</v>
      </c>
      <c r="N129" s="27">
        <f t="shared" ref="N129:N146" si="97">K129+M129</f>
        <v>-616</v>
      </c>
      <c r="O129" s="27"/>
    </row>
    <row r="130" spans="1:15" x14ac:dyDescent="0.25">
      <c r="A130" s="18">
        <f t="shared" si="72"/>
        <v>104</v>
      </c>
      <c r="B130" s="17" t="s">
        <v>59</v>
      </c>
      <c r="C130" s="61">
        <v>-13507.42</v>
      </c>
      <c r="D130" s="61">
        <v>0</v>
      </c>
      <c r="E130" s="54">
        <f t="shared" si="92"/>
        <v>-13507.42</v>
      </c>
      <c r="F130" s="27">
        <f>+'DFIT Computations'!G130</f>
        <v>0</v>
      </c>
      <c r="G130" s="27">
        <f t="shared" si="93"/>
        <v>-13507.42</v>
      </c>
      <c r="H130" s="27">
        <f>+'DFIT Computations'!I130</f>
        <v>0</v>
      </c>
      <c r="I130" s="27">
        <f t="shared" si="94"/>
        <v>-13507.42</v>
      </c>
      <c r="J130" s="160">
        <f t="shared" si="95"/>
        <v>0.98299999999999998</v>
      </c>
      <c r="K130" s="164">
        <f t="shared" si="96"/>
        <v>-13278</v>
      </c>
      <c r="L130" s="155" t="str">
        <f>'DFIT Computations'!M130</f>
        <v>REVENUE</v>
      </c>
      <c r="M130" s="161">
        <f>+'DFIT Computations'!N130</f>
        <v>0</v>
      </c>
      <c r="N130" s="161">
        <f t="shared" si="97"/>
        <v>-13278</v>
      </c>
      <c r="O130" s="27"/>
    </row>
    <row r="131" spans="1:15" x14ac:dyDescent="0.25">
      <c r="A131" s="18">
        <f t="shared" si="72"/>
        <v>105</v>
      </c>
      <c r="B131" s="56" t="s">
        <v>292</v>
      </c>
      <c r="C131" s="61">
        <v>-433977.36</v>
      </c>
      <c r="D131" s="61">
        <v>0</v>
      </c>
      <c r="E131" s="54">
        <f t="shared" si="92"/>
        <v>-433977.36</v>
      </c>
      <c r="F131" s="27">
        <f>+'DFIT Computations'!G131</f>
        <v>0</v>
      </c>
      <c r="G131" s="27">
        <f t="shared" si="93"/>
        <v>-433977.36</v>
      </c>
      <c r="H131" s="27">
        <f>+'DFIT Computations'!I131</f>
        <v>0</v>
      </c>
      <c r="I131" s="27">
        <f t="shared" si="94"/>
        <v>-433977.36</v>
      </c>
      <c r="J131" s="51">
        <f t="shared" si="95"/>
        <v>0.98499999999999999</v>
      </c>
      <c r="K131" s="42">
        <f t="shared" si="96"/>
        <v>-427468</v>
      </c>
      <c r="L131" s="18" t="str">
        <f>'DFIT Computations'!M131</f>
        <v>DEMAND</v>
      </c>
      <c r="M131" s="27">
        <f>+'DFIT Computations'!N131</f>
        <v>0</v>
      </c>
      <c r="N131" s="27">
        <f t="shared" si="97"/>
        <v>-427468</v>
      </c>
      <c r="O131" s="27"/>
    </row>
    <row r="132" spans="1:15" x14ac:dyDescent="0.25">
      <c r="A132" s="18">
        <f t="shared" si="72"/>
        <v>106</v>
      </c>
      <c r="B132" s="56" t="s">
        <v>263</v>
      </c>
      <c r="C132" s="61">
        <v>0</v>
      </c>
      <c r="D132" s="61">
        <v>0</v>
      </c>
      <c r="E132" s="54">
        <f t="shared" si="92"/>
        <v>0</v>
      </c>
      <c r="F132" s="27">
        <f>+'DFIT Computations'!G132</f>
        <v>0</v>
      </c>
      <c r="G132" s="27">
        <f t="shared" si="93"/>
        <v>0</v>
      </c>
      <c r="H132" s="27">
        <f>+'DFIT Computations'!I132</f>
        <v>0</v>
      </c>
      <c r="I132" s="27">
        <f t="shared" si="94"/>
        <v>0</v>
      </c>
      <c r="J132" s="51">
        <f t="shared" si="95"/>
        <v>1</v>
      </c>
      <c r="K132" s="42">
        <f t="shared" si="96"/>
        <v>0</v>
      </c>
      <c r="L132" s="18" t="str">
        <f>'DFIT Computations'!M132</f>
        <v>SPECIFIC</v>
      </c>
      <c r="M132" s="27">
        <f>+'DFIT Computations'!N132</f>
        <v>0</v>
      </c>
      <c r="N132" s="27">
        <f t="shared" si="97"/>
        <v>0</v>
      </c>
      <c r="O132" s="27"/>
    </row>
    <row r="133" spans="1:15" x14ac:dyDescent="0.25">
      <c r="A133" s="18">
        <f t="shared" si="72"/>
        <v>107</v>
      </c>
      <c r="B133" s="17" t="s">
        <v>60</v>
      </c>
      <c r="C133" s="61">
        <v>2229.7399999999998</v>
      </c>
      <c r="D133" s="61">
        <v>0</v>
      </c>
      <c r="E133" s="54">
        <f t="shared" si="92"/>
        <v>2229.7399999999998</v>
      </c>
      <c r="F133" s="27">
        <f>+'DFIT Computations'!G133</f>
        <v>0</v>
      </c>
      <c r="G133" s="27">
        <f t="shared" si="93"/>
        <v>2229.7399999999998</v>
      </c>
      <c r="H133" s="27">
        <f>+'DFIT Computations'!I133</f>
        <v>0</v>
      </c>
      <c r="I133" s="27">
        <f t="shared" si="94"/>
        <v>2229.7399999999998</v>
      </c>
      <c r="J133" s="160">
        <f t="shared" si="95"/>
        <v>0.98299999999999998</v>
      </c>
      <c r="K133" s="164">
        <f t="shared" si="96"/>
        <v>2192</v>
      </c>
      <c r="L133" s="155" t="str">
        <f>'DFIT Computations'!M133</f>
        <v>REVENUE</v>
      </c>
      <c r="M133" s="161">
        <f>+'DFIT Computations'!N133</f>
        <v>0</v>
      </c>
      <c r="N133" s="161">
        <f t="shared" si="97"/>
        <v>2192</v>
      </c>
      <c r="O133" s="27"/>
    </row>
    <row r="134" spans="1:15" x14ac:dyDescent="0.25">
      <c r="A134" s="18">
        <f t="shared" si="72"/>
        <v>108</v>
      </c>
      <c r="B134" s="17" t="s">
        <v>313</v>
      </c>
      <c r="C134" s="61">
        <v>2771.23</v>
      </c>
      <c r="D134" s="61">
        <v>0</v>
      </c>
      <c r="E134" s="54">
        <f>+C134-D134</f>
        <v>2771.23</v>
      </c>
      <c r="F134" s="27">
        <f>+'DFIT Computations'!G134</f>
        <v>0</v>
      </c>
      <c r="G134" s="27">
        <f t="shared" si="93"/>
        <v>2771.23</v>
      </c>
      <c r="H134" s="27">
        <f>+'DFIT Computations'!I134</f>
        <v>0</v>
      </c>
      <c r="I134" s="27">
        <f>+G134+H134</f>
        <v>2771.23</v>
      </c>
      <c r="J134" s="160">
        <f t="shared" si="95"/>
        <v>0.98299999999999998</v>
      </c>
      <c r="K134" s="164">
        <f>IF(I134*J134=0,0, ROUND(I134*J134,0))</f>
        <v>2724</v>
      </c>
      <c r="L134" s="155" t="str">
        <f>'DFIT Computations'!M134</f>
        <v>REVENUE</v>
      </c>
      <c r="M134" s="161">
        <f>+'DFIT Computations'!N134</f>
        <v>0</v>
      </c>
      <c r="N134" s="161">
        <f t="shared" si="97"/>
        <v>2724</v>
      </c>
      <c r="O134" s="27"/>
    </row>
    <row r="135" spans="1:15" x14ac:dyDescent="0.25">
      <c r="A135" s="18">
        <f t="shared" si="72"/>
        <v>109</v>
      </c>
      <c r="B135" s="17" t="s">
        <v>314</v>
      </c>
      <c r="C135" s="61">
        <v>-14343.47</v>
      </c>
      <c r="D135" s="61">
        <v>0</v>
      </c>
      <c r="E135" s="54">
        <f>+C135-D135</f>
        <v>-14343.47</v>
      </c>
      <c r="F135" s="27">
        <f>+'DFIT Computations'!G135</f>
        <v>0</v>
      </c>
      <c r="G135" s="27">
        <f t="shared" si="93"/>
        <v>-14343.47</v>
      </c>
      <c r="H135" s="27">
        <f>+'DFIT Computations'!I135</f>
        <v>0</v>
      </c>
      <c r="I135" s="27">
        <f>+G135+H135</f>
        <v>-14343.47</v>
      </c>
      <c r="J135" s="160">
        <f t="shared" si="95"/>
        <v>0.98299999999999998</v>
      </c>
      <c r="K135" s="164">
        <f>IF(I135*J135=0,0, ROUND(I135*J135,0))</f>
        <v>-14100</v>
      </c>
      <c r="L135" s="155" t="str">
        <f>'DFIT Computations'!M135</f>
        <v>REVENUE</v>
      </c>
      <c r="M135" s="161">
        <f>+'DFIT Computations'!N135</f>
        <v>0</v>
      </c>
      <c r="N135" s="161">
        <f t="shared" si="97"/>
        <v>-14100</v>
      </c>
      <c r="O135" s="27"/>
    </row>
    <row r="136" spans="1:15" x14ac:dyDescent="0.25">
      <c r="A136" s="18">
        <f t="shared" si="72"/>
        <v>110</v>
      </c>
      <c r="B136" s="17" t="s">
        <v>61</v>
      </c>
      <c r="C136" s="61">
        <v>0</v>
      </c>
      <c r="D136" s="61">
        <v>0</v>
      </c>
      <c r="E136" s="54">
        <f t="shared" si="92"/>
        <v>0</v>
      </c>
      <c r="F136" s="27">
        <f>+'DFIT Computations'!G136</f>
        <v>0</v>
      </c>
      <c r="G136" s="27">
        <f t="shared" si="93"/>
        <v>0</v>
      </c>
      <c r="H136" s="27">
        <f>+'DFIT Computations'!I136</f>
        <v>0</v>
      </c>
      <c r="I136" s="27">
        <f t="shared" si="94"/>
        <v>0</v>
      </c>
      <c r="J136" s="51">
        <f t="shared" si="95"/>
        <v>0.98499999999999999</v>
      </c>
      <c r="K136" s="42">
        <f t="shared" si="96"/>
        <v>0</v>
      </c>
      <c r="L136" s="18" t="str">
        <f>'DFIT Computations'!M136</f>
        <v>TRAN PLT</v>
      </c>
      <c r="M136" s="27">
        <f>+'DFIT Computations'!N136</f>
        <v>0</v>
      </c>
      <c r="N136" s="27">
        <f t="shared" si="97"/>
        <v>0</v>
      </c>
      <c r="O136" s="27"/>
    </row>
    <row r="137" spans="1:15" x14ac:dyDescent="0.25">
      <c r="A137" s="18">
        <f t="shared" si="72"/>
        <v>111</v>
      </c>
      <c r="B137" s="17" t="s">
        <v>62</v>
      </c>
      <c r="C137" s="61">
        <v>1982.61</v>
      </c>
      <c r="D137" s="61">
        <v>1982.61</v>
      </c>
      <c r="E137" s="54">
        <f t="shared" si="92"/>
        <v>0</v>
      </c>
      <c r="F137" s="27">
        <f>+'DFIT Computations'!G137</f>
        <v>0</v>
      </c>
      <c r="G137" s="27">
        <f t="shared" si="93"/>
        <v>0</v>
      </c>
      <c r="H137" s="27">
        <f>+'DFIT Computations'!I137</f>
        <v>0</v>
      </c>
      <c r="I137" s="27">
        <f t="shared" si="94"/>
        <v>0</v>
      </c>
      <c r="J137" s="51">
        <f t="shared" si="95"/>
        <v>0</v>
      </c>
      <c r="K137" s="42">
        <f t="shared" si="96"/>
        <v>0</v>
      </c>
      <c r="L137" s="18" t="str">
        <f>'DFIT Computations'!M137</f>
        <v>NON-UTILITY</v>
      </c>
      <c r="M137" s="27">
        <f>+'DFIT Computations'!N137</f>
        <v>0</v>
      </c>
      <c r="N137" s="27">
        <f t="shared" si="97"/>
        <v>0</v>
      </c>
      <c r="O137" s="27"/>
    </row>
    <row r="138" spans="1:15" x14ac:dyDescent="0.25">
      <c r="A138" s="18">
        <f t="shared" si="72"/>
        <v>112</v>
      </c>
      <c r="B138" s="56" t="s">
        <v>247</v>
      </c>
      <c r="C138" s="61">
        <v>112459.93</v>
      </c>
      <c r="D138" s="61">
        <v>0</v>
      </c>
      <c r="E138" s="54">
        <f t="shared" si="92"/>
        <v>112459.93</v>
      </c>
      <c r="F138" s="27">
        <f>+'DFIT Computations'!G138</f>
        <v>0</v>
      </c>
      <c r="G138" s="27">
        <f t="shared" si="93"/>
        <v>112459.93</v>
      </c>
      <c r="H138" s="27">
        <f>+'DFIT Computations'!I138</f>
        <v>0</v>
      </c>
      <c r="I138" s="27">
        <f t="shared" si="94"/>
        <v>112459.93</v>
      </c>
      <c r="J138" s="51">
        <f t="shared" si="95"/>
        <v>0.99</v>
      </c>
      <c r="K138" s="42">
        <f t="shared" si="96"/>
        <v>111335</v>
      </c>
      <c r="L138" s="18" t="str">
        <f>'DFIT Computations'!M138</f>
        <v>LABOR</v>
      </c>
      <c r="M138" s="27">
        <f>+'DFIT Computations'!N138</f>
        <v>0</v>
      </c>
      <c r="N138" s="27">
        <f t="shared" si="97"/>
        <v>111335</v>
      </c>
      <c r="O138" s="27"/>
    </row>
    <row r="139" spans="1:15" x14ac:dyDescent="0.25">
      <c r="A139" s="18">
        <f t="shared" si="72"/>
        <v>113</v>
      </c>
      <c r="B139" s="56" t="s">
        <v>248</v>
      </c>
      <c r="C139" s="61">
        <v>-69.67</v>
      </c>
      <c r="D139" s="61">
        <v>0</v>
      </c>
      <c r="E139" s="54">
        <f t="shared" si="92"/>
        <v>-69.67</v>
      </c>
      <c r="F139" s="27">
        <f>+'DFIT Computations'!G139</f>
        <v>0</v>
      </c>
      <c r="G139" s="27">
        <f t="shared" si="93"/>
        <v>-69.67</v>
      </c>
      <c r="H139" s="27">
        <f>+'DFIT Computations'!I139</f>
        <v>0</v>
      </c>
      <c r="I139" s="27">
        <f t="shared" si="94"/>
        <v>-69.67</v>
      </c>
      <c r="J139" s="51">
        <f t="shared" si="95"/>
        <v>0.99</v>
      </c>
      <c r="K139" s="42">
        <f t="shared" si="96"/>
        <v>-69</v>
      </c>
      <c r="L139" s="18" t="str">
        <f>'DFIT Computations'!M139</f>
        <v>LABOR</v>
      </c>
      <c r="M139" s="27">
        <f>+'DFIT Computations'!N139</f>
        <v>0</v>
      </c>
      <c r="N139" s="27">
        <f t="shared" si="97"/>
        <v>-69</v>
      </c>
      <c r="O139" s="27"/>
    </row>
    <row r="140" spans="1:15" x14ac:dyDescent="0.25">
      <c r="A140" s="18">
        <f t="shared" si="72"/>
        <v>114</v>
      </c>
      <c r="B140" s="56" t="s">
        <v>249</v>
      </c>
      <c r="C140" s="61">
        <v>-755263.07</v>
      </c>
      <c r="D140" s="61">
        <v>0</v>
      </c>
      <c r="E140" s="54">
        <f t="shared" si="92"/>
        <v>-755263.07</v>
      </c>
      <c r="F140" s="27">
        <f>+'DFIT Computations'!G140</f>
        <v>0</v>
      </c>
      <c r="G140" s="27">
        <f t="shared" si="93"/>
        <v>-755263.07</v>
      </c>
      <c r="H140" s="27">
        <f>+'DFIT Computations'!I140</f>
        <v>0</v>
      </c>
      <c r="I140" s="27">
        <f t="shared" si="94"/>
        <v>-755263.07</v>
      </c>
      <c r="J140" s="51">
        <f t="shared" si="95"/>
        <v>0.99</v>
      </c>
      <c r="K140" s="42">
        <f t="shared" si="96"/>
        <v>-747710</v>
      </c>
      <c r="L140" s="18" t="str">
        <f>'DFIT Computations'!M140</f>
        <v>LABOR</v>
      </c>
      <c r="M140" s="27">
        <f>+'DFIT Computations'!N140</f>
        <v>0</v>
      </c>
      <c r="N140" s="27">
        <f t="shared" si="97"/>
        <v>-747710</v>
      </c>
      <c r="O140" s="27"/>
    </row>
    <row r="141" spans="1:15" x14ac:dyDescent="0.25">
      <c r="A141" s="18">
        <f t="shared" si="72"/>
        <v>115</v>
      </c>
      <c r="B141" s="56" t="s">
        <v>282</v>
      </c>
      <c r="C141" s="61">
        <v>0</v>
      </c>
      <c r="D141" s="61">
        <v>0</v>
      </c>
      <c r="E141" s="54">
        <f t="shared" ref="E141" si="98">+C141-D141</f>
        <v>0</v>
      </c>
      <c r="F141" s="27">
        <f>+'DFIT Computations'!G141</f>
        <v>0</v>
      </c>
      <c r="G141" s="27">
        <f t="shared" si="93"/>
        <v>0</v>
      </c>
      <c r="H141" s="27">
        <f>+'DFIT Computations'!I141</f>
        <v>0</v>
      </c>
      <c r="I141" s="27">
        <f t="shared" ref="I141" si="99">+G141+H141</f>
        <v>0</v>
      </c>
      <c r="J141" s="51">
        <f t="shared" si="95"/>
        <v>0.98499999999999999</v>
      </c>
      <c r="K141" s="42">
        <f t="shared" ref="K141" si="100">IF(I141*J141=0,0, ROUND(I141*J141,0))</f>
        <v>0</v>
      </c>
      <c r="L141" s="18" t="str">
        <f>'DFIT Computations'!M141</f>
        <v>TRAN PLT</v>
      </c>
      <c r="M141" s="27">
        <f>+'DFIT Computations'!N141</f>
        <v>0</v>
      </c>
      <c r="N141" s="27">
        <f t="shared" si="97"/>
        <v>0</v>
      </c>
      <c r="O141" s="27"/>
    </row>
    <row r="142" spans="1:15" x14ac:dyDescent="0.25">
      <c r="A142" s="18">
        <f t="shared" si="72"/>
        <v>116</v>
      </c>
      <c r="B142" s="56" t="s">
        <v>250</v>
      </c>
      <c r="C142" s="61">
        <v>0</v>
      </c>
      <c r="D142" s="61">
        <v>0</v>
      </c>
      <c r="E142" s="54">
        <f t="shared" si="92"/>
        <v>0</v>
      </c>
      <c r="F142" s="27">
        <f>+'DFIT Computations'!G142</f>
        <v>0</v>
      </c>
      <c r="G142" s="27">
        <f t="shared" si="93"/>
        <v>0</v>
      </c>
      <c r="H142" s="27">
        <f>+'DFIT Computations'!I142</f>
        <v>0</v>
      </c>
      <c r="I142" s="27">
        <f t="shared" si="94"/>
        <v>0</v>
      </c>
      <c r="J142" s="51">
        <f t="shared" si="95"/>
        <v>0</v>
      </c>
      <c r="K142" s="42">
        <f t="shared" si="96"/>
        <v>0</v>
      </c>
      <c r="L142" s="18" t="str">
        <f>'DFIT Computations'!M142</f>
        <v>NON-APPLIC</v>
      </c>
      <c r="M142" s="27">
        <f>+'DFIT Computations'!N142</f>
        <v>0</v>
      </c>
      <c r="N142" s="27">
        <f t="shared" si="97"/>
        <v>0</v>
      </c>
      <c r="O142" s="27"/>
    </row>
    <row r="143" spans="1:15" x14ac:dyDescent="0.25">
      <c r="A143" s="18">
        <f t="shared" si="72"/>
        <v>117</v>
      </c>
      <c r="B143" s="56" t="s">
        <v>279</v>
      </c>
      <c r="C143" s="61">
        <v>-7332.02</v>
      </c>
      <c r="D143" s="61">
        <v>0</v>
      </c>
      <c r="E143" s="54">
        <f t="shared" si="92"/>
        <v>-7332.02</v>
      </c>
      <c r="F143" s="27">
        <f>+'DFIT Computations'!G143</f>
        <v>0</v>
      </c>
      <c r="G143" s="27">
        <f t="shared" si="93"/>
        <v>-7332.02</v>
      </c>
      <c r="H143" s="27">
        <f>+'DFIT Computations'!I143</f>
        <v>0</v>
      </c>
      <c r="I143" s="27">
        <f t="shared" si="94"/>
        <v>-7332.02</v>
      </c>
      <c r="J143" s="51">
        <f t="shared" si="95"/>
        <v>0.98499999999999999</v>
      </c>
      <c r="K143" s="42">
        <f t="shared" si="96"/>
        <v>-7222</v>
      </c>
      <c r="L143" s="18" t="str">
        <f>'DFIT Computations'!M143</f>
        <v>DEMAND</v>
      </c>
      <c r="M143" s="27">
        <f>+'DFIT Computations'!N143</f>
        <v>0</v>
      </c>
      <c r="N143" s="27">
        <f t="shared" si="97"/>
        <v>-7222</v>
      </c>
      <c r="O143" s="27"/>
    </row>
    <row r="144" spans="1:15" x14ac:dyDescent="0.25">
      <c r="A144" s="18">
        <f t="shared" si="72"/>
        <v>118</v>
      </c>
      <c r="B144" s="17" t="s">
        <v>325</v>
      </c>
      <c r="C144" s="61">
        <v>472925.33</v>
      </c>
      <c r="D144" s="61">
        <f>-(97164-472925)</f>
        <v>375761</v>
      </c>
      <c r="E144" s="54">
        <f>+C144-D144</f>
        <v>97164.330000000016</v>
      </c>
      <c r="F144" s="27">
        <f>+'DFIT Computations'!G144</f>
        <v>0</v>
      </c>
      <c r="G144" s="27">
        <f>+E144+F144</f>
        <v>97164.330000000016</v>
      </c>
      <c r="H144" s="27">
        <f>+'DFIT Computations'!I144</f>
        <v>0</v>
      </c>
      <c r="I144" s="27">
        <f>+G144+H144</f>
        <v>97164.330000000016</v>
      </c>
      <c r="J144" s="51">
        <f t="shared" si="95"/>
        <v>0.98499999999999999</v>
      </c>
      <c r="K144" s="42">
        <f>IF(I144*J144=0,0, ROUND(I144*J144,0))</f>
        <v>95707</v>
      </c>
      <c r="L144" s="18" t="str">
        <f>'DFIT Computations'!M144</f>
        <v>DEMAND</v>
      </c>
      <c r="M144" s="27">
        <f>+'DFIT Computations'!N144</f>
        <v>0</v>
      </c>
      <c r="N144" s="27">
        <f>K144+M144</f>
        <v>95707</v>
      </c>
      <c r="O144" s="27"/>
    </row>
    <row r="145" spans="1:15" x14ac:dyDescent="0.25">
      <c r="A145" s="18">
        <f t="shared" si="72"/>
        <v>119</v>
      </c>
      <c r="B145" s="17" t="s">
        <v>347</v>
      </c>
      <c r="C145" s="61">
        <v>4679269.5999999996</v>
      </c>
      <c r="D145" s="61">
        <v>0</v>
      </c>
      <c r="E145" s="54">
        <f t="shared" si="92"/>
        <v>4679269.5999999996</v>
      </c>
      <c r="F145" s="27">
        <f>+'DFIT Computations'!G145</f>
        <v>0</v>
      </c>
      <c r="G145" s="27">
        <f t="shared" si="93"/>
        <v>4679269.5999999996</v>
      </c>
      <c r="H145" s="27">
        <f>+'DFIT Computations'!I145</f>
        <v>0</v>
      </c>
      <c r="I145" s="27">
        <f t="shared" si="94"/>
        <v>4679269.5999999996</v>
      </c>
      <c r="J145" s="51">
        <f t="shared" si="95"/>
        <v>0.98499999999999999</v>
      </c>
      <c r="K145" s="42">
        <f t="shared" si="96"/>
        <v>4609081</v>
      </c>
      <c r="L145" s="18" t="str">
        <f>'DFIT Computations'!M145</f>
        <v>DEMAND</v>
      </c>
      <c r="M145" s="27">
        <f>+'DFIT Computations'!N145</f>
        <v>0</v>
      </c>
      <c r="N145" s="27">
        <f t="shared" si="97"/>
        <v>4609081</v>
      </c>
      <c r="O145" s="27"/>
    </row>
    <row r="146" spans="1:15" x14ac:dyDescent="0.25">
      <c r="A146" s="18">
        <f>A145+1</f>
        <v>120</v>
      </c>
      <c r="B146" s="17" t="s">
        <v>348</v>
      </c>
      <c r="C146" s="61">
        <v>-2850311.08</v>
      </c>
      <c r="D146" s="61">
        <f>4335093-2850311</f>
        <v>1484782</v>
      </c>
      <c r="E146" s="54">
        <f t="shared" si="92"/>
        <v>-4335093.08</v>
      </c>
      <c r="F146" s="27">
        <f>+'DFIT Computations'!G146</f>
        <v>0</v>
      </c>
      <c r="G146" s="27">
        <f t="shared" si="93"/>
        <v>-4335093.08</v>
      </c>
      <c r="H146" s="27">
        <f>+'DFIT Computations'!I146</f>
        <v>0</v>
      </c>
      <c r="I146" s="27">
        <f t="shared" si="94"/>
        <v>-4335093.08</v>
      </c>
      <c r="J146" s="51">
        <f t="shared" si="95"/>
        <v>0.98499999999999999</v>
      </c>
      <c r="K146" s="42">
        <f t="shared" si="96"/>
        <v>-4270067</v>
      </c>
      <c r="L146" s="18" t="str">
        <f>'DFIT Computations'!M146</f>
        <v>DEMAND</v>
      </c>
      <c r="M146" s="27">
        <f>+'DFIT Computations'!N146</f>
        <v>0</v>
      </c>
      <c r="N146" s="27">
        <f t="shared" si="97"/>
        <v>-4270067</v>
      </c>
      <c r="O146" s="27"/>
    </row>
    <row r="147" spans="1:15" x14ac:dyDescent="0.25">
      <c r="A147" s="18">
        <f t="shared" si="72"/>
        <v>121</v>
      </c>
      <c r="B147" s="17" t="s">
        <v>328</v>
      </c>
      <c r="C147" s="61">
        <v>0</v>
      </c>
      <c r="D147" s="61">
        <v>0</v>
      </c>
      <c r="E147" s="54">
        <f t="shared" ref="E147:E171" si="101">+C147-D147</f>
        <v>0</v>
      </c>
      <c r="F147" s="27">
        <f>+'DFIT Computations'!G147</f>
        <v>0</v>
      </c>
      <c r="G147" s="27">
        <f t="shared" ref="G147:G171" si="102">+E147+F147</f>
        <v>0</v>
      </c>
      <c r="H147" s="27">
        <f>+'DFIT Computations'!I147</f>
        <v>0</v>
      </c>
      <c r="I147" s="27">
        <f t="shared" ref="I147:I171" si="103">+G147+H147</f>
        <v>0</v>
      </c>
      <c r="J147" s="51">
        <f t="shared" si="95"/>
        <v>1</v>
      </c>
      <c r="K147" s="42">
        <f t="shared" ref="K147:K171" si="104">IF(I147*J147=0,0, ROUND(I147*J147,0))</f>
        <v>0</v>
      </c>
      <c r="L147" s="18" t="str">
        <f>'DFIT Computations'!M147</f>
        <v>SPECIFIC</v>
      </c>
      <c r="M147" s="27">
        <f>+'DFIT Computations'!N147</f>
        <v>0</v>
      </c>
      <c r="N147" s="27">
        <f t="shared" ref="N147:N171" si="105">K147+M147</f>
        <v>0</v>
      </c>
      <c r="O147" s="27"/>
    </row>
    <row r="148" spans="1:15" x14ac:dyDescent="0.25">
      <c r="A148" s="18">
        <f t="shared" si="72"/>
        <v>122</v>
      </c>
      <c r="B148" s="17" t="s">
        <v>329</v>
      </c>
      <c r="C148" s="61">
        <v>-1299834.1299999999</v>
      </c>
      <c r="D148" s="61">
        <v>0</v>
      </c>
      <c r="E148" s="54">
        <f t="shared" si="101"/>
        <v>-1299834.1299999999</v>
      </c>
      <c r="F148" s="27">
        <f>+'DFIT Computations'!G148</f>
        <v>0</v>
      </c>
      <c r="G148" s="27">
        <f t="shared" si="102"/>
        <v>-1299834.1299999999</v>
      </c>
      <c r="H148" s="27">
        <f>+'DFIT Computations'!I148</f>
        <v>0</v>
      </c>
      <c r="I148" s="27">
        <f t="shared" si="103"/>
        <v>-1299834.1299999999</v>
      </c>
      <c r="J148" s="51">
        <f>'CFIT Schedules'!J148</f>
        <v>1</v>
      </c>
      <c r="K148" s="42">
        <f t="shared" si="104"/>
        <v>-1299834</v>
      </c>
      <c r="L148" s="18" t="str">
        <f>'DFIT Computations'!M148</f>
        <v>SPECIFIC</v>
      </c>
      <c r="M148" s="27">
        <f>+'DFIT Computations'!N148</f>
        <v>1299834</v>
      </c>
      <c r="N148" s="27">
        <f t="shared" si="105"/>
        <v>0</v>
      </c>
      <c r="O148" s="27"/>
    </row>
    <row r="149" spans="1:15" x14ac:dyDescent="0.25">
      <c r="A149" s="18">
        <f t="shared" si="72"/>
        <v>123</v>
      </c>
      <c r="B149" s="17" t="s">
        <v>330</v>
      </c>
      <c r="C149" s="61">
        <v>54606.45</v>
      </c>
      <c r="D149" s="61">
        <v>0</v>
      </c>
      <c r="E149" s="54">
        <f t="shared" si="101"/>
        <v>54606.45</v>
      </c>
      <c r="F149" s="27">
        <f>+'DFIT Computations'!G149</f>
        <v>0</v>
      </c>
      <c r="G149" s="27">
        <f t="shared" si="102"/>
        <v>54606.45</v>
      </c>
      <c r="H149" s="27">
        <f>+'DFIT Computations'!I149</f>
        <v>0</v>
      </c>
      <c r="I149" s="27">
        <f t="shared" si="103"/>
        <v>54606.45</v>
      </c>
      <c r="J149" s="51">
        <f t="shared" ref="J149:J154" si="106">VLOOKUP(L149,$C$306:$D$320,2,FALSE)</f>
        <v>0.98599999999999999</v>
      </c>
      <c r="K149" s="42">
        <f t="shared" si="104"/>
        <v>53842</v>
      </c>
      <c r="L149" s="18" t="str">
        <f>'DFIT Computations'!M149</f>
        <v>ENERGY</v>
      </c>
      <c r="M149" s="27">
        <f>+'DFIT Computations'!N149</f>
        <v>-53842</v>
      </c>
      <c r="N149" s="27">
        <f t="shared" si="105"/>
        <v>0</v>
      </c>
      <c r="O149" s="27"/>
    </row>
    <row r="150" spans="1:15" x14ac:dyDescent="0.25">
      <c r="A150" s="18">
        <f t="shared" si="72"/>
        <v>124</v>
      </c>
      <c r="B150" s="17" t="s">
        <v>331</v>
      </c>
      <c r="C150" s="61">
        <v>0</v>
      </c>
      <c r="D150" s="61">
        <v>0</v>
      </c>
      <c r="E150" s="54">
        <f t="shared" si="101"/>
        <v>0</v>
      </c>
      <c r="F150" s="27">
        <f>+'DFIT Computations'!G150</f>
        <v>0</v>
      </c>
      <c r="G150" s="27">
        <f t="shared" si="102"/>
        <v>0</v>
      </c>
      <c r="H150" s="27">
        <f>+'DFIT Computations'!I150</f>
        <v>0</v>
      </c>
      <c r="I150" s="27">
        <f t="shared" si="103"/>
        <v>0</v>
      </c>
      <c r="J150" s="51">
        <f t="shared" si="106"/>
        <v>1</v>
      </c>
      <c r="K150" s="42">
        <f t="shared" si="104"/>
        <v>0</v>
      </c>
      <c r="L150" s="18" t="str">
        <f>'DFIT Computations'!M150</f>
        <v>SPECIFIC</v>
      </c>
      <c r="M150" s="27">
        <f>+'DFIT Computations'!N150</f>
        <v>0</v>
      </c>
      <c r="N150" s="27">
        <f t="shared" si="105"/>
        <v>0</v>
      </c>
      <c r="O150" s="27"/>
    </row>
    <row r="151" spans="1:15" x14ac:dyDescent="0.25">
      <c r="A151" s="18">
        <f t="shared" si="72"/>
        <v>125</v>
      </c>
      <c r="B151" s="17" t="s">
        <v>332</v>
      </c>
      <c r="C151" s="61">
        <v>97538.7</v>
      </c>
      <c r="D151" s="61">
        <v>0</v>
      </c>
      <c r="E151" s="54">
        <f t="shared" si="101"/>
        <v>97538.7</v>
      </c>
      <c r="F151" s="27">
        <f>+'DFIT Computations'!G151</f>
        <v>0</v>
      </c>
      <c r="G151" s="27">
        <f t="shared" si="102"/>
        <v>97538.7</v>
      </c>
      <c r="H151" s="27">
        <f>+'DFIT Computations'!I151</f>
        <v>0</v>
      </c>
      <c r="I151" s="27">
        <f t="shared" si="103"/>
        <v>97538.7</v>
      </c>
      <c r="J151" s="51">
        <f t="shared" si="106"/>
        <v>0.98499999999999999</v>
      </c>
      <c r="K151" s="42">
        <f t="shared" si="104"/>
        <v>96076</v>
      </c>
      <c r="L151" s="18" t="str">
        <f>'DFIT Computations'!M151</f>
        <v>GROSS PLT</v>
      </c>
      <c r="M151" s="27">
        <f>+'DFIT Computations'!N151</f>
        <v>-96076</v>
      </c>
      <c r="N151" s="27">
        <f t="shared" si="105"/>
        <v>0</v>
      </c>
      <c r="O151" s="27"/>
    </row>
    <row r="152" spans="1:15" x14ac:dyDescent="0.25">
      <c r="A152" s="18">
        <f t="shared" si="72"/>
        <v>126</v>
      </c>
      <c r="B152" s="17" t="s">
        <v>333</v>
      </c>
      <c r="C152" s="61">
        <v>0</v>
      </c>
      <c r="D152" s="61">
        <v>0</v>
      </c>
      <c r="E152" s="54">
        <f t="shared" si="101"/>
        <v>0</v>
      </c>
      <c r="F152" s="27">
        <f>+'DFIT Computations'!G152</f>
        <v>0</v>
      </c>
      <c r="G152" s="27">
        <f t="shared" si="102"/>
        <v>0</v>
      </c>
      <c r="H152" s="27">
        <f>+'DFIT Computations'!I152</f>
        <v>0</v>
      </c>
      <c r="I152" s="27">
        <f t="shared" si="103"/>
        <v>0</v>
      </c>
      <c r="J152" s="51">
        <f t="shared" si="106"/>
        <v>0</v>
      </c>
      <c r="K152" s="42">
        <f t="shared" si="104"/>
        <v>0</v>
      </c>
      <c r="L152" s="18" t="str">
        <f>'DFIT Computations'!M152</f>
        <v>NON-APPLIC</v>
      </c>
      <c r="M152" s="27">
        <f>+'DFIT Computations'!N152</f>
        <v>0</v>
      </c>
      <c r="N152" s="27">
        <f t="shared" si="105"/>
        <v>0</v>
      </c>
      <c r="O152" s="27"/>
    </row>
    <row r="153" spans="1:15" x14ac:dyDescent="0.25">
      <c r="A153" s="18">
        <f t="shared" si="72"/>
        <v>127</v>
      </c>
      <c r="B153" s="17" t="s">
        <v>334</v>
      </c>
      <c r="C153" s="61">
        <v>0</v>
      </c>
      <c r="D153" s="61">
        <v>0</v>
      </c>
      <c r="E153" s="54">
        <f t="shared" si="101"/>
        <v>0</v>
      </c>
      <c r="F153" s="27">
        <f>+'DFIT Computations'!G153</f>
        <v>0</v>
      </c>
      <c r="G153" s="27">
        <f t="shared" si="102"/>
        <v>0</v>
      </c>
      <c r="H153" s="27">
        <f>+'DFIT Computations'!I153</f>
        <v>0</v>
      </c>
      <c r="I153" s="27">
        <f t="shared" si="103"/>
        <v>0</v>
      </c>
      <c r="J153" s="51">
        <f t="shared" si="106"/>
        <v>0</v>
      </c>
      <c r="K153" s="42">
        <f t="shared" si="104"/>
        <v>0</v>
      </c>
      <c r="L153" s="18" t="str">
        <f>'DFIT Computations'!M153</f>
        <v>NON-APPLIC</v>
      </c>
      <c r="M153" s="27">
        <f>+'DFIT Computations'!N153</f>
        <v>0</v>
      </c>
      <c r="N153" s="27">
        <f t="shared" si="105"/>
        <v>0</v>
      </c>
      <c r="O153" s="27"/>
    </row>
    <row r="154" spans="1:15" x14ac:dyDescent="0.25">
      <c r="A154" s="18">
        <f t="shared" si="72"/>
        <v>128</v>
      </c>
      <c r="B154" s="17" t="s">
        <v>335</v>
      </c>
      <c r="C154" s="61">
        <v>0</v>
      </c>
      <c r="D154" s="61">
        <v>0</v>
      </c>
      <c r="E154" s="54">
        <f t="shared" si="101"/>
        <v>0</v>
      </c>
      <c r="F154" s="27">
        <f>+'DFIT Computations'!G154</f>
        <v>0</v>
      </c>
      <c r="G154" s="27">
        <f t="shared" si="102"/>
        <v>0</v>
      </c>
      <c r="H154" s="27">
        <f>+'DFIT Computations'!I154</f>
        <v>0</v>
      </c>
      <c r="I154" s="27">
        <f t="shared" si="103"/>
        <v>0</v>
      </c>
      <c r="J154" s="51">
        <f t="shared" si="106"/>
        <v>0.98499999999999999</v>
      </c>
      <c r="K154" s="42">
        <f t="shared" si="104"/>
        <v>0</v>
      </c>
      <c r="L154" s="18" t="str">
        <f>'DFIT Computations'!M154</f>
        <v>GROSS PLT</v>
      </c>
      <c r="M154" s="27">
        <f>+'DFIT Computations'!N154</f>
        <v>0</v>
      </c>
      <c r="N154" s="27">
        <f t="shared" si="105"/>
        <v>0</v>
      </c>
      <c r="O154" s="27"/>
    </row>
    <row r="155" spans="1:15" x14ac:dyDescent="0.25">
      <c r="A155" s="18">
        <f t="shared" si="72"/>
        <v>129</v>
      </c>
      <c r="B155" s="17" t="s">
        <v>336</v>
      </c>
      <c r="C155" s="61">
        <v>0</v>
      </c>
      <c r="D155" s="61">
        <v>0</v>
      </c>
      <c r="E155" s="54">
        <f t="shared" si="101"/>
        <v>0</v>
      </c>
      <c r="F155" s="27">
        <f>+'DFIT Computations'!G155</f>
        <v>0</v>
      </c>
      <c r="G155" s="27">
        <f t="shared" si="102"/>
        <v>0</v>
      </c>
      <c r="H155" s="27">
        <f>+'DFIT Computations'!I155</f>
        <v>0</v>
      </c>
      <c r="I155" s="27">
        <f t="shared" si="103"/>
        <v>0</v>
      </c>
      <c r="J155" s="51">
        <f>'CFIT Schedules'!J155</f>
        <v>0.98565999999999998</v>
      </c>
      <c r="K155" s="42">
        <f t="shared" si="104"/>
        <v>0</v>
      </c>
      <c r="L155" s="18" t="str">
        <f>'DFIT Computations'!M155</f>
        <v>SPECIFIC</v>
      </c>
      <c r="M155" s="27">
        <f>+'DFIT Computations'!N155</f>
        <v>0</v>
      </c>
      <c r="N155" s="27">
        <f t="shared" si="105"/>
        <v>0</v>
      </c>
      <c r="O155" s="27"/>
    </row>
    <row r="156" spans="1:15" x14ac:dyDescent="0.25">
      <c r="A156" s="18">
        <f t="shared" si="72"/>
        <v>130</v>
      </c>
      <c r="B156" s="17" t="s">
        <v>337</v>
      </c>
      <c r="C156" s="61">
        <v>0</v>
      </c>
      <c r="D156" s="61">
        <v>0</v>
      </c>
      <c r="E156" s="54">
        <f t="shared" si="101"/>
        <v>0</v>
      </c>
      <c r="F156" s="27">
        <f>+'DFIT Computations'!G156</f>
        <v>0</v>
      </c>
      <c r="G156" s="27">
        <f t="shared" si="102"/>
        <v>0</v>
      </c>
      <c r="H156" s="27">
        <f>+'DFIT Computations'!I156</f>
        <v>0</v>
      </c>
      <c r="I156" s="27">
        <f t="shared" si="103"/>
        <v>0</v>
      </c>
      <c r="J156" s="51">
        <f t="shared" ref="J156:J171" si="107">VLOOKUP(L156,$C$306:$D$320,2,FALSE)</f>
        <v>0.98499999999999999</v>
      </c>
      <c r="K156" s="42">
        <f t="shared" si="104"/>
        <v>0</v>
      </c>
      <c r="L156" s="18" t="str">
        <f>'DFIT Computations'!M156</f>
        <v>GROSS PLT</v>
      </c>
      <c r="M156" s="27">
        <f>+'DFIT Computations'!N156</f>
        <v>0</v>
      </c>
      <c r="N156" s="27">
        <f t="shared" si="105"/>
        <v>0</v>
      </c>
      <c r="O156" s="27"/>
    </row>
    <row r="157" spans="1:15" x14ac:dyDescent="0.25">
      <c r="A157" s="18">
        <f t="shared" si="72"/>
        <v>131</v>
      </c>
      <c r="B157" s="17" t="s">
        <v>338</v>
      </c>
      <c r="C157" s="61">
        <v>0</v>
      </c>
      <c r="D157" s="61">
        <v>0</v>
      </c>
      <c r="E157" s="54">
        <f t="shared" si="101"/>
        <v>0</v>
      </c>
      <c r="F157" s="27">
        <f>+'DFIT Computations'!G157</f>
        <v>0</v>
      </c>
      <c r="G157" s="27">
        <f t="shared" si="102"/>
        <v>0</v>
      </c>
      <c r="H157" s="27">
        <f>+'DFIT Computations'!I157</f>
        <v>0</v>
      </c>
      <c r="I157" s="27">
        <f t="shared" si="103"/>
        <v>0</v>
      </c>
      <c r="J157" s="51">
        <f t="shared" si="107"/>
        <v>0</v>
      </c>
      <c r="K157" s="42">
        <f t="shared" si="104"/>
        <v>0</v>
      </c>
      <c r="L157" s="18" t="str">
        <f>'DFIT Computations'!M157</f>
        <v>NON-APPLIC</v>
      </c>
      <c r="M157" s="27">
        <f>+'DFIT Computations'!N157</f>
        <v>0</v>
      </c>
      <c r="N157" s="27">
        <f t="shared" si="105"/>
        <v>0</v>
      </c>
      <c r="O157" s="27"/>
    </row>
    <row r="158" spans="1:15" x14ac:dyDescent="0.25">
      <c r="A158" s="18">
        <f t="shared" si="72"/>
        <v>132</v>
      </c>
      <c r="B158" s="17" t="s">
        <v>339</v>
      </c>
      <c r="C158" s="61">
        <v>0</v>
      </c>
      <c r="D158" s="61">
        <v>0</v>
      </c>
      <c r="E158" s="54">
        <f t="shared" si="101"/>
        <v>0</v>
      </c>
      <c r="F158" s="27">
        <f>+'DFIT Computations'!G158</f>
        <v>0</v>
      </c>
      <c r="G158" s="27">
        <f t="shared" si="102"/>
        <v>0</v>
      </c>
      <c r="H158" s="27">
        <f>+'DFIT Computations'!I158</f>
        <v>0</v>
      </c>
      <c r="I158" s="27">
        <f t="shared" si="103"/>
        <v>0</v>
      </c>
      <c r="J158" s="51">
        <f t="shared" si="107"/>
        <v>0</v>
      </c>
      <c r="K158" s="42">
        <f t="shared" si="104"/>
        <v>0</v>
      </c>
      <c r="L158" s="18" t="str">
        <f>'DFIT Computations'!M158</f>
        <v>NON-APPLIC</v>
      </c>
      <c r="M158" s="27">
        <f>+'DFIT Computations'!N158</f>
        <v>0</v>
      </c>
      <c r="N158" s="27">
        <f t="shared" si="105"/>
        <v>0</v>
      </c>
      <c r="O158" s="27"/>
    </row>
    <row r="159" spans="1:15" x14ac:dyDescent="0.25">
      <c r="A159" s="18">
        <f t="shared" si="72"/>
        <v>133</v>
      </c>
      <c r="B159" s="17" t="s">
        <v>340</v>
      </c>
      <c r="C159" s="61">
        <v>-5839.47</v>
      </c>
      <c r="D159" s="61">
        <v>0</v>
      </c>
      <c r="E159" s="54">
        <f t="shared" si="101"/>
        <v>-5839.47</v>
      </c>
      <c r="F159" s="27">
        <f>+'DFIT Computations'!G159</f>
        <v>0</v>
      </c>
      <c r="G159" s="27">
        <f t="shared" si="102"/>
        <v>-5839.47</v>
      </c>
      <c r="H159" s="27">
        <f>+'DFIT Computations'!I159</f>
        <v>0</v>
      </c>
      <c r="I159" s="27">
        <f t="shared" si="103"/>
        <v>-5839.47</v>
      </c>
      <c r="J159" s="51">
        <f t="shared" si="107"/>
        <v>0</v>
      </c>
      <c r="K159" s="42">
        <f t="shared" si="104"/>
        <v>0</v>
      </c>
      <c r="L159" s="18" t="str">
        <f>'DFIT Computations'!M159</f>
        <v>NON-APPLIC</v>
      </c>
      <c r="M159" s="27">
        <f>+'DFIT Computations'!N159</f>
        <v>0</v>
      </c>
      <c r="N159" s="27">
        <f t="shared" si="105"/>
        <v>0</v>
      </c>
      <c r="O159" s="27"/>
    </row>
    <row r="160" spans="1:15" x14ac:dyDescent="0.25">
      <c r="A160" s="18">
        <f t="shared" si="72"/>
        <v>134</v>
      </c>
      <c r="B160" s="17" t="s">
        <v>341</v>
      </c>
      <c r="C160" s="61">
        <v>12269.8</v>
      </c>
      <c r="D160" s="61">
        <v>0</v>
      </c>
      <c r="E160" s="54">
        <f t="shared" si="101"/>
        <v>12269.8</v>
      </c>
      <c r="F160" s="27">
        <f>+'DFIT Computations'!G160</f>
        <v>0</v>
      </c>
      <c r="G160" s="27">
        <f t="shared" si="102"/>
        <v>12269.8</v>
      </c>
      <c r="H160" s="27">
        <f>+'DFIT Computations'!I160</f>
        <v>0</v>
      </c>
      <c r="I160" s="27">
        <f t="shared" si="103"/>
        <v>12269.8</v>
      </c>
      <c r="J160" s="51">
        <f t="shared" si="107"/>
        <v>0</v>
      </c>
      <c r="K160" s="42">
        <f t="shared" si="104"/>
        <v>0</v>
      </c>
      <c r="L160" s="18" t="str">
        <f>'DFIT Computations'!M160</f>
        <v>NON-APPLIC</v>
      </c>
      <c r="M160" s="27">
        <f>+'DFIT Computations'!N160</f>
        <v>0</v>
      </c>
      <c r="N160" s="27">
        <f t="shared" si="105"/>
        <v>0</v>
      </c>
      <c r="O160" s="27"/>
    </row>
    <row r="161" spans="1:15" x14ac:dyDescent="0.25">
      <c r="A161" s="18">
        <f t="shared" ref="A161:A248" si="108">A160+1</f>
        <v>135</v>
      </c>
      <c r="B161" s="17" t="s">
        <v>342</v>
      </c>
      <c r="C161" s="61">
        <v>39512.379999999997</v>
      </c>
      <c r="D161" s="61">
        <v>0</v>
      </c>
      <c r="E161" s="54">
        <f t="shared" si="101"/>
        <v>39512.379999999997</v>
      </c>
      <c r="F161" s="27">
        <f>+'DFIT Computations'!G161</f>
        <v>0</v>
      </c>
      <c r="G161" s="27">
        <f t="shared" si="102"/>
        <v>39512.379999999997</v>
      </c>
      <c r="H161" s="27">
        <f>+'DFIT Computations'!I161</f>
        <v>0</v>
      </c>
      <c r="I161" s="27">
        <f t="shared" si="103"/>
        <v>39512.379999999997</v>
      </c>
      <c r="J161" s="51">
        <f t="shared" si="107"/>
        <v>1</v>
      </c>
      <c r="K161" s="42">
        <f t="shared" si="104"/>
        <v>39512</v>
      </c>
      <c r="L161" s="18" t="str">
        <f>'DFIT Computations'!M161</f>
        <v>SPECIFIC</v>
      </c>
      <c r="M161" s="27">
        <f>+'DFIT Computations'!N161</f>
        <v>-61172</v>
      </c>
      <c r="N161" s="27">
        <f t="shared" si="105"/>
        <v>-21660</v>
      </c>
      <c r="O161" s="27"/>
    </row>
    <row r="162" spans="1:15" x14ac:dyDescent="0.25">
      <c r="A162" s="18">
        <f t="shared" si="108"/>
        <v>136</v>
      </c>
      <c r="B162" s="17" t="s">
        <v>343</v>
      </c>
      <c r="C162" s="61">
        <v>7755.11</v>
      </c>
      <c r="D162" s="61">
        <v>0</v>
      </c>
      <c r="E162" s="54">
        <f t="shared" si="101"/>
        <v>7755.11</v>
      </c>
      <c r="F162" s="27">
        <f>+'DFIT Computations'!G162</f>
        <v>0</v>
      </c>
      <c r="G162" s="27">
        <f t="shared" si="102"/>
        <v>7755.11</v>
      </c>
      <c r="H162" s="27">
        <f>+'DFIT Computations'!I162</f>
        <v>0</v>
      </c>
      <c r="I162" s="27">
        <f t="shared" si="103"/>
        <v>7755.11</v>
      </c>
      <c r="J162" s="51">
        <f t="shared" si="107"/>
        <v>1</v>
      </c>
      <c r="K162" s="42">
        <f t="shared" si="104"/>
        <v>7755</v>
      </c>
      <c r="L162" s="18" t="str">
        <f>'DFIT Computations'!M162</f>
        <v>SPECIFIC</v>
      </c>
      <c r="M162" s="27">
        <f>+'DFIT Computations'!N162</f>
        <v>0</v>
      </c>
      <c r="N162" s="27">
        <f t="shared" si="105"/>
        <v>7755</v>
      </c>
      <c r="O162" s="27"/>
    </row>
    <row r="163" spans="1:15" x14ac:dyDescent="0.25">
      <c r="A163" s="18">
        <f t="shared" si="108"/>
        <v>137</v>
      </c>
      <c r="B163" s="17" t="s">
        <v>344</v>
      </c>
      <c r="C163" s="61">
        <v>0</v>
      </c>
      <c r="D163" s="61">
        <v>0</v>
      </c>
      <c r="E163" s="54">
        <f t="shared" si="101"/>
        <v>0</v>
      </c>
      <c r="F163" s="27">
        <f>+'DFIT Computations'!G163</f>
        <v>0</v>
      </c>
      <c r="G163" s="27">
        <f t="shared" si="102"/>
        <v>0</v>
      </c>
      <c r="H163" s="27">
        <f>+'DFIT Computations'!I163</f>
        <v>0</v>
      </c>
      <c r="I163" s="27">
        <f t="shared" si="103"/>
        <v>0</v>
      </c>
      <c r="J163" s="51">
        <f t="shared" si="107"/>
        <v>1</v>
      </c>
      <c r="K163" s="42">
        <f t="shared" si="104"/>
        <v>0</v>
      </c>
      <c r="L163" s="18" t="str">
        <f>'DFIT Computations'!M163</f>
        <v>SPECIFIC</v>
      </c>
      <c r="M163" s="27">
        <f>+'DFIT Computations'!N163</f>
        <v>0</v>
      </c>
      <c r="N163" s="27">
        <f t="shared" si="105"/>
        <v>0</v>
      </c>
      <c r="O163" s="27"/>
    </row>
    <row r="164" spans="1:15" x14ac:dyDescent="0.25">
      <c r="A164" s="18">
        <f t="shared" si="108"/>
        <v>138</v>
      </c>
      <c r="B164" s="17" t="s">
        <v>345</v>
      </c>
      <c r="C164" s="61">
        <v>0</v>
      </c>
      <c r="D164" s="61">
        <v>0</v>
      </c>
      <c r="E164" s="54">
        <f t="shared" si="101"/>
        <v>0</v>
      </c>
      <c r="F164" s="27">
        <f>+'DFIT Computations'!G164</f>
        <v>0</v>
      </c>
      <c r="G164" s="27">
        <f t="shared" si="102"/>
        <v>0</v>
      </c>
      <c r="H164" s="27">
        <f>+'DFIT Computations'!I164</f>
        <v>0</v>
      </c>
      <c r="I164" s="27">
        <f t="shared" si="103"/>
        <v>0</v>
      </c>
      <c r="J164" s="51">
        <f t="shared" si="107"/>
        <v>1</v>
      </c>
      <c r="K164" s="42">
        <f t="shared" si="104"/>
        <v>0</v>
      </c>
      <c r="L164" s="18" t="str">
        <f>'DFIT Computations'!M164</f>
        <v>SPECIFIC</v>
      </c>
      <c r="M164" s="27">
        <f>+'DFIT Computations'!N164</f>
        <v>0</v>
      </c>
      <c r="N164" s="27">
        <f t="shared" si="105"/>
        <v>0</v>
      </c>
      <c r="O164" s="27"/>
    </row>
    <row r="165" spans="1:15" x14ac:dyDescent="0.25">
      <c r="A165" s="123"/>
      <c r="B165" s="125" t="s">
        <v>372</v>
      </c>
      <c r="C165" s="61">
        <v>-154667.4</v>
      </c>
      <c r="D165" s="61">
        <v>0</v>
      </c>
      <c r="E165" s="54">
        <f t="shared" si="101"/>
        <v>-154667.4</v>
      </c>
      <c r="F165" s="27">
        <f>+'DFIT Computations'!G165</f>
        <v>0</v>
      </c>
      <c r="G165" s="27">
        <f t="shared" si="102"/>
        <v>-154667.4</v>
      </c>
      <c r="H165" s="27">
        <f>+'DFIT Computations'!I165</f>
        <v>0</v>
      </c>
      <c r="I165" s="27">
        <f t="shared" si="103"/>
        <v>-154667.4</v>
      </c>
      <c r="J165" s="51">
        <f t="shared" si="107"/>
        <v>0.98499999999999999</v>
      </c>
      <c r="K165" s="42">
        <f t="shared" ref="K165:K170" si="109">IF(I165*J165=0,0, ROUND(I165*J165,0))</f>
        <v>-152347</v>
      </c>
      <c r="L165" s="144" t="str">
        <f>'DFIT Computations'!M165</f>
        <v>GROSS PLT</v>
      </c>
      <c r="M165" s="27">
        <f>+'DFIT Computations'!N165</f>
        <v>0</v>
      </c>
      <c r="N165" s="27">
        <f t="shared" ref="N165:N170" si="110">K165+M165</f>
        <v>-152347</v>
      </c>
      <c r="O165" s="27"/>
    </row>
    <row r="166" spans="1:15" x14ac:dyDescent="0.25">
      <c r="A166" s="123"/>
      <c r="B166" s="125" t="s">
        <v>373</v>
      </c>
      <c r="C166" s="61">
        <v>324143.40000000002</v>
      </c>
      <c r="D166" s="61">
        <v>0</v>
      </c>
      <c r="E166" s="54">
        <f t="shared" si="101"/>
        <v>324143.40000000002</v>
      </c>
      <c r="F166" s="27">
        <f>+'DFIT Computations'!G166</f>
        <v>0</v>
      </c>
      <c r="G166" s="27">
        <f t="shared" si="102"/>
        <v>324143.40000000002</v>
      </c>
      <c r="H166" s="27">
        <f>+'DFIT Computations'!I166</f>
        <v>0</v>
      </c>
      <c r="I166" s="27">
        <f t="shared" si="103"/>
        <v>324143.40000000002</v>
      </c>
      <c r="J166" s="51">
        <f t="shared" si="107"/>
        <v>0.98499999999999999</v>
      </c>
      <c r="K166" s="42">
        <f t="shared" si="109"/>
        <v>319281</v>
      </c>
      <c r="L166" s="144" t="str">
        <f>'DFIT Computations'!M166</f>
        <v>GROSS PLT</v>
      </c>
      <c r="M166" s="27">
        <f>+'DFIT Computations'!N166</f>
        <v>0</v>
      </c>
      <c r="N166" s="27">
        <f t="shared" si="110"/>
        <v>319281</v>
      </c>
      <c r="O166" s="27"/>
    </row>
    <row r="167" spans="1:15" x14ac:dyDescent="0.25">
      <c r="A167" s="123"/>
      <c r="B167" s="125" t="s">
        <v>374</v>
      </c>
      <c r="C167" s="61">
        <v>2887500</v>
      </c>
      <c r="D167" s="61">
        <v>0</v>
      </c>
      <c r="E167" s="54">
        <f t="shared" si="101"/>
        <v>2887500</v>
      </c>
      <c r="F167" s="27">
        <f>+'DFIT Computations'!G167</f>
        <v>0</v>
      </c>
      <c r="G167" s="27">
        <f t="shared" si="102"/>
        <v>2887500</v>
      </c>
      <c r="H167" s="27">
        <f>+'DFIT Computations'!I167</f>
        <v>0</v>
      </c>
      <c r="I167" s="27">
        <f t="shared" si="103"/>
        <v>2887500</v>
      </c>
      <c r="J167" s="51">
        <f t="shared" si="107"/>
        <v>0.98499999999999999</v>
      </c>
      <c r="K167" s="42">
        <f t="shared" si="109"/>
        <v>2844188</v>
      </c>
      <c r="L167" s="144" t="str">
        <f>'DFIT Computations'!M167</f>
        <v>GROSS PLT</v>
      </c>
      <c r="M167" s="27">
        <f>+'DFIT Computations'!N167</f>
        <v>0</v>
      </c>
      <c r="N167" s="27">
        <f t="shared" si="110"/>
        <v>2844188</v>
      </c>
      <c r="O167" s="27"/>
    </row>
    <row r="168" spans="1:15" x14ac:dyDescent="0.25">
      <c r="A168" s="123"/>
      <c r="B168" s="125" t="s">
        <v>375</v>
      </c>
      <c r="C168" s="61">
        <v>1250807.3600000001</v>
      </c>
      <c r="D168" s="61">
        <v>0</v>
      </c>
      <c r="E168" s="54">
        <f t="shared" si="101"/>
        <v>1250807.3600000001</v>
      </c>
      <c r="F168" s="27">
        <f>+'DFIT Computations'!G168</f>
        <v>0</v>
      </c>
      <c r="G168" s="27">
        <f t="shared" si="102"/>
        <v>1250807.3600000001</v>
      </c>
      <c r="H168" s="27">
        <f>+'DFIT Computations'!I168</f>
        <v>0</v>
      </c>
      <c r="I168" s="27">
        <f t="shared" si="103"/>
        <v>1250807.3600000001</v>
      </c>
      <c r="J168" s="51">
        <f t="shared" si="107"/>
        <v>0.98499999999999999</v>
      </c>
      <c r="K168" s="42">
        <f t="shared" si="109"/>
        <v>1232045</v>
      </c>
      <c r="L168" s="144" t="str">
        <f>'DFIT Computations'!M168</f>
        <v>GROSS PLT</v>
      </c>
      <c r="M168" s="27">
        <f>+'DFIT Computations'!N168</f>
        <v>0</v>
      </c>
      <c r="N168" s="27">
        <f t="shared" si="110"/>
        <v>1232045</v>
      </c>
      <c r="O168" s="27"/>
    </row>
    <row r="169" spans="1:15" x14ac:dyDescent="0.25">
      <c r="A169" s="123"/>
      <c r="B169" s="125" t="s">
        <v>376</v>
      </c>
      <c r="C169" s="61">
        <v>70009.73</v>
      </c>
      <c r="D169" s="61">
        <v>0</v>
      </c>
      <c r="E169" s="54">
        <f t="shared" si="101"/>
        <v>70009.73</v>
      </c>
      <c r="F169" s="27">
        <f>+'DFIT Computations'!G169</f>
        <v>0</v>
      </c>
      <c r="G169" s="27">
        <f t="shared" si="102"/>
        <v>70009.73</v>
      </c>
      <c r="H169" s="27">
        <f>+'DFIT Computations'!I169</f>
        <v>0</v>
      </c>
      <c r="I169" s="27">
        <f t="shared" si="103"/>
        <v>70009.73</v>
      </c>
      <c r="J169" s="51">
        <f t="shared" si="107"/>
        <v>0.98499999999999999</v>
      </c>
      <c r="K169" s="42">
        <f t="shared" si="109"/>
        <v>68960</v>
      </c>
      <c r="L169" s="144" t="str">
        <f>'DFIT Computations'!M169</f>
        <v>GROSS PLT</v>
      </c>
      <c r="M169" s="27">
        <f>+'DFIT Computations'!N169</f>
        <v>6964</v>
      </c>
      <c r="N169" s="27">
        <f t="shared" si="110"/>
        <v>75924</v>
      </c>
      <c r="O169" s="27"/>
    </row>
    <row r="170" spans="1:15" x14ac:dyDescent="0.25">
      <c r="A170" s="123"/>
      <c r="B170" s="125" t="s">
        <v>377</v>
      </c>
      <c r="C170" s="61">
        <v>-61753.79</v>
      </c>
      <c r="D170" s="61">
        <v>0</v>
      </c>
      <c r="E170" s="54">
        <f t="shared" si="101"/>
        <v>-61753.79</v>
      </c>
      <c r="F170" s="27">
        <f>+'DFIT Computations'!G170</f>
        <v>0</v>
      </c>
      <c r="G170" s="27">
        <f t="shared" si="102"/>
        <v>-61753.79</v>
      </c>
      <c r="H170" s="27">
        <f>+'DFIT Computations'!I170</f>
        <v>0</v>
      </c>
      <c r="I170" s="27">
        <f t="shared" si="103"/>
        <v>-61753.79</v>
      </c>
      <c r="J170" s="51">
        <f t="shared" si="107"/>
        <v>0.98499999999999999</v>
      </c>
      <c r="K170" s="42">
        <f t="shared" si="109"/>
        <v>-60827</v>
      </c>
      <c r="L170" s="144" t="str">
        <f>'DFIT Computations'!M170</f>
        <v>GROSS PLT</v>
      </c>
      <c r="M170" s="27">
        <f>+'DFIT Computations'!N170</f>
        <v>0</v>
      </c>
      <c r="N170" s="27">
        <f t="shared" si="110"/>
        <v>-60827</v>
      </c>
      <c r="O170" s="27"/>
    </row>
    <row r="171" spans="1:15" x14ac:dyDescent="0.25">
      <c r="A171" s="18">
        <f>A164+1</f>
        <v>139</v>
      </c>
      <c r="B171" s="17" t="s">
        <v>346</v>
      </c>
      <c r="C171" s="61">
        <v>0</v>
      </c>
      <c r="D171" s="61">
        <v>0</v>
      </c>
      <c r="E171" s="54">
        <f t="shared" si="101"/>
        <v>0</v>
      </c>
      <c r="F171" s="27">
        <f>+'DFIT Computations'!G171</f>
        <v>0</v>
      </c>
      <c r="G171" s="27">
        <f t="shared" si="102"/>
        <v>0</v>
      </c>
      <c r="H171" s="27">
        <f>+'DFIT Computations'!I171</f>
        <v>0</v>
      </c>
      <c r="I171" s="27">
        <f t="shared" si="103"/>
        <v>0</v>
      </c>
      <c r="J171" s="51">
        <f t="shared" si="107"/>
        <v>0.98499999999999999</v>
      </c>
      <c r="K171" s="42">
        <f t="shared" si="104"/>
        <v>0</v>
      </c>
      <c r="L171" s="18" t="str">
        <f>'DFIT Computations'!M171</f>
        <v>DEMAND</v>
      </c>
      <c r="M171" s="27">
        <f>+'DFIT Computations'!N171</f>
        <v>0</v>
      </c>
      <c r="N171" s="27">
        <f t="shared" si="105"/>
        <v>0</v>
      </c>
      <c r="O171" s="27"/>
    </row>
    <row r="172" spans="1:15" x14ac:dyDescent="0.25">
      <c r="A172" s="18">
        <f t="shared" si="108"/>
        <v>140</v>
      </c>
      <c r="B172" s="56"/>
      <c r="C172" s="61"/>
      <c r="D172" s="61"/>
      <c r="E172" s="54"/>
      <c r="F172" s="27"/>
      <c r="G172" s="27"/>
      <c r="H172" s="27"/>
      <c r="I172" s="27"/>
      <c r="J172" s="51"/>
      <c r="K172" s="42"/>
      <c r="L172" s="18"/>
      <c r="M172" s="27"/>
      <c r="N172" s="27"/>
      <c r="O172" s="27"/>
    </row>
    <row r="173" spans="1:15" ht="13" x14ac:dyDescent="0.3">
      <c r="A173" s="18">
        <f t="shared" si="108"/>
        <v>141</v>
      </c>
      <c r="B173" s="75" t="s">
        <v>63</v>
      </c>
      <c r="C173" s="78">
        <f t="shared" ref="C173:I173" si="111">SUM(C129:C172)</f>
        <v>4418266.03</v>
      </c>
      <c r="D173" s="78">
        <f t="shared" si="111"/>
        <v>1862525.6099999999</v>
      </c>
      <c r="E173" s="78">
        <f t="shared" si="111"/>
        <v>2555740.4200000004</v>
      </c>
      <c r="F173" s="78">
        <f t="shared" si="111"/>
        <v>0</v>
      </c>
      <c r="G173" s="78">
        <f t="shared" si="111"/>
        <v>2555740.4200000004</v>
      </c>
      <c r="H173" s="78">
        <f t="shared" si="111"/>
        <v>0</v>
      </c>
      <c r="I173" s="78">
        <f t="shared" si="111"/>
        <v>2555740.4200000004</v>
      </c>
      <c r="J173" s="24"/>
      <c r="K173" s="78">
        <f>SUM(K129:K172)</f>
        <v>2489160</v>
      </c>
      <c r="M173" s="78">
        <f>SUM(M129:M172)</f>
        <v>1095708</v>
      </c>
      <c r="N173" s="78">
        <f>SUM(N129:N172)</f>
        <v>3584868</v>
      </c>
      <c r="O173" s="27"/>
    </row>
    <row r="174" spans="1:15" x14ac:dyDescent="0.25">
      <c r="A174" s="18">
        <f t="shared" si="108"/>
        <v>142</v>
      </c>
      <c r="B174" s="17" t="s">
        <v>0</v>
      </c>
      <c r="C174" s="36"/>
      <c r="D174" s="38"/>
      <c r="E174" s="38"/>
      <c r="F174" s="38"/>
      <c r="G174" s="38"/>
      <c r="H174" s="38"/>
      <c r="I174" s="38"/>
      <c r="J174" s="81"/>
      <c r="M174" s="38"/>
      <c r="N174" s="38"/>
    </row>
    <row r="175" spans="1:15" ht="13" x14ac:dyDescent="0.3">
      <c r="A175" s="18">
        <f t="shared" si="108"/>
        <v>143</v>
      </c>
      <c r="B175" s="75" t="s">
        <v>64</v>
      </c>
      <c r="C175" s="36"/>
      <c r="D175" s="38"/>
      <c r="E175" s="38"/>
      <c r="F175" s="38"/>
      <c r="G175" s="38"/>
      <c r="H175" s="38"/>
      <c r="I175" s="38"/>
      <c r="J175" s="81"/>
      <c r="M175" s="38"/>
      <c r="N175" s="38"/>
    </row>
    <row r="176" spans="1:15" x14ac:dyDescent="0.25">
      <c r="A176" s="18">
        <f t="shared" si="108"/>
        <v>144</v>
      </c>
      <c r="B176" s="17" t="s">
        <v>358</v>
      </c>
      <c r="C176" s="61">
        <v>0</v>
      </c>
      <c r="D176" s="61">
        <v>0</v>
      </c>
      <c r="E176" s="54">
        <f>+C176-D176</f>
        <v>0</v>
      </c>
      <c r="F176" s="27">
        <f>+'DFIT Computations'!G176</f>
        <v>0</v>
      </c>
      <c r="G176" s="27">
        <f>+E176+F176</f>
        <v>0</v>
      </c>
      <c r="H176" s="27">
        <f>+'DFIT Computations'!I176</f>
        <v>0</v>
      </c>
      <c r="I176" s="27">
        <f>+G176+H176</f>
        <v>0</v>
      </c>
      <c r="J176" s="51">
        <f>VLOOKUP(L176,$C$306:$D$320,2,FALSE)</f>
        <v>0</v>
      </c>
      <c r="K176" s="42">
        <f>IF(I176*J176=0,0, ROUND(I176*J176,0))</f>
        <v>0</v>
      </c>
      <c r="L176" s="18" t="str">
        <f>'DFIT Computations'!M176</f>
        <v>NON-APPLIC</v>
      </c>
      <c r="M176" s="27">
        <f>+'DFIT Computations'!N176</f>
        <v>0</v>
      </c>
      <c r="N176" s="27">
        <f>K176+M176</f>
        <v>0</v>
      </c>
      <c r="O176" s="27"/>
    </row>
    <row r="177" spans="1:15" ht="13" x14ac:dyDescent="0.3">
      <c r="A177" s="18">
        <f t="shared" si="108"/>
        <v>145</v>
      </c>
      <c r="B177" s="75" t="s">
        <v>65</v>
      </c>
      <c r="C177" s="78">
        <f t="shared" ref="C177:I177" si="112">+C176</f>
        <v>0</v>
      </c>
      <c r="D177" s="78">
        <f t="shared" si="112"/>
        <v>0</v>
      </c>
      <c r="E177" s="78">
        <f t="shared" si="112"/>
        <v>0</v>
      </c>
      <c r="F177" s="78">
        <f t="shared" ref="F177" si="113">+F176</f>
        <v>0</v>
      </c>
      <c r="G177" s="78">
        <f t="shared" si="112"/>
        <v>0</v>
      </c>
      <c r="H177" s="78">
        <f t="shared" si="112"/>
        <v>0</v>
      </c>
      <c r="I177" s="78">
        <f t="shared" si="112"/>
        <v>0</v>
      </c>
      <c r="J177" s="24"/>
      <c r="K177" s="99">
        <f>+K176</f>
        <v>0</v>
      </c>
      <c r="M177" s="78">
        <f t="shared" ref="M177:N177" si="114">+M176</f>
        <v>0</v>
      </c>
      <c r="N177" s="78">
        <f t="shared" si="114"/>
        <v>0</v>
      </c>
      <c r="O177" s="27"/>
    </row>
    <row r="178" spans="1:15" x14ac:dyDescent="0.25">
      <c r="A178" s="18">
        <f t="shared" si="108"/>
        <v>146</v>
      </c>
      <c r="B178" s="17" t="s">
        <v>0</v>
      </c>
      <c r="C178" s="36"/>
      <c r="D178" s="82"/>
      <c r="E178" s="82"/>
      <c r="F178" s="41"/>
      <c r="G178" s="41"/>
      <c r="H178" s="41"/>
      <c r="I178" s="41"/>
      <c r="J178" s="81"/>
      <c r="M178" s="41"/>
      <c r="N178" s="41"/>
    </row>
    <row r="179" spans="1:15" ht="13" x14ac:dyDescent="0.3">
      <c r="A179" s="18">
        <f t="shared" si="108"/>
        <v>147</v>
      </c>
      <c r="B179" s="75" t="s">
        <v>66</v>
      </c>
      <c r="C179" s="36"/>
      <c r="D179" s="82"/>
      <c r="E179" s="82"/>
      <c r="F179" s="41"/>
      <c r="G179" s="41"/>
      <c r="H179" s="41"/>
      <c r="I179" s="41"/>
      <c r="J179" s="81"/>
      <c r="M179" s="41"/>
      <c r="N179" s="41"/>
    </row>
    <row r="180" spans="1:15" x14ac:dyDescent="0.25">
      <c r="A180" s="18">
        <f>A179+1</f>
        <v>148</v>
      </c>
      <c r="B180" s="17" t="s">
        <v>67</v>
      </c>
      <c r="C180" s="61">
        <v>-7066.66</v>
      </c>
      <c r="D180" s="61">
        <v>0</v>
      </c>
      <c r="E180" s="54">
        <f t="shared" ref="E180:E222" si="115">+C180-D180</f>
        <v>-7066.66</v>
      </c>
      <c r="F180" s="27">
        <f>+'DFIT Computations'!G180</f>
        <v>0</v>
      </c>
      <c r="G180" s="27">
        <f t="shared" ref="G180:G222" si="116">+E180+F180</f>
        <v>-7066.66</v>
      </c>
      <c r="H180" s="27">
        <f>+'DFIT Computations'!I180</f>
        <v>0</v>
      </c>
      <c r="I180" s="27">
        <f t="shared" ref="I180:I222" si="117">+G180+H180</f>
        <v>-7066.66</v>
      </c>
      <c r="J180" s="51">
        <f t="shared" ref="J180:J187" si="118">VLOOKUP(L180,$C$306:$D$320,2,FALSE)</f>
        <v>0.98499999999999999</v>
      </c>
      <c r="K180" s="42">
        <f t="shared" ref="K180:K222" si="119">IF(I180*J180=0,0, ROUND(I180*J180,0))</f>
        <v>-6961</v>
      </c>
      <c r="L180" s="18" t="str">
        <f>'DFIT Computations'!M180</f>
        <v>GROSS PLT</v>
      </c>
      <c r="M180" s="27">
        <f>+'DFIT Computations'!N180</f>
        <v>0</v>
      </c>
      <c r="N180" s="27">
        <f t="shared" ref="N180:N222" si="120">K180+M180</f>
        <v>-6961</v>
      </c>
      <c r="O180" s="27"/>
    </row>
    <row r="181" spans="1:15" x14ac:dyDescent="0.25">
      <c r="A181" s="18">
        <f t="shared" si="108"/>
        <v>149</v>
      </c>
      <c r="B181" s="17" t="s">
        <v>68</v>
      </c>
      <c r="C181" s="61">
        <v>595000.62</v>
      </c>
      <c r="D181" s="61">
        <f>-(570562-595001)</f>
        <v>24439</v>
      </c>
      <c r="E181" s="54">
        <f t="shared" si="115"/>
        <v>570561.62</v>
      </c>
      <c r="F181" s="27">
        <f>+'DFIT Computations'!G181</f>
        <v>0</v>
      </c>
      <c r="G181" s="27">
        <f t="shared" si="116"/>
        <v>570561.62</v>
      </c>
      <c r="H181" s="27">
        <f>+'DFIT Computations'!I181</f>
        <v>0</v>
      </c>
      <c r="I181" s="27">
        <f t="shared" si="117"/>
        <v>570561.62</v>
      </c>
      <c r="J181" s="51">
        <f t="shared" si="118"/>
        <v>0.99</v>
      </c>
      <c r="K181" s="42">
        <f t="shared" si="119"/>
        <v>564856</v>
      </c>
      <c r="L181" s="18" t="str">
        <f>'DFIT Computations'!M181</f>
        <v>LABOR</v>
      </c>
      <c r="M181" s="27">
        <f>+'DFIT Computations'!N181</f>
        <v>2364</v>
      </c>
      <c r="N181" s="27">
        <f t="shared" si="120"/>
        <v>567220</v>
      </c>
      <c r="O181" s="27"/>
    </row>
    <row r="182" spans="1:15" x14ac:dyDescent="0.25">
      <c r="A182" s="18">
        <f t="shared" si="108"/>
        <v>150</v>
      </c>
      <c r="B182" s="56" t="s">
        <v>251</v>
      </c>
      <c r="C182" s="61">
        <v>699247.67</v>
      </c>
      <c r="D182" s="61">
        <f>-(755263-699248)</f>
        <v>-56015</v>
      </c>
      <c r="E182" s="54">
        <f t="shared" si="115"/>
        <v>755262.67</v>
      </c>
      <c r="F182" s="27">
        <f>+'DFIT Computations'!G182</f>
        <v>0</v>
      </c>
      <c r="G182" s="27">
        <f t="shared" si="116"/>
        <v>755262.67</v>
      </c>
      <c r="H182" s="27">
        <f>+'DFIT Computations'!I182</f>
        <v>0</v>
      </c>
      <c r="I182" s="27">
        <f t="shared" si="117"/>
        <v>755262.67</v>
      </c>
      <c r="J182" s="51">
        <f t="shared" si="118"/>
        <v>0.99</v>
      </c>
      <c r="K182" s="42">
        <f t="shared" si="119"/>
        <v>747710</v>
      </c>
      <c r="L182" s="18" t="str">
        <f>'DFIT Computations'!M182</f>
        <v>LABOR</v>
      </c>
      <c r="M182" s="27">
        <f>+'DFIT Computations'!N182</f>
        <v>0</v>
      </c>
      <c r="N182" s="27">
        <f t="shared" si="120"/>
        <v>747710</v>
      </c>
      <c r="O182" s="27"/>
    </row>
    <row r="183" spans="1:15" x14ac:dyDescent="0.25">
      <c r="A183" s="18">
        <f t="shared" si="108"/>
        <v>151</v>
      </c>
      <c r="B183" s="17" t="s">
        <v>69</v>
      </c>
      <c r="C183" s="61">
        <v>-31767.33</v>
      </c>
      <c r="D183" s="61">
        <v>0</v>
      </c>
      <c r="E183" s="54">
        <f t="shared" si="115"/>
        <v>-31767.33</v>
      </c>
      <c r="F183" s="27">
        <f>+'DFIT Computations'!G183</f>
        <v>0</v>
      </c>
      <c r="G183" s="27">
        <f t="shared" si="116"/>
        <v>-31767.33</v>
      </c>
      <c r="H183" s="27">
        <f>+'DFIT Computations'!I183</f>
        <v>0</v>
      </c>
      <c r="I183" s="27">
        <f t="shared" si="117"/>
        <v>-31767.33</v>
      </c>
      <c r="J183" s="51">
        <f t="shared" si="118"/>
        <v>0.99</v>
      </c>
      <c r="K183" s="42">
        <f t="shared" si="119"/>
        <v>-31450</v>
      </c>
      <c r="L183" s="18" t="str">
        <f>'DFIT Computations'!M183</f>
        <v>LABOR</v>
      </c>
      <c r="M183" s="27">
        <f>+'DFIT Computations'!N183</f>
        <v>0</v>
      </c>
      <c r="N183" s="27">
        <f t="shared" si="120"/>
        <v>-31450</v>
      </c>
      <c r="O183" s="27"/>
    </row>
    <row r="184" spans="1:15" x14ac:dyDescent="0.25">
      <c r="A184" s="18">
        <f t="shared" si="108"/>
        <v>152</v>
      </c>
      <c r="B184" s="17" t="s">
        <v>70</v>
      </c>
      <c r="C184" s="61">
        <v>2428697.16</v>
      </c>
      <c r="D184" s="61">
        <f>-(3913479-2428697)</f>
        <v>-1484782</v>
      </c>
      <c r="E184" s="54">
        <f t="shared" si="115"/>
        <v>3913479.16</v>
      </c>
      <c r="F184" s="27">
        <f>+'DFIT Computations'!G184</f>
        <v>0</v>
      </c>
      <c r="G184" s="27">
        <f t="shared" si="116"/>
        <v>3913479.16</v>
      </c>
      <c r="H184" s="27">
        <f>+'DFIT Computations'!I184</f>
        <v>0</v>
      </c>
      <c r="I184" s="27">
        <f t="shared" si="117"/>
        <v>3913479.16</v>
      </c>
      <c r="J184" s="51">
        <f t="shared" si="118"/>
        <v>0.98499999999999999</v>
      </c>
      <c r="K184" s="42">
        <f t="shared" si="119"/>
        <v>3854777</v>
      </c>
      <c r="L184" s="18" t="str">
        <f>'DFIT Computations'!M184</f>
        <v>PROD PLT</v>
      </c>
      <c r="M184" s="27">
        <f>+'DFIT Computations'!N184</f>
        <v>31564</v>
      </c>
      <c r="N184" s="27">
        <f t="shared" si="120"/>
        <v>3886341</v>
      </c>
      <c r="O184" s="27"/>
    </row>
    <row r="185" spans="1:15" x14ac:dyDescent="0.25">
      <c r="A185" s="18">
        <f t="shared" si="108"/>
        <v>153</v>
      </c>
      <c r="B185" s="17" t="s">
        <v>315</v>
      </c>
      <c r="C185" s="61">
        <v>-45490.23</v>
      </c>
      <c r="D185" s="61">
        <v>0</v>
      </c>
      <c r="E185" s="54">
        <f>+C185-D185</f>
        <v>-45490.23</v>
      </c>
      <c r="F185" s="27">
        <f>+'DFIT Computations'!G185</f>
        <v>0</v>
      </c>
      <c r="G185" s="27">
        <f t="shared" si="116"/>
        <v>-45490.23</v>
      </c>
      <c r="H185" s="27">
        <f>+'DFIT Computations'!I185</f>
        <v>0</v>
      </c>
      <c r="I185" s="27">
        <f>+G185+H185</f>
        <v>-45490.23</v>
      </c>
      <c r="J185" s="51">
        <f t="shared" si="118"/>
        <v>0.99</v>
      </c>
      <c r="K185" s="42">
        <f>IF(I185*J185=0,0, ROUND(I185*J185,0))</f>
        <v>-45035</v>
      </c>
      <c r="L185" s="18" t="str">
        <f>'DFIT Computations'!M185</f>
        <v>LABOR</v>
      </c>
      <c r="M185" s="27">
        <f>+'DFIT Computations'!N185</f>
        <v>0</v>
      </c>
      <c r="N185" s="27">
        <f t="shared" si="120"/>
        <v>-45035</v>
      </c>
      <c r="O185" s="27"/>
    </row>
    <row r="186" spans="1:15" x14ac:dyDescent="0.25">
      <c r="A186" s="18">
        <f t="shared" si="108"/>
        <v>154</v>
      </c>
      <c r="B186" s="56" t="s">
        <v>252</v>
      </c>
      <c r="C186" s="61">
        <v>0</v>
      </c>
      <c r="D186" s="61">
        <v>0</v>
      </c>
      <c r="E186" s="54">
        <f t="shared" si="115"/>
        <v>0</v>
      </c>
      <c r="F186" s="27">
        <f>+'DFIT Computations'!G186</f>
        <v>0</v>
      </c>
      <c r="G186" s="27">
        <f t="shared" si="116"/>
        <v>0</v>
      </c>
      <c r="H186" s="27">
        <f>+'DFIT Computations'!I186</f>
        <v>0</v>
      </c>
      <c r="I186" s="27">
        <f t="shared" si="117"/>
        <v>0</v>
      </c>
      <c r="J186" s="51">
        <f t="shared" si="118"/>
        <v>0.99</v>
      </c>
      <c r="K186" s="42">
        <f t="shared" si="119"/>
        <v>0</v>
      </c>
      <c r="L186" s="18" t="str">
        <f>'DFIT Computations'!M186</f>
        <v>LABOR</v>
      </c>
      <c r="M186" s="27">
        <f>+'DFIT Computations'!N186</f>
        <v>0</v>
      </c>
      <c r="N186" s="27">
        <f t="shared" si="120"/>
        <v>0</v>
      </c>
      <c r="O186" s="27"/>
    </row>
    <row r="187" spans="1:15" x14ac:dyDescent="0.25">
      <c r="A187" s="18">
        <f t="shared" si="108"/>
        <v>155</v>
      </c>
      <c r="B187" s="56" t="s">
        <v>253</v>
      </c>
      <c r="C187" s="61">
        <v>0</v>
      </c>
      <c r="D187" s="61">
        <v>0</v>
      </c>
      <c r="E187" s="54">
        <f t="shared" si="115"/>
        <v>0</v>
      </c>
      <c r="F187" s="27">
        <f>+'DFIT Computations'!G187</f>
        <v>0</v>
      </c>
      <c r="G187" s="27">
        <f t="shared" si="116"/>
        <v>0</v>
      </c>
      <c r="H187" s="27">
        <f>+'DFIT Computations'!I187</f>
        <v>0</v>
      </c>
      <c r="I187" s="27">
        <f t="shared" si="117"/>
        <v>0</v>
      </c>
      <c r="J187" s="51">
        <f t="shared" si="118"/>
        <v>0.99</v>
      </c>
      <c r="K187" s="42">
        <f t="shared" si="119"/>
        <v>0</v>
      </c>
      <c r="L187" s="18" t="str">
        <f>'DFIT Computations'!M187</f>
        <v>LABOR</v>
      </c>
      <c r="M187" s="27">
        <f>+'DFIT Computations'!N187</f>
        <v>0</v>
      </c>
      <c r="N187" s="27">
        <f t="shared" si="120"/>
        <v>0</v>
      </c>
      <c r="O187" s="27"/>
    </row>
    <row r="188" spans="1:15" x14ac:dyDescent="0.25">
      <c r="A188" s="123"/>
      <c r="B188" s="124" t="s">
        <v>378</v>
      </c>
      <c r="C188" s="61">
        <v>1805488.8</v>
      </c>
      <c r="D188" s="61">
        <v>0</v>
      </c>
      <c r="E188" s="54">
        <f t="shared" si="115"/>
        <v>1805488.8</v>
      </c>
      <c r="F188" s="27">
        <f>+'DFIT Computations'!G188</f>
        <v>0</v>
      </c>
      <c r="G188" s="27">
        <f t="shared" si="116"/>
        <v>1805488.8</v>
      </c>
      <c r="H188" s="27"/>
      <c r="I188" s="27">
        <f t="shared" si="117"/>
        <v>1805488.8</v>
      </c>
      <c r="J188" s="51">
        <f t="shared" ref="J188" si="121">VLOOKUP(L188,$C$306:$D$320,2,FALSE)</f>
        <v>0.98499999999999999</v>
      </c>
      <c r="K188" s="42">
        <f t="shared" ref="K188" si="122">IF(I188*J188=0,0, ROUND(I188*J188,0))</f>
        <v>1778406</v>
      </c>
      <c r="L188" s="144" t="str">
        <f>'DFIT Computations'!M188</f>
        <v>GROSS PLT</v>
      </c>
      <c r="M188" s="27">
        <f>+'DFIT Computations'!N188</f>
        <v>0</v>
      </c>
      <c r="N188" s="27">
        <f t="shared" ref="N188" si="123">K188+M188</f>
        <v>1778406</v>
      </c>
      <c r="O188" s="27"/>
    </row>
    <row r="189" spans="1:15" x14ac:dyDescent="0.25">
      <c r="A189" s="123"/>
      <c r="B189" s="124" t="s">
        <v>379</v>
      </c>
      <c r="C189" s="61">
        <v>-1811135.36</v>
      </c>
      <c r="D189" s="61">
        <v>0</v>
      </c>
      <c r="E189" s="54">
        <f t="shared" si="115"/>
        <v>-1811135.36</v>
      </c>
      <c r="F189" s="27">
        <f>+'DFIT Computations'!G189</f>
        <v>0</v>
      </c>
      <c r="G189" s="27">
        <f t="shared" si="116"/>
        <v>-1811135.36</v>
      </c>
      <c r="H189" s="27"/>
      <c r="I189" s="27">
        <f t="shared" si="117"/>
        <v>-1811135.36</v>
      </c>
      <c r="J189" s="51">
        <f t="shared" ref="J189" si="124">VLOOKUP(L189,$C$306:$D$320,2,FALSE)</f>
        <v>0.98499999999999999</v>
      </c>
      <c r="K189" s="42">
        <f t="shared" ref="K189" si="125">IF(I189*J189=0,0, ROUND(I189*J189,0))</f>
        <v>-1783968</v>
      </c>
      <c r="L189" s="144" t="str">
        <f>'DFIT Computations'!M189</f>
        <v>GROSS PLT</v>
      </c>
      <c r="M189" s="27">
        <f>+'DFIT Computations'!N189</f>
        <v>0</v>
      </c>
      <c r="N189" s="27">
        <f t="shared" ref="N189" si="126">K189+M189</f>
        <v>-1783968</v>
      </c>
      <c r="O189" s="27"/>
    </row>
    <row r="190" spans="1:15" x14ac:dyDescent="0.25">
      <c r="A190" s="18">
        <f>A187+1</f>
        <v>156</v>
      </c>
      <c r="B190" s="17" t="s">
        <v>235</v>
      </c>
      <c r="C190" s="61">
        <v>0</v>
      </c>
      <c r="D190" s="61">
        <v>0</v>
      </c>
      <c r="E190" s="54">
        <f t="shared" si="115"/>
        <v>0</v>
      </c>
      <c r="F190" s="27">
        <f>+'DFIT Computations'!G190</f>
        <v>0</v>
      </c>
      <c r="G190" s="27">
        <f t="shared" si="116"/>
        <v>0</v>
      </c>
      <c r="H190" s="27">
        <f>+'DFIT Computations'!I190</f>
        <v>0</v>
      </c>
      <c r="I190" s="27">
        <f t="shared" si="117"/>
        <v>0</v>
      </c>
      <c r="J190" s="51">
        <f>VLOOKUP(L190,$C$306:$D$320,2,FALSE)</f>
        <v>1</v>
      </c>
      <c r="K190" s="42">
        <f t="shared" si="119"/>
        <v>0</v>
      </c>
      <c r="L190" s="18" t="str">
        <f>'DFIT Computations'!M190</f>
        <v>SPECIFIC</v>
      </c>
      <c r="M190" s="27">
        <f>+'DFIT Computations'!N190</f>
        <v>0</v>
      </c>
      <c r="N190" s="27">
        <f t="shared" si="120"/>
        <v>0</v>
      </c>
      <c r="O190" s="27"/>
    </row>
    <row r="191" spans="1:15" x14ac:dyDescent="0.25">
      <c r="A191" s="123"/>
      <c r="B191" s="124" t="s">
        <v>380</v>
      </c>
      <c r="C191" s="61">
        <v>14985.25</v>
      </c>
      <c r="D191" s="61">
        <v>0</v>
      </c>
      <c r="E191" s="54">
        <f t="shared" si="115"/>
        <v>14985.25</v>
      </c>
      <c r="F191" s="27">
        <f>+'DFIT Computations'!G191</f>
        <v>0</v>
      </c>
      <c r="G191" s="27">
        <f t="shared" si="116"/>
        <v>14985.25</v>
      </c>
      <c r="H191" s="27"/>
      <c r="I191" s="27">
        <f t="shared" si="117"/>
        <v>14985.25</v>
      </c>
      <c r="J191" s="51">
        <f t="shared" ref="J191" si="127">VLOOKUP(L191,$C$306:$D$320,2,FALSE)</f>
        <v>0.98499999999999999</v>
      </c>
      <c r="K191" s="42">
        <f t="shared" si="119"/>
        <v>14760</v>
      </c>
      <c r="L191" s="144" t="str">
        <f>'DFIT Computations'!M191</f>
        <v>GROSS PLT</v>
      </c>
      <c r="M191" s="27">
        <f>+'DFIT Computations'!N191</f>
        <v>0</v>
      </c>
      <c r="N191" s="27">
        <f t="shared" si="120"/>
        <v>14760</v>
      </c>
      <c r="O191" s="27"/>
    </row>
    <row r="192" spans="1:15" x14ac:dyDescent="0.25">
      <c r="A192" s="18">
        <f>A190+1</f>
        <v>157</v>
      </c>
      <c r="B192" s="17" t="s">
        <v>268</v>
      </c>
      <c r="C192" s="61">
        <v>-13957.65</v>
      </c>
      <c r="D192" s="61">
        <v>-13958</v>
      </c>
      <c r="E192" s="54">
        <f>+C192-D192</f>
        <v>0.3500000000003638</v>
      </c>
      <c r="F192" s="27">
        <f>+'DFIT Computations'!G192</f>
        <v>0</v>
      </c>
      <c r="G192" s="27">
        <f t="shared" si="116"/>
        <v>0.3500000000003638</v>
      </c>
      <c r="H192" s="27">
        <f>+'DFIT Computations'!I192</f>
        <v>0</v>
      </c>
      <c r="I192" s="27">
        <f>+G192+H192</f>
        <v>0.3500000000003638</v>
      </c>
      <c r="J192" s="51">
        <f>VLOOKUP(L192,$C$306:$D$320,2,FALSE)</f>
        <v>0</v>
      </c>
      <c r="K192" s="42">
        <f>IF(I192*J192=0,0, ROUND(I192*J192,0))</f>
        <v>0</v>
      </c>
      <c r="L192" s="18" t="str">
        <f>'DFIT Computations'!M192</f>
        <v>NON-APPLIC</v>
      </c>
      <c r="M192" s="27">
        <f>+'DFIT Computations'!N192</f>
        <v>0</v>
      </c>
      <c r="N192" s="27">
        <f t="shared" si="120"/>
        <v>0</v>
      </c>
      <c r="O192" s="27"/>
    </row>
    <row r="193" spans="1:15" x14ac:dyDescent="0.25">
      <c r="A193" s="123"/>
      <c r="B193" s="125" t="s">
        <v>386</v>
      </c>
      <c r="C193" s="61">
        <v>95064.9</v>
      </c>
      <c r="D193" s="61">
        <v>0</v>
      </c>
      <c r="E193" s="54">
        <f>+C193-D193</f>
        <v>95064.9</v>
      </c>
      <c r="F193" s="27">
        <f>+'DFIT Computations'!G193</f>
        <v>0</v>
      </c>
      <c r="G193" s="27">
        <f t="shared" si="116"/>
        <v>95064.9</v>
      </c>
      <c r="H193" s="27"/>
      <c r="I193" s="27">
        <f t="shared" si="117"/>
        <v>95064.9</v>
      </c>
      <c r="J193" s="51">
        <f t="shared" ref="J193" si="128">VLOOKUP(L193,$C$306:$D$320,2,FALSE)</f>
        <v>0.98499999999999999</v>
      </c>
      <c r="K193" s="42">
        <f t="shared" ref="K193" si="129">IF(I193*J193=0,0, ROUND(I193*J193,0))</f>
        <v>93639</v>
      </c>
      <c r="L193" s="144" t="str">
        <f>'DFIT Computations'!M193</f>
        <v>GROSS PLT</v>
      </c>
      <c r="M193" s="27">
        <f>+'DFIT Computations'!N193</f>
        <v>0</v>
      </c>
      <c r="N193" s="27">
        <f t="shared" ref="N193" si="130">K193+M193</f>
        <v>93639</v>
      </c>
      <c r="O193" s="27"/>
    </row>
    <row r="194" spans="1:15" x14ac:dyDescent="0.25">
      <c r="A194" s="18">
        <f>A192+1</f>
        <v>158</v>
      </c>
      <c r="B194" s="17" t="s">
        <v>180</v>
      </c>
      <c r="C194" s="61">
        <v>0</v>
      </c>
      <c r="D194" s="61">
        <v>0</v>
      </c>
      <c r="E194" s="54">
        <f t="shared" si="115"/>
        <v>0</v>
      </c>
      <c r="F194" s="27">
        <f>+'DFIT Computations'!G194</f>
        <v>0</v>
      </c>
      <c r="G194" s="27">
        <f t="shared" si="116"/>
        <v>0</v>
      </c>
      <c r="H194" s="27">
        <f>+'DFIT Computations'!I193</f>
        <v>0</v>
      </c>
      <c r="I194" s="27">
        <f t="shared" si="117"/>
        <v>0</v>
      </c>
      <c r="J194" s="51">
        <f t="shared" ref="J194:J217" si="131">VLOOKUP(L194,$C$306:$D$320,2,FALSE)</f>
        <v>0.98499999999999999</v>
      </c>
      <c r="K194" s="42">
        <f t="shared" si="119"/>
        <v>0</v>
      </c>
      <c r="L194" s="18" t="str">
        <f>'DFIT Computations'!M193</f>
        <v>GROSS PLT</v>
      </c>
      <c r="M194" s="27">
        <f>+'DFIT Computations'!N193</f>
        <v>0</v>
      </c>
      <c r="N194" s="27">
        <f t="shared" si="120"/>
        <v>0</v>
      </c>
      <c r="O194" s="27"/>
    </row>
    <row r="195" spans="1:15" x14ac:dyDescent="0.25">
      <c r="A195" s="18">
        <f t="shared" si="108"/>
        <v>159</v>
      </c>
      <c r="B195" s="17" t="s">
        <v>353</v>
      </c>
      <c r="C195" s="61">
        <v>-602587.98</v>
      </c>
      <c r="D195" s="61">
        <v>-602588</v>
      </c>
      <c r="E195" s="54">
        <f t="shared" ref="E195:E196" si="132">+C195-D195</f>
        <v>2.0000000018626451E-2</v>
      </c>
      <c r="F195" s="27">
        <f>+'DFIT Computations'!G195</f>
        <v>0</v>
      </c>
      <c r="G195" s="27">
        <f t="shared" ref="G195:G196" si="133">+E195+F195</f>
        <v>2.0000000018626451E-2</v>
      </c>
      <c r="H195" s="27">
        <f>+'DFIT Computations'!I194</f>
        <v>0</v>
      </c>
      <c r="I195" s="27">
        <f t="shared" ref="I195:I196" si="134">+G195+H195</f>
        <v>2.0000000018626451E-2</v>
      </c>
      <c r="J195" s="51">
        <f t="shared" si="131"/>
        <v>0</v>
      </c>
      <c r="K195" s="42">
        <f t="shared" ref="K195:K196" si="135">IF(I195*J195=0,0, ROUND(I195*J195,0))</f>
        <v>0</v>
      </c>
      <c r="L195" s="18" t="str">
        <f>'DFIT Computations'!M194</f>
        <v>NON-APPLIC</v>
      </c>
      <c r="M195" s="27">
        <f>+'DFIT Computations'!N194</f>
        <v>0</v>
      </c>
      <c r="N195" s="27">
        <f t="shared" ref="N195:N196" si="136">K195+M195</f>
        <v>0</v>
      </c>
      <c r="O195" s="27"/>
    </row>
    <row r="196" spans="1:15" x14ac:dyDescent="0.25">
      <c r="A196" s="18">
        <f t="shared" si="108"/>
        <v>160</v>
      </c>
      <c r="B196" s="17" t="s">
        <v>354</v>
      </c>
      <c r="C196" s="61">
        <v>157121.28</v>
      </c>
      <c r="D196" s="61">
        <v>157121</v>
      </c>
      <c r="E196" s="54">
        <f t="shared" si="132"/>
        <v>0.27999999999883585</v>
      </c>
      <c r="F196" s="27">
        <f>+'DFIT Computations'!G197</f>
        <v>0</v>
      </c>
      <c r="G196" s="27">
        <f t="shared" si="133"/>
        <v>0.27999999999883585</v>
      </c>
      <c r="H196" s="27">
        <f>+'DFIT Computations'!I195</f>
        <v>0</v>
      </c>
      <c r="I196" s="27">
        <f t="shared" si="134"/>
        <v>0.27999999999883585</v>
      </c>
      <c r="J196" s="51">
        <f t="shared" si="131"/>
        <v>0</v>
      </c>
      <c r="K196" s="42">
        <f t="shared" si="135"/>
        <v>0</v>
      </c>
      <c r="L196" s="18" t="str">
        <f>'DFIT Computations'!M195</f>
        <v>NON-APPLIC</v>
      </c>
      <c r="M196" s="27">
        <f>+'DFIT Computations'!N195</f>
        <v>0</v>
      </c>
      <c r="N196" s="27">
        <f t="shared" si="136"/>
        <v>0</v>
      </c>
      <c r="O196" s="27"/>
    </row>
    <row r="197" spans="1:15" x14ac:dyDescent="0.25">
      <c r="A197" s="18">
        <f t="shared" si="108"/>
        <v>161</v>
      </c>
      <c r="B197" s="17" t="s">
        <v>316</v>
      </c>
      <c r="C197" s="61">
        <v>-86940</v>
      </c>
      <c r="D197" s="61">
        <v>0</v>
      </c>
      <c r="E197" s="54">
        <f>+C197-D197</f>
        <v>-86940</v>
      </c>
      <c r="F197" s="27">
        <f>+'DFIT Computations'!G198</f>
        <v>0</v>
      </c>
      <c r="G197" s="27">
        <f t="shared" si="116"/>
        <v>-86940</v>
      </c>
      <c r="H197" s="27">
        <f>+'DFIT Computations'!I197</f>
        <v>0</v>
      </c>
      <c r="I197" s="27">
        <f>+G197+H197</f>
        <v>-86940</v>
      </c>
      <c r="J197" s="51">
        <f t="shared" si="131"/>
        <v>0.98499999999999999</v>
      </c>
      <c r="K197" s="42">
        <f>IF(I197*J197=0,0, ROUND(I197*J197,0))</f>
        <v>-85636</v>
      </c>
      <c r="L197" s="18" t="str">
        <f>'DFIT Computations'!M197</f>
        <v>GROSS PLT</v>
      </c>
      <c r="M197" s="27">
        <f>+'DFIT Computations'!N197</f>
        <v>85636</v>
      </c>
      <c r="N197" s="27">
        <f t="shared" si="120"/>
        <v>0</v>
      </c>
      <c r="O197" s="27"/>
    </row>
    <row r="198" spans="1:15" x14ac:dyDescent="0.25">
      <c r="A198" s="18">
        <f t="shared" si="108"/>
        <v>162</v>
      </c>
      <c r="B198" s="17" t="s">
        <v>72</v>
      </c>
      <c r="C198" s="61">
        <v>16879.169999999998</v>
      </c>
      <c r="D198" s="61">
        <f>-(7318-16879)</f>
        <v>9561</v>
      </c>
      <c r="E198" s="54">
        <f t="shared" si="115"/>
        <v>7318.1699999999983</v>
      </c>
      <c r="F198" s="27">
        <f>+'DFIT Computations'!G199</f>
        <v>0</v>
      </c>
      <c r="G198" s="27">
        <f t="shared" si="116"/>
        <v>7318.1699999999983</v>
      </c>
      <c r="H198" s="27">
        <f>+'DFIT Computations'!I198</f>
        <v>0</v>
      </c>
      <c r="I198" s="27">
        <f t="shared" si="117"/>
        <v>7318.1699999999983</v>
      </c>
      <c r="J198" s="51">
        <f t="shared" si="131"/>
        <v>0</v>
      </c>
      <c r="K198" s="42">
        <f t="shared" si="119"/>
        <v>0</v>
      </c>
      <c r="L198" s="18" t="str">
        <f>'DFIT Computations'!M198</f>
        <v>NON-APPLIC</v>
      </c>
      <c r="M198" s="27">
        <f>+'DFIT Computations'!N198</f>
        <v>0</v>
      </c>
      <c r="N198" s="27">
        <f t="shared" si="120"/>
        <v>0</v>
      </c>
      <c r="O198" s="27"/>
    </row>
    <row r="199" spans="1:15" x14ac:dyDescent="0.25">
      <c r="A199" s="18">
        <f t="shared" si="108"/>
        <v>163</v>
      </c>
      <c r="B199" s="56" t="s">
        <v>254</v>
      </c>
      <c r="C199" s="61">
        <v>5837.58</v>
      </c>
      <c r="D199" s="61">
        <v>0</v>
      </c>
      <c r="E199" s="54">
        <f t="shared" si="115"/>
        <v>5837.58</v>
      </c>
      <c r="F199" s="27">
        <f>+'DFIT Computations'!G200</f>
        <v>0</v>
      </c>
      <c r="G199" s="27">
        <f t="shared" si="116"/>
        <v>5837.58</v>
      </c>
      <c r="H199" s="27">
        <f>+'DFIT Computations'!I199</f>
        <v>0</v>
      </c>
      <c r="I199" s="27">
        <f t="shared" si="117"/>
        <v>5837.58</v>
      </c>
      <c r="J199" s="51">
        <f t="shared" si="131"/>
        <v>0</v>
      </c>
      <c r="K199" s="42">
        <f t="shared" si="119"/>
        <v>0</v>
      </c>
      <c r="L199" s="18" t="str">
        <f>'DFIT Computations'!M199</f>
        <v>NON-APPLIC</v>
      </c>
      <c r="M199" s="27">
        <f>+'DFIT Computations'!N199</f>
        <v>0</v>
      </c>
      <c r="N199" s="27">
        <f t="shared" si="120"/>
        <v>0</v>
      </c>
      <c r="O199" s="27"/>
    </row>
    <row r="200" spans="1:15" x14ac:dyDescent="0.25">
      <c r="A200" s="18">
        <f t="shared" si="108"/>
        <v>164</v>
      </c>
      <c r="B200" s="56" t="s">
        <v>255</v>
      </c>
      <c r="C200" s="61">
        <f>975050.9-1904158.47</f>
        <v>-929107.57</v>
      </c>
      <c r="D200" s="61">
        <v>-929108</v>
      </c>
      <c r="E200" s="54">
        <f t="shared" si="115"/>
        <v>0.43000000005122274</v>
      </c>
      <c r="F200" s="27">
        <f>+'DFIT Computations'!G200</f>
        <v>0</v>
      </c>
      <c r="G200" s="27">
        <f t="shared" si="116"/>
        <v>0.43000000005122274</v>
      </c>
      <c r="H200" s="27">
        <f>+'DFIT Computations'!I200</f>
        <v>0</v>
      </c>
      <c r="I200" s="27">
        <f t="shared" si="117"/>
        <v>0.43000000005122274</v>
      </c>
      <c r="J200" s="51">
        <f t="shared" si="131"/>
        <v>0</v>
      </c>
      <c r="K200" s="42">
        <f t="shared" si="119"/>
        <v>0</v>
      </c>
      <c r="L200" s="18" t="str">
        <f>'DFIT Computations'!M200</f>
        <v>NON-APPLIC</v>
      </c>
      <c r="M200" s="27">
        <f>+'DFIT Computations'!N200</f>
        <v>0</v>
      </c>
      <c r="N200" s="27">
        <f t="shared" si="120"/>
        <v>0</v>
      </c>
      <c r="O200" s="27"/>
    </row>
    <row r="201" spans="1:15" x14ac:dyDescent="0.25">
      <c r="A201" s="18">
        <f t="shared" si="108"/>
        <v>165</v>
      </c>
      <c r="B201" s="64" t="s">
        <v>356</v>
      </c>
      <c r="C201" s="61">
        <v>0</v>
      </c>
      <c r="D201" s="61">
        <v>0</v>
      </c>
      <c r="E201" s="54">
        <f t="shared" ref="E201" si="137">+C201-D201</f>
        <v>0</v>
      </c>
      <c r="F201" s="27">
        <f>+'DFIT Computations'!G201</f>
        <v>0</v>
      </c>
      <c r="G201" s="27">
        <f t="shared" ref="G201" si="138">+E201+F201</f>
        <v>0</v>
      </c>
      <c r="H201" s="27">
        <f>+'DFIT Computations'!I201</f>
        <v>0</v>
      </c>
      <c r="I201" s="27">
        <f t="shared" ref="I201" si="139">+G201+H201</f>
        <v>0</v>
      </c>
      <c r="J201" s="51">
        <f t="shared" si="131"/>
        <v>0</v>
      </c>
      <c r="K201" s="42">
        <f t="shared" ref="K201" si="140">IF(I201*J201=0,0, ROUND(I201*J201,0))</f>
        <v>0</v>
      </c>
      <c r="L201" s="18" t="str">
        <f>'DFIT Computations'!M201</f>
        <v>NON-APPLIC</v>
      </c>
      <c r="M201" s="27">
        <f>+'DFIT Computations'!N201</f>
        <v>0</v>
      </c>
      <c r="N201" s="27">
        <f t="shared" ref="N201" si="141">K201+M201</f>
        <v>0</v>
      </c>
      <c r="O201" s="27"/>
    </row>
    <row r="202" spans="1:15" x14ac:dyDescent="0.25">
      <c r="A202" s="18">
        <f t="shared" si="108"/>
        <v>166</v>
      </c>
      <c r="B202" s="17" t="s">
        <v>73</v>
      </c>
      <c r="C202" s="61">
        <v>0</v>
      </c>
      <c r="D202" s="61">
        <v>0</v>
      </c>
      <c r="E202" s="54">
        <f t="shared" si="115"/>
        <v>0</v>
      </c>
      <c r="F202" s="27">
        <f>+'DFIT Computations'!G202</f>
        <v>0</v>
      </c>
      <c r="G202" s="27">
        <f t="shared" si="116"/>
        <v>0</v>
      </c>
      <c r="H202" s="27">
        <f>+'DFIT Computations'!I202</f>
        <v>0</v>
      </c>
      <c r="I202" s="27">
        <f t="shared" si="117"/>
        <v>0</v>
      </c>
      <c r="J202" s="51">
        <f t="shared" si="131"/>
        <v>0.98499999999999999</v>
      </c>
      <c r="K202" s="42">
        <f t="shared" si="119"/>
        <v>0</v>
      </c>
      <c r="L202" s="18" t="str">
        <f>'DFIT Computations'!M202</f>
        <v>NET PLANT</v>
      </c>
      <c r="M202" s="27">
        <f>+'DFIT Computations'!N202</f>
        <v>0</v>
      </c>
      <c r="N202" s="27">
        <f t="shared" si="120"/>
        <v>0</v>
      </c>
      <c r="O202" s="27"/>
    </row>
    <row r="203" spans="1:15" x14ac:dyDescent="0.25">
      <c r="A203" s="18">
        <f t="shared" si="108"/>
        <v>167</v>
      </c>
      <c r="B203" s="17" t="s">
        <v>74</v>
      </c>
      <c r="C203" s="61">
        <v>0</v>
      </c>
      <c r="D203" s="61">
        <v>0</v>
      </c>
      <c r="E203" s="54">
        <f t="shared" si="115"/>
        <v>0</v>
      </c>
      <c r="F203" s="27">
        <f>+'DFIT Computations'!G203</f>
        <v>0</v>
      </c>
      <c r="G203" s="27">
        <f t="shared" si="116"/>
        <v>0</v>
      </c>
      <c r="H203" s="27">
        <f>+'DFIT Computations'!I203</f>
        <v>0</v>
      </c>
      <c r="I203" s="27">
        <f t="shared" si="117"/>
        <v>0</v>
      </c>
      <c r="J203" s="51">
        <f t="shared" si="131"/>
        <v>0.98499999999999999</v>
      </c>
      <c r="K203" s="42">
        <f t="shared" si="119"/>
        <v>0</v>
      </c>
      <c r="L203" s="18" t="str">
        <f>'DFIT Computations'!M203</f>
        <v>NET PLANT</v>
      </c>
      <c r="M203" s="27">
        <f>+'DFIT Computations'!N203</f>
        <v>0</v>
      </c>
      <c r="N203" s="27">
        <f t="shared" si="120"/>
        <v>0</v>
      </c>
      <c r="O203" s="27"/>
    </row>
    <row r="204" spans="1:15" x14ac:dyDescent="0.25">
      <c r="A204" s="18">
        <f t="shared" si="108"/>
        <v>168</v>
      </c>
      <c r="B204" s="17" t="s">
        <v>75</v>
      </c>
      <c r="C204" s="61">
        <v>56333.34</v>
      </c>
      <c r="D204" s="61">
        <v>0</v>
      </c>
      <c r="E204" s="54">
        <f t="shared" si="115"/>
        <v>56333.34</v>
      </c>
      <c r="F204" s="27">
        <f>+'DFIT Computations'!G204</f>
        <v>0</v>
      </c>
      <c r="G204" s="27">
        <f t="shared" si="116"/>
        <v>56333.34</v>
      </c>
      <c r="H204" s="27">
        <f>+'DFIT Computations'!I204</f>
        <v>0</v>
      </c>
      <c r="I204" s="27">
        <f t="shared" si="117"/>
        <v>56333.34</v>
      </c>
      <c r="J204" s="51">
        <f t="shared" si="131"/>
        <v>0.99</v>
      </c>
      <c r="K204" s="42">
        <f t="shared" si="119"/>
        <v>55770</v>
      </c>
      <c r="L204" s="18" t="str">
        <f>'DFIT Computations'!M204</f>
        <v>LABOR</v>
      </c>
      <c r="M204" s="27">
        <f>+'DFIT Computations'!N204</f>
        <v>0</v>
      </c>
      <c r="N204" s="27">
        <f t="shared" si="120"/>
        <v>55770</v>
      </c>
      <c r="O204" s="27"/>
    </row>
    <row r="205" spans="1:15" x14ac:dyDescent="0.25">
      <c r="A205" s="18">
        <f t="shared" si="108"/>
        <v>169</v>
      </c>
      <c r="B205" s="56" t="s">
        <v>256</v>
      </c>
      <c r="C205" s="61">
        <v>0</v>
      </c>
      <c r="D205" s="61">
        <v>0</v>
      </c>
      <c r="E205" s="54">
        <f t="shared" si="115"/>
        <v>0</v>
      </c>
      <c r="F205" s="27">
        <f>+'DFIT Computations'!G205</f>
        <v>0</v>
      </c>
      <c r="G205" s="27">
        <f t="shared" si="116"/>
        <v>0</v>
      </c>
      <c r="H205" s="27">
        <f>+'DFIT Computations'!I205</f>
        <v>0</v>
      </c>
      <c r="I205" s="27">
        <f t="shared" si="117"/>
        <v>0</v>
      </c>
      <c r="J205" s="51">
        <f t="shared" si="131"/>
        <v>0.98499999999999999</v>
      </c>
      <c r="K205" s="42">
        <f t="shared" si="119"/>
        <v>0</v>
      </c>
      <c r="L205" s="18" t="str">
        <f>'DFIT Computations'!M205</f>
        <v>GROSS PLT</v>
      </c>
      <c r="M205" s="27">
        <f>+'DFIT Computations'!N205</f>
        <v>0</v>
      </c>
      <c r="N205" s="27">
        <f t="shared" si="120"/>
        <v>0</v>
      </c>
      <c r="O205" s="27"/>
    </row>
    <row r="206" spans="1:15" x14ac:dyDescent="0.25">
      <c r="A206" s="18">
        <f t="shared" si="108"/>
        <v>170</v>
      </c>
      <c r="B206" s="56" t="s">
        <v>257</v>
      </c>
      <c r="C206" s="61">
        <v>-11155.2</v>
      </c>
      <c r="D206" s="61">
        <v>-11155</v>
      </c>
      <c r="E206" s="54">
        <f t="shared" ref="E206:E221" si="142">+C206-D206</f>
        <v>-0.2000000000007276</v>
      </c>
      <c r="F206" s="27">
        <f>+'DFIT Computations'!G206</f>
        <v>0</v>
      </c>
      <c r="G206" s="27">
        <f t="shared" si="116"/>
        <v>-0.2000000000007276</v>
      </c>
      <c r="H206" s="27">
        <f>+'DFIT Computations'!I206</f>
        <v>0</v>
      </c>
      <c r="I206" s="27">
        <f t="shared" ref="I206:I220" si="143">+G206+H206</f>
        <v>-0.2000000000007276</v>
      </c>
      <c r="J206" s="51">
        <f t="shared" si="131"/>
        <v>0.98499999999999999</v>
      </c>
      <c r="K206" s="42">
        <f t="shared" ref="K206:K220" si="144">IF(I206*J206=0,0, ROUND(I206*J206,0))</f>
        <v>0</v>
      </c>
      <c r="L206" s="18" t="str">
        <f>'DFIT Computations'!M206</f>
        <v>GROSS PLT</v>
      </c>
      <c r="M206" s="27">
        <f>+'DFIT Computations'!N206</f>
        <v>0</v>
      </c>
      <c r="N206" s="27">
        <f t="shared" si="120"/>
        <v>0</v>
      </c>
      <c r="O206" s="27"/>
    </row>
    <row r="207" spans="1:15" x14ac:dyDescent="0.25">
      <c r="A207" s="123"/>
      <c r="B207" s="64" t="s">
        <v>396</v>
      </c>
      <c r="C207" s="61">
        <v>-691072</v>
      </c>
      <c r="D207" s="61">
        <v>0</v>
      </c>
      <c r="E207" s="54">
        <f t="shared" ref="E207:E219" si="145">+C207-D207</f>
        <v>-691072</v>
      </c>
      <c r="F207" s="27">
        <f>+'DFIT Computations'!G220</f>
        <v>0</v>
      </c>
      <c r="G207" s="27">
        <f t="shared" ref="G207:G219" si="146">+E207+F207</f>
        <v>-691072</v>
      </c>
      <c r="H207" s="27">
        <f>+'DFIT Computations'!I207</f>
        <v>0</v>
      </c>
      <c r="I207" s="27">
        <f t="shared" ref="I207:I219" si="147">+G207+H207</f>
        <v>-691072</v>
      </c>
      <c r="J207" s="51">
        <v>0</v>
      </c>
      <c r="K207" s="42">
        <f t="shared" si="144"/>
        <v>0</v>
      </c>
      <c r="L207" s="127" t="str">
        <f>'DFIT Computations'!M207</f>
        <v>NON-APPLIC</v>
      </c>
      <c r="M207" s="27">
        <f>+'DFIT Computations'!N207</f>
        <v>0</v>
      </c>
      <c r="N207" s="27">
        <f t="shared" ref="N207:N219" si="148">K207+M207</f>
        <v>0</v>
      </c>
      <c r="O207" s="27"/>
    </row>
    <row r="208" spans="1:15" x14ac:dyDescent="0.25">
      <c r="A208" s="123"/>
      <c r="B208" s="64" t="s">
        <v>387</v>
      </c>
      <c r="C208" s="61">
        <f>19021.65-23638</f>
        <v>-4616.3499999999985</v>
      </c>
      <c r="D208" s="61">
        <v>0</v>
      </c>
      <c r="E208" s="54">
        <f t="shared" si="145"/>
        <v>-4616.3499999999985</v>
      </c>
      <c r="F208" s="27">
        <f>+'DFIT Computations'!G222</f>
        <v>0</v>
      </c>
      <c r="G208" s="27">
        <f t="shared" si="146"/>
        <v>-4616.3499999999985</v>
      </c>
      <c r="H208" s="27">
        <f>+'DFIT Computations'!I208</f>
        <v>0</v>
      </c>
      <c r="I208" s="27">
        <f t="shared" si="147"/>
        <v>-4616.3499999999985</v>
      </c>
      <c r="J208" s="51">
        <v>0</v>
      </c>
      <c r="K208" s="42">
        <f t="shared" si="144"/>
        <v>0</v>
      </c>
      <c r="L208" s="127" t="str">
        <f>'DFIT Computations'!M208</f>
        <v>NON-APPLIC</v>
      </c>
      <c r="M208" s="27">
        <f>+'DFIT Computations'!N208</f>
        <v>0</v>
      </c>
      <c r="N208" s="27">
        <f t="shared" si="148"/>
        <v>0</v>
      </c>
      <c r="O208" s="27"/>
    </row>
    <row r="209" spans="1:15" x14ac:dyDescent="0.25">
      <c r="A209" s="123"/>
      <c r="B209" s="64" t="s">
        <v>388</v>
      </c>
      <c r="C209" s="61">
        <v>-2544634</v>
      </c>
      <c r="D209" s="61">
        <v>0</v>
      </c>
      <c r="E209" s="54">
        <f t="shared" si="145"/>
        <v>-2544634</v>
      </c>
      <c r="F209" s="27">
        <f>+'DFIT Computations'!G223</f>
        <v>0</v>
      </c>
      <c r="G209" s="27">
        <f t="shared" si="146"/>
        <v>-2544634</v>
      </c>
      <c r="H209" s="27">
        <f>+'DFIT Computations'!I209</f>
        <v>0</v>
      </c>
      <c r="I209" s="27">
        <f t="shared" si="147"/>
        <v>-2544634</v>
      </c>
      <c r="J209" s="51">
        <f t="shared" si="131"/>
        <v>1</v>
      </c>
      <c r="K209" s="42">
        <f t="shared" si="144"/>
        <v>-2544634</v>
      </c>
      <c r="L209" s="127" t="str">
        <f>'DFIT Computations'!M209</f>
        <v>SPECIFIC</v>
      </c>
      <c r="M209" s="27">
        <f>+'DFIT Computations'!N209</f>
        <v>2544634</v>
      </c>
      <c r="N209" s="27">
        <f t="shared" si="148"/>
        <v>0</v>
      </c>
      <c r="O209" s="27"/>
    </row>
    <row r="210" spans="1:15" x14ac:dyDescent="0.25">
      <c r="A210" s="130"/>
      <c r="B210" s="64" t="s">
        <v>397</v>
      </c>
      <c r="C210" s="61">
        <v>0</v>
      </c>
      <c r="D210" s="61">
        <v>0</v>
      </c>
      <c r="E210" s="54">
        <f t="shared" si="145"/>
        <v>0</v>
      </c>
      <c r="F210" s="27">
        <f>+'DFIT Computations'!G224</f>
        <v>0</v>
      </c>
      <c r="G210" s="27">
        <f t="shared" si="146"/>
        <v>0</v>
      </c>
      <c r="H210" s="27">
        <f>+'DFIT Computations'!I210</f>
        <v>0</v>
      </c>
      <c r="I210" s="27">
        <f t="shared" si="147"/>
        <v>0</v>
      </c>
      <c r="J210" s="51">
        <v>0</v>
      </c>
      <c r="K210" s="42">
        <f t="shared" si="144"/>
        <v>0</v>
      </c>
      <c r="L210" s="130" t="str">
        <f>'DFIT Computations'!M210</f>
        <v>NON-APPLIC</v>
      </c>
      <c r="M210" s="27">
        <f>+'DFIT Computations'!N210</f>
        <v>0</v>
      </c>
      <c r="N210" s="27">
        <f t="shared" si="148"/>
        <v>0</v>
      </c>
      <c r="O210" s="27"/>
    </row>
    <row r="211" spans="1:15" x14ac:dyDescent="0.25">
      <c r="A211" s="130"/>
      <c r="B211" s="64" t="s">
        <v>389</v>
      </c>
      <c r="C211" s="61">
        <f>11032-116163.06</f>
        <v>-105131.06</v>
      </c>
      <c r="D211" s="61">
        <v>0</v>
      </c>
      <c r="E211" s="54">
        <f t="shared" si="145"/>
        <v>-105131.06</v>
      </c>
      <c r="F211" s="27">
        <f>+'DFIT Computations'!G225</f>
        <v>0</v>
      </c>
      <c r="G211" s="27">
        <f t="shared" si="146"/>
        <v>-105131.06</v>
      </c>
      <c r="H211" s="27">
        <f>+'DFIT Computations'!I211</f>
        <v>0</v>
      </c>
      <c r="I211" s="27">
        <f t="shared" si="147"/>
        <v>-105131.06</v>
      </c>
      <c r="J211" s="51">
        <v>0</v>
      </c>
      <c r="K211" s="42">
        <f t="shared" si="144"/>
        <v>0</v>
      </c>
      <c r="L211" s="130" t="str">
        <f>'DFIT Computations'!M211</f>
        <v>NON-APPLIC</v>
      </c>
      <c r="M211" s="27">
        <f>+'DFIT Computations'!N211</f>
        <v>0</v>
      </c>
      <c r="N211" s="27">
        <f t="shared" si="148"/>
        <v>0</v>
      </c>
      <c r="O211" s="27"/>
    </row>
    <row r="212" spans="1:15" x14ac:dyDescent="0.25">
      <c r="A212" s="130"/>
      <c r="B212" s="64" t="s">
        <v>390</v>
      </c>
      <c r="C212" s="61">
        <v>-6052711</v>
      </c>
      <c r="D212" s="61">
        <v>0</v>
      </c>
      <c r="E212" s="54">
        <f t="shared" si="145"/>
        <v>-6052711</v>
      </c>
      <c r="F212" s="27">
        <f>+'DFIT Computations'!G227</f>
        <v>0</v>
      </c>
      <c r="G212" s="27">
        <f t="shared" si="146"/>
        <v>-6052711</v>
      </c>
      <c r="H212" s="27">
        <f>+'DFIT Computations'!I212</f>
        <v>0</v>
      </c>
      <c r="I212" s="27">
        <f t="shared" si="147"/>
        <v>-6052711</v>
      </c>
      <c r="J212" s="51">
        <f t="shared" si="131"/>
        <v>1</v>
      </c>
      <c r="K212" s="42">
        <f t="shared" si="144"/>
        <v>-6052711</v>
      </c>
      <c r="L212" s="130" t="str">
        <f>'DFIT Computations'!M212</f>
        <v>SPECIFIC</v>
      </c>
      <c r="M212" s="27">
        <f>+'DFIT Computations'!N212</f>
        <v>6052711</v>
      </c>
      <c r="N212" s="27">
        <f t="shared" si="148"/>
        <v>0</v>
      </c>
      <c r="O212" s="27"/>
    </row>
    <row r="213" spans="1:15" x14ac:dyDescent="0.25">
      <c r="A213" s="130"/>
      <c r="B213" s="64" t="s">
        <v>391</v>
      </c>
      <c r="C213" s="61">
        <v>565213.18999999994</v>
      </c>
      <c r="D213" s="61">
        <v>0</v>
      </c>
      <c r="E213" s="54">
        <f t="shared" si="145"/>
        <v>565213.18999999994</v>
      </c>
      <c r="F213" s="27">
        <f>+'DFIT Computations'!G228</f>
        <v>0</v>
      </c>
      <c r="G213" s="27">
        <f t="shared" si="146"/>
        <v>565213.18999999994</v>
      </c>
      <c r="H213" s="27">
        <f>+'DFIT Computations'!I213</f>
        <v>0</v>
      </c>
      <c r="I213" s="27">
        <f t="shared" si="147"/>
        <v>565213.18999999994</v>
      </c>
      <c r="J213" s="51">
        <v>0</v>
      </c>
      <c r="K213" s="42">
        <f t="shared" si="144"/>
        <v>0</v>
      </c>
      <c r="L213" s="130" t="str">
        <f>'DFIT Computations'!M213</f>
        <v>NON-APPLIC</v>
      </c>
      <c r="M213" s="27">
        <f>+'DFIT Computations'!N213</f>
        <v>0</v>
      </c>
      <c r="N213" s="27">
        <f t="shared" si="148"/>
        <v>0</v>
      </c>
      <c r="O213" s="27"/>
    </row>
    <row r="214" spans="1:15" x14ac:dyDescent="0.25">
      <c r="A214" s="123"/>
      <c r="B214" s="64" t="s">
        <v>392</v>
      </c>
      <c r="C214" s="61">
        <f>10344-18410.8</f>
        <v>-8066.7999999999993</v>
      </c>
      <c r="D214" s="61">
        <v>0</v>
      </c>
      <c r="E214" s="54">
        <f t="shared" si="145"/>
        <v>-8066.7999999999993</v>
      </c>
      <c r="F214" s="27">
        <f>+'DFIT Computations'!G229</f>
        <v>0</v>
      </c>
      <c r="G214" s="27">
        <f t="shared" si="146"/>
        <v>-8066.7999999999993</v>
      </c>
      <c r="H214" s="27">
        <f>+'DFIT Computations'!I214</f>
        <v>0</v>
      </c>
      <c r="I214" s="27">
        <f t="shared" si="147"/>
        <v>-8066.7999999999993</v>
      </c>
      <c r="J214" s="51">
        <v>0</v>
      </c>
      <c r="K214" s="42">
        <f t="shared" si="144"/>
        <v>0</v>
      </c>
      <c r="L214" s="127" t="str">
        <f>'DFIT Computations'!M214</f>
        <v>NON-APPLIC</v>
      </c>
      <c r="M214" s="27">
        <f>+'DFIT Computations'!N214</f>
        <v>0</v>
      </c>
      <c r="N214" s="27">
        <f t="shared" si="148"/>
        <v>0</v>
      </c>
      <c r="O214" s="27"/>
    </row>
    <row r="215" spans="1:15" x14ac:dyDescent="0.25">
      <c r="A215" s="123"/>
      <c r="B215" s="64" t="s">
        <v>393</v>
      </c>
      <c r="C215" s="61">
        <v>-909531</v>
      </c>
      <c r="D215" s="61">
        <v>0</v>
      </c>
      <c r="E215" s="54">
        <f t="shared" si="145"/>
        <v>-909531</v>
      </c>
      <c r="F215" s="27">
        <f>+'DFIT Computations'!G230</f>
        <v>0</v>
      </c>
      <c r="G215" s="27">
        <f t="shared" si="146"/>
        <v>-909531</v>
      </c>
      <c r="H215" s="27">
        <f>+'DFIT Computations'!I215</f>
        <v>0</v>
      </c>
      <c r="I215" s="27">
        <f t="shared" si="147"/>
        <v>-909531</v>
      </c>
      <c r="J215" s="51">
        <f t="shared" si="131"/>
        <v>1</v>
      </c>
      <c r="K215" s="42">
        <f t="shared" si="144"/>
        <v>-909531</v>
      </c>
      <c r="L215" s="127" t="str">
        <f>'DFIT Computations'!M215</f>
        <v>SPECIFIC</v>
      </c>
      <c r="M215" s="27">
        <f>+'DFIT Computations'!N215</f>
        <v>909531</v>
      </c>
      <c r="N215" s="27">
        <f t="shared" si="148"/>
        <v>0</v>
      </c>
      <c r="O215" s="27"/>
    </row>
    <row r="216" spans="1:15" x14ac:dyDescent="0.25">
      <c r="A216" s="123"/>
      <c r="B216" s="64" t="s">
        <v>394</v>
      </c>
      <c r="C216" s="61">
        <v>-20489.79</v>
      </c>
      <c r="D216" s="61">
        <v>0</v>
      </c>
      <c r="E216" s="54">
        <f t="shared" si="145"/>
        <v>-20489.79</v>
      </c>
      <c r="F216" s="27">
        <f>+'DFIT Computations'!G231</f>
        <v>0</v>
      </c>
      <c r="G216" s="27">
        <f t="shared" si="146"/>
        <v>-20489.79</v>
      </c>
      <c r="H216" s="27">
        <f>+'DFIT Computations'!I216</f>
        <v>0</v>
      </c>
      <c r="I216" s="27">
        <f t="shared" si="147"/>
        <v>-20489.79</v>
      </c>
      <c r="J216" s="51">
        <v>0</v>
      </c>
      <c r="K216" s="42">
        <f t="shared" si="144"/>
        <v>0</v>
      </c>
      <c r="L216" s="127" t="str">
        <f>'DFIT Computations'!M216</f>
        <v>NON-APPLIC</v>
      </c>
      <c r="M216" s="27">
        <f>+'DFIT Computations'!N216</f>
        <v>0</v>
      </c>
      <c r="N216" s="27">
        <f t="shared" si="148"/>
        <v>0</v>
      </c>
      <c r="O216" s="27"/>
    </row>
    <row r="217" spans="1:15" x14ac:dyDescent="0.25">
      <c r="A217" s="123"/>
      <c r="B217" s="64" t="s">
        <v>395</v>
      </c>
      <c r="C217" s="61">
        <v>-751633</v>
      </c>
      <c r="D217" s="61">
        <v>0</v>
      </c>
      <c r="E217" s="54">
        <f t="shared" si="145"/>
        <v>-751633</v>
      </c>
      <c r="F217" s="27">
        <f>+'DFIT Computations'!G232</f>
        <v>0</v>
      </c>
      <c r="G217" s="27">
        <f t="shared" si="146"/>
        <v>-751633</v>
      </c>
      <c r="H217" s="27">
        <f>+'DFIT Computations'!I217</f>
        <v>0</v>
      </c>
      <c r="I217" s="27">
        <f t="shared" si="147"/>
        <v>-751633</v>
      </c>
      <c r="J217" s="51">
        <f t="shared" si="131"/>
        <v>1</v>
      </c>
      <c r="K217" s="42">
        <f t="shared" si="144"/>
        <v>-751633</v>
      </c>
      <c r="L217" s="127" t="str">
        <f>'DFIT Computations'!M217</f>
        <v>SPECIFIC</v>
      </c>
      <c r="M217" s="27">
        <f>+'DFIT Computations'!N217</f>
        <v>751633</v>
      </c>
      <c r="N217" s="27">
        <f t="shared" si="148"/>
        <v>0</v>
      </c>
      <c r="O217" s="27"/>
    </row>
    <row r="218" spans="1:15" x14ac:dyDescent="0.25">
      <c r="A218" s="126"/>
      <c r="B218" s="64" t="s">
        <v>398</v>
      </c>
      <c r="C218" s="61">
        <f>779159-3149258</f>
        <v>-2370099</v>
      </c>
      <c r="D218" s="61">
        <v>0</v>
      </c>
      <c r="E218" s="54">
        <f t="shared" si="145"/>
        <v>-2370099</v>
      </c>
      <c r="F218" s="27">
        <f>+'DFIT Computations'!G233</f>
        <v>0</v>
      </c>
      <c r="G218" s="27">
        <f t="shared" si="146"/>
        <v>-2370099</v>
      </c>
      <c r="H218" s="27">
        <f>+'DFIT Computations'!I218</f>
        <v>0</v>
      </c>
      <c r="I218" s="27">
        <f t="shared" si="147"/>
        <v>-2370099</v>
      </c>
      <c r="J218" s="51">
        <v>0</v>
      </c>
      <c r="K218" s="42">
        <f t="shared" si="144"/>
        <v>0</v>
      </c>
      <c r="L218" s="127" t="str">
        <f>'DFIT Computations'!M218</f>
        <v>NON-APPLIC</v>
      </c>
      <c r="M218" s="27">
        <f>+'DFIT Computations'!N218</f>
        <v>0</v>
      </c>
      <c r="N218" s="27">
        <f t="shared" si="148"/>
        <v>0</v>
      </c>
      <c r="O218" s="27"/>
    </row>
    <row r="219" spans="1:15" x14ac:dyDescent="0.25">
      <c r="A219" s="123"/>
      <c r="B219" s="64" t="s">
        <v>399</v>
      </c>
      <c r="C219" s="61">
        <f>3243405-776177</f>
        <v>2467228</v>
      </c>
      <c r="D219" s="61">
        <v>0</v>
      </c>
      <c r="E219" s="54">
        <f t="shared" si="145"/>
        <v>2467228</v>
      </c>
      <c r="F219" s="27">
        <f>+'DFIT Computations'!G234</f>
        <v>0</v>
      </c>
      <c r="G219" s="27">
        <f t="shared" si="146"/>
        <v>2467228</v>
      </c>
      <c r="H219" s="27">
        <f>+'DFIT Computations'!I219</f>
        <v>0</v>
      </c>
      <c r="I219" s="27">
        <f t="shared" si="147"/>
        <v>2467228</v>
      </c>
      <c r="J219" s="51">
        <v>0</v>
      </c>
      <c r="K219" s="42">
        <f t="shared" si="144"/>
        <v>0</v>
      </c>
      <c r="L219" s="127" t="str">
        <f>'DFIT Computations'!M219</f>
        <v>NON-APPLIC</v>
      </c>
      <c r="M219" s="27">
        <f>+'DFIT Computations'!N219</f>
        <v>0</v>
      </c>
      <c r="N219" s="27">
        <f t="shared" si="148"/>
        <v>0</v>
      </c>
      <c r="O219" s="27"/>
    </row>
    <row r="220" spans="1:15" x14ac:dyDescent="0.25">
      <c r="A220" s="18">
        <f>A206+1</f>
        <v>171</v>
      </c>
      <c r="B220" s="64" t="s">
        <v>362</v>
      </c>
      <c r="C220" s="61">
        <v>-18683.8</v>
      </c>
      <c r="D220" s="61">
        <f>-(369463+18684)</f>
        <v>-388147</v>
      </c>
      <c r="E220" s="54">
        <f t="shared" si="142"/>
        <v>369463.2</v>
      </c>
      <c r="F220" s="27">
        <f>+'DFIT Computations'!G220</f>
        <v>0</v>
      </c>
      <c r="G220" s="27">
        <f t="shared" si="116"/>
        <v>369463.2</v>
      </c>
      <c r="H220" s="27">
        <f>+'DFIT Computations'!I220</f>
        <v>0</v>
      </c>
      <c r="I220" s="27">
        <f t="shared" si="143"/>
        <v>369463.2</v>
      </c>
      <c r="J220" s="51">
        <f>VLOOKUP(L220,$C$306:$D$320,2,FALSE)</f>
        <v>0.98499999999999999</v>
      </c>
      <c r="K220" s="42">
        <f t="shared" si="144"/>
        <v>363921</v>
      </c>
      <c r="L220" s="18" t="str">
        <f>'DFIT Computations'!M220</f>
        <v>GROSS PLT</v>
      </c>
      <c r="M220" s="27">
        <f>+'DFIT Computations'!N220</f>
        <v>0</v>
      </c>
      <c r="N220" s="27">
        <f t="shared" si="120"/>
        <v>363921</v>
      </c>
      <c r="O220" s="27"/>
    </row>
    <row r="221" spans="1:15" x14ac:dyDescent="0.25">
      <c r="A221" s="123"/>
      <c r="B221" s="124" t="s">
        <v>381</v>
      </c>
      <c r="C221" s="61"/>
      <c r="D221" s="61">
        <v>55054</v>
      </c>
      <c r="E221" s="54">
        <f t="shared" si="142"/>
        <v>-55054</v>
      </c>
      <c r="F221" s="27">
        <f>+'DFIT Computations'!G221</f>
        <v>0</v>
      </c>
      <c r="G221" s="27">
        <f t="shared" si="116"/>
        <v>-55054</v>
      </c>
      <c r="H221" s="27">
        <f>+'DFIT Computations'!I221</f>
        <v>0</v>
      </c>
      <c r="I221" s="27">
        <f t="shared" ref="I221" si="149">+G221+H221</f>
        <v>-55054</v>
      </c>
      <c r="J221" s="51">
        <f>VLOOKUP(L221,$C$306:$D$320,2,FALSE)</f>
        <v>0.98499999999999999</v>
      </c>
      <c r="K221" s="42">
        <f t="shared" ref="K221" si="150">IF(I221*J221=0,0, ROUND(I221*J221,0))</f>
        <v>-54228</v>
      </c>
      <c r="L221" s="144" t="str">
        <f>'DFIT Computations'!M221</f>
        <v>GROSS PLT</v>
      </c>
      <c r="M221" s="27">
        <f>+'DFIT Computations'!N221</f>
        <v>0</v>
      </c>
      <c r="N221" s="27">
        <f t="shared" ref="N221" si="151">K221+M221</f>
        <v>-54228</v>
      </c>
      <c r="O221" s="27"/>
    </row>
    <row r="222" spans="1:15" x14ac:dyDescent="0.25">
      <c r="A222" s="18">
        <f>A220+1</f>
        <v>172</v>
      </c>
      <c r="B222" s="64" t="s">
        <v>365</v>
      </c>
      <c r="C222" s="61">
        <v>0</v>
      </c>
      <c r="D222" s="61">
        <v>0</v>
      </c>
      <c r="E222" s="54">
        <f t="shared" si="115"/>
        <v>0</v>
      </c>
      <c r="F222" s="27">
        <f>+'DFIT Computations'!G222</f>
        <v>0</v>
      </c>
      <c r="G222" s="27">
        <f t="shared" si="116"/>
        <v>0</v>
      </c>
      <c r="H222" s="27">
        <f>+'DFIT Computations'!I222</f>
        <v>0</v>
      </c>
      <c r="I222" s="27">
        <f t="shared" si="117"/>
        <v>0</v>
      </c>
      <c r="J222" s="51">
        <f>VLOOKUP(L222,$C$306:$D$320,2,FALSE)</f>
        <v>0</v>
      </c>
      <c r="K222" s="42">
        <f t="shared" si="119"/>
        <v>0</v>
      </c>
      <c r="L222" s="18" t="str">
        <f>'DFIT Computations'!M222</f>
        <v>NON-APPLIC</v>
      </c>
      <c r="M222" s="27">
        <f>+'DFIT Computations'!N222</f>
        <v>0</v>
      </c>
      <c r="N222" s="27">
        <f t="shared" si="120"/>
        <v>0</v>
      </c>
      <c r="O222" s="27"/>
    </row>
    <row r="223" spans="1:15" ht="13" x14ac:dyDescent="0.3">
      <c r="A223" s="18">
        <f t="shared" si="108"/>
        <v>173</v>
      </c>
      <c r="B223" s="75" t="s">
        <v>76</v>
      </c>
      <c r="C223" s="78">
        <f>SUM(C180:C222)</f>
        <v>-8108778.8200000012</v>
      </c>
      <c r="D223" s="78">
        <f>SUM(D180:D222)</f>
        <v>-3239578</v>
      </c>
      <c r="E223" s="78">
        <f>SUM(E180:E222)</f>
        <v>-4869200.82</v>
      </c>
      <c r="F223" s="78">
        <f t="shared" ref="F223" si="152">SUM(F180:F222)</f>
        <v>0</v>
      </c>
      <c r="G223" s="78">
        <f>SUM(G180:G222)</f>
        <v>-4869200.82</v>
      </c>
      <c r="H223" s="78">
        <f>SUM(H180:H222)</f>
        <v>0</v>
      </c>
      <c r="I223" s="78">
        <f>SUM(I180:I222)</f>
        <v>-4869200.82</v>
      </c>
      <c r="J223" s="24"/>
      <c r="K223" s="78">
        <f>SUM(K180:K222)</f>
        <v>-4791948</v>
      </c>
      <c r="M223" s="78">
        <f>SUM(M180:M222)</f>
        <v>10378073</v>
      </c>
      <c r="N223" s="78">
        <f>SUM(N180:N222)</f>
        <v>5586125</v>
      </c>
      <c r="O223" s="27"/>
    </row>
    <row r="224" spans="1:15" x14ac:dyDescent="0.25">
      <c r="A224" s="18">
        <f t="shared" si="108"/>
        <v>174</v>
      </c>
      <c r="B224" s="17" t="s">
        <v>0</v>
      </c>
      <c r="C224" s="36"/>
      <c r="D224" s="82"/>
      <c r="E224" s="82"/>
      <c r="F224" s="41"/>
      <c r="G224" s="82"/>
      <c r="H224" s="41"/>
      <c r="I224" s="37"/>
      <c r="J224" s="81"/>
      <c r="M224" s="41"/>
      <c r="N224" s="41"/>
    </row>
    <row r="225" spans="1:15" ht="13" x14ac:dyDescent="0.3">
      <c r="A225" s="18">
        <f t="shared" si="108"/>
        <v>175</v>
      </c>
      <c r="B225" s="75" t="s">
        <v>77</v>
      </c>
      <c r="C225" s="36"/>
      <c r="D225" s="98"/>
      <c r="E225" s="98"/>
      <c r="F225" s="98"/>
      <c r="G225" s="98"/>
      <c r="H225" s="98"/>
      <c r="I225" s="98"/>
      <c r="J225" s="81"/>
      <c r="M225" s="98"/>
      <c r="N225" s="98"/>
    </row>
    <row r="226" spans="1:15" x14ac:dyDescent="0.25">
      <c r="A226" s="18">
        <f t="shared" si="108"/>
        <v>176</v>
      </c>
      <c r="B226" s="17" t="s">
        <v>293</v>
      </c>
      <c r="C226" s="61">
        <v>0</v>
      </c>
      <c r="D226" s="61">
        <v>0</v>
      </c>
      <c r="E226" s="54">
        <f t="shared" ref="E226:E235" si="153">+C226-D226</f>
        <v>0</v>
      </c>
      <c r="F226" s="27">
        <f>+'DFIT Computations'!G227</f>
        <v>0</v>
      </c>
      <c r="G226" s="27">
        <f t="shared" ref="G226:G235" si="154">+E226+F226</f>
        <v>0</v>
      </c>
      <c r="H226" s="27">
        <f>+'DFIT Computations'!I227</f>
        <v>0</v>
      </c>
      <c r="I226" s="27">
        <f t="shared" ref="I226:I235" si="155">+G226+H226</f>
        <v>0</v>
      </c>
      <c r="J226" s="51">
        <f t="shared" ref="J226:J235" si="156">VLOOKUP(L226,$C$306:$D$320,2,FALSE)</f>
        <v>0.99</v>
      </c>
      <c r="K226" s="42">
        <f t="shared" ref="K226:K235" si="157">IF(I226*J226=0,0, ROUND(I226*J226,0))</f>
        <v>0</v>
      </c>
      <c r="L226" s="18" t="str">
        <f>'DFIT Computations'!M227</f>
        <v>LABOR</v>
      </c>
      <c r="M226" s="27">
        <v>0</v>
      </c>
      <c r="N226" s="27">
        <f t="shared" ref="N226:N235" si="158">K226+M226</f>
        <v>0</v>
      </c>
      <c r="O226" s="27"/>
    </row>
    <row r="227" spans="1:15" x14ac:dyDescent="0.25">
      <c r="A227" s="18">
        <f t="shared" si="108"/>
        <v>177</v>
      </c>
      <c r="B227" s="17" t="s">
        <v>78</v>
      </c>
      <c r="C227" s="61">
        <v>0</v>
      </c>
      <c r="D227" s="61">
        <v>0</v>
      </c>
      <c r="E227" s="54">
        <f t="shared" ref="E227" si="159">+C227-D227</f>
        <v>0</v>
      </c>
      <c r="F227" s="27">
        <f>+'DFIT Computations'!G228</f>
        <v>0</v>
      </c>
      <c r="G227" s="27">
        <f t="shared" ref="G227" si="160">+E227+F227</f>
        <v>0</v>
      </c>
      <c r="H227" s="27">
        <f>+'DFIT Computations'!I228</f>
        <v>0</v>
      </c>
      <c r="I227" s="27">
        <f t="shared" ref="I227" si="161">+G227+H227</f>
        <v>0</v>
      </c>
      <c r="J227" s="51">
        <f t="shared" si="156"/>
        <v>0.99</v>
      </c>
      <c r="K227" s="42">
        <f t="shared" ref="K227" si="162">IF(I227*J227=0,0, ROUND(I227*J227,0))</f>
        <v>0</v>
      </c>
      <c r="L227" s="18" t="str">
        <f>'DFIT Computations'!M228</f>
        <v>LABOR</v>
      </c>
      <c r="M227" s="27">
        <v>0</v>
      </c>
      <c r="N227" s="27">
        <f t="shared" si="158"/>
        <v>0</v>
      </c>
      <c r="O227" s="27"/>
    </row>
    <row r="228" spans="1:15" x14ac:dyDescent="0.25">
      <c r="A228" s="18">
        <f t="shared" si="108"/>
        <v>178</v>
      </c>
      <c r="B228" s="17" t="s">
        <v>79</v>
      </c>
      <c r="C228" s="61">
        <v>0</v>
      </c>
      <c r="D228" s="61">
        <v>0</v>
      </c>
      <c r="E228" s="54">
        <f t="shared" si="153"/>
        <v>0</v>
      </c>
      <c r="F228" s="27">
        <f>+'DFIT Computations'!G229</f>
        <v>0</v>
      </c>
      <c r="G228" s="27">
        <f t="shared" si="154"/>
        <v>0</v>
      </c>
      <c r="H228" s="27">
        <f>+'DFIT Computations'!I229</f>
        <v>0</v>
      </c>
      <c r="I228" s="27">
        <f t="shared" si="155"/>
        <v>0</v>
      </c>
      <c r="J228" s="51">
        <f t="shared" si="156"/>
        <v>0.99</v>
      </c>
      <c r="K228" s="42">
        <f t="shared" si="157"/>
        <v>0</v>
      </c>
      <c r="L228" s="18" t="str">
        <f>'DFIT Computations'!M229</f>
        <v>LABOR</v>
      </c>
      <c r="M228" s="27">
        <v>0</v>
      </c>
      <c r="N228" s="27">
        <f t="shared" si="158"/>
        <v>0</v>
      </c>
      <c r="O228" s="27"/>
    </row>
    <row r="229" spans="1:15" x14ac:dyDescent="0.25">
      <c r="A229" s="18">
        <f t="shared" si="108"/>
        <v>179</v>
      </c>
      <c r="B229" s="17" t="s">
        <v>80</v>
      </c>
      <c r="C229" s="61">
        <v>0</v>
      </c>
      <c r="D229" s="61">
        <v>0</v>
      </c>
      <c r="E229" s="54">
        <f t="shared" si="153"/>
        <v>0</v>
      </c>
      <c r="F229" s="27">
        <f>+'DFIT Computations'!G230</f>
        <v>0</v>
      </c>
      <c r="G229" s="27">
        <f t="shared" si="154"/>
        <v>0</v>
      </c>
      <c r="H229" s="27">
        <f>+'DFIT Computations'!I230</f>
        <v>0</v>
      </c>
      <c r="I229" s="27">
        <f t="shared" si="155"/>
        <v>0</v>
      </c>
      <c r="J229" s="51">
        <f t="shared" si="156"/>
        <v>0</v>
      </c>
      <c r="K229" s="42">
        <f t="shared" si="157"/>
        <v>0</v>
      </c>
      <c r="L229" s="18" t="str">
        <f>'DFIT Computations'!M230</f>
        <v>NON-APPLIC</v>
      </c>
      <c r="M229" s="27">
        <v>0</v>
      </c>
      <c r="N229" s="27">
        <f t="shared" si="158"/>
        <v>0</v>
      </c>
      <c r="O229" s="27"/>
    </row>
    <row r="230" spans="1:15" x14ac:dyDescent="0.25">
      <c r="A230" s="18">
        <f t="shared" si="108"/>
        <v>180</v>
      </c>
      <c r="B230" s="17" t="s">
        <v>280</v>
      </c>
      <c r="C230" s="61">
        <v>0</v>
      </c>
      <c r="D230" s="61">
        <v>0</v>
      </c>
      <c r="E230" s="54">
        <f t="shared" si="153"/>
        <v>0</v>
      </c>
      <c r="F230" s="27">
        <f>+'DFIT Computations'!G231</f>
        <v>0</v>
      </c>
      <c r="G230" s="27">
        <f t="shared" si="154"/>
        <v>0</v>
      </c>
      <c r="H230" s="27">
        <f>+'DFIT Computations'!I231</f>
        <v>0</v>
      </c>
      <c r="I230" s="27">
        <f t="shared" si="155"/>
        <v>0</v>
      </c>
      <c r="J230" s="51">
        <f t="shared" si="156"/>
        <v>0</v>
      </c>
      <c r="K230" s="42">
        <f t="shared" si="157"/>
        <v>0</v>
      </c>
      <c r="L230" s="18" t="str">
        <f>'DFIT Computations'!M231</f>
        <v>NON-APPLIC</v>
      </c>
      <c r="M230" s="27">
        <v>0</v>
      </c>
      <c r="N230" s="27">
        <f t="shared" si="158"/>
        <v>0</v>
      </c>
      <c r="O230" s="27"/>
    </row>
    <row r="231" spans="1:15" x14ac:dyDescent="0.25">
      <c r="A231" s="18">
        <f t="shared" si="108"/>
        <v>181</v>
      </c>
      <c r="B231" s="17" t="s">
        <v>81</v>
      </c>
      <c r="C231" s="61">
        <v>0</v>
      </c>
      <c r="D231" s="61">
        <v>0</v>
      </c>
      <c r="E231" s="54">
        <f t="shared" si="153"/>
        <v>0</v>
      </c>
      <c r="F231" s="27">
        <f>+'DFIT Computations'!G232</f>
        <v>0</v>
      </c>
      <c r="G231" s="27">
        <f t="shared" si="154"/>
        <v>0</v>
      </c>
      <c r="H231" s="27">
        <f>+'DFIT Computations'!I232</f>
        <v>0</v>
      </c>
      <c r="I231" s="27">
        <f t="shared" si="155"/>
        <v>0</v>
      </c>
      <c r="J231" s="51">
        <f t="shared" si="156"/>
        <v>0</v>
      </c>
      <c r="K231" s="42">
        <f t="shared" si="157"/>
        <v>0</v>
      </c>
      <c r="L231" s="18" t="str">
        <f>'DFIT Computations'!M232</f>
        <v>NON-APPLIC</v>
      </c>
      <c r="M231" s="27">
        <v>0</v>
      </c>
      <c r="N231" s="27">
        <f t="shared" si="158"/>
        <v>0</v>
      </c>
      <c r="O231" s="27"/>
    </row>
    <row r="232" spans="1:15" x14ac:dyDescent="0.25">
      <c r="A232" s="18">
        <f t="shared" si="108"/>
        <v>182</v>
      </c>
      <c r="B232" s="17" t="s">
        <v>281</v>
      </c>
      <c r="C232" s="61">
        <v>0</v>
      </c>
      <c r="D232" s="61">
        <v>0</v>
      </c>
      <c r="E232" s="54">
        <f t="shared" si="153"/>
        <v>0</v>
      </c>
      <c r="F232" s="27">
        <f>+'DFIT Computations'!G233</f>
        <v>0</v>
      </c>
      <c r="G232" s="27">
        <f t="shared" si="154"/>
        <v>0</v>
      </c>
      <c r="H232" s="27">
        <f>+'DFIT Computations'!I233</f>
        <v>0</v>
      </c>
      <c r="I232" s="27">
        <f t="shared" si="155"/>
        <v>0</v>
      </c>
      <c r="J232" s="51">
        <f t="shared" si="156"/>
        <v>0.99</v>
      </c>
      <c r="K232" s="42">
        <f t="shared" si="157"/>
        <v>0</v>
      </c>
      <c r="L232" s="18" t="str">
        <f>'DFIT Computations'!M233</f>
        <v>LABOR</v>
      </c>
      <c r="M232" s="27">
        <v>0</v>
      </c>
      <c r="N232" s="27">
        <f t="shared" si="158"/>
        <v>0</v>
      </c>
      <c r="O232" s="27"/>
    </row>
    <row r="233" spans="1:15" x14ac:dyDescent="0.25">
      <c r="A233" s="18">
        <f t="shared" si="108"/>
        <v>183</v>
      </c>
      <c r="B233" s="56" t="s">
        <v>258</v>
      </c>
      <c r="C233" s="61">
        <v>0</v>
      </c>
      <c r="D233" s="61">
        <v>0</v>
      </c>
      <c r="E233" s="54">
        <f t="shared" si="153"/>
        <v>0</v>
      </c>
      <c r="F233" s="27">
        <f>+'DFIT Computations'!G234</f>
        <v>0</v>
      </c>
      <c r="G233" s="27">
        <f t="shared" si="154"/>
        <v>0</v>
      </c>
      <c r="H233" s="27">
        <f>+'DFIT Computations'!I234</f>
        <v>0</v>
      </c>
      <c r="I233" s="27">
        <f t="shared" si="155"/>
        <v>0</v>
      </c>
      <c r="J233" s="51">
        <f t="shared" si="156"/>
        <v>0.98499999999999999</v>
      </c>
      <c r="K233" s="42">
        <f t="shared" si="157"/>
        <v>0</v>
      </c>
      <c r="L233" s="18" t="str">
        <f>'DFIT Computations'!M234</f>
        <v>PROD PLT</v>
      </c>
      <c r="M233" s="27">
        <v>0</v>
      </c>
      <c r="N233" s="27">
        <f t="shared" si="158"/>
        <v>0</v>
      </c>
      <c r="O233" s="27"/>
    </row>
    <row r="234" spans="1:15" x14ac:dyDescent="0.25">
      <c r="A234" s="18">
        <f t="shared" si="108"/>
        <v>184</v>
      </c>
      <c r="B234" s="17" t="s">
        <v>82</v>
      </c>
      <c r="C234" s="61">
        <v>0</v>
      </c>
      <c r="D234" s="61">
        <v>0</v>
      </c>
      <c r="E234" s="54">
        <f t="shared" si="153"/>
        <v>0</v>
      </c>
      <c r="F234" s="27">
        <f>+'DFIT Computations'!G235</f>
        <v>0</v>
      </c>
      <c r="G234" s="27">
        <f t="shared" si="154"/>
        <v>0</v>
      </c>
      <c r="H234" s="27">
        <f>+'DFIT Computations'!I235</f>
        <v>0</v>
      </c>
      <c r="I234" s="27">
        <f t="shared" si="155"/>
        <v>0</v>
      </c>
      <c r="J234" s="51">
        <f t="shared" si="156"/>
        <v>0.98499999999999999</v>
      </c>
      <c r="K234" s="42">
        <f t="shared" si="157"/>
        <v>0</v>
      </c>
      <c r="L234" s="18" t="str">
        <f>'DFIT Computations'!M235</f>
        <v>PROD PLT</v>
      </c>
      <c r="M234" s="27">
        <v>0</v>
      </c>
      <c r="N234" s="27">
        <f t="shared" si="158"/>
        <v>0</v>
      </c>
      <c r="O234" s="27"/>
    </row>
    <row r="235" spans="1:15" x14ac:dyDescent="0.25">
      <c r="A235" s="18">
        <f t="shared" si="108"/>
        <v>185</v>
      </c>
      <c r="B235" s="56" t="s">
        <v>259</v>
      </c>
      <c r="C235" s="61">
        <v>0</v>
      </c>
      <c r="D235" s="61">
        <v>13958</v>
      </c>
      <c r="E235" s="54">
        <f t="shared" si="153"/>
        <v>-13958</v>
      </c>
      <c r="F235" s="27">
        <f>+'DFIT Computations'!G237</f>
        <v>0</v>
      </c>
      <c r="G235" s="27">
        <f t="shared" si="154"/>
        <v>-13958</v>
      </c>
      <c r="H235" s="27">
        <f>+'DFIT Computations'!I237</f>
        <v>0</v>
      </c>
      <c r="I235" s="27">
        <f t="shared" si="155"/>
        <v>-13958</v>
      </c>
      <c r="J235" s="51">
        <f t="shared" si="156"/>
        <v>0</v>
      </c>
      <c r="K235" s="42">
        <f t="shared" si="157"/>
        <v>0</v>
      </c>
      <c r="L235" s="18" t="str">
        <f>'DFIT Computations'!M237</f>
        <v>NON-APPLIC</v>
      </c>
      <c r="M235" s="27">
        <v>0</v>
      </c>
      <c r="N235" s="27">
        <f t="shared" si="158"/>
        <v>0</v>
      </c>
      <c r="O235" s="27"/>
    </row>
    <row r="236" spans="1:15" ht="13" x14ac:dyDescent="0.3">
      <c r="A236" s="18">
        <f t="shared" si="108"/>
        <v>186</v>
      </c>
      <c r="B236" s="75" t="s">
        <v>83</v>
      </c>
      <c r="C236" s="78">
        <f t="shared" ref="C236:I236" si="163">SUM(C226:C235)</f>
        <v>0</v>
      </c>
      <c r="D236" s="78">
        <f t="shared" si="163"/>
        <v>13958</v>
      </c>
      <c r="E236" s="78">
        <f t="shared" si="163"/>
        <v>-13958</v>
      </c>
      <c r="F236" s="78">
        <f t="shared" ref="F236" si="164">SUM(F226:F235)</f>
        <v>0</v>
      </c>
      <c r="G236" s="78">
        <f t="shared" si="163"/>
        <v>-13958</v>
      </c>
      <c r="H236" s="78">
        <f t="shared" si="163"/>
        <v>0</v>
      </c>
      <c r="I236" s="78">
        <f t="shared" si="163"/>
        <v>-13958</v>
      </c>
      <c r="J236" s="24"/>
      <c r="K236" s="78">
        <f>SUM(K226:K235)</f>
        <v>0</v>
      </c>
      <c r="M236" s="78">
        <f t="shared" ref="M236:N236" si="165">SUM(M226:M235)</f>
        <v>0</v>
      </c>
      <c r="N236" s="78">
        <f t="shared" si="165"/>
        <v>0</v>
      </c>
      <c r="O236" s="27"/>
    </row>
    <row r="237" spans="1:15" x14ac:dyDescent="0.25">
      <c r="A237" s="18">
        <f t="shared" si="108"/>
        <v>187</v>
      </c>
      <c r="B237" s="17" t="s">
        <v>0</v>
      </c>
      <c r="C237" s="36"/>
      <c r="D237" s="82"/>
      <c r="E237" s="82"/>
      <c r="F237" s="41"/>
      <c r="G237" s="41"/>
      <c r="H237" s="41"/>
      <c r="I237" s="41"/>
      <c r="J237" s="81"/>
      <c r="M237" s="41"/>
      <c r="N237" s="41"/>
    </row>
    <row r="238" spans="1:15" ht="13" x14ac:dyDescent="0.3">
      <c r="A238" s="18">
        <f t="shared" si="108"/>
        <v>188</v>
      </c>
      <c r="B238" s="75" t="s">
        <v>84</v>
      </c>
      <c r="C238" s="36"/>
      <c r="D238" s="82"/>
      <c r="E238" s="82"/>
      <c r="F238" s="41"/>
      <c r="G238" s="41"/>
      <c r="H238" s="41"/>
      <c r="I238" s="41"/>
      <c r="J238" s="81"/>
      <c r="M238" s="41"/>
      <c r="N238" s="41"/>
    </row>
    <row r="239" spans="1:15" x14ac:dyDescent="0.25">
      <c r="A239" s="18">
        <f t="shared" si="108"/>
        <v>189</v>
      </c>
      <c r="B239" s="17" t="s">
        <v>85</v>
      </c>
      <c r="C239" s="61">
        <v>23699.97</v>
      </c>
      <c r="D239" s="61">
        <f>-(26052-23700)</f>
        <v>-2352</v>
      </c>
      <c r="E239" s="54">
        <f>+C239-D239</f>
        <v>26051.97</v>
      </c>
      <c r="F239" s="27">
        <f>+'DFIT Computations'!G241</f>
        <v>0</v>
      </c>
      <c r="G239" s="27">
        <f t="shared" ref="G239:G240" si="166">+E239+F239</f>
        <v>26051.97</v>
      </c>
      <c r="H239" s="27">
        <f>+'DFIT Computations'!I241</f>
        <v>0</v>
      </c>
      <c r="I239" s="27">
        <f>+G239+H239</f>
        <v>26051.97</v>
      </c>
      <c r="J239" s="51">
        <f>VLOOKUP(L239,$C$306:$D$320,2,FALSE)</f>
        <v>0.98499999999999999</v>
      </c>
      <c r="K239" s="42">
        <f>IF(I239*J239=0,0, ROUND(I239*J239,0))</f>
        <v>25661</v>
      </c>
      <c r="L239" s="18" t="str">
        <f>'DFIT Computations'!M241</f>
        <v>GROSS PLT</v>
      </c>
      <c r="M239" s="27">
        <f>+'DFIT Computations'!N241</f>
        <v>0</v>
      </c>
      <c r="N239" s="27">
        <f t="shared" ref="N239:N240" si="167">K239+M239</f>
        <v>25661</v>
      </c>
      <c r="O239" s="27"/>
    </row>
    <row r="240" spans="1:15" x14ac:dyDescent="0.25">
      <c r="A240" s="18">
        <f t="shared" si="108"/>
        <v>190</v>
      </c>
      <c r="B240" s="17" t="s">
        <v>86</v>
      </c>
      <c r="C240" s="61">
        <v>-107140.11</v>
      </c>
      <c r="D240" s="61">
        <v>-107140</v>
      </c>
      <c r="E240" s="54">
        <f>+C240-D240</f>
        <v>-0.11000000000058208</v>
      </c>
      <c r="F240" s="27">
        <f>+'DFIT Computations'!G242</f>
        <v>0</v>
      </c>
      <c r="G240" s="27">
        <f t="shared" si="166"/>
        <v>-0.11000000000058208</v>
      </c>
      <c r="H240" s="27">
        <f>+'DFIT Computations'!I242</f>
        <v>0</v>
      </c>
      <c r="I240" s="27">
        <f>+G240+H240</f>
        <v>-0.11000000000058208</v>
      </c>
      <c r="J240" s="51">
        <f>VLOOKUP(L240,$C$306:$D$320,2,FALSE)</f>
        <v>0.98499999999999999</v>
      </c>
      <c r="K240" s="42">
        <f>IF(I240*J240=0,0, ROUND(I240*J240,0))</f>
        <v>0</v>
      </c>
      <c r="L240" s="18" t="str">
        <f>'DFIT Computations'!M242</f>
        <v>GROSS PLT</v>
      </c>
      <c r="M240" s="27">
        <f>+'DFIT Computations'!N242</f>
        <v>0</v>
      </c>
      <c r="N240" s="27">
        <f t="shared" si="167"/>
        <v>0</v>
      </c>
      <c r="O240" s="27"/>
    </row>
    <row r="241" spans="1:15" ht="13" x14ac:dyDescent="0.3">
      <c r="A241" s="18">
        <f t="shared" si="108"/>
        <v>191</v>
      </c>
      <c r="B241" s="75" t="s">
        <v>87</v>
      </c>
      <c r="C241" s="78">
        <f t="shared" ref="C241:I241" si="168">SUM(C239:C240)</f>
        <v>-83440.14</v>
      </c>
      <c r="D241" s="78">
        <f t="shared" si="168"/>
        <v>-109492</v>
      </c>
      <c r="E241" s="78">
        <f t="shared" si="168"/>
        <v>26051.86</v>
      </c>
      <c r="F241" s="78">
        <f t="shared" ref="F241" si="169">SUM(F239:F240)</f>
        <v>0</v>
      </c>
      <c r="G241" s="78">
        <f t="shared" si="168"/>
        <v>26051.86</v>
      </c>
      <c r="H241" s="78">
        <f t="shared" si="168"/>
        <v>0</v>
      </c>
      <c r="I241" s="78">
        <f t="shared" si="168"/>
        <v>26051.86</v>
      </c>
      <c r="J241" s="24"/>
      <c r="K241" s="78">
        <f>SUM(K239:K240)</f>
        <v>25661</v>
      </c>
      <c r="M241" s="78">
        <f t="shared" ref="M241:N241" si="170">SUM(M239:M240)</f>
        <v>0</v>
      </c>
      <c r="N241" s="78">
        <f t="shared" si="170"/>
        <v>25661</v>
      </c>
      <c r="O241" s="27"/>
    </row>
    <row r="242" spans="1:15" x14ac:dyDescent="0.25">
      <c r="A242" s="18">
        <f t="shared" si="108"/>
        <v>192</v>
      </c>
      <c r="B242" s="17" t="s">
        <v>0</v>
      </c>
      <c r="C242" s="36"/>
      <c r="D242" s="82"/>
      <c r="E242" s="82"/>
      <c r="F242" s="41"/>
      <c r="G242" s="82"/>
      <c r="H242" s="41"/>
      <c r="I242" s="37"/>
      <c r="J242" s="81"/>
      <c r="M242" s="41"/>
      <c r="N242" s="41"/>
    </row>
    <row r="243" spans="1:15" ht="13" x14ac:dyDescent="0.3">
      <c r="A243" s="18">
        <f t="shared" si="108"/>
        <v>193</v>
      </c>
      <c r="B243" s="75" t="s">
        <v>88</v>
      </c>
      <c r="C243" s="36"/>
      <c r="D243" s="98"/>
      <c r="E243" s="98"/>
      <c r="F243" s="98"/>
      <c r="G243" s="98"/>
      <c r="H243" s="98"/>
      <c r="I243" s="98"/>
      <c r="J243" s="81"/>
      <c r="M243" s="98"/>
      <c r="N243" s="98"/>
    </row>
    <row r="244" spans="1:15" x14ac:dyDescent="0.25">
      <c r="A244" s="18">
        <f t="shared" si="108"/>
        <v>194</v>
      </c>
      <c r="B244" s="17" t="s">
        <v>89</v>
      </c>
      <c r="C244" s="61">
        <v>803327.54</v>
      </c>
      <c r="D244" s="61">
        <f>-(780878-803328)</f>
        <v>22450</v>
      </c>
      <c r="E244" s="54">
        <f>+C244-D244</f>
        <v>780877.54</v>
      </c>
      <c r="F244" s="27">
        <f>+'DFIT Computations'!G246</f>
        <v>0</v>
      </c>
      <c r="G244" s="27">
        <f>+E244+F244</f>
        <v>780877.54</v>
      </c>
      <c r="H244" s="27">
        <f>+'DFIT Computations'!I246</f>
        <v>0</v>
      </c>
      <c r="I244" s="27">
        <f>+G244+H244</f>
        <v>780877.54</v>
      </c>
      <c r="J244" s="51">
        <f>VLOOKUP(L244,$C$306:$D$320,2,FALSE)</f>
        <v>0.98499999999999999</v>
      </c>
      <c r="K244" s="42">
        <f>IF(I244*J244=0,0, ROUND(I244*J244,0))</f>
        <v>769164</v>
      </c>
      <c r="L244" s="18" t="str">
        <f>'DFIT Computations'!M246</f>
        <v>GROSS PLT</v>
      </c>
      <c r="M244" s="27">
        <f>+'DFIT Computations'!N246</f>
        <v>0</v>
      </c>
      <c r="N244" s="27">
        <f>K244+M244</f>
        <v>769164</v>
      </c>
      <c r="O244" s="27"/>
    </row>
    <row r="245" spans="1:15" ht="13" x14ac:dyDescent="0.3">
      <c r="A245" s="18">
        <f t="shared" si="108"/>
        <v>195</v>
      </c>
      <c r="B245" s="75" t="s">
        <v>90</v>
      </c>
      <c r="C245" s="78">
        <f t="shared" ref="C245:I245" si="171">SUM(C244:C244)</f>
        <v>803327.54</v>
      </c>
      <c r="D245" s="78">
        <f t="shared" si="171"/>
        <v>22450</v>
      </c>
      <c r="E245" s="78">
        <f t="shared" si="171"/>
        <v>780877.54</v>
      </c>
      <c r="F245" s="78">
        <f t="shared" ref="F245" si="172">SUM(F244:F244)</f>
        <v>0</v>
      </c>
      <c r="G245" s="78">
        <f t="shared" si="171"/>
        <v>780877.54</v>
      </c>
      <c r="H245" s="78">
        <f t="shared" si="171"/>
        <v>0</v>
      </c>
      <c r="I245" s="78">
        <f t="shared" si="171"/>
        <v>780877.54</v>
      </c>
      <c r="J245" s="24"/>
      <c r="K245" s="78">
        <f>SUM(K244:K244)</f>
        <v>769164</v>
      </c>
      <c r="M245" s="78">
        <f t="shared" ref="M245:N245" si="173">SUM(M244:M244)</f>
        <v>0</v>
      </c>
      <c r="N245" s="78">
        <f t="shared" si="173"/>
        <v>769164</v>
      </c>
      <c r="O245" s="27"/>
    </row>
    <row r="246" spans="1:15" x14ac:dyDescent="0.25">
      <c r="A246" s="18">
        <f t="shared" si="108"/>
        <v>196</v>
      </c>
      <c r="B246" s="17" t="s">
        <v>0</v>
      </c>
      <c r="C246" s="36"/>
      <c r="D246" s="38"/>
      <c r="E246" s="38"/>
      <c r="F246" s="38"/>
      <c r="G246" s="38"/>
      <c r="H246" s="38"/>
      <c r="I246" s="38"/>
      <c r="J246" s="81"/>
      <c r="M246" s="38"/>
      <c r="N246" s="38"/>
    </row>
    <row r="247" spans="1:15" ht="13" x14ac:dyDescent="0.3">
      <c r="A247" s="18">
        <f t="shared" si="108"/>
        <v>197</v>
      </c>
      <c r="B247" s="75" t="s">
        <v>91</v>
      </c>
      <c r="C247" s="36"/>
      <c r="D247" s="38"/>
      <c r="E247" s="38"/>
      <c r="F247" s="38"/>
      <c r="G247" s="38"/>
      <c r="H247" s="38"/>
      <c r="I247" s="38"/>
      <c r="J247" s="81"/>
      <c r="M247" s="38"/>
      <c r="N247" s="38"/>
    </row>
    <row r="248" spans="1:15" x14ac:dyDescent="0.25">
      <c r="A248" s="18">
        <f t="shared" si="108"/>
        <v>198</v>
      </c>
      <c r="B248" s="17" t="s">
        <v>349</v>
      </c>
      <c r="C248" s="61">
        <v>-7817.46</v>
      </c>
      <c r="D248" s="61">
        <v>0</v>
      </c>
      <c r="E248" s="54">
        <f>+C248-D248</f>
        <v>-7817.46</v>
      </c>
      <c r="F248" s="27">
        <f>+'DFIT Computations'!G250</f>
        <v>0</v>
      </c>
      <c r="G248" s="27">
        <f>+E248+F248</f>
        <v>-7817.46</v>
      </c>
      <c r="H248" s="27">
        <f>+'DFIT Computations'!I250</f>
        <v>0</v>
      </c>
      <c r="I248" s="27">
        <f>+G248+H248</f>
        <v>-7817.46</v>
      </c>
      <c r="J248" s="51">
        <f>VLOOKUP(L248,$C$306:$D$320,2,FALSE)</f>
        <v>0.98499999999999999</v>
      </c>
      <c r="K248" s="42">
        <f>IF(I248*J248=0,0, ROUND(I248*J248,0))</f>
        <v>-7700</v>
      </c>
      <c r="L248" s="18" t="str">
        <f>'DFIT Computations'!M250</f>
        <v>DEMAND</v>
      </c>
      <c r="M248" s="27">
        <f>+'DFIT Computations'!N250</f>
        <v>0</v>
      </c>
      <c r="N248" s="27">
        <f>K248+M248</f>
        <v>-7700</v>
      </c>
      <c r="O248" s="27"/>
    </row>
    <row r="249" spans="1:15" ht="13" x14ac:dyDescent="0.3">
      <c r="A249" s="18">
        <f t="shared" ref="A249:A291" si="174">A248+1</f>
        <v>199</v>
      </c>
      <c r="B249" s="75" t="s">
        <v>92</v>
      </c>
      <c r="C249" s="78">
        <f t="shared" ref="C249:I249" si="175">SUM(C248:C248)</f>
        <v>-7817.46</v>
      </c>
      <c r="D249" s="78">
        <f t="shared" si="175"/>
        <v>0</v>
      </c>
      <c r="E249" s="78">
        <f t="shared" si="175"/>
        <v>-7817.46</v>
      </c>
      <c r="F249" s="78">
        <f t="shared" ref="F249" si="176">SUM(F248:F248)</f>
        <v>0</v>
      </c>
      <c r="G249" s="78">
        <f t="shared" si="175"/>
        <v>-7817.46</v>
      </c>
      <c r="H249" s="78">
        <f t="shared" si="175"/>
        <v>0</v>
      </c>
      <c r="I249" s="78">
        <f t="shared" si="175"/>
        <v>-7817.46</v>
      </c>
      <c r="J249" s="24"/>
      <c r="K249" s="78">
        <f>SUM(K248:K248)</f>
        <v>-7700</v>
      </c>
      <c r="M249" s="78">
        <f t="shared" ref="M249:N249" si="177">SUM(M248:M248)</f>
        <v>0</v>
      </c>
      <c r="N249" s="78">
        <f t="shared" si="177"/>
        <v>-7700</v>
      </c>
      <c r="O249" s="27"/>
    </row>
    <row r="250" spans="1:15" x14ac:dyDescent="0.25">
      <c r="A250" s="18">
        <f t="shared" si="174"/>
        <v>200</v>
      </c>
      <c r="B250" s="17" t="s">
        <v>0</v>
      </c>
      <c r="C250" s="36"/>
      <c r="D250" s="82"/>
      <c r="E250" s="82"/>
      <c r="F250" s="41"/>
      <c r="G250" s="41"/>
      <c r="H250" s="41"/>
      <c r="I250" s="41"/>
      <c r="J250" s="81"/>
      <c r="M250" s="41"/>
      <c r="N250" s="41"/>
    </row>
    <row r="251" spans="1:15" ht="13" x14ac:dyDescent="0.3">
      <c r="A251" s="18">
        <f t="shared" si="174"/>
        <v>201</v>
      </c>
      <c r="B251" s="75" t="s">
        <v>93</v>
      </c>
      <c r="C251" s="36"/>
      <c r="D251" s="38"/>
      <c r="E251" s="38"/>
      <c r="F251" s="38"/>
      <c r="G251" s="38"/>
      <c r="H251" s="38"/>
      <c r="I251" s="38"/>
      <c r="J251" s="81"/>
      <c r="M251" s="38"/>
      <c r="N251" s="38"/>
    </row>
    <row r="252" spans="1:15" x14ac:dyDescent="0.25">
      <c r="A252" s="18">
        <f t="shared" si="174"/>
        <v>202</v>
      </c>
      <c r="B252" s="17" t="s">
        <v>94</v>
      </c>
      <c r="C252" s="61">
        <v>0</v>
      </c>
      <c r="D252" s="61">
        <v>0</v>
      </c>
      <c r="E252" s="54">
        <f t="shared" ref="E252:E262" si="178">+C252-D252</f>
        <v>0</v>
      </c>
      <c r="F252" s="27">
        <f>+'DFIT Computations'!G254</f>
        <v>0</v>
      </c>
      <c r="G252" s="27">
        <f t="shared" ref="G252:G262" si="179">+E252+F252</f>
        <v>0</v>
      </c>
      <c r="H252" s="27">
        <f>+'DFIT Computations'!I254</f>
        <v>0</v>
      </c>
      <c r="I252" s="27">
        <f t="shared" ref="I252:I262" si="180">+G252+H252</f>
        <v>0</v>
      </c>
      <c r="J252" s="51">
        <f t="shared" ref="J252:J262" si="181">VLOOKUP(L252,$C$306:$D$320,2,FALSE)</f>
        <v>0</v>
      </c>
      <c r="K252" s="42">
        <f t="shared" ref="K252:K262" si="182">IF(I252*J252=0,0, ROUND(I252*J252,0))</f>
        <v>0</v>
      </c>
      <c r="L252" s="18" t="str">
        <f>'DFIT Computations'!M254</f>
        <v>NON-UTILITY</v>
      </c>
      <c r="M252" s="27">
        <f>+'DFIT Computations'!N254</f>
        <v>0</v>
      </c>
      <c r="N252" s="27">
        <f t="shared" ref="N252:N262" si="183">K252+M252</f>
        <v>0</v>
      </c>
      <c r="O252" s="27"/>
    </row>
    <row r="253" spans="1:15" x14ac:dyDescent="0.25">
      <c r="A253" s="18">
        <f t="shared" si="174"/>
        <v>203</v>
      </c>
      <c r="B253" s="17" t="s">
        <v>95</v>
      </c>
      <c r="C253" s="61">
        <v>-1358849.23</v>
      </c>
      <c r="D253" s="61">
        <f>-(-1338272+1358849)</f>
        <v>-20577</v>
      </c>
      <c r="E253" s="54">
        <f t="shared" si="178"/>
        <v>-1338272.23</v>
      </c>
      <c r="F253" s="27">
        <f>+'DFIT Computations'!G255</f>
        <v>0</v>
      </c>
      <c r="G253" s="27">
        <f t="shared" si="179"/>
        <v>-1338272.23</v>
      </c>
      <c r="H253" s="27">
        <f>+'DFIT Computations'!I255</f>
        <v>0</v>
      </c>
      <c r="I253" s="27">
        <f t="shared" si="180"/>
        <v>-1338272.23</v>
      </c>
      <c r="J253" s="51">
        <f t="shared" si="181"/>
        <v>0.98599999999999999</v>
      </c>
      <c r="K253" s="42">
        <f t="shared" si="182"/>
        <v>-1319536</v>
      </c>
      <c r="L253" s="18" t="str">
        <f>'DFIT Computations'!M255</f>
        <v>ENERGY</v>
      </c>
      <c r="M253" s="27">
        <f>+'DFIT Computations'!N255</f>
        <v>0</v>
      </c>
      <c r="N253" s="27">
        <f t="shared" si="183"/>
        <v>-1319536</v>
      </c>
      <c r="O253" s="27"/>
    </row>
    <row r="254" spans="1:15" x14ac:dyDescent="0.25">
      <c r="A254" s="18">
        <f t="shared" si="174"/>
        <v>204</v>
      </c>
      <c r="B254" s="17" t="s">
        <v>96</v>
      </c>
      <c r="C254" s="61">
        <v>0</v>
      </c>
      <c r="D254" s="61">
        <v>0</v>
      </c>
      <c r="E254" s="54">
        <f t="shared" si="178"/>
        <v>0</v>
      </c>
      <c r="F254" s="27">
        <f>+'DFIT Computations'!G256</f>
        <v>0</v>
      </c>
      <c r="G254" s="27">
        <f t="shared" si="179"/>
        <v>0</v>
      </c>
      <c r="H254" s="27">
        <f>+'DFIT Computations'!I256</f>
        <v>0</v>
      </c>
      <c r="I254" s="27">
        <f t="shared" si="180"/>
        <v>0</v>
      </c>
      <c r="J254" s="51">
        <f t="shared" si="181"/>
        <v>0</v>
      </c>
      <c r="K254" s="42">
        <f t="shared" si="182"/>
        <v>0</v>
      </c>
      <c r="L254" s="18" t="str">
        <f>'DFIT Computations'!M256</f>
        <v>NON-UTILITY</v>
      </c>
      <c r="M254" s="27">
        <f>+'DFIT Computations'!N256</f>
        <v>0</v>
      </c>
      <c r="N254" s="27">
        <f t="shared" si="183"/>
        <v>0</v>
      </c>
      <c r="O254" s="27"/>
    </row>
    <row r="255" spans="1:15" x14ac:dyDescent="0.25">
      <c r="A255" s="18">
        <f t="shared" si="174"/>
        <v>205</v>
      </c>
      <c r="B255" s="17" t="s">
        <v>97</v>
      </c>
      <c r="C255" s="61">
        <v>0</v>
      </c>
      <c r="D255" s="61">
        <v>0</v>
      </c>
      <c r="E255" s="54">
        <f t="shared" si="178"/>
        <v>0</v>
      </c>
      <c r="F255" s="27">
        <f>+'DFIT Computations'!G257</f>
        <v>0</v>
      </c>
      <c r="G255" s="27">
        <f t="shared" si="179"/>
        <v>0</v>
      </c>
      <c r="H255" s="27">
        <f>+'DFIT Computations'!I257</f>
        <v>0</v>
      </c>
      <c r="I255" s="27">
        <f t="shared" si="180"/>
        <v>0</v>
      </c>
      <c r="J255" s="51">
        <f t="shared" si="181"/>
        <v>0</v>
      </c>
      <c r="K255" s="42">
        <f t="shared" si="182"/>
        <v>0</v>
      </c>
      <c r="L255" s="18" t="str">
        <f>'DFIT Computations'!M257</f>
        <v>NON-UTILITY</v>
      </c>
      <c r="M255" s="27">
        <f>+'DFIT Computations'!N257</f>
        <v>0</v>
      </c>
      <c r="N255" s="27">
        <f t="shared" si="183"/>
        <v>0</v>
      </c>
      <c r="O255" s="27"/>
    </row>
    <row r="256" spans="1:15" x14ac:dyDescent="0.25">
      <c r="A256" s="18">
        <f t="shared" si="174"/>
        <v>206</v>
      </c>
      <c r="B256" s="17" t="s">
        <v>98</v>
      </c>
      <c r="C256" s="61">
        <v>-60341.4</v>
      </c>
      <c r="D256" s="61">
        <v>0</v>
      </c>
      <c r="E256" s="54">
        <f t="shared" si="178"/>
        <v>-60341.4</v>
      </c>
      <c r="F256" s="27">
        <f>+'DFIT Computations'!G258</f>
        <v>0</v>
      </c>
      <c r="G256" s="27">
        <f t="shared" si="179"/>
        <v>-60341.4</v>
      </c>
      <c r="H256" s="27">
        <f>+'DFIT Computations'!I258</f>
        <v>0</v>
      </c>
      <c r="I256" s="27">
        <f t="shared" si="180"/>
        <v>-60341.4</v>
      </c>
      <c r="J256" s="51">
        <f t="shared" si="181"/>
        <v>0.98599999999999999</v>
      </c>
      <c r="K256" s="42">
        <f t="shared" si="182"/>
        <v>-59497</v>
      </c>
      <c r="L256" s="18" t="str">
        <f>'DFIT Computations'!M258</f>
        <v>ENERGY</v>
      </c>
      <c r="M256" s="27">
        <f>+'DFIT Computations'!N258</f>
        <v>0</v>
      </c>
      <c r="N256" s="27">
        <f t="shared" si="183"/>
        <v>-59497</v>
      </c>
      <c r="O256" s="27"/>
    </row>
    <row r="257" spans="1:15" x14ac:dyDescent="0.25">
      <c r="A257" s="18">
        <f t="shared" si="174"/>
        <v>207</v>
      </c>
      <c r="B257" s="17" t="s">
        <v>99</v>
      </c>
      <c r="C257" s="61">
        <v>-144.27000000000001</v>
      </c>
      <c r="D257" s="61">
        <v>-144</v>
      </c>
      <c r="E257" s="54">
        <f t="shared" si="178"/>
        <v>-0.27000000000001023</v>
      </c>
      <c r="F257" s="27">
        <f>+'DFIT Computations'!G259</f>
        <v>0</v>
      </c>
      <c r="G257" s="27">
        <f t="shared" si="179"/>
        <v>-0.27000000000001023</v>
      </c>
      <c r="H257" s="27">
        <f>+'DFIT Computations'!I259</f>
        <v>0</v>
      </c>
      <c r="I257" s="27">
        <f t="shared" si="180"/>
        <v>-0.27000000000001023</v>
      </c>
      <c r="J257" s="51">
        <f t="shared" si="181"/>
        <v>0.98599999999999999</v>
      </c>
      <c r="K257" s="42">
        <f t="shared" si="182"/>
        <v>0</v>
      </c>
      <c r="L257" s="18" t="str">
        <f>'DFIT Computations'!M259</f>
        <v>ENERGY</v>
      </c>
      <c r="M257" s="27">
        <f>+'DFIT Computations'!N259</f>
        <v>0</v>
      </c>
      <c r="N257" s="27">
        <f t="shared" si="183"/>
        <v>0</v>
      </c>
      <c r="O257" s="27"/>
    </row>
    <row r="258" spans="1:15" x14ac:dyDescent="0.25">
      <c r="A258" s="18">
        <f t="shared" si="174"/>
        <v>208</v>
      </c>
      <c r="B258" s="17" t="s">
        <v>100</v>
      </c>
      <c r="C258" s="61">
        <v>-1928.01</v>
      </c>
      <c r="D258" s="61">
        <v>0</v>
      </c>
      <c r="E258" s="54">
        <f t="shared" si="178"/>
        <v>-1928.01</v>
      </c>
      <c r="F258" s="27">
        <f>+'DFIT Computations'!G260</f>
        <v>0</v>
      </c>
      <c r="G258" s="27">
        <f t="shared" si="179"/>
        <v>-1928.01</v>
      </c>
      <c r="H258" s="27">
        <f>+'DFIT Computations'!I260</f>
        <v>0</v>
      </c>
      <c r="I258" s="27">
        <f t="shared" si="180"/>
        <v>-1928.01</v>
      </c>
      <c r="J258" s="51">
        <f t="shared" si="181"/>
        <v>0.98599999999999999</v>
      </c>
      <c r="K258" s="42">
        <f t="shared" si="182"/>
        <v>-1901</v>
      </c>
      <c r="L258" s="18" t="str">
        <f>'DFIT Computations'!M260</f>
        <v>ENERGY</v>
      </c>
      <c r="M258" s="27">
        <f>+'DFIT Computations'!N260</f>
        <v>0</v>
      </c>
      <c r="N258" s="27">
        <f t="shared" si="183"/>
        <v>-1901</v>
      </c>
      <c r="O258" s="27"/>
    </row>
    <row r="259" spans="1:15" x14ac:dyDescent="0.25">
      <c r="A259" s="18">
        <f t="shared" si="174"/>
        <v>209</v>
      </c>
      <c r="B259" s="17" t="s">
        <v>260</v>
      </c>
      <c r="C259" s="61">
        <v>0</v>
      </c>
      <c r="D259" s="61">
        <v>0</v>
      </c>
      <c r="E259" s="54">
        <f t="shared" si="178"/>
        <v>0</v>
      </c>
      <c r="F259" s="27">
        <f>+'DFIT Computations'!G261</f>
        <v>0</v>
      </c>
      <c r="G259" s="27">
        <f t="shared" si="179"/>
        <v>0</v>
      </c>
      <c r="H259" s="27">
        <f>+'DFIT Computations'!I261</f>
        <v>0</v>
      </c>
      <c r="I259" s="27">
        <f t="shared" si="180"/>
        <v>0</v>
      </c>
      <c r="J259" s="51">
        <f t="shared" si="181"/>
        <v>0.98599999999999999</v>
      </c>
      <c r="K259" s="42">
        <f t="shared" si="182"/>
        <v>0</v>
      </c>
      <c r="L259" s="18" t="str">
        <f>'DFIT Computations'!M261</f>
        <v>ENERGY</v>
      </c>
      <c r="M259" s="27">
        <f>+'DFIT Computations'!N261</f>
        <v>0</v>
      </c>
      <c r="N259" s="27">
        <f t="shared" si="183"/>
        <v>0</v>
      </c>
      <c r="O259" s="27"/>
    </row>
    <row r="260" spans="1:15" x14ac:dyDescent="0.25">
      <c r="A260" s="18">
        <f t="shared" si="174"/>
        <v>210</v>
      </c>
      <c r="B260" s="17" t="s">
        <v>101</v>
      </c>
      <c r="C260" s="61">
        <v>0</v>
      </c>
      <c r="D260" s="61">
        <v>0</v>
      </c>
      <c r="E260" s="54">
        <f t="shared" si="178"/>
        <v>0</v>
      </c>
      <c r="F260" s="27">
        <f>+'DFIT Computations'!G262</f>
        <v>0</v>
      </c>
      <c r="G260" s="27">
        <f t="shared" si="179"/>
        <v>0</v>
      </c>
      <c r="H260" s="27">
        <f>+'DFIT Computations'!I262</f>
        <v>0</v>
      </c>
      <c r="I260" s="27">
        <f t="shared" si="180"/>
        <v>0</v>
      </c>
      <c r="J260" s="51">
        <f t="shared" si="181"/>
        <v>0</v>
      </c>
      <c r="K260" s="42">
        <f t="shared" si="182"/>
        <v>0</v>
      </c>
      <c r="L260" s="18" t="str">
        <f>'DFIT Computations'!M262</f>
        <v>NON-UTILITY</v>
      </c>
      <c r="M260" s="27">
        <f>+'DFIT Computations'!N262</f>
        <v>0</v>
      </c>
      <c r="N260" s="27">
        <f t="shared" si="183"/>
        <v>0</v>
      </c>
      <c r="O260" s="27"/>
    </row>
    <row r="261" spans="1:15" x14ac:dyDescent="0.25">
      <c r="A261" s="18">
        <f t="shared" si="174"/>
        <v>211</v>
      </c>
      <c r="B261" s="17" t="s">
        <v>261</v>
      </c>
      <c r="C261" s="61">
        <v>0</v>
      </c>
      <c r="D261" s="61">
        <v>0</v>
      </c>
      <c r="E261" s="54">
        <f t="shared" si="178"/>
        <v>0</v>
      </c>
      <c r="F261" s="27">
        <f>+'DFIT Computations'!G263</f>
        <v>0</v>
      </c>
      <c r="G261" s="27">
        <f t="shared" si="179"/>
        <v>0</v>
      </c>
      <c r="H261" s="27">
        <f>+'DFIT Computations'!I263</f>
        <v>0</v>
      </c>
      <c r="I261" s="27">
        <f t="shared" si="180"/>
        <v>0</v>
      </c>
      <c r="J261" s="51">
        <f t="shared" si="181"/>
        <v>0</v>
      </c>
      <c r="K261" s="42">
        <f t="shared" si="182"/>
        <v>0</v>
      </c>
      <c r="L261" s="18" t="str">
        <f>'DFIT Computations'!M263</f>
        <v>NON-UTILITY</v>
      </c>
      <c r="M261" s="27">
        <f>+'DFIT Computations'!N263</f>
        <v>0</v>
      </c>
      <c r="N261" s="27">
        <f t="shared" si="183"/>
        <v>0</v>
      </c>
      <c r="O261" s="27"/>
    </row>
    <row r="262" spans="1:15" x14ac:dyDescent="0.25">
      <c r="A262" s="18">
        <f t="shared" si="174"/>
        <v>212</v>
      </c>
      <c r="B262" s="17" t="s">
        <v>102</v>
      </c>
      <c r="C262" s="61">
        <v>691058.13</v>
      </c>
      <c r="D262" s="61">
        <v>0</v>
      </c>
      <c r="E262" s="54">
        <f t="shared" si="178"/>
        <v>691058.13</v>
      </c>
      <c r="F262" s="27">
        <f>+'DFIT Computations'!G264</f>
        <v>0</v>
      </c>
      <c r="G262" s="27">
        <f t="shared" si="179"/>
        <v>691058.13</v>
      </c>
      <c r="H262" s="27">
        <f>+'DFIT Computations'!I264</f>
        <v>0</v>
      </c>
      <c r="I262" s="27">
        <f t="shared" si="180"/>
        <v>691058.13</v>
      </c>
      <c r="J262" s="51">
        <f t="shared" si="181"/>
        <v>0.98599999999999999</v>
      </c>
      <c r="K262" s="42">
        <f t="shared" si="182"/>
        <v>681383</v>
      </c>
      <c r="L262" s="18" t="str">
        <f>'DFIT Computations'!M264</f>
        <v>ENERGY</v>
      </c>
      <c r="M262" s="27">
        <f>+'DFIT Computations'!N264</f>
        <v>0</v>
      </c>
      <c r="N262" s="27">
        <f t="shared" si="183"/>
        <v>681383</v>
      </c>
      <c r="O262" s="27"/>
    </row>
    <row r="263" spans="1:15" ht="13" x14ac:dyDescent="0.3">
      <c r="A263" s="18">
        <f t="shared" si="174"/>
        <v>213</v>
      </c>
      <c r="B263" s="75" t="s">
        <v>103</v>
      </c>
      <c r="C263" s="78">
        <f t="shared" ref="C263:I263" si="184">SUM(C252:C262)</f>
        <v>-730204.77999999991</v>
      </c>
      <c r="D263" s="78">
        <f t="shared" si="184"/>
        <v>-20721</v>
      </c>
      <c r="E263" s="78">
        <f t="shared" si="184"/>
        <v>-709483.77999999991</v>
      </c>
      <c r="F263" s="78">
        <f t="shared" ref="F263" si="185">SUM(F252:F262)</f>
        <v>0</v>
      </c>
      <c r="G263" s="78">
        <f t="shared" si="184"/>
        <v>-709483.77999999991</v>
      </c>
      <c r="H263" s="78">
        <f t="shared" si="184"/>
        <v>0</v>
      </c>
      <c r="I263" s="78">
        <f t="shared" si="184"/>
        <v>-709483.77999999991</v>
      </c>
      <c r="J263" s="24"/>
      <c r="K263" s="78">
        <f>SUM(K252:K262)</f>
        <v>-699551</v>
      </c>
      <c r="M263" s="78">
        <f t="shared" ref="M263:N263" si="186">SUM(M252:M262)</f>
        <v>0</v>
      </c>
      <c r="N263" s="78">
        <f t="shared" si="186"/>
        <v>-699551</v>
      </c>
      <c r="O263" s="27"/>
    </row>
    <row r="264" spans="1:15" x14ac:dyDescent="0.25">
      <c r="A264" s="18">
        <f t="shared" si="174"/>
        <v>214</v>
      </c>
      <c r="B264" s="17" t="s">
        <v>0</v>
      </c>
      <c r="C264" s="36"/>
      <c r="D264" s="38"/>
      <c r="E264" s="38"/>
      <c r="F264" s="38"/>
      <c r="G264" s="38"/>
      <c r="H264" s="38"/>
      <c r="I264" s="38"/>
      <c r="J264" s="81"/>
      <c r="M264" s="38"/>
      <c r="N264" s="38"/>
    </row>
    <row r="265" spans="1:15" ht="13" x14ac:dyDescent="0.3">
      <c r="A265" s="18">
        <f t="shared" si="174"/>
        <v>215</v>
      </c>
      <c r="B265" s="75" t="s">
        <v>104</v>
      </c>
      <c r="C265" s="61"/>
      <c r="D265" s="38"/>
      <c r="E265" s="38"/>
      <c r="F265" s="38"/>
      <c r="G265" s="38"/>
      <c r="H265" s="38"/>
      <c r="I265" s="38"/>
      <c r="J265" s="81"/>
      <c r="M265" s="38"/>
      <c r="N265" s="38"/>
    </row>
    <row r="266" spans="1:15" x14ac:dyDescent="0.25">
      <c r="A266" s="18">
        <f t="shared" si="174"/>
        <v>216</v>
      </c>
      <c r="B266" s="17" t="s">
        <v>105</v>
      </c>
      <c r="C266" s="61">
        <v>-67327.259999999995</v>
      </c>
      <c r="D266" s="61">
        <v>0</v>
      </c>
      <c r="E266" s="54">
        <f t="shared" ref="E266:E272" si="187">+C266-D266</f>
        <v>-67327.259999999995</v>
      </c>
      <c r="F266" s="27">
        <f>+'DFIT Computations'!G268</f>
        <v>0</v>
      </c>
      <c r="G266" s="27">
        <f t="shared" ref="G266:G272" si="188">+E266+F266</f>
        <v>-67327.259999999995</v>
      </c>
      <c r="H266" s="27">
        <f>+'DFIT Computations'!I268</f>
        <v>0</v>
      </c>
      <c r="I266" s="27">
        <f t="shared" ref="I266:I272" si="189">+G266+H266</f>
        <v>-67327.259999999995</v>
      </c>
      <c r="J266" s="51">
        <f t="shared" ref="J266:J272" si="190">VLOOKUP(L266,$C$306:$D$320,2,FALSE)</f>
        <v>0.98599999999999999</v>
      </c>
      <c r="K266" s="42">
        <f t="shared" ref="K266:K272" si="191">IF(I266*J266=0,0, ROUND(I266*J266,0))</f>
        <v>-66385</v>
      </c>
      <c r="L266" s="18" t="str">
        <f>'DFIT Computations'!M268</f>
        <v>ENERGY</v>
      </c>
      <c r="M266" s="27">
        <f>+'DFIT Computations'!N268</f>
        <v>0</v>
      </c>
      <c r="N266" s="27">
        <f t="shared" ref="N266:N272" si="192">K266+M266</f>
        <v>-66385</v>
      </c>
      <c r="O266" s="27"/>
    </row>
    <row r="267" spans="1:15" x14ac:dyDescent="0.25">
      <c r="A267" s="18">
        <f t="shared" si="174"/>
        <v>217</v>
      </c>
      <c r="B267" s="17" t="s">
        <v>265</v>
      </c>
      <c r="C267" s="61">
        <v>0</v>
      </c>
      <c r="D267" s="61">
        <v>0</v>
      </c>
      <c r="E267" s="54">
        <f t="shared" si="187"/>
        <v>0</v>
      </c>
      <c r="F267" s="27">
        <f>+'DFIT Computations'!G269</f>
        <v>0</v>
      </c>
      <c r="G267" s="27">
        <f t="shared" si="188"/>
        <v>0</v>
      </c>
      <c r="H267" s="27">
        <f>+'DFIT Computations'!I269</f>
        <v>0</v>
      </c>
      <c r="I267" s="27">
        <f t="shared" si="189"/>
        <v>0</v>
      </c>
      <c r="J267" s="51">
        <f t="shared" si="190"/>
        <v>0.98599999999999999</v>
      </c>
      <c r="K267" s="42">
        <f t="shared" si="191"/>
        <v>0</v>
      </c>
      <c r="L267" s="18" t="str">
        <f>'DFIT Computations'!M269</f>
        <v>ENERGY</v>
      </c>
      <c r="M267" s="27">
        <f>+'DFIT Computations'!N269</f>
        <v>0</v>
      </c>
      <c r="N267" s="27">
        <f t="shared" si="192"/>
        <v>0</v>
      </c>
      <c r="O267" s="27"/>
    </row>
    <row r="268" spans="1:15" x14ac:dyDescent="0.25">
      <c r="A268" s="18">
        <f t="shared" si="174"/>
        <v>218</v>
      </c>
      <c r="B268" s="17" t="s">
        <v>262</v>
      </c>
      <c r="C268" s="61">
        <v>0</v>
      </c>
      <c r="D268" s="61">
        <v>0</v>
      </c>
      <c r="E268" s="54">
        <f t="shared" si="187"/>
        <v>0</v>
      </c>
      <c r="F268" s="27">
        <f>+'DFIT Computations'!G270</f>
        <v>0</v>
      </c>
      <c r="G268" s="27">
        <f t="shared" si="188"/>
        <v>0</v>
      </c>
      <c r="H268" s="27">
        <f>+'DFIT Computations'!I270</f>
        <v>0</v>
      </c>
      <c r="I268" s="27">
        <f t="shared" si="189"/>
        <v>0</v>
      </c>
      <c r="J268" s="51">
        <f t="shared" si="190"/>
        <v>0</v>
      </c>
      <c r="K268" s="42">
        <f t="shared" si="191"/>
        <v>0</v>
      </c>
      <c r="L268" s="18" t="str">
        <f>'DFIT Computations'!M270</f>
        <v>NON-UTILITY</v>
      </c>
      <c r="M268" s="27">
        <f>+'DFIT Computations'!N270</f>
        <v>0</v>
      </c>
      <c r="N268" s="27">
        <f t="shared" si="192"/>
        <v>0</v>
      </c>
      <c r="O268" s="27"/>
    </row>
    <row r="269" spans="1:15" x14ac:dyDescent="0.25">
      <c r="A269" s="18">
        <f t="shared" si="174"/>
        <v>219</v>
      </c>
      <c r="B269" s="17" t="s">
        <v>106</v>
      </c>
      <c r="C269" s="61">
        <v>0</v>
      </c>
      <c r="D269" s="61">
        <v>0</v>
      </c>
      <c r="E269" s="54">
        <f t="shared" si="187"/>
        <v>0</v>
      </c>
      <c r="F269" s="27">
        <f>+'DFIT Computations'!G271</f>
        <v>0</v>
      </c>
      <c r="G269" s="27">
        <f t="shared" si="188"/>
        <v>0</v>
      </c>
      <c r="H269" s="27">
        <f>+'DFIT Computations'!I271</f>
        <v>0</v>
      </c>
      <c r="I269" s="27">
        <f t="shared" si="189"/>
        <v>0</v>
      </c>
      <c r="J269" s="51">
        <f t="shared" si="190"/>
        <v>0</v>
      </c>
      <c r="K269" s="42">
        <f t="shared" si="191"/>
        <v>0</v>
      </c>
      <c r="L269" s="18" t="str">
        <f>'DFIT Computations'!M271</f>
        <v>NON-UTILITY</v>
      </c>
      <c r="M269" s="27">
        <f>+'DFIT Computations'!N271</f>
        <v>0</v>
      </c>
      <c r="N269" s="27">
        <f t="shared" si="192"/>
        <v>0</v>
      </c>
      <c r="O269" s="27"/>
    </row>
    <row r="270" spans="1:15" x14ac:dyDescent="0.25">
      <c r="A270" s="18">
        <f t="shared" si="174"/>
        <v>220</v>
      </c>
      <c r="B270" s="17" t="s">
        <v>266</v>
      </c>
      <c r="C270" s="61">
        <v>0</v>
      </c>
      <c r="D270" s="61">
        <v>0</v>
      </c>
      <c r="E270" s="54">
        <f t="shared" si="187"/>
        <v>0</v>
      </c>
      <c r="F270" s="27">
        <f>+'DFIT Computations'!G272</f>
        <v>0</v>
      </c>
      <c r="G270" s="27">
        <f t="shared" si="188"/>
        <v>0</v>
      </c>
      <c r="H270" s="27">
        <f>+'DFIT Computations'!I272</f>
        <v>0</v>
      </c>
      <c r="I270" s="27">
        <f t="shared" si="189"/>
        <v>0</v>
      </c>
      <c r="J270" s="51">
        <f t="shared" si="190"/>
        <v>0.98599999999999999</v>
      </c>
      <c r="K270" s="42">
        <f t="shared" si="191"/>
        <v>0</v>
      </c>
      <c r="L270" s="18" t="str">
        <f>'DFIT Computations'!M272</f>
        <v>ENERGY</v>
      </c>
      <c r="M270" s="27">
        <f>+'DFIT Computations'!N272</f>
        <v>0</v>
      </c>
      <c r="N270" s="27">
        <f t="shared" si="192"/>
        <v>0</v>
      </c>
      <c r="O270" s="27"/>
    </row>
    <row r="271" spans="1:15" x14ac:dyDescent="0.25">
      <c r="A271" s="18">
        <f t="shared" si="174"/>
        <v>221</v>
      </c>
      <c r="B271" s="17" t="s">
        <v>267</v>
      </c>
      <c r="C271" s="61">
        <v>0</v>
      </c>
      <c r="D271" s="61">
        <v>0</v>
      </c>
      <c r="E271" s="54">
        <f t="shared" si="187"/>
        <v>0</v>
      </c>
      <c r="F271" s="27">
        <f>+'DFIT Computations'!G273</f>
        <v>0</v>
      </c>
      <c r="G271" s="27">
        <f t="shared" si="188"/>
        <v>0</v>
      </c>
      <c r="H271" s="27">
        <f>+'DFIT Computations'!I273</f>
        <v>0</v>
      </c>
      <c r="I271" s="27">
        <f t="shared" si="189"/>
        <v>0</v>
      </c>
      <c r="J271" s="51">
        <f t="shared" si="190"/>
        <v>0.98599999999999999</v>
      </c>
      <c r="K271" s="42">
        <f t="shared" si="191"/>
        <v>0</v>
      </c>
      <c r="L271" s="18" t="str">
        <f>'DFIT Computations'!M273</f>
        <v>ENERGY</v>
      </c>
      <c r="M271" s="27">
        <f>+'DFIT Computations'!N273</f>
        <v>0</v>
      </c>
      <c r="N271" s="27">
        <f t="shared" si="192"/>
        <v>0</v>
      </c>
      <c r="O271" s="27"/>
    </row>
    <row r="272" spans="1:15" x14ac:dyDescent="0.25">
      <c r="A272" s="18">
        <f t="shared" si="174"/>
        <v>222</v>
      </c>
      <c r="B272" s="17" t="s">
        <v>107</v>
      </c>
      <c r="C272" s="61">
        <v>0</v>
      </c>
      <c r="D272" s="61">
        <v>0</v>
      </c>
      <c r="E272" s="54">
        <f t="shared" si="187"/>
        <v>0</v>
      </c>
      <c r="F272" s="27">
        <f>+'DFIT Computations'!G274</f>
        <v>0</v>
      </c>
      <c r="G272" s="27">
        <f t="shared" si="188"/>
        <v>0</v>
      </c>
      <c r="H272" s="27">
        <f>+'DFIT Computations'!I274</f>
        <v>0</v>
      </c>
      <c r="I272" s="27">
        <f t="shared" si="189"/>
        <v>0</v>
      </c>
      <c r="J272" s="51">
        <f t="shared" si="190"/>
        <v>0.98599999999999999</v>
      </c>
      <c r="K272" s="42">
        <f t="shared" si="191"/>
        <v>0</v>
      </c>
      <c r="L272" s="18" t="str">
        <f>'DFIT Computations'!M274</f>
        <v>ENERGY</v>
      </c>
      <c r="M272" s="27">
        <f>+'DFIT Computations'!N274</f>
        <v>0</v>
      </c>
      <c r="N272" s="27">
        <f t="shared" si="192"/>
        <v>0</v>
      </c>
      <c r="O272" s="27"/>
    </row>
    <row r="273" spans="1:15" ht="13" x14ac:dyDescent="0.3">
      <c r="A273" s="18">
        <f t="shared" si="174"/>
        <v>223</v>
      </c>
      <c r="B273" s="75" t="s">
        <v>108</v>
      </c>
      <c r="C273" s="78">
        <f t="shared" ref="C273:I273" si="193">SUM(C266:C272)</f>
        <v>-67327.259999999995</v>
      </c>
      <c r="D273" s="78">
        <f t="shared" si="193"/>
        <v>0</v>
      </c>
      <c r="E273" s="78">
        <f t="shared" si="193"/>
        <v>-67327.259999999995</v>
      </c>
      <c r="F273" s="78">
        <f t="shared" ref="F273" si="194">SUM(F266:F272)</f>
        <v>0</v>
      </c>
      <c r="G273" s="78">
        <f t="shared" si="193"/>
        <v>-67327.259999999995</v>
      </c>
      <c r="H273" s="78">
        <f t="shared" si="193"/>
        <v>0</v>
      </c>
      <c r="I273" s="78">
        <f t="shared" si="193"/>
        <v>-67327.259999999995</v>
      </c>
      <c r="J273" s="24"/>
      <c r="K273" s="99">
        <f>SUM(K266:K272)</f>
        <v>-66385</v>
      </c>
      <c r="M273" s="78">
        <f t="shared" ref="M273:N273" si="195">SUM(M266:M272)</f>
        <v>0</v>
      </c>
      <c r="N273" s="78">
        <f t="shared" si="195"/>
        <v>-66385</v>
      </c>
      <c r="O273" s="27"/>
    </row>
    <row r="274" spans="1:15" x14ac:dyDescent="0.25">
      <c r="A274" s="18">
        <f t="shared" si="174"/>
        <v>224</v>
      </c>
      <c r="B274" s="17" t="s">
        <v>0</v>
      </c>
      <c r="C274" s="36"/>
      <c r="D274" s="36"/>
      <c r="E274" s="36"/>
      <c r="F274" s="36"/>
      <c r="G274" s="36"/>
      <c r="H274" s="36"/>
      <c r="I274" s="36"/>
      <c r="J274" s="81"/>
      <c r="M274" s="36"/>
      <c r="N274" s="36"/>
    </row>
    <row r="275" spans="1:15" ht="13" x14ac:dyDescent="0.3">
      <c r="A275" s="18">
        <f t="shared" si="174"/>
        <v>225</v>
      </c>
      <c r="B275" s="75" t="s">
        <v>158</v>
      </c>
      <c r="C275" s="85">
        <f t="shared" ref="C275:I275" si="196">+C43+C55+C62+C71+C76+C80+C84+C90+C95+C99+C126+C173+C177+C223+C236+C241+C245+C249+C263+C273</f>
        <v>3460761.7399999988</v>
      </c>
      <c r="D275" s="85">
        <f t="shared" si="196"/>
        <v>-1051747.3900000001</v>
      </c>
      <c r="E275" s="85">
        <f t="shared" si="196"/>
        <v>4512509.1299999971</v>
      </c>
      <c r="F275" s="85">
        <f t="shared" si="196"/>
        <v>0</v>
      </c>
      <c r="G275" s="85">
        <f t="shared" si="196"/>
        <v>4512509.1299999971</v>
      </c>
      <c r="H275" s="85">
        <f t="shared" si="196"/>
        <v>0</v>
      </c>
      <c r="I275" s="85">
        <f t="shared" si="196"/>
        <v>4512509.1299999971</v>
      </c>
      <c r="J275" s="24"/>
      <c r="K275" s="85">
        <f>+K43+K55+K62+K71+K76+K80+K84+K90+K95+K99+K126+K173+K177+K223+K236+K241+K245+K249+K263+K273</f>
        <v>4429307</v>
      </c>
      <c r="M275" s="85">
        <f>+M43+M55+M62+M71+M76+M80+M84+M90+M95+M99+M126+M173+M177+M223+M236+M241+M245+M249+M263+M273</f>
        <v>10486154</v>
      </c>
      <c r="N275" s="85">
        <f>+N43+N55+N62+N71+N76+N80+N84+N90+N95+N99+N126+N173+N177+N223+N236+N241+N245+N249+N263+N273</f>
        <v>14915461</v>
      </c>
    </row>
    <row r="276" spans="1:15" x14ac:dyDescent="0.25">
      <c r="A276" s="18">
        <f t="shared" si="174"/>
        <v>226</v>
      </c>
      <c r="B276" s="17" t="s">
        <v>0</v>
      </c>
      <c r="C276" s="36"/>
      <c r="D276" s="38"/>
      <c r="E276" s="41"/>
      <c r="F276" s="38"/>
      <c r="G276" s="38"/>
      <c r="H276" s="38"/>
      <c r="I276" s="38"/>
      <c r="J276" s="81"/>
      <c r="M276" s="38"/>
      <c r="N276" s="38"/>
    </row>
    <row r="277" spans="1:15" x14ac:dyDescent="0.25">
      <c r="A277" s="18">
        <f t="shared" si="174"/>
        <v>227</v>
      </c>
      <c r="C277" s="36"/>
      <c r="E277" s="54"/>
      <c r="F277" s="54"/>
      <c r="G277" s="54"/>
      <c r="H277" s="54"/>
      <c r="I277" s="54"/>
      <c r="J277" s="81"/>
      <c r="K277" s="36"/>
      <c r="M277" s="54"/>
      <c r="N277" s="54"/>
    </row>
    <row r="278" spans="1:15" x14ac:dyDescent="0.25">
      <c r="A278" s="18">
        <f t="shared" si="174"/>
        <v>228</v>
      </c>
      <c r="C278" s="36"/>
      <c r="E278" s="54"/>
      <c r="F278" s="54"/>
      <c r="G278" s="54"/>
      <c r="H278" s="54"/>
      <c r="I278" s="54"/>
      <c r="J278" s="81"/>
      <c r="K278" s="36"/>
      <c r="M278" s="54"/>
      <c r="N278" s="54"/>
    </row>
    <row r="279" spans="1:15" ht="13" x14ac:dyDescent="0.3">
      <c r="A279" s="18">
        <f t="shared" si="174"/>
        <v>229</v>
      </c>
      <c r="B279" s="75" t="s">
        <v>159</v>
      </c>
      <c r="C279" s="36"/>
      <c r="D279" s="36"/>
      <c r="F279" s="54"/>
      <c r="G279" s="54"/>
      <c r="H279" s="54"/>
      <c r="I279" s="54"/>
      <c r="J279" s="81"/>
      <c r="K279" s="36"/>
      <c r="M279" s="54"/>
      <c r="N279" s="54"/>
    </row>
    <row r="280" spans="1:15" x14ac:dyDescent="0.25">
      <c r="A280" s="18">
        <f t="shared" si="174"/>
        <v>230</v>
      </c>
      <c r="B280" s="17" t="s">
        <v>160</v>
      </c>
      <c r="C280" s="61">
        <v>-27.58</v>
      </c>
      <c r="D280" s="61">
        <v>0</v>
      </c>
      <c r="E280" s="54">
        <f t="shared" ref="E280:E285" si="197">+C280-D280</f>
        <v>-27.58</v>
      </c>
      <c r="F280" s="27">
        <f>+'DFIT Computations'!G282</f>
        <v>0</v>
      </c>
      <c r="G280" s="27">
        <f t="shared" ref="G280:G285" si="198">+E280+F280</f>
        <v>-27.58</v>
      </c>
      <c r="H280" s="27">
        <f>+'DFIT Computations'!I282</f>
        <v>0</v>
      </c>
      <c r="I280" s="27">
        <f t="shared" ref="I280:I285" si="199">+G280+H280</f>
        <v>-27.58</v>
      </c>
      <c r="J280" s="51">
        <f t="shared" ref="J280:J285" si="200">VLOOKUP(L280,$C$306:$D$320,2,FALSE)</f>
        <v>0.98499999999999999</v>
      </c>
      <c r="K280" s="42">
        <f t="shared" ref="K280:K285" si="201">IF(I280*J280=0,0, ROUND(I280*J280,0))</f>
        <v>-27</v>
      </c>
      <c r="L280" s="18" t="str">
        <f>'DFIT Computations'!M282</f>
        <v>GROSS PLT</v>
      </c>
      <c r="M280" s="27">
        <f>+'DFIT Computations'!N282</f>
        <v>0</v>
      </c>
      <c r="N280" s="27">
        <f t="shared" ref="N280:N285" si="202">K280+M280</f>
        <v>-27</v>
      </c>
    </row>
    <row r="281" spans="1:15" x14ac:dyDescent="0.25">
      <c r="A281" s="18">
        <f t="shared" si="174"/>
        <v>231</v>
      </c>
      <c r="B281" s="17" t="s">
        <v>161</v>
      </c>
      <c r="C281" s="61">
        <v>0</v>
      </c>
      <c r="D281" s="61">
        <v>0</v>
      </c>
      <c r="E281" s="54">
        <f t="shared" si="197"/>
        <v>0</v>
      </c>
      <c r="F281" s="27">
        <f>+'DFIT Computations'!G283</f>
        <v>0</v>
      </c>
      <c r="G281" s="27">
        <f t="shared" si="198"/>
        <v>0</v>
      </c>
      <c r="H281" s="27">
        <f>+'DFIT Computations'!I283</f>
        <v>0</v>
      </c>
      <c r="I281" s="27">
        <f t="shared" si="199"/>
        <v>0</v>
      </c>
      <c r="J281" s="51">
        <f t="shared" si="200"/>
        <v>0.98499999999999999</v>
      </c>
      <c r="K281" s="42">
        <f t="shared" si="201"/>
        <v>0</v>
      </c>
      <c r="L281" s="18" t="str">
        <f>'DFIT Computations'!M283</f>
        <v>GROSS PLT</v>
      </c>
      <c r="M281" s="27">
        <f>+'DFIT Computations'!N283</f>
        <v>0</v>
      </c>
      <c r="N281" s="27">
        <f t="shared" si="202"/>
        <v>0</v>
      </c>
    </row>
    <row r="282" spans="1:15" x14ac:dyDescent="0.25">
      <c r="A282" s="18">
        <f t="shared" si="174"/>
        <v>232</v>
      </c>
      <c r="B282" s="17" t="s">
        <v>350</v>
      </c>
      <c r="C282" s="61">
        <v>0</v>
      </c>
      <c r="D282" s="61">
        <v>0</v>
      </c>
      <c r="E282" s="54">
        <f t="shared" si="197"/>
        <v>0</v>
      </c>
      <c r="F282" s="27">
        <f>+'DFIT Computations'!G284</f>
        <v>0</v>
      </c>
      <c r="G282" s="27">
        <f t="shared" si="198"/>
        <v>0</v>
      </c>
      <c r="H282" s="27">
        <f>+'DFIT Computations'!I284</f>
        <v>0</v>
      </c>
      <c r="I282" s="27">
        <f t="shared" si="199"/>
        <v>0</v>
      </c>
      <c r="J282" s="51">
        <f t="shared" si="200"/>
        <v>0.98499999999999999</v>
      </c>
      <c r="K282" s="42">
        <f t="shared" si="201"/>
        <v>0</v>
      </c>
      <c r="L282" s="18" t="str">
        <f>'DFIT Computations'!M284</f>
        <v>GROSS PLT</v>
      </c>
      <c r="M282" s="27">
        <f>+'DFIT Computations'!N284</f>
        <v>0</v>
      </c>
      <c r="N282" s="27">
        <f t="shared" si="202"/>
        <v>0</v>
      </c>
    </row>
    <row r="283" spans="1:15" x14ac:dyDescent="0.25">
      <c r="A283" s="18">
        <f t="shared" si="174"/>
        <v>233</v>
      </c>
      <c r="B283" s="17" t="s">
        <v>351</v>
      </c>
      <c r="C283" s="61">
        <v>0</v>
      </c>
      <c r="D283" s="61">
        <v>0</v>
      </c>
      <c r="E283" s="54">
        <f t="shared" si="197"/>
        <v>0</v>
      </c>
      <c r="F283" s="27">
        <f>+'DFIT Computations'!G285</f>
        <v>0</v>
      </c>
      <c r="G283" s="27">
        <f t="shared" si="198"/>
        <v>0</v>
      </c>
      <c r="H283" s="27">
        <f>+'DFIT Computations'!I285</f>
        <v>0</v>
      </c>
      <c r="I283" s="27">
        <f t="shared" si="199"/>
        <v>0</v>
      </c>
      <c r="J283" s="51">
        <f t="shared" si="200"/>
        <v>0.98499999999999999</v>
      </c>
      <c r="K283" s="42">
        <f t="shared" si="201"/>
        <v>0</v>
      </c>
      <c r="L283" s="18" t="str">
        <f>'DFIT Computations'!M285</f>
        <v>GROSS PLT</v>
      </c>
      <c r="M283" s="27">
        <f>+'DFIT Computations'!N285</f>
        <v>0</v>
      </c>
      <c r="N283" s="27">
        <f t="shared" si="202"/>
        <v>0</v>
      </c>
    </row>
    <row r="284" spans="1:15" x14ac:dyDescent="0.25">
      <c r="A284" s="18">
        <f t="shared" si="174"/>
        <v>234</v>
      </c>
      <c r="B284" s="17" t="s">
        <v>352</v>
      </c>
      <c r="C284" s="61">
        <v>0</v>
      </c>
      <c r="D284" s="61">
        <v>0</v>
      </c>
      <c r="E284" s="54">
        <f t="shared" ref="E284" si="203">+C284-D284</f>
        <v>0</v>
      </c>
      <c r="F284" s="27">
        <f>+'DFIT Computations'!G286</f>
        <v>0</v>
      </c>
      <c r="G284" s="27">
        <f t="shared" ref="G284" si="204">+E284+F284</f>
        <v>0</v>
      </c>
      <c r="H284" s="27">
        <f>+'DFIT Computations'!I286</f>
        <v>0</v>
      </c>
      <c r="I284" s="27">
        <f t="shared" ref="I284" si="205">+G284+H284</f>
        <v>0</v>
      </c>
      <c r="J284" s="51">
        <f t="shared" si="200"/>
        <v>0.98499999999999999</v>
      </c>
      <c r="K284" s="42">
        <f t="shared" ref="K284" si="206">IF(I284*J284=0,0, ROUND(I284*J284,0))</f>
        <v>0</v>
      </c>
      <c r="L284" s="18" t="str">
        <f>'DFIT Computations'!M286</f>
        <v>GROSS PLT</v>
      </c>
      <c r="M284" s="27">
        <f>+'DFIT Computations'!N286</f>
        <v>0</v>
      </c>
      <c r="N284" s="27">
        <f t="shared" ref="N284" si="207">K284+M284</f>
        <v>0</v>
      </c>
    </row>
    <row r="285" spans="1:15" x14ac:dyDescent="0.25">
      <c r="A285" s="18">
        <f t="shared" si="174"/>
        <v>235</v>
      </c>
      <c r="B285" s="17" t="s">
        <v>297</v>
      </c>
      <c r="C285" s="61">
        <v>0</v>
      </c>
      <c r="D285" s="61">
        <v>0</v>
      </c>
      <c r="E285" s="54">
        <f t="shared" si="197"/>
        <v>0</v>
      </c>
      <c r="F285" s="27">
        <f>+'DFIT Computations'!G287</f>
        <v>0</v>
      </c>
      <c r="G285" s="27">
        <f t="shared" si="198"/>
        <v>0</v>
      </c>
      <c r="H285" s="27">
        <f>+'DFIT Computations'!I287</f>
        <v>0</v>
      </c>
      <c r="I285" s="27">
        <f t="shared" si="199"/>
        <v>0</v>
      </c>
      <c r="J285" s="51">
        <f t="shared" si="200"/>
        <v>0.98499999999999999</v>
      </c>
      <c r="K285" s="42">
        <f t="shared" si="201"/>
        <v>0</v>
      </c>
      <c r="L285" s="18" t="str">
        <f>'DFIT Computations'!M287</f>
        <v>GROSS PLT</v>
      </c>
      <c r="M285" s="27">
        <f>+'DFIT Computations'!N287</f>
        <v>0</v>
      </c>
      <c r="N285" s="27">
        <f t="shared" si="202"/>
        <v>0</v>
      </c>
    </row>
    <row r="286" spans="1:15" ht="13" x14ac:dyDescent="0.3">
      <c r="A286" s="18">
        <f t="shared" si="174"/>
        <v>236</v>
      </c>
      <c r="B286" s="75" t="s">
        <v>216</v>
      </c>
      <c r="C286" s="78">
        <f t="shared" ref="C286:I286" si="208">SUM(C280:C285)</f>
        <v>-27.58</v>
      </c>
      <c r="D286" s="78">
        <f t="shared" si="208"/>
        <v>0</v>
      </c>
      <c r="E286" s="78">
        <f t="shared" si="208"/>
        <v>-27.58</v>
      </c>
      <c r="F286" s="78">
        <f t="shared" ref="F286" si="209">SUM(F280:F285)</f>
        <v>0</v>
      </c>
      <c r="G286" s="78">
        <f t="shared" si="208"/>
        <v>-27.58</v>
      </c>
      <c r="H286" s="78">
        <f t="shared" si="208"/>
        <v>0</v>
      </c>
      <c r="I286" s="78">
        <f t="shared" si="208"/>
        <v>-27.58</v>
      </c>
      <c r="J286" s="24"/>
      <c r="K286" s="78">
        <f>SUM(K280:K285)</f>
        <v>-27</v>
      </c>
      <c r="L286" s="36"/>
      <c r="M286" s="78">
        <f t="shared" ref="M286:N286" si="210">SUM(M280:M285)</f>
        <v>0</v>
      </c>
      <c r="N286" s="78">
        <f t="shared" si="210"/>
        <v>-27</v>
      </c>
    </row>
    <row r="287" spans="1:15" x14ac:dyDescent="0.25">
      <c r="A287" s="18">
        <f t="shared" si="174"/>
        <v>237</v>
      </c>
      <c r="J287" s="81"/>
    </row>
    <row r="288" spans="1:15" x14ac:dyDescent="0.25">
      <c r="A288" s="18">
        <f t="shared" si="174"/>
        <v>238</v>
      </c>
    </row>
    <row r="289" spans="1:14" x14ac:dyDescent="0.25">
      <c r="A289" s="18">
        <f t="shared" si="174"/>
        <v>239</v>
      </c>
    </row>
    <row r="290" spans="1:14" ht="13.5" thickBot="1" x14ac:dyDescent="0.35">
      <c r="A290" s="18">
        <f t="shared" si="174"/>
        <v>240</v>
      </c>
      <c r="B290" s="75" t="s">
        <v>162</v>
      </c>
      <c r="C290" s="100">
        <f t="shared" ref="C290:I290" si="211">+C275+C286</f>
        <v>3460734.1599999988</v>
      </c>
      <c r="D290" s="100">
        <f t="shared" si="211"/>
        <v>-1051747.3900000001</v>
      </c>
      <c r="E290" s="100">
        <f t="shared" si="211"/>
        <v>4512481.549999997</v>
      </c>
      <c r="F290" s="100">
        <f t="shared" ref="F290" si="212">+F275+F286</f>
        <v>0</v>
      </c>
      <c r="G290" s="100">
        <f t="shared" si="211"/>
        <v>4512481.549999997</v>
      </c>
      <c r="H290" s="100">
        <f t="shared" si="211"/>
        <v>0</v>
      </c>
      <c r="I290" s="100">
        <f t="shared" si="211"/>
        <v>4512481.549999997</v>
      </c>
      <c r="K290" s="100">
        <f>+K275+K286</f>
        <v>4429280</v>
      </c>
      <c r="M290" s="100">
        <f t="shared" ref="M290:N290" si="213">+M275+M286</f>
        <v>10486154</v>
      </c>
      <c r="N290" s="100">
        <f t="shared" si="213"/>
        <v>14915434</v>
      </c>
    </row>
    <row r="291" spans="1:14" ht="13" thickTop="1" x14ac:dyDescent="0.25">
      <c r="A291" s="18">
        <f t="shared" si="174"/>
        <v>241</v>
      </c>
      <c r="C291" s="36"/>
      <c r="F291" s="54"/>
      <c r="G291" s="54"/>
      <c r="H291" s="54"/>
      <c r="I291" s="54"/>
      <c r="M291" s="54"/>
      <c r="N291" s="54"/>
    </row>
    <row r="292" spans="1:14" ht="13" x14ac:dyDescent="0.3">
      <c r="B292" s="135"/>
      <c r="C292" s="101"/>
      <c r="E292" s="101"/>
      <c r="M292" s="138"/>
    </row>
    <row r="293" spans="1:14" x14ac:dyDescent="0.25">
      <c r="B293" s="136"/>
      <c r="C293" s="145"/>
      <c r="E293" s="102"/>
      <c r="J293" s="27"/>
    </row>
    <row r="294" spans="1:14" x14ac:dyDescent="0.25">
      <c r="C294" s="146"/>
      <c r="F294" s="65"/>
      <c r="M294" s="27"/>
    </row>
    <row r="295" spans="1:14" x14ac:dyDescent="0.25">
      <c r="C295" s="147"/>
      <c r="F295" s="65"/>
    </row>
    <row r="296" spans="1:14" x14ac:dyDescent="0.25">
      <c r="C296" s="147"/>
    </row>
    <row r="297" spans="1:14" x14ac:dyDescent="0.25">
      <c r="C297" s="146"/>
    </row>
    <row r="298" spans="1:14" x14ac:dyDescent="0.25">
      <c r="C298" s="146"/>
    </row>
    <row r="299" spans="1:14" x14ac:dyDescent="0.25">
      <c r="C299" s="148"/>
    </row>
    <row r="305" spans="3:4" ht="13" x14ac:dyDescent="0.3">
      <c r="C305" s="93" t="s">
        <v>226</v>
      </c>
      <c r="D305" s="94"/>
    </row>
    <row r="306" spans="3:4" x14ac:dyDescent="0.25">
      <c r="C306" s="47" t="str">
        <f>'CFIT Schedules'!C308</f>
        <v>GROSS PLT</v>
      </c>
      <c r="D306" s="44">
        <f>'CFIT Schedules'!D308</f>
        <v>0.98499999999999999</v>
      </c>
    </row>
    <row r="307" spans="3:4" x14ac:dyDescent="0.25">
      <c r="C307" s="47" t="str">
        <f>'CFIT Schedules'!C309</f>
        <v>NET PLANT</v>
      </c>
      <c r="D307" s="44">
        <f>'CFIT Schedules'!D309</f>
        <v>0.98499999999999999</v>
      </c>
    </row>
    <row r="308" spans="3:4" x14ac:dyDescent="0.25">
      <c r="C308" s="47" t="str">
        <f>'CFIT Schedules'!C310</f>
        <v>PROD PLT</v>
      </c>
      <c r="D308" s="44">
        <f>'CFIT Schedules'!D310</f>
        <v>0.98499999999999999</v>
      </c>
    </row>
    <row r="309" spans="3:4" x14ac:dyDescent="0.25">
      <c r="C309" s="47" t="str">
        <f>'CFIT Schedules'!C311</f>
        <v>TRAN PLT</v>
      </c>
      <c r="D309" s="44">
        <f>'CFIT Schedules'!D311</f>
        <v>0.98499999999999999</v>
      </c>
    </row>
    <row r="310" spans="3:4" x14ac:dyDescent="0.25">
      <c r="C310" s="47" t="str">
        <f>'CFIT Schedules'!C312</f>
        <v>DIST PLT</v>
      </c>
      <c r="D310" s="44">
        <f>'CFIT Schedules'!D312</f>
        <v>0.999</v>
      </c>
    </row>
    <row r="311" spans="3:4" x14ac:dyDescent="0.25">
      <c r="C311" s="47" t="str">
        <f>'CFIT Schedules'!C313</f>
        <v>T&amp;D PLT</v>
      </c>
      <c r="D311" s="44">
        <f>'CFIT Schedules'!D313</f>
        <v>0.99299999999999999</v>
      </c>
    </row>
    <row r="312" spans="3:4" x14ac:dyDescent="0.25">
      <c r="C312" s="47" t="str">
        <f>'CFIT Schedules'!C314</f>
        <v>ENERGY</v>
      </c>
      <c r="D312" s="44">
        <f>'CFIT Schedules'!D314</f>
        <v>0.98599999999999999</v>
      </c>
    </row>
    <row r="313" spans="3:4" x14ac:dyDescent="0.25">
      <c r="C313" s="47" t="str">
        <f>'CFIT Schedules'!C315</f>
        <v>LABOR</v>
      </c>
      <c r="D313" s="44">
        <f>'CFIT Schedules'!D315</f>
        <v>0.99</v>
      </c>
    </row>
    <row r="314" spans="3:4" x14ac:dyDescent="0.25">
      <c r="C314" s="165" t="str">
        <f>'CFIT Schedules'!C316</f>
        <v>O&amp;M EXP</v>
      </c>
      <c r="D314" s="158">
        <f>'CFIT Schedules'!D316</f>
        <v>0.98</v>
      </c>
    </row>
    <row r="315" spans="3:4" x14ac:dyDescent="0.25">
      <c r="C315" s="165" t="str">
        <f>'CFIT Schedules'!C317</f>
        <v>REVENUE</v>
      </c>
      <c r="D315" s="158">
        <f>'CFIT Schedules'!D317</f>
        <v>0.98299999999999998</v>
      </c>
    </row>
    <row r="316" spans="3:4" x14ac:dyDescent="0.25">
      <c r="C316" s="47" t="str">
        <f>'CFIT Schedules'!C318</f>
        <v>REVENUE-OTH</v>
      </c>
      <c r="D316" s="44">
        <f>'CFIT Schedules'!D318</f>
        <v>0</v>
      </c>
    </row>
    <row r="317" spans="3:4" x14ac:dyDescent="0.25">
      <c r="C317" s="47" t="str">
        <f>'CFIT Schedules'!C319</f>
        <v>DEMAND</v>
      </c>
      <c r="D317" s="44">
        <f>'CFIT Schedules'!D319</f>
        <v>0.98499999999999999</v>
      </c>
    </row>
    <row r="318" spans="3:4" x14ac:dyDescent="0.25">
      <c r="C318" s="47" t="str">
        <f>'CFIT Schedules'!C320</f>
        <v>SPECIFIC</v>
      </c>
      <c r="D318" s="44">
        <f>'CFIT Schedules'!D320</f>
        <v>1</v>
      </c>
    </row>
    <row r="319" spans="3:4" x14ac:dyDescent="0.25">
      <c r="C319" s="47" t="str">
        <f>'CFIT Schedules'!C321</f>
        <v>NON-APPLIC</v>
      </c>
      <c r="D319" s="44">
        <f>'CFIT Schedules'!D321</f>
        <v>0</v>
      </c>
    </row>
    <row r="320" spans="3:4" x14ac:dyDescent="0.25">
      <c r="C320" s="47" t="str">
        <f>'CFIT Schedules'!C322</f>
        <v>NON-UTILITY</v>
      </c>
      <c r="D320" s="44">
        <f>'CFIT Schedules'!D322</f>
        <v>0</v>
      </c>
    </row>
  </sheetData>
  <mergeCells count="5">
    <mergeCell ref="A1:J1"/>
    <mergeCell ref="A2:J2"/>
    <mergeCell ref="A3:J3"/>
    <mergeCell ref="A4:J4"/>
    <mergeCell ref="A5:J5"/>
  </mergeCells>
  <phoneticPr fontId="2" type="noConversion"/>
  <pageMargins left="0.25" right="0.25" top="1" bottom="0.5" header="0.5" footer="0.5"/>
  <pageSetup scale="52" orientation="landscape" r:id="rId1"/>
  <headerFooter alignWithMargins="0"/>
  <rowBreaks count="5" manualBreakCount="5">
    <brk id="77" max="13" man="1"/>
    <brk id="127" max="13" man="1"/>
    <brk id="178" max="13" man="1"/>
    <brk id="250" max="13" man="1"/>
    <brk id="29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opLeftCell="D265" zoomScaleNormal="100" workbookViewId="0">
      <selection activeCell="N48" sqref="N48"/>
    </sheetView>
  </sheetViews>
  <sheetFormatPr defaultColWidth="9.1796875" defaultRowHeight="12.5" x14ac:dyDescent="0.25"/>
  <cols>
    <col min="1" max="1" width="9.1796875" style="17"/>
    <col min="2" max="2" width="60.7265625" style="17" customWidth="1"/>
    <col min="3" max="4" width="15.7265625" style="17" customWidth="1"/>
    <col min="5" max="5" width="19.90625" style="17" customWidth="1"/>
    <col min="6" max="15" width="15.7265625" style="17" customWidth="1"/>
    <col min="16" max="16" width="10.81640625" style="17" bestFit="1" customWidth="1"/>
    <col min="17" max="16384" width="9.1796875" style="17"/>
  </cols>
  <sheetData>
    <row r="1" spans="1:15" ht="13" x14ac:dyDescent="0.3">
      <c r="A1" s="153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5" ht="13" x14ac:dyDescent="0.3">
      <c r="A2" s="153" t="s">
        <v>116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5" ht="13" x14ac:dyDescent="0.3">
      <c r="A3" s="153" t="s">
        <v>156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5" ht="13" x14ac:dyDescent="0.3">
      <c r="A4" s="153" t="s">
        <v>118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5" ht="13" x14ac:dyDescent="0.3">
      <c r="A5" s="153" t="str">
        <f>Summary!A4</f>
        <v>Twelve Months Ended March 31, 2020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9" spans="1:15" x14ac:dyDescent="0.25">
      <c r="C9" s="73" t="s">
        <v>131</v>
      </c>
      <c r="D9" s="73" t="s">
        <v>132</v>
      </c>
      <c r="E9" s="73" t="s">
        <v>133</v>
      </c>
      <c r="F9" s="73" t="s">
        <v>134</v>
      </c>
      <c r="G9" s="73" t="s">
        <v>135</v>
      </c>
      <c r="H9" s="73" t="s">
        <v>136</v>
      </c>
      <c r="I9" s="73" t="s">
        <v>137</v>
      </c>
      <c r="J9" s="73" t="s">
        <v>138</v>
      </c>
      <c r="K9" s="73" t="s">
        <v>139</v>
      </c>
      <c r="L9" s="73" t="s">
        <v>145</v>
      </c>
      <c r="M9" s="73" t="s">
        <v>164</v>
      </c>
      <c r="N9" s="73" t="s">
        <v>308</v>
      </c>
      <c r="O9" s="73" t="s">
        <v>309</v>
      </c>
    </row>
    <row r="10" spans="1:15" x14ac:dyDescent="0.25">
      <c r="C10" s="18" t="s">
        <v>114</v>
      </c>
      <c r="E10" s="18" t="s">
        <v>404</v>
      </c>
      <c r="F10" s="18" t="s">
        <v>114</v>
      </c>
      <c r="G10" s="18"/>
      <c r="H10" s="18" t="s">
        <v>114</v>
      </c>
      <c r="J10" s="18" t="s">
        <v>212</v>
      </c>
    </row>
    <row r="11" spans="1:15" x14ac:dyDescent="0.25">
      <c r="C11" s="18" t="s">
        <v>122</v>
      </c>
      <c r="D11" s="18" t="s">
        <v>168</v>
      </c>
      <c r="E11" s="18" t="s">
        <v>166</v>
      </c>
      <c r="F11" s="18" t="s">
        <v>122</v>
      </c>
      <c r="G11" s="18"/>
      <c r="H11" s="18" t="s">
        <v>122</v>
      </c>
      <c r="I11" s="18"/>
      <c r="J11" s="18" t="s">
        <v>304</v>
      </c>
      <c r="K11" s="18" t="s">
        <v>294</v>
      </c>
      <c r="L11" s="18" t="s">
        <v>294</v>
      </c>
      <c r="N11" s="18" t="s">
        <v>295</v>
      </c>
      <c r="O11" s="18" t="s">
        <v>294</v>
      </c>
    </row>
    <row r="12" spans="1:15" x14ac:dyDescent="0.25">
      <c r="C12" s="18" t="s">
        <v>167</v>
      </c>
      <c r="D12" s="18" t="s">
        <v>169</v>
      </c>
      <c r="E12" s="18" t="s">
        <v>165</v>
      </c>
      <c r="F12" s="18" t="s">
        <v>163</v>
      </c>
      <c r="G12" s="18" t="s">
        <v>307</v>
      </c>
      <c r="H12" s="18" t="s">
        <v>127</v>
      </c>
      <c r="I12" s="18" t="s">
        <v>129</v>
      </c>
      <c r="J12" s="18" t="s">
        <v>130</v>
      </c>
      <c r="K12" s="18" t="s">
        <v>140</v>
      </c>
      <c r="L12" s="18" t="s">
        <v>142</v>
      </c>
      <c r="M12" s="18" t="s">
        <v>140</v>
      </c>
      <c r="N12" s="18" t="s">
        <v>183</v>
      </c>
      <c r="O12" s="18" t="s">
        <v>276</v>
      </c>
    </row>
    <row r="13" spans="1:15" ht="13" x14ac:dyDescent="0.3">
      <c r="A13" s="74" t="s">
        <v>119</v>
      </c>
      <c r="B13" s="97" t="s">
        <v>157</v>
      </c>
      <c r="C13" s="74" t="str">
        <f>Summary!C13</f>
        <v>12 Mo. 03/31/20</v>
      </c>
      <c r="D13" s="103" t="s">
        <v>402</v>
      </c>
      <c r="E13" s="74" t="str">
        <f>C13</f>
        <v>12 Mo. 03/31/20</v>
      </c>
      <c r="F13" s="74" t="s">
        <v>123</v>
      </c>
      <c r="G13" s="74" t="s">
        <v>130</v>
      </c>
      <c r="H13" s="74" t="s">
        <v>128</v>
      </c>
      <c r="I13" s="74" t="s">
        <v>130</v>
      </c>
      <c r="J13" s="74" t="str">
        <f>C13</f>
        <v>12 Mo. 03/31/20</v>
      </c>
      <c r="K13" s="74" t="s">
        <v>141</v>
      </c>
      <c r="L13" s="74" t="s">
        <v>143</v>
      </c>
      <c r="M13" s="74" t="s">
        <v>144</v>
      </c>
      <c r="N13" s="74" t="s">
        <v>130</v>
      </c>
      <c r="O13" s="74" t="s">
        <v>143</v>
      </c>
    </row>
    <row r="14" spans="1:15" ht="13" x14ac:dyDescent="0.3">
      <c r="A14" s="6"/>
      <c r="B14" s="79"/>
      <c r="C14" s="6"/>
      <c r="D14" s="104"/>
      <c r="E14" s="6"/>
      <c r="F14" s="6"/>
      <c r="G14" s="6"/>
      <c r="H14" s="6"/>
      <c r="I14" s="6"/>
      <c r="J14" s="6"/>
      <c r="K14" s="6"/>
      <c r="L14" s="6"/>
      <c r="M14" s="6"/>
    </row>
    <row r="15" spans="1:15" ht="13" x14ac:dyDescent="0.3">
      <c r="A15" s="6"/>
      <c r="B15" s="79"/>
      <c r="C15" s="6"/>
      <c r="D15" s="104"/>
      <c r="E15" s="6"/>
      <c r="F15" s="6"/>
      <c r="G15" s="6"/>
      <c r="H15" s="6"/>
      <c r="I15" s="6"/>
      <c r="J15" s="6"/>
      <c r="K15" s="6"/>
      <c r="L15" s="6"/>
      <c r="M15" s="6"/>
    </row>
    <row r="16" spans="1:15" ht="13" x14ac:dyDescent="0.3">
      <c r="A16" s="6"/>
      <c r="B16" s="79"/>
      <c r="C16" s="6"/>
      <c r="D16" s="104"/>
      <c r="E16" s="6"/>
      <c r="F16" s="6"/>
      <c r="G16" s="6"/>
      <c r="H16" s="6"/>
      <c r="I16" s="6"/>
      <c r="J16" s="6"/>
      <c r="K16" s="6"/>
      <c r="L16" s="6"/>
      <c r="M16" s="6"/>
    </row>
    <row r="17" spans="1:16" ht="13" x14ac:dyDescent="0.3">
      <c r="A17" s="6"/>
      <c r="B17" s="79"/>
      <c r="C17" s="6"/>
      <c r="D17" s="104"/>
      <c r="E17" s="6"/>
      <c r="F17" s="6"/>
      <c r="G17" s="6"/>
      <c r="H17" s="6"/>
      <c r="I17" s="6"/>
      <c r="J17" s="6"/>
      <c r="K17" s="6"/>
      <c r="L17" s="6"/>
      <c r="M17" s="6"/>
    </row>
    <row r="18" spans="1:16" ht="13" x14ac:dyDescent="0.3">
      <c r="A18" s="6"/>
      <c r="B18" s="79"/>
      <c r="C18" s="6"/>
      <c r="D18" s="104"/>
      <c r="E18" s="6"/>
      <c r="F18" s="6"/>
      <c r="G18" s="6"/>
      <c r="H18" s="6"/>
      <c r="I18" s="6"/>
      <c r="J18" s="6"/>
      <c r="K18" s="6"/>
      <c r="L18" s="6"/>
      <c r="M18" s="6"/>
    </row>
    <row r="19" spans="1:16" ht="13" x14ac:dyDescent="0.3">
      <c r="A19" s="6"/>
      <c r="B19" s="79"/>
      <c r="C19" s="6"/>
      <c r="D19" s="104"/>
      <c r="E19" s="6"/>
      <c r="F19" s="6"/>
      <c r="G19" s="6"/>
      <c r="H19" s="6"/>
      <c r="I19" s="6"/>
      <c r="J19" s="6"/>
      <c r="K19" s="6"/>
      <c r="L19" s="6"/>
      <c r="M19" s="6"/>
    </row>
    <row r="20" spans="1:16" ht="13" x14ac:dyDescent="0.3">
      <c r="A20" s="6"/>
      <c r="B20" s="79"/>
      <c r="C20" s="6"/>
      <c r="D20" s="104"/>
      <c r="E20" s="6"/>
      <c r="F20" s="6"/>
      <c r="G20" s="6"/>
      <c r="H20" s="6"/>
      <c r="I20" s="6"/>
      <c r="J20" s="6"/>
      <c r="K20" s="6"/>
      <c r="L20" s="6"/>
      <c r="M20" s="6"/>
    </row>
    <row r="21" spans="1:16" ht="13" x14ac:dyDescent="0.3">
      <c r="A21" s="6"/>
      <c r="B21" s="79"/>
      <c r="C21" s="6"/>
      <c r="D21" s="104"/>
      <c r="E21" s="6"/>
      <c r="F21" s="6"/>
      <c r="G21" s="6"/>
      <c r="H21" s="6"/>
      <c r="I21" s="6"/>
      <c r="J21" s="6"/>
      <c r="K21" s="6"/>
      <c r="L21" s="6"/>
      <c r="M21" s="6"/>
    </row>
    <row r="22" spans="1:16" ht="13" x14ac:dyDescent="0.3">
      <c r="A22" s="18">
        <v>1</v>
      </c>
      <c r="B22" s="75" t="s">
        <v>1</v>
      </c>
      <c r="C22" s="6"/>
      <c r="D22" s="104"/>
      <c r="E22" s="6"/>
      <c r="F22" s="6"/>
      <c r="G22" s="6"/>
      <c r="H22" s="6"/>
      <c r="I22" s="6"/>
      <c r="J22" s="6"/>
      <c r="K22" s="6"/>
      <c r="L22" s="6"/>
      <c r="M22" s="6"/>
    </row>
    <row r="23" spans="1:16" x14ac:dyDescent="0.25">
      <c r="A23" s="18">
        <f>A22+1</f>
        <v>2</v>
      </c>
      <c r="B23" s="17" t="s">
        <v>2</v>
      </c>
      <c r="C23" s="36">
        <f>+'CFIT Schedules'!E23</f>
        <v>0</v>
      </c>
      <c r="D23" s="42">
        <f>IF(C23*0.21=0,0,ROUND(C23*-0.21,0))</f>
        <v>0</v>
      </c>
      <c r="E23" s="36">
        <v>0</v>
      </c>
      <c r="F23" s="36">
        <f>SUM(D23:E23)</f>
        <v>0</v>
      </c>
      <c r="G23" s="27">
        <f>ROUND('CFIT Schedules'!F23*-0.35,0)</f>
        <v>0</v>
      </c>
      <c r="H23" s="27">
        <f>+F23+G23</f>
        <v>0</v>
      </c>
      <c r="I23" s="27">
        <f>ROUND('CFIT Schedules'!H23*-0.21,0)</f>
        <v>0</v>
      </c>
      <c r="J23" s="27">
        <f>+H23+I23</f>
        <v>0</v>
      </c>
      <c r="K23" s="51">
        <f t="shared" ref="K23:K42" si="0">VLOOKUP(M23,$C$299:$D$313,2,FALSE)</f>
        <v>0.98499999999999999</v>
      </c>
      <c r="L23" s="42">
        <f t="shared" ref="L23:L42" si="1">IF(J23*K23=0,0, ROUND(J23*K23,0))</f>
        <v>0</v>
      </c>
      <c r="M23" s="18" t="str">
        <f>'CFIT Schedules'!L23</f>
        <v>GROSS PLT</v>
      </c>
      <c r="N23" s="27">
        <f>ROUND('CFIT Schedules'!M23*-0.21,0)</f>
        <v>0</v>
      </c>
      <c r="O23" s="27">
        <f>L23+N23</f>
        <v>0</v>
      </c>
      <c r="P23" s="27"/>
    </row>
    <row r="24" spans="1:16" x14ac:dyDescent="0.25">
      <c r="A24" s="18">
        <f t="shared" ref="A24:A95" si="2">A23+1</f>
        <v>3</v>
      </c>
      <c r="B24" s="17" t="s">
        <v>170</v>
      </c>
      <c r="C24" s="36">
        <v>0</v>
      </c>
      <c r="D24" s="36">
        <v>0</v>
      </c>
      <c r="E24" s="36">
        <v>0</v>
      </c>
      <c r="F24" s="36">
        <f>SUM(D24:E24)</f>
        <v>0</v>
      </c>
      <c r="G24" s="36">
        <v>0</v>
      </c>
      <c r="H24" s="27">
        <f t="shared" ref="H24:H42" si="3">+F24+G24</f>
        <v>0</v>
      </c>
      <c r="I24" s="36">
        <v>0</v>
      </c>
      <c r="J24" s="27">
        <f t="shared" ref="J24:J42" si="4">+H24+I24</f>
        <v>0</v>
      </c>
      <c r="K24" s="51">
        <f t="shared" si="0"/>
        <v>0.98499999999999999</v>
      </c>
      <c r="L24" s="42">
        <f t="shared" si="1"/>
        <v>0</v>
      </c>
      <c r="M24" s="18" t="str">
        <f>'CFIT Schedules'!L24</f>
        <v>GROSS PLT</v>
      </c>
      <c r="N24" s="27">
        <f>ROUND('CFIT Schedules'!M24*-0.21,0)</f>
        <v>0</v>
      </c>
      <c r="O24" s="27">
        <f t="shared" ref="O24:O42" si="5">L24+N24</f>
        <v>0</v>
      </c>
      <c r="P24" s="27"/>
    </row>
    <row r="25" spans="1:16" x14ac:dyDescent="0.25">
      <c r="A25" s="18">
        <f t="shared" si="2"/>
        <v>4</v>
      </c>
      <c r="B25" s="17" t="s">
        <v>3</v>
      </c>
      <c r="C25" s="36">
        <f>+'CFIT Schedules'!E25</f>
        <v>-8262127</v>
      </c>
      <c r="D25" s="42">
        <f>IF(C25*0.21=0,0,ROUND(C25*-0.21,0))</f>
        <v>1735047</v>
      </c>
      <c r="E25" s="36">
        <v>0</v>
      </c>
      <c r="F25" s="36">
        <f t="shared" ref="F25:F42" si="6">SUM(D25:E25)</f>
        <v>1735047</v>
      </c>
      <c r="G25" s="27">
        <f>ROUND('CFIT Schedules'!F25*-0.35,0)</f>
        <v>0</v>
      </c>
      <c r="H25" s="27">
        <f t="shared" si="3"/>
        <v>1735047</v>
      </c>
      <c r="I25" s="27">
        <f>ROUND('CFIT Schedules'!H25*-0.21,0)</f>
        <v>0</v>
      </c>
      <c r="J25" s="27">
        <f t="shared" si="4"/>
        <v>1735047</v>
      </c>
      <c r="K25" s="51">
        <f t="shared" si="0"/>
        <v>0.98499999999999999</v>
      </c>
      <c r="L25" s="42">
        <f t="shared" si="1"/>
        <v>1709021</v>
      </c>
      <c r="M25" s="18" t="str">
        <f>'CFIT Schedules'!L25</f>
        <v>GROSS PLT</v>
      </c>
      <c r="N25" s="27">
        <f>ROUND('CFIT Schedules'!M25*-0.21,0)</f>
        <v>-976309</v>
      </c>
      <c r="O25" s="27">
        <f t="shared" si="5"/>
        <v>732712</v>
      </c>
      <c r="P25" s="27"/>
    </row>
    <row r="26" spans="1:16" x14ac:dyDescent="0.25">
      <c r="A26" s="18">
        <f t="shared" si="2"/>
        <v>5</v>
      </c>
      <c r="B26" s="17" t="s">
        <v>171</v>
      </c>
      <c r="C26" s="36">
        <v>0</v>
      </c>
      <c r="D26" s="36">
        <v>0</v>
      </c>
      <c r="E26" s="36">
        <v>0</v>
      </c>
      <c r="F26" s="36">
        <f>SUM(D26:E26)</f>
        <v>0</v>
      </c>
      <c r="G26" s="36">
        <v>0</v>
      </c>
      <c r="H26" s="27">
        <f t="shared" si="3"/>
        <v>0</v>
      </c>
      <c r="I26" s="36">
        <v>0</v>
      </c>
      <c r="J26" s="27">
        <f t="shared" si="4"/>
        <v>0</v>
      </c>
      <c r="K26" s="51">
        <f t="shared" si="0"/>
        <v>0.98499999999999999</v>
      </c>
      <c r="L26" s="42">
        <f t="shared" si="1"/>
        <v>0</v>
      </c>
      <c r="M26" s="18" t="str">
        <f>'CFIT Schedules'!L26</f>
        <v>GROSS PLT</v>
      </c>
      <c r="N26" s="27">
        <f>ROUND('CFIT Schedules'!M26*-0.21,0)</f>
        <v>0</v>
      </c>
      <c r="O26" s="27">
        <f t="shared" si="5"/>
        <v>0</v>
      </c>
      <c r="P26" s="27"/>
    </row>
    <row r="27" spans="1:16" x14ac:dyDescent="0.25">
      <c r="A27" s="142"/>
      <c r="B27" s="124" t="s">
        <v>367</v>
      </c>
      <c r="C27" s="36">
        <f>'CFIT Schedules'!E27</f>
        <v>2435817</v>
      </c>
      <c r="D27" s="42">
        <f t="shared" ref="D27:D32" si="7">IF(C27*0.21=0,0,ROUND(C27*-0.21,0))</f>
        <v>-511522</v>
      </c>
      <c r="E27" s="36">
        <v>0</v>
      </c>
      <c r="F27" s="36">
        <f>SUM(D27:E27)</f>
        <v>-511522</v>
      </c>
      <c r="G27" s="36">
        <v>0</v>
      </c>
      <c r="H27" s="27">
        <f t="shared" ref="H27" si="8">+F27+G27</f>
        <v>-511522</v>
      </c>
      <c r="I27" s="36">
        <v>0</v>
      </c>
      <c r="J27" s="27">
        <f t="shared" ref="J27" si="9">+H27+I27</f>
        <v>-511522</v>
      </c>
      <c r="K27" s="51">
        <f t="shared" si="0"/>
        <v>0.98499999999999999</v>
      </c>
      <c r="L27" s="42">
        <f t="shared" ref="L27" si="10">IF(J27*K27=0,0, ROUND(J27*K27,0))</f>
        <v>-503849</v>
      </c>
      <c r="M27" s="144" t="str">
        <f>'CFIT Schedules'!L27</f>
        <v>GROSS PLT</v>
      </c>
      <c r="N27" s="27">
        <f>ROUND('CFIT Schedules'!M27*-0.21,0)</f>
        <v>0</v>
      </c>
      <c r="O27" s="27">
        <f t="shared" ref="O27" si="11">L27+N27</f>
        <v>-503849</v>
      </c>
      <c r="P27" s="27"/>
    </row>
    <row r="28" spans="1:16" x14ac:dyDescent="0.25">
      <c r="A28" s="18">
        <f>A26+1</f>
        <v>6</v>
      </c>
      <c r="B28" s="17" t="s">
        <v>4</v>
      </c>
      <c r="C28" s="36">
        <f>+'CFIT Schedules'!E28</f>
        <v>0</v>
      </c>
      <c r="D28" s="42">
        <f t="shared" si="7"/>
        <v>0</v>
      </c>
      <c r="E28" s="36">
        <v>0</v>
      </c>
      <c r="F28" s="36">
        <f t="shared" si="6"/>
        <v>0</v>
      </c>
      <c r="G28" s="27">
        <f>ROUND('CFIT Schedules'!F28*-0.35,0)</f>
        <v>0</v>
      </c>
      <c r="H28" s="27">
        <f t="shared" si="3"/>
        <v>0</v>
      </c>
      <c r="I28" s="27">
        <f>ROUND('CFIT Schedules'!H28*-0.21,0)</f>
        <v>0</v>
      </c>
      <c r="J28" s="27">
        <f t="shared" si="4"/>
        <v>0</v>
      </c>
      <c r="K28" s="51">
        <f t="shared" si="0"/>
        <v>0.98499999999999999</v>
      </c>
      <c r="L28" s="42">
        <f t="shared" si="1"/>
        <v>0</v>
      </c>
      <c r="M28" s="18" t="str">
        <f>'CFIT Schedules'!L28</f>
        <v>GROSS PLT</v>
      </c>
      <c r="N28" s="27">
        <f>ROUND('CFIT Schedules'!M28*-0.21,0)</f>
        <v>0</v>
      </c>
      <c r="O28" s="27">
        <f t="shared" si="5"/>
        <v>0</v>
      </c>
      <c r="P28" s="27"/>
    </row>
    <row r="29" spans="1:16" x14ac:dyDescent="0.25">
      <c r="A29" s="18">
        <f t="shared" si="2"/>
        <v>7</v>
      </c>
      <c r="B29" s="17" t="s">
        <v>5</v>
      </c>
      <c r="C29" s="36">
        <f>+'CFIT Schedules'!E29</f>
        <v>0</v>
      </c>
      <c r="D29" s="42">
        <f t="shared" si="7"/>
        <v>0</v>
      </c>
      <c r="E29" s="36">
        <v>0</v>
      </c>
      <c r="F29" s="36">
        <f t="shared" si="6"/>
        <v>0</v>
      </c>
      <c r="G29" s="27">
        <f>ROUND('CFIT Schedules'!F29*-0.35,0)</f>
        <v>0</v>
      </c>
      <c r="H29" s="27">
        <f t="shared" si="3"/>
        <v>0</v>
      </c>
      <c r="I29" s="27">
        <f>ROUND('CFIT Schedules'!H29*-0.21,0)</f>
        <v>0</v>
      </c>
      <c r="J29" s="27">
        <f t="shared" si="4"/>
        <v>0</v>
      </c>
      <c r="K29" s="51">
        <f t="shared" si="0"/>
        <v>0.98499999999999999</v>
      </c>
      <c r="L29" s="42">
        <f t="shared" si="1"/>
        <v>0</v>
      </c>
      <c r="M29" s="18" t="str">
        <f>'CFIT Schedules'!L29</f>
        <v>GROSS PLT</v>
      </c>
      <c r="N29" s="27">
        <f>ROUND('CFIT Schedules'!M29*-0.21,0)</f>
        <v>0</v>
      </c>
      <c r="O29" s="27">
        <f t="shared" si="5"/>
        <v>0</v>
      </c>
      <c r="P29" s="27"/>
    </row>
    <row r="30" spans="1:16" x14ac:dyDescent="0.25">
      <c r="A30" s="18">
        <f t="shared" si="2"/>
        <v>8</v>
      </c>
      <c r="B30" s="17" t="s">
        <v>6</v>
      </c>
      <c r="C30" s="36">
        <f>+'CFIT Schedules'!E30</f>
        <v>0</v>
      </c>
      <c r="D30" s="42">
        <f t="shared" si="7"/>
        <v>0</v>
      </c>
      <c r="E30" s="36">
        <v>0</v>
      </c>
      <c r="F30" s="36">
        <f t="shared" si="6"/>
        <v>0</v>
      </c>
      <c r="G30" s="27">
        <f>ROUND('CFIT Schedules'!F30*-0.35,0)</f>
        <v>0</v>
      </c>
      <c r="H30" s="27">
        <f t="shared" si="3"/>
        <v>0</v>
      </c>
      <c r="I30" s="27">
        <f>ROUND('CFIT Schedules'!H30*-0.21,0)</f>
        <v>0</v>
      </c>
      <c r="J30" s="27">
        <f t="shared" si="4"/>
        <v>0</v>
      </c>
      <c r="K30" s="51">
        <f t="shared" si="0"/>
        <v>0.98499999999999999</v>
      </c>
      <c r="L30" s="42">
        <f t="shared" si="1"/>
        <v>0</v>
      </c>
      <c r="M30" s="18" t="str">
        <f>'CFIT Schedules'!L30</f>
        <v>TRAN PLT</v>
      </c>
      <c r="N30" s="27">
        <f>ROUND('CFIT Schedules'!M30*-0.21,0)</f>
        <v>0</v>
      </c>
      <c r="O30" s="27">
        <f t="shared" si="5"/>
        <v>0</v>
      </c>
      <c r="P30" s="27"/>
    </row>
    <row r="31" spans="1:16" x14ac:dyDescent="0.25">
      <c r="A31" s="18">
        <f t="shared" si="2"/>
        <v>9</v>
      </c>
      <c r="B31" s="56" t="s">
        <v>239</v>
      </c>
      <c r="C31" s="36">
        <f>+'CFIT Schedules'!E31</f>
        <v>35466</v>
      </c>
      <c r="D31" s="42">
        <f t="shared" si="7"/>
        <v>-7448</v>
      </c>
      <c r="E31" s="36">
        <v>0</v>
      </c>
      <c r="F31" s="36">
        <f>SUM(D31:E31)</f>
        <v>-7448</v>
      </c>
      <c r="G31" s="27">
        <f>ROUND('CFIT Schedules'!F31*-0.35,0)</f>
        <v>0</v>
      </c>
      <c r="H31" s="27">
        <f t="shared" si="3"/>
        <v>-7448</v>
      </c>
      <c r="I31" s="27">
        <f>ROUND('CFIT Schedules'!H31*-0.21,0)</f>
        <v>0</v>
      </c>
      <c r="J31" s="27">
        <f>+H31+I31</f>
        <v>-7448</v>
      </c>
      <c r="K31" s="51">
        <f t="shared" si="0"/>
        <v>0.98499999999999999</v>
      </c>
      <c r="L31" s="42">
        <f>IF(J31*K31=0,0, ROUND(J31*K31,0))</f>
        <v>-7336</v>
      </c>
      <c r="M31" s="18" t="str">
        <f>'CFIT Schedules'!L31</f>
        <v>PROD PLT</v>
      </c>
      <c r="N31" s="27">
        <f>ROUND('CFIT Schedules'!M31*-0.21,0)</f>
        <v>0</v>
      </c>
      <c r="O31" s="27">
        <f t="shared" si="5"/>
        <v>-7336</v>
      </c>
      <c r="P31" s="27"/>
    </row>
    <row r="32" spans="1:16" x14ac:dyDescent="0.25">
      <c r="A32" s="18">
        <f t="shared" si="2"/>
        <v>10</v>
      </c>
      <c r="B32" s="56" t="s">
        <v>288</v>
      </c>
      <c r="C32" s="36">
        <f>+'CFIT Schedules'!E32</f>
        <v>0</v>
      </c>
      <c r="D32" s="42">
        <f t="shared" si="7"/>
        <v>0</v>
      </c>
      <c r="E32" s="36">
        <v>0</v>
      </c>
      <c r="F32" s="36">
        <f>SUM(D32:E32)</f>
        <v>0</v>
      </c>
      <c r="G32" s="27">
        <f>ROUND('CFIT Schedules'!F32*-0.35,0)</f>
        <v>0</v>
      </c>
      <c r="H32" s="27">
        <f t="shared" si="3"/>
        <v>0</v>
      </c>
      <c r="I32" s="27">
        <f>ROUND('CFIT Schedules'!H32*-0.21,0)</f>
        <v>0</v>
      </c>
      <c r="J32" s="27">
        <f>+H32+I32</f>
        <v>0</v>
      </c>
      <c r="K32" s="51">
        <f t="shared" si="0"/>
        <v>0.98499999999999999</v>
      </c>
      <c r="L32" s="42">
        <f>IF(J32*K32=0,0, ROUND(J32*K32,0))</f>
        <v>0</v>
      </c>
      <c r="M32" s="18" t="str">
        <f>'CFIT Schedules'!L32</f>
        <v>TRAN PLT</v>
      </c>
      <c r="N32" s="27">
        <f>ROUND('CFIT Schedules'!M32*-0.21,0)</f>
        <v>0</v>
      </c>
      <c r="O32" s="27">
        <f t="shared" si="5"/>
        <v>0</v>
      </c>
      <c r="P32" s="27"/>
    </row>
    <row r="33" spans="1:16" x14ac:dyDescent="0.25">
      <c r="A33" s="18">
        <f t="shared" si="2"/>
        <v>11</v>
      </c>
      <c r="B33" s="56" t="s">
        <v>296</v>
      </c>
      <c r="C33" s="36">
        <v>0</v>
      </c>
      <c r="D33" s="36">
        <v>0</v>
      </c>
      <c r="E33" s="36">
        <v>0</v>
      </c>
      <c r="F33" s="36">
        <f>SUM(D33:E33)</f>
        <v>0</v>
      </c>
      <c r="G33" s="36">
        <v>0</v>
      </c>
      <c r="H33" s="27">
        <f t="shared" si="3"/>
        <v>0</v>
      </c>
      <c r="I33" s="36">
        <v>0</v>
      </c>
      <c r="J33" s="27">
        <f t="shared" ref="J33" si="12">+H33+I33</f>
        <v>0</v>
      </c>
      <c r="K33" s="51">
        <f t="shared" si="0"/>
        <v>0.98499999999999999</v>
      </c>
      <c r="L33" s="42">
        <f t="shared" ref="L33" si="13">IF(J33*K33=0,0, ROUND(J33*K33,0))</f>
        <v>0</v>
      </c>
      <c r="M33" s="18" t="str">
        <f>'CFIT Schedules'!L33</f>
        <v>TRAN PLT</v>
      </c>
      <c r="N33" s="27">
        <f>ROUND('CFIT Schedules'!M33*-0.21,0)</f>
        <v>0</v>
      </c>
      <c r="O33" s="27">
        <f t="shared" si="5"/>
        <v>0</v>
      </c>
      <c r="P33" s="27"/>
    </row>
    <row r="34" spans="1:16" x14ac:dyDescent="0.25">
      <c r="A34" s="18">
        <f t="shared" si="2"/>
        <v>12</v>
      </c>
      <c r="B34" s="17" t="s">
        <v>7</v>
      </c>
      <c r="C34" s="36">
        <f>+'CFIT Schedules'!E34</f>
        <v>16736103</v>
      </c>
      <c r="D34" s="42">
        <v>0</v>
      </c>
      <c r="E34" s="36">
        <v>0</v>
      </c>
      <c r="F34" s="36">
        <f t="shared" si="6"/>
        <v>0</v>
      </c>
      <c r="G34" s="36">
        <v>0</v>
      </c>
      <c r="H34" s="27">
        <f t="shared" si="3"/>
        <v>0</v>
      </c>
      <c r="I34" s="36">
        <v>0</v>
      </c>
      <c r="J34" s="27">
        <f t="shared" si="4"/>
        <v>0</v>
      </c>
      <c r="K34" s="51">
        <f t="shared" si="0"/>
        <v>0.98499999999999999</v>
      </c>
      <c r="L34" s="42">
        <f t="shared" si="1"/>
        <v>0</v>
      </c>
      <c r="M34" s="18" t="str">
        <f>'CFIT Schedules'!L34</f>
        <v>GROSS PLT</v>
      </c>
      <c r="N34" s="36">
        <v>0</v>
      </c>
      <c r="O34" s="27">
        <f t="shared" si="5"/>
        <v>0</v>
      </c>
      <c r="P34" s="27"/>
    </row>
    <row r="35" spans="1:16" x14ac:dyDescent="0.25">
      <c r="A35" s="18">
        <f t="shared" si="2"/>
        <v>13</v>
      </c>
      <c r="B35" s="17" t="s">
        <v>8</v>
      </c>
      <c r="C35" s="36">
        <f>+'CFIT Schedules'!E35</f>
        <v>1703875</v>
      </c>
      <c r="D35" s="42">
        <f>IF(C35*0.21=0,0,ROUND(C35*-0.21,0))</f>
        <v>-357814</v>
      </c>
      <c r="E35" s="36">
        <v>0</v>
      </c>
      <c r="F35" s="36">
        <f t="shared" si="6"/>
        <v>-357814</v>
      </c>
      <c r="G35" s="27">
        <f>ROUND('CFIT Schedules'!F35*-0.35,0)</f>
        <v>0</v>
      </c>
      <c r="H35" s="27">
        <f t="shared" si="3"/>
        <v>-357814</v>
      </c>
      <c r="I35" s="27">
        <f>ROUND('CFIT Schedules'!H35*-0.21,0)</f>
        <v>0</v>
      </c>
      <c r="J35" s="27">
        <f t="shared" si="4"/>
        <v>-357814</v>
      </c>
      <c r="K35" s="51">
        <f t="shared" si="0"/>
        <v>0.98499999999999999</v>
      </c>
      <c r="L35" s="42">
        <f t="shared" ref="L35:L41" si="14">IF(J35*K35=0,0, ROUND(J35*K35,0))</f>
        <v>-352447</v>
      </c>
      <c r="M35" s="18" t="str">
        <f>'CFIT Schedules'!L35</f>
        <v>PROD PLT</v>
      </c>
      <c r="N35" s="27">
        <f>ROUND('CFIT Schedules'!M35*-0.21,0)</f>
        <v>-10843</v>
      </c>
      <c r="O35" s="27">
        <f t="shared" si="5"/>
        <v>-363290</v>
      </c>
      <c r="P35" s="27"/>
    </row>
    <row r="36" spans="1:16" x14ac:dyDescent="0.25">
      <c r="A36" s="142"/>
      <c r="B36" s="125" t="s">
        <v>368</v>
      </c>
      <c r="C36" s="36">
        <f>'CFIT Schedules'!E36</f>
        <v>5173781</v>
      </c>
      <c r="D36" s="42">
        <f>IF(C36*0.21=0,0,ROUND(C36*-0.21,0))</f>
        <v>-1086494</v>
      </c>
      <c r="E36" s="36">
        <v>0</v>
      </c>
      <c r="F36" s="36">
        <f t="shared" ref="F36" si="15">SUM(D36:E36)</f>
        <v>-1086494</v>
      </c>
      <c r="G36" s="27">
        <f>ROUND('CFIT Schedules'!F36*-0.35,0)</f>
        <v>0</v>
      </c>
      <c r="H36" s="27">
        <f t="shared" ref="H36" si="16">+F36+G36</f>
        <v>-1086494</v>
      </c>
      <c r="I36" s="27">
        <f>ROUND('CFIT Schedules'!H36*-0.21,0)</f>
        <v>0</v>
      </c>
      <c r="J36" s="27">
        <f t="shared" ref="J36" si="17">+H36+I36</f>
        <v>-1086494</v>
      </c>
      <c r="K36" s="51">
        <f t="shared" si="0"/>
        <v>0.98499999999999999</v>
      </c>
      <c r="L36" s="42">
        <f t="shared" ref="L36" si="18">IF(J36*K36=0,0, ROUND(J36*K36,0))</f>
        <v>-1070197</v>
      </c>
      <c r="M36" s="144" t="str">
        <f>'CFIT Schedules'!L36</f>
        <v>GROSS PLT</v>
      </c>
      <c r="N36" s="27">
        <f>ROUND('CFIT Schedules'!M36*-0.21,0)</f>
        <v>0</v>
      </c>
      <c r="O36" s="27">
        <f t="shared" ref="O36" si="19">L36+N36</f>
        <v>-1070197</v>
      </c>
      <c r="P36" s="27"/>
    </row>
    <row r="37" spans="1:16" x14ac:dyDescent="0.25">
      <c r="A37" s="18">
        <f>A35+1</f>
        <v>14</v>
      </c>
      <c r="B37" s="17" t="s">
        <v>323</v>
      </c>
      <c r="C37" s="36">
        <f>+'CFIT Schedules'!E37</f>
        <v>0</v>
      </c>
      <c r="D37" s="42">
        <f t="shared" ref="D37:D42" si="20">IF(C37*0.21=0,0,ROUND(C37*-0.21,0))</f>
        <v>0</v>
      </c>
      <c r="E37" s="36">
        <v>0</v>
      </c>
      <c r="F37" s="36">
        <f t="shared" ref="F37" si="21">SUM(D37:E37)</f>
        <v>0</v>
      </c>
      <c r="G37" s="27">
        <f>ROUND('CFIT Schedules'!F37*-0.35,0)</f>
        <v>0</v>
      </c>
      <c r="H37" s="27">
        <f t="shared" ref="H37:H38" si="22">+F37+G37</f>
        <v>0</v>
      </c>
      <c r="I37" s="27">
        <f>ROUND('CFIT Schedules'!H37*-0.21,0)</f>
        <v>0</v>
      </c>
      <c r="J37" s="27">
        <f t="shared" ref="J37:J38" si="23">+H37+I37</f>
        <v>0</v>
      </c>
      <c r="K37" s="51">
        <f t="shared" si="0"/>
        <v>0.98499999999999999</v>
      </c>
      <c r="L37" s="42">
        <f t="shared" si="14"/>
        <v>0</v>
      </c>
      <c r="M37" s="18" t="str">
        <f>'CFIT Schedules'!L37</f>
        <v>PROD PLT</v>
      </c>
      <c r="N37" s="27">
        <f>ROUND('CFIT Schedules'!M37*-0.21,0)</f>
        <v>0</v>
      </c>
      <c r="O37" s="27">
        <f t="shared" ref="O37:O38" si="24">L37+N37</f>
        <v>0</v>
      </c>
      <c r="P37" s="27"/>
    </row>
    <row r="38" spans="1:16" x14ac:dyDescent="0.25">
      <c r="A38" s="18">
        <f t="shared" si="2"/>
        <v>15</v>
      </c>
      <c r="B38" s="17" t="s">
        <v>355</v>
      </c>
      <c r="C38" s="36">
        <f>+'CFIT Schedules'!E38</f>
        <v>0</v>
      </c>
      <c r="D38" s="42">
        <f t="shared" si="20"/>
        <v>0</v>
      </c>
      <c r="E38" s="36">
        <v>0</v>
      </c>
      <c r="F38" s="36">
        <f t="shared" ref="F38" si="25">SUM(D38:E38)</f>
        <v>0</v>
      </c>
      <c r="G38" s="36">
        <v>0</v>
      </c>
      <c r="H38" s="27">
        <f t="shared" si="22"/>
        <v>0</v>
      </c>
      <c r="I38" s="36">
        <v>0</v>
      </c>
      <c r="J38" s="27">
        <f t="shared" si="23"/>
        <v>0</v>
      </c>
      <c r="K38" s="51">
        <f t="shared" si="0"/>
        <v>0.98499999999999999</v>
      </c>
      <c r="L38" s="42">
        <f t="shared" si="14"/>
        <v>0</v>
      </c>
      <c r="M38" s="18" t="str">
        <f>'CFIT Schedules'!L38</f>
        <v>GROSS PLT</v>
      </c>
      <c r="N38" s="36">
        <v>0</v>
      </c>
      <c r="O38" s="27">
        <f t="shared" si="24"/>
        <v>0</v>
      </c>
      <c r="P38" s="27"/>
    </row>
    <row r="39" spans="1:16" x14ac:dyDescent="0.25">
      <c r="A39" s="18">
        <f t="shared" si="2"/>
        <v>16</v>
      </c>
      <c r="B39" s="17" t="s">
        <v>9</v>
      </c>
      <c r="C39" s="36">
        <f>+'CFIT Schedules'!E39</f>
        <v>0</v>
      </c>
      <c r="D39" s="42">
        <f t="shared" si="20"/>
        <v>0</v>
      </c>
      <c r="E39" s="36">
        <v>0</v>
      </c>
      <c r="F39" s="36">
        <f t="shared" si="6"/>
        <v>0</v>
      </c>
      <c r="G39" s="36">
        <v>0</v>
      </c>
      <c r="H39" s="27">
        <f t="shared" si="3"/>
        <v>0</v>
      </c>
      <c r="I39" s="36">
        <v>0</v>
      </c>
      <c r="J39" s="27">
        <f t="shared" si="4"/>
        <v>0</v>
      </c>
      <c r="K39" s="51">
        <f t="shared" si="0"/>
        <v>0.98499999999999999</v>
      </c>
      <c r="L39" s="42">
        <f t="shared" si="14"/>
        <v>0</v>
      </c>
      <c r="M39" s="18" t="str">
        <f>'CFIT Schedules'!L39</f>
        <v>GROSS PLT</v>
      </c>
      <c r="N39" s="36">
        <v>0</v>
      </c>
      <c r="O39" s="27">
        <f t="shared" si="5"/>
        <v>0</v>
      </c>
      <c r="P39" s="27"/>
    </row>
    <row r="40" spans="1:16" x14ac:dyDescent="0.25">
      <c r="A40" s="18">
        <f t="shared" si="2"/>
        <v>17</v>
      </c>
      <c r="B40" s="17" t="s">
        <v>236</v>
      </c>
      <c r="C40" s="36">
        <f>+'CFIT Schedules'!E40</f>
        <v>0</v>
      </c>
      <c r="D40" s="42">
        <f t="shared" si="20"/>
        <v>0</v>
      </c>
      <c r="E40" s="36">
        <v>-1060090</v>
      </c>
      <c r="F40" s="36">
        <f t="shared" ref="F40" si="26">SUM(D40:E40)</f>
        <v>-1060090</v>
      </c>
      <c r="G40" s="27">
        <v>0</v>
      </c>
      <c r="H40" s="27">
        <f t="shared" si="3"/>
        <v>-1060090</v>
      </c>
      <c r="I40" s="27">
        <v>0</v>
      </c>
      <c r="J40" s="27">
        <f t="shared" ref="J40" si="27">+H40+I40</f>
        <v>-1060090</v>
      </c>
      <c r="K40" s="51">
        <f t="shared" si="0"/>
        <v>0.98499999999999999</v>
      </c>
      <c r="L40" s="42">
        <f t="shared" si="14"/>
        <v>-1044189</v>
      </c>
      <c r="M40" s="18" t="str">
        <f>'CFIT Schedules'!L40</f>
        <v>GROSS PLT</v>
      </c>
      <c r="N40" s="27">
        <v>0</v>
      </c>
      <c r="O40" s="27">
        <f t="shared" si="5"/>
        <v>-1044189</v>
      </c>
      <c r="P40" s="27"/>
    </row>
    <row r="41" spans="1:16" x14ac:dyDescent="0.25">
      <c r="A41" s="18">
        <f t="shared" si="2"/>
        <v>18</v>
      </c>
      <c r="B41" s="56" t="s">
        <v>240</v>
      </c>
      <c r="C41" s="36">
        <f>+'CFIT Schedules'!E41</f>
        <v>0</v>
      </c>
      <c r="D41" s="42">
        <f t="shared" si="20"/>
        <v>0</v>
      </c>
      <c r="E41" s="36">
        <v>0</v>
      </c>
      <c r="F41" s="36">
        <f>SUM(D41:E41)</f>
        <v>0</v>
      </c>
      <c r="G41" s="36">
        <v>0</v>
      </c>
      <c r="H41" s="27">
        <f t="shared" si="3"/>
        <v>0</v>
      </c>
      <c r="I41" s="36">
        <v>0</v>
      </c>
      <c r="J41" s="27">
        <f>+H41+I41</f>
        <v>0</v>
      </c>
      <c r="K41" s="51">
        <f t="shared" si="0"/>
        <v>0.98499999999999999</v>
      </c>
      <c r="L41" s="42">
        <f t="shared" si="14"/>
        <v>0</v>
      </c>
      <c r="M41" s="18" t="str">
        <f>'CFIT Schedules'!L41</f>
        <v>PROD PLT</v>
      </c>
      <c r="N41" s="36">
        <v>0</v>
      </c>
      <c r="O41" s="27">
        <f t="shared" si="5"/>
        <v>0</v>
      </c>
      <c r="P41" s="27"/>
    </row>
    <row r="42" spans="1:16" x14ac:dyDescent="0.25">
      <c r="A42" s="18">
        <f t="shared" si="2"/>
        <v>19</v>
      </c>
      <c r="B42" s="17" t="s">
        <v>10</v>
      </c>
      <c r="C42" s="36">
        <f>+'CFIT Schedules'!E42</f>
        <v>574258</v>
      </c>
      <c r="D42" s="42">
        <f t="shared" si="20"/>
        <v>-120594</v>
      </c>
      <c r="E42" s="36">
        <v>0</v>
      </c>
      <c r="F42" s="36">
        <f t="shared" si="6"/>
        <v>-120594</v>
      </c>
      <c r="G42" s="36">
        <v>0</v>
      </c>
      <c r="H42" s="27">
        <f t="shared" si="3"/>
        <v>-120594</v>
      </c>
      <c r="I42" s="36">
        <v>0</v>
      </c>
      <c r="J42" s="27">
        <f t="shared" si="4"/>
        <v>-120594</v>
      </c>
      <c r="K42" s="51">
        <f t="shared" si="0"/>
        <v>0.999</v>
      </c>
      <c r="L42" s="42">
        <f t="shared" si="1"/>
        <v>-120473</v>
      </c>
      <c r="M42" s="18" t="str">
        <f>'CFIT Schedules'!L42</f>
        <v>DIST PLT</v>
      </c>
      <c r="N42" s="36">
        <v>0</v>
      </c>
      <c r="O42" s="27">
        <f t="shared" si="5"/>
        <v>-120473</v>
      </c>
      <c r="P42" s="27"/>
    </row>
    <row r="43" spans="1:16" ht="13" x14ac:dyDescent="0.3">
      <c r="A43" s="18">
        <f t="shared" si="2"/>
        <v>20</v>
      </c>
      <c r="B43" s="75" t="s">
        <v>11</v>
      </c>
      <c r="C43" s="78">
        <f t="shared" ref="C43:J43" si="28">SUM(C23:C42)</f>
        <v>18397173</v>
      </c>
      <c r="D43" s="78">
        <f t="shared" si="28"/>
        <v>-348825</v>
      </c>
      <c r="E43" s="78">
        <f t="shared" si="28"/>
        <v>-1060090</v>
      </c>
      <c r="F43" s="78">
        <f t="shared" si="28"/>
        <v>-1408915</v>
      </c>
      <c r="G43" s="78">
        <f t="shared" ref="G43" si="29">SUM(G23:G42)</f>
        <v>0</v>
      </c>
      <c r="H43" s="78">
        <f t="shared" si="28"/>
        <v>-1408915</v>
      </c>
      <c r="I43" s="78">
        <f t="shared" si="28"/>
        <v>0</v>
      </c>
      <c r="J43" s="78">
        <f t="shared" si="28"/>
        <v>-1408915</v>
      </c>
      <c r="K43" s="24"/>
      <c r="L43" s="78">
        <f>SUM(L23:L42)</f>
        <v>-1389470</v>
      </c>
      <c r="N43" s="78">
        <f t="shared" ref="N43:O43" si="30">SUM(N23:N42)</f>
        <v>-987152</v>
      </c>
      <c r="O43" s="78">
        <f t="shared" si="30"/>
        <v>-2376622</v>
      </c>
    </row>
    <row r="44" spans="1:16" x14ac:dyDescent="0.25">
      <c r="A44" s="18">
        <f t="shared" si="2"/>
        <v>21</v>
      </c>
      <c r="B44" s="17" t="s">
        <v>0</v>
      </c>
      <c r="C44" s="36"/>
      <c r="D44" s="36"/>
      <c r="K44" s="81"/>
    </row>
    <row r="45" spans="1:16" ht="13" x14ac:dyDescent="0.3">
      <c r="A45" s="18">
        <f t="shared" si="2"/>
        <v>22</v>
      </c>
      <c r="B45" s="75" t="s">
        <v>12</v>
      </c>
      <c r="C45" s="36"/>
      <c r="D45" s="36"/>
      <c r="K45" s="81"/>
    </row>
    <row r="46" spans="1:16" x14ac:dyDescent="0.25">
      <c r="A46" s="18">
        <f t="shared" si="2"/>
        <v>23</v>
      </c>
      <c r="B46" s="17" t="s">
        <v>13</v>
      </c>
      <c r="C46" s="36">
        <f>+'CFIT Schedules'!E46</f>
        <v>0</v>
      </c>
      <c r="D46" s="42">
        <f>IF(C46*0.21=0,0,ROUND(C46*-0.21,0))</f>
        <v>0</v>
      </c>
      <c r="E46" s="36">
        <v>0</v>
      </c>
      <c r="F46" s="36">
        <f t="shared" ref="F46:F53" si="31">SUM(D46:E46)</f>
        <v>0</v>
      </c>
      <c r="G46" s="36">
        <v>0</v>
      </c>
      <c r="H46" s="27">
        <f t="shared" ref="H46:H54" si="32">+F46+G46</f>
        <v>0</v>
      </c>
      <c r="I46" s="36">
        <v>0</v>
      </c>
      <c r="J46" s="27">
        <f t="shared" ref="J46:J53" si="33">+H46+I46</f>
        <v>0</v>
      </c>
      <c r="K46" s="51">
        <f t="shared" ref="K46:K54" si="34">VLOOKUP(M46,$C$299:$D$313,2,FALSE)</f>
        <v>0</v>
      </c>
      <c r="L46" s="42">
        <f t="shared" ref="L46:L54" si="35">IF(J46*K46=0,0, ROUND(J46*K46,0))</f>
        <v>0</v>
      </c>
      <c r="M46" s="18" t="str">
        <f>'CFIT Schedules'!L46</f>
        <v>NON-APPLIC</v>
      </c>
      <c r="N46" s="36">
        <v>0</v>
      </c>
      <c r="O46" s="27">
        <f t="shared" ref="O46:O54" si="36">L46+N46</f>
        <v>0</v>
      </c>
      <c r="P46" s="27"/>
    </row>
    <row r="47" spans="1:16" x14ac:dyDescent="0.25">
      <c r="A47" s="18">
        <f t="shared" si="2"/>
        <v>24</v>
      </c>
      <c r="B47" s="17" t="s">
        <v>289</v>
      </c>
      <c r="C47" s="36">
        <f>+'CFIT Schedules'!E47</f>
        <v>0</v>
      </c>
      <c r="D47" s="42">
        <v>0</v>
      </c>
      <c r="E47" s="36">
        <v>0</v>
      </c>
      <c r="F47" s="36">
        <f t="shared" ref="F47" si="37">SUM(D47:E47)</f>
        <v>0</v>
      </c>
      <c r="G47" s="27">
        <f>ROUND('CFIT Schedules'!F47*-0.35,0)</f>
        <v>0</v>
      </c>
      <c r="H47" s="27">
        <f t="shared" si="32"/>
        <v>0</v>
      </c>
      <c r="I47" s="27">
        <f>ROUND('CFIT Schedules'!H47*-0.21,0)</f>
        <v>0</v>
      </c>
      <c r="J47" s="27">
        <f t="shared" ref="J47" si="38">+H47+I47</f>
        <v>0</v>
      </c>
      <c r="K47" s="51">
        <f t="shared" si="34"/>
        <v>1</v>
      </c>
      <c r="L47" s="42">
        <f t="shared" ref="L47" si="39">IF(J47*K47=0,0, ROUND(J47*K47,0))</f>
        <v>0</v>
      </c>
      <c r="M47" s="18" t="str">
        <f>'CFIT Schedules'!L47</f>
        <v>SPECIFIC</v>
      </c>
      <c r="N47" s="27">
        <f>ROUND('CFIT Schedules'!M47*-0.21,0)</f>
        <v>0</v>
      </c>
      <c r="O47" s="27">
        <f t="shared" si="36"/>
        <v>0</v>
      </c>
      <c r="P47" s="27"/>
    </row>
    <row r="48" spans="1:16" x14ac:dyDescent="0.25">
      <c r="A48" s="18">
        <f t="shared" si="2"/>
        <v>25</v>
      </c>
      <c r="B48" s="17" t="s">
        <v>14</v>
      </c>
      <c r="C48" s="36">
        <f>+'CFIT Schedules'!E48</f>
        <v>-1400487</v>
      </c>
      <c r="D48" s="42">
        <f>IF(C48*0.21=0,0,ROUND(C48*-0.21,0))</f>
        <v>294102</v>
      </c>
      <c r="E48" s="36">
        <v>0</v>
      </c>
      <c r="F48" s="36">
        <f t="shared" si="31"/>
        <v>294102</v>
      </c>
      <c r="G48" s="27">
        <f>ROUND('CFIT Schedules'!F48*-0.35,0)</f>
        <v>0</v>
      </c>
      <c r="H48" s="27">
        <f t="shared" si="32"/>
        <v>294102</v>
      </c>
      <c r="I48" s="27">
        <f>ROUND('CFIT Schedules'!H48*-0.21,0)</f>
        <v>0</v>
      </c>
      <c r="J48" s="27">
        <f t="shared" si="33"/>
        <v>294102</v>
      </c>
      <c r="K48" s="51">
        <f t="shared" si="34"/>
        <v>0.98499999999999999</v>
      </c>
      <c r="L48" s="42">
        <f t="shared" si="35"/>
        <v>289690</v>
      </c>
      <c r="M48" s="18" t="str">
        <f>'CFIT Schedules'!L48</f>
        <v>GROSS PLT</v>
      </c>
      <c r="N48" s="27">
        <v>95271</v>
      </c>
      <c r="O48" s="27">
        <f t="shared" si="36"/>
        <v>384961</v>
      </c>
      <c r="P48" s="27"/>
    </row>
    <row r="49" spans="1:16" x14ac:dyDescent="0.25">
      <c r="A49" s="18">
        <f t="shared" si="2"/>
        <v>26</v>
      </c>
      <c r="B49" s="17" t="s">
        <v>228</v>
      </c>
      <c r="C49" s="36">
        <v>0</v>
      </c>
      <c r="D49" s="42">
        <f>IF(C49*0.21=0,0,ROUND(C49*-0.21,0))</f>
        <v>0</v>
      </c>
      <c r="E49" s="36">
        <v>-170085</v>
      </c>
      <c r="F49" s="36">
        <f>SUM(D49:E49)</f>
        <v>-170085</v>
      </c>
      <c r="G49" s="27">
        <v>0</v>
      </c>
      <c r="H49" s="27">
        <f t="shared" si="32"/>
        <v>-170085</v>
      </c>
      <c r="I49" s="27">
        <v>0</v>
      </c>
      <c r="J49" s="27">
        <f>+H49+I49</f>
        <v>-170085</v>
      </c>
      <c r="K49" s="51">
        <f t="shared" si="34"/>
        <v>0.98499999999999999</v>
      </c>
      <c r="L49" s="42">
        <f t="shared" ref="L49:L52" si="40">IF(J49*K49=0,0, ROUND(J49*K49,0))</f>
        <v>-167534</v>
      </c>
      <c r="M49" s="18" t="str">
        <f>'CFIT Schedules'!L49</f>
        <v>GROSS PLT</v>
      </c>
      <c r="N49" s="27">
        <v>0</v>
      </c>
      <c r="O49" s="27">
        <f t="shared" si="36"/>
        <v>-167534</v>
      </c>
      <c r="P49" s="27"/>
    </row>
    <row r="50" spans="1:16" x14ac:dyDescent="0.25">
      <c r="A50" s="18">
        <f t="shared" si="2"/>
        <v>27</v>
      </c>
      <c r="B50" s="17" t="s">
        <v>298</v>
      </c>
      <c r="C50" s="36">
        <v>0</v>
      </c>
      <c r="D50" s="42">
        <f>IF(C50*0.21=0,0,ROUND(C50*-0.21,0))</f>
        <v>0</v>
      </c>
      <c r="E50" s="36">
        <v>0</v>
      </c>
      <c r="F50" s="36">
        <f>SUM(D50:E50)</f>
        <v>0</v>
      </c>
      <c r="G50" s="27">
        <v>0</v>
      </c>
      <c r="H50" s="27">
        <f t="shared" si="32"/>
        <v>0</v>
      </c>
      <c r="I50" s="27">
        <v>0</v>
      </c>
      <c r="J50" s="27">
        <f>+H50+I50</f>
        <v>0</v>
      </c>
      <c r="K50" s="51">
        <f t="shared" si="34"/>
        <v>0.98499999999999999</v>
      </c>
      <c r="L50" s="42">
        <f t="shared" si="40"/>
        <v>0</v>
      </c>
      <c r="M50" s="18" t="str">
        <f>'CFIT Schedules'!L50</f>
        <v>TRAN PLT</v>
      </c>
      <c r="N50" s="27">
        <v>0</v>
      </c>
      <c r="O50" s="27">
        <f t="shared" si="36"/>
        <v>0</v>
      </c>
      <c r="P50" s="27"/>
    </row>
    <row r="51" spans="1:16" x14ac:dyDescent="0.25">
      <c r="A51" s="18">
        <f t="shared" si="2"/>
        <v>28</v>
      </c>
      <c r="B51" s="17" t="s">
        <v>291</v>
      </c>
      <c r="C51" s="36">
        <f>+'CFIT Schedules'!E51</f>
        <v>0</v>
      </c>
      <c r="D51" s="42">
        <v>0</v>
      </c>
      <c r="E51" s="36">
        <v>0</v>
      </c>
      <c r="F51" s="36">
        <f t="shared" si="31"/>
        <v>0</v>
      </c>
      <c r="G51" s="27">
        <f>ROUND('CFIT Schedules'!F51*-0.35,0)</f>
        <v>0</v>
      </c>
      <c r="H51" s="27">
        <f t="shared" si="32"/>
        <v>0</v>
      </c>
      <c r="I51" s="27">
        <f>ROUND('CFIT Schedules'!H51*-0.21,0)</f>
        <v>0</v>
      </c>
      <c r="J51" s="27">
        <f t="shared" si="33"/>
        <v>0</v>
      </c>
      <c r="K51" s="51">
        <f t="shared" si="34"/>
        <v>0.98499999999999999</v>
      </c>
      <c r="L51" s="42">
        <f t="shared" si="40"/>
        <v>0</v>
      </c>
      <c r="M51" s="18" t="str">
        <f>'CFIT Schedules'!L51</f>
        <v>TRAN PLT</v>
      </c>
      <c r="N51" s="27">
        <f>ROUND('CFIT Schedules'!M51*-0.21,0)</f>
        <v>0</v>
      </c>
      <c r="O51" s="27">
        <f t="shared" si="36"/>
        <v>0</v>
      </c>
      <c r="P51" s="27"/>
    </row>
    <row r="52" spans="1:16" x14ac:dyDescent="0.25">
      <c r="A52" s="18">
        <f t="shared" si="2"/>
        <v>29</v>
      </c>
      <c r="B52" s="17" t="s">
        <v>290</v>
      </c>
      <c r="C52" s="36">
        <v>0</v>
      </c>
      <c r="D52" s="42">
        <f>IF(C52*0.21=0,0,ROUND(C52*-0.21,0))</f>
        <v>0</v>
      </c>
      <c r="E52" s="36">
        <v>-4468</v>
      </c>
      <c r="F52" s="36">
        <f>SUM(D52:E52)</f>
        <v>-4468</v>
      </c>
      <c r="G52" s="27">
        <v>0</v>
      </c>
      <c r="H52" s="27">
        <f t="shared" si="32"/>
        <v>-4468</v>
      </c>
      <c r="I52" s="27">
        <v>0</v>
      </c>
      <c r="J52" s="27">
        <f>+H52+I52</f>
        <v>-4468</v>
      </c>
      <c r="K52" s="51">
        <f t="shared" si="34"/>
        <v>0.98499999999999999</v>
      </c>
      <c r="L52" s="42">
        <f t="shared" si="40"/>
        <v>-4401</v>
      </c>
      <c r="M52" s="18" t="str">
        <f>'CFIT Schedules'!L52</f>
        <v>TRAN PLT</v>
      </c>
      <c r="N52" s="27">
        <v>0</v>
      </c>
      <c r="O52" s="27">
        <f t="shared" si="36"/>
        <v>-4401</v>
      </c>
      <c r="P52" s="27"/>
    </row>
    <row r="53" spans="1:16" x14ac:dyDescent="0.25">
      <c r="A53" s="18">
        <f t="shared" si="2"/>
        <v>30</v>
      </c>
      <c r="B53" s="17" t="s">
        <v>15</v>
      </c>
      <c r="C53" s="36">
        <f>+'CFIT Schedules'!E53</f>
        <v>2624157</v>
      </c>
      <c r="D53" s="42">
        <f>IF(C53*0.21=0,0,ROUND(C53*-0.21,0))</f>
        <v>-551073</v>
      </c>
      <c r="E53" s="36">
        <v>0</v>
      </c>
      <c r="F53" s="36">
        <f t="shared" si="31"/>
        <v>-551073</v>
      </c>
      <c r="G53" s="27">
        <f>ROUND('CFIT Schedules'!F53*-0.35,0)</f>
        <v>0</v>
      </c>
      <c r="H53" s="27">
        <f t="shared" si="32"/>
        <v>-551073</v>
      </c>
      <c r="I53" s="27">
        <f>ROUND('CFIT Schedules'!H53*-0.21,0)</f>
        <v>0</v>
      </c>
      <c r="J53" s="27">
        <f t="shared" si="33"/>
        <v>-551073</v>
      </c>
      <c r="K53" s="51">
        <f t="shared" si="34"/>
        <v>0.98499999999999999</v>
      </c>
      <c r="L53" s="42">
        <f t="shared" si="35"/>
        <v>-542807</v>
      </c>
      <c r="M53" s="18" t="str">
        <f>'CFIT Schedules'!L53</f>
        <v>GROSS PLT</v>
      </c>
      <c r="N53" s="27">
        <f>ROUND('CFIT Schedules'!M53*-0.21,0)</f>
        <v>0</v>
      </c>
      <c r="O53" s="27">
        <f t="shared" si="36"/>
        <v>-542807</v>
      </c>
      <c r="P53" s="27"/>
    </row>
    <row r="54" spans="1:16" x14ac:dyDescent="0.25">
      <c r="A54" s="18">
        <f t="shared" si="2"/>
        <v>31</v>
      </c>
      <c r="B54" s="17" t="s">
        <v>229</v>
      </c>
      <c r="C54" s="36">
        <v>0</v>
      </c>
      <c r="D54" s="42">
        <f>IF(C54*0.21=0,0,ROUND(C54*-0.21,0))</f>
        <v>0</v>
      </c>
      <c r="E54" s="36">
        <v>292239</v>
      </c>
      <c r="F54" s="36">
        <f>SUM(D54:E54)</f>
        <v>292239</v>
      </c>
      <c r="G54" s="27">
        <v>0</v>
      </c>
      <c r="H54" s="27">
        <f t="shared" si="32"/>
        <v>292239</v>
      </c>
      <c r="I54" s="27">
        <v>0</v>
      </c>
      <c r="J54" s="27">
        <f>+H54+I54</f>
        <v>292239</v>
      </c>
      <c r="K54" s="51">
        <f t="shared" si="34"/>
        <v>0.98499999999999999</v>
      </c>
      <c r="L54" s="42">
        <f t="shared" si="35"/>
        <v>287855</v>
      </c>
      <c r="M54" s="18" t="str">
        <f>'CFIT Schedules'!L54</f>
        <v>GROSS PLT</v>
      </c>
      <c r="N54" s="27">
        <v>0</v>
      </c>
      <c r="O54" s="27">
        <f t="shared" si="36"/>
        <v>287855</v>
      </c>
      <c r="P54" s="27"/>
    </row>
    <row r="55" spans="1:16" ht="13" x14ac:dyDescent="0.3">
      <c r="A55" s="18">
        <f t="shared" si="2"/>
        <v>32</v>
      </c>
      <c r="B55" s="75" t="s">
        <v>16</v>
      </c>
      <c r="C55" s="78">
        <f t="shared" ref="C55:J55" si="41">SUM(C46:C54)</f>
        <v>1223670</v>
      </c>
      <c r="D55" s="78">
        <f t="shared" si="41"/>
        <v>-256971</v>
      </c>
      <c r="E55" s="78">
        <f t="shared" si="41"/>
        <v>117686</v>
      </c>
      <c r="F55" s="78">
        <f t="shared" si="41"/>
        <v>-139285</v>
      </c>
      <c r="G55" s="78">
        <f t="shared" ref="G55" si="42">SUM(G46:G54)</f>
        <v>0</v>
      </c>
      <c r="H55" s="78">
        <f t="shared" si="41"/>
        <v>-139285</v>
      </c>
      <c r="I55" s="78">
        <f t="shared" si="41"/>
        <v>0</v>
      </c>
      <c r="J55" s="78">
        <f t="shared" si="41"/>
        <v>-139285</v>
      </c>
      <c r="K55" s="24"/>
      <c r="L55" s="78">
        <f>SUM(L46:L54)</f>
        <v>-137197</v>
      </c>
      <c r="N55" s="78">
        <f t="shared" ref="N55:O55" si="43">SUM(N46:N54)</f>
        <v>95271</v>
      </c>
      <c r="O55" s="78">
        <f t="shared" si="43"/>
        <v>-41926</v>
      </c>
    </row>
    <row r="56" spans="1:16" x14ac:dyDescent="0.25">
      <c r="A56" s="18">
        <f t="shared" si="2"/>
        <v>33</v>
      </c>
      <c r="B56" s="17" t="s">
        <v>0</v>
      </c>
      <c r="C56" s="36"/>
      <c r="D56" s="36"/>
      <c r="K56" s="81"/>
    </row>
    <row r="57" spans="1:16" ht="13" x14ac:dyDescent="0.3">
      <c r="A57" s="18">
        <f t="shared" si="2"/>
        <v>34</v>
      </c>
      <c r="B57" s="75" t="s">
        <v>17</v>
      </c>
      <c r="C57" s="36"/>
      <c r="D57" s="36"/>
      <c r="K57" s="81"/>
    </row>
    <row r="58" spans="1:16" x14ac:dyDescent="0.25">
      <c r="A58" s="18">
        <f t="shared" si="2"/>
        <v>35</v>
      </c>
      <c r="B58" s="17" t="s">
        <v>230</v>
      </c>
      <c r="C58" s="36">
        <f>+'CFIT Schedules'!E58</f>
        <v>0</v>
      </c>
      <c r="D58" s="42">
        <f>IF(C58*0.21=0,0,ROUND(C58*-0.21,0))</f>
        <v>0</v>
      </c>
      <c r="E58" s="36">
        <v>0</v>
      </c>
      <c r="F58" s="36">
        <f t="shared" ref="F58:F61" si="44">SUM(D58:E58)</f>
        <v>0</v>
      </c>
      <c r="G58" s="27">
        <v>0</v>
      </c>
      <c r="H58" s="27">
        <f t="shared" ref="H58:H61" si="45">+F58+G58</f>
        <v>0</v>
      </c>
      <c r="I58" s="27">
        <v>0</v>
      </c>
      <c r="J58" s="27">
        <f t="shared" ref="J58:J61" si="46">+H58+I58</f>
        <v>0</v>
      </c>
      <c r="K58" s="51">
        <f>VLOOKUP(M58,$C$299:$D$313,2,FALSE)</f>
        <v>0.98499999999999999</v>
      </c>
      <c r="L58" s="42">
        <f t="shared" ref="L58:L61" si="47">IF(J58*K58=0,0, ROUND(J58*K58,0))</f>
        <v>0</v>
      </c>
      <c r="M58" s="18" t="str">
        <f>'CFIT Schedules'!L58</f>
        <v>GROSS PLT</v>
      </c>
      <c r="N58" s="27">
        <v>0</v>
      </c>
      <c r="O58" s="27">
        <f t="shared" ref="O58:O61" si="48">L58+N58</f>
        <v>0</v>
      </c>
      <c r="P58" s="27"/>
    </row>
    <row r="59" spans="1:16" x14ac:dyDescent="0.25">
      <c r="A59" s="18">
        <f t="shared" si="2"/>
        <v>36</v>
      </c>
      <c r="B59" s="17" t="s">
        <v>231</v>
      </c>
      <c r="C59" s="36">
        <f>+'CFIT Schedules'!E59</f>
        <v>0</v>
      </c>
      <c r="D59" s="42">
        <f>IF(C59*0.21=0,0,ROUND(C59*-0.21,0))</f>
        <v>0</v>
      </c>
      <c r="E59" s="36">
        <v>0</v>
      </c>
      <c r="F59" s="36">
        <f t="shared" si="44"/>
        <v>0</v>
      </c>
      <c r="G59" s="27">
        <v>0</v>
      </c>
      <c r="H59" s="27">
        <f t="shared" si="45"/>
        <v>0</v>
      </c>
      <c r="I59" s="27">
        <v>0</v>
      </c>
      <c r="J59" s="27">
        <f t="shared" si="46"/>
        <v>0</v>
      </c>
      <c r="K59" s="51">
        <f>VLOOKUP(M59,$C$299:$D$313,2,FALSE)</f>
        <v>0.98499999999999999</v>
      </c>
      <c r="L59" s="42">
        <f t="shared" si="47"/>
        <v>0</v>
      </c>
      <c r="M59" s="18" t="str">
        <f>'CFIT Schedules'!L59</f>
        <v>GROSS PLT</v>
      </c>
      <c r="N59" s="27">
        <v>0</v>
      </c>
      <c r="O59" s="27">
        <f t="shared" si="48"/>
        <v>0</v>
      </c>
      <c r="P59" s="27"/>
    </row>
    <row r="60" spans="1:16" x14ac:dyDescent="0.25">
      <c r="A60" s="18">
        <f t="shared" si="2"/>
        <v>37</v>
      </c>
      <c r="B60" s="17" t="s">
        <v>20</v>
      </c>
      <c r="C60" s="36">
        <f>+'CFIT Schedules'!E60</f>
        <v>0</v>
      </c>
      <c r="D60" s="42">
        <f>IF(C60*0.21=0,0,ROUND(C60*-0.21,0))</f>
        <v>0</v>
      </c>
      <c r="E60" s="36">
        <v>0</v>
      </c>
      <c r="F60" s="36">
        <f t="shared" si="44"/>
        <v>0</v>
      </c>
      <c r="G60" s="27">
        <f>ROUND('CFIT Schedules'!F60*-0.35,0)</f>
        <v>0</v>
      </c>
      <c r="H60" s="27">
        <f t="shared" si="45"/>
        <v>0</v>
      </c>
      <c r="I60" s="27">
        <f>ROUND('CFIT Schedules'!H60*-0.21,0)</f>
        <v>0</v>
      </c>
      <c r="J60" s="27">
        <f t="shared" si="46"/>
        <v>0</v>
      </c>
      <c r="K60" s="51">
        <f>VLOOKUP(M60,$C$299:$D$313,2,FALSE)</f>
        <v>0.99</v>
      </c>
      <c r="L60" s="42">
        <f t="shared" si="47"/>
        <v>0</v>
      </c>
      <c r="M60" s="18" t="str">
        <f>'CFIT Schedules'!L60</f>
        <v>LABOR</v>
      </c>
      <c r="N60" s="27">
        <f>ROUND('CFIT Schedules'!M60*-0.21,0)</f>
        <v>0</v>
      </c>
      <c r="O60" s="27">
        <f t="shared" si="48"/>
        <v>0</v>
      </c>
      <c r="P60" s="27"/>
    </row>
    <row r="61" spans="1:16" x14ac:dyDescent="0.25">
      <c r="A61" s="18">
        <f t="shared" si="2"/>
        <v>38</v>
      </c>
      <c r="B61" s="17" t="s">
        <v>232</v>
      </c>
      <c r="C61" s="36">
        <f>+'CFIT Schedules'!E61</f>
        <v>0</v>
      </c>
      <c r="D61" s="42">
        <f>IF(C61*0.21=0,0,ROUND(C61*-0.21,0))</f>
        <v>0</v>
      </c>
      <c r="E61" s="36">
        <v>0</v>
      </c>
      <c r="F61" s="36">
        <f t="shared" si="44"/>
        <v>0</v>
      </c>
      <c r="G61" s="27">
        <v>0</v>
      </c>
      <c r="H61" s="27">
        <f t="shared" si="45"/>
        <v>0</v>
      </c>
      <c r="I61" s="27">
        <v>0</v>
      </c>
      <c r="J61" s="27">
        <f t="shared" si="46"/>
        <v>0</v>
      </c>
      <c r="K61" s="51">
        <f>VLOOKUP(M61,$C$299:$D$313,2,FALSE)</f>
        <v>0.98499999999999999</v>
      </c>
      <c r="L61" s="42">
        <f t="shared" si="47"/>
        <v>0</v>
      </c>
      <c r="M61" s="18" t="str">
        <f>'CFIT Schedules'!L61</f>
        <v>GROSS PLT</v>
      </c>
      <c r="N61" s="27">
        <v>0</v>
      </c>
      <c r="O61" s="27">
        <f t="shared" si="48"/>
        <v>0</v>
      </c>
      <c r="P61" s="27"/>
    </row>
    <row r="62" spans="1:16" ht="13" x14ac:dyDescent="0.3">
      <c r="A62" s="18">
        <f t="shared" si="2"/>
        <v>39</v>
      </c>
      <c r="B62" s="75" t="s">
        <v>22</v>
      </c>
      <c r="C62" s="78">
        <f t="shared" ref="C62:J62" si="49">SUM(C58:C61)</f>
        <v>0</v>
      </c>
      <c r="D62" s="78">
        <f t="shared" si="49"/>
        <v>0</v>
      </c>
      <c r="E62" s="78">
        <f t="shared" si="49"/>
        <v>0</v>
      </c>
      <c r="F62" s="78">
        <f t="shared" si="49"/>
        <v>0</v>
      </c>
      <c r="G62" s="78">
        <f t="shared" ref="G62" si="50">SUM(G58:G61)</f>
        <v>0</v>
      </c>
      <c r="H62" s="78">
        <f t="shared" si="49"/>
        <v>0</v>
      </c>
      <c r="I62" s="78">
        <f t="shared" si="49"/>
        <v>0</v>
      </c>
      <c r="J62" s="78">
        <f t="shared" si="49"/>
        <v>0</v>
      </c>
      <c r="K62" s="24"/>
      <c r="L62" s="78">
        <f>SUM(L58:L61)</f>
        <v>0</v>
      </c>
      <c r="N62" s="78">
        <f t="shared" ref="N62:O62" si="51">SUM(N58:N61)</f>
        <v>0</v>
      </c>
      <c r="O62" s="78">
        <f t="shared" si="51"/>
        <v>0</v>
      </c>
    </row>
    <row r="63" spans="1:16" x14ac:dyDescent="0.25">
      <c r="A63" s="18">
        <f t="shared" si="2"/>
        <v>40</v>
      </c>
      <c r="B63" s="17" t="s">
        <v>0</v>
      </c>
      <c r="C63" s="36"/>
      <c r="D63" s="36"/>
      <c r="K63" s="81"/>
    </row>
    <row r="64" spans="1:16" ht="13" x14ac:dyDescent="0.3">
      <c r="A64" s="18">
        <f t="shared" si="2"/>
        <v>41</v>
      </c>
      <c r="B64" s="75" t="s">
        <v>23</v>
      </c>
      <c r="C64" s="36"/>
      <c r="D64" s="36"/>
      <c r="K64" s="81"/>
    </row>
    <row r="65" spans="1:16" x14ac:dyDescent="0.25">
      <c r="A65" s="18">
        <f t="shared" si="2"/>
        <v>42</v>
      </c>
      <c r="B65" s="17" t="s">
        <v>24</v>
      </c>
      <c r="C65" s="36">
        <f>+'CFIT Schedules'!E65</f>
        <v>0</v>
      </c>
      <c r="D65" s="42">
        <f t="shared" ref="D65:D70" si="52">IF(C65*0.21=0,0,ROUND(C65*-0.21,0))</f>
        <v>0</v>
      </c>
      <c r="E65" s="36">
        <v>0</v>
      </c>
      <c r="F65" s="36">
        <f t="shared" ref="F65:F70" si="53">SUM(D65:E65)</f>
        <v>0</v>
      </c>
      <c r="G65" s="27">
        <f>ROUND('CFIT Schedules'!F65*-0.35,0)</f>
        <v>0</v>
      </c>
      <c r="H65" s="27">
        <f t="shared" ref="H65:H70" si="54">+F65+G65</f>
        <v>0</v>
      </c>
      <c r="I65" s="27">
        <f>ROUND('CFIT Schedules'!H65*-0.21,0)</f>
        <v>0</v>
      </c>
      <c r="J65" s="27">
        <f t="shared" ref="J65:J70" si="55">+H65+I65</f>
        <v>0</v>
      </c>
      <c r="K65" s="51">
        <f t="shared" ref="K65:K70" si="56">VLOOKUP(M65,$C$299:$D$313,2,FALSE)</f>
        <v>0.98499999999999999</v>
      </c>
      <c r="L65" s="42">
        <f t="shared" ref="L65:L70" si="57">IF(J65*K65=0,0, ROUND(J65*K65,0))</f>
        <v>0</v>
      </c>
      <c r="M65" s="18" t="str">
        <f>'CFIT Schedules'!L65</f>
        <v>GROSS PLT</v>
      </c>
      <c r="N65" s="27">
        <f>ROUND('CFIT Schedules'!M65*-0.21,0)</f>
        <v>0</v>
      </c>
      <c r="O65" s="27">
        <f t="shared" ref="O65:O70" si="58">L65+N65</f>
        <v>0</v>
      </c>
      <c r="P65" s="27"/>
    </row>
    <row r="66" spans="1:16" x14ac:dyDescent="0.25">
      <c r="A66" s="18">
        <f t="shared" si="2"/>
        <v>43</v>
      </c>
      <c r="B66" s="17" t="s">
        <v>233</v>
      </c>
      <c r="C66" s="36">
        <v>0</v>
      </c>
      <c r="D66" s="42">
        <f t="shared" si="52"/>
        <v>0</v>
      </c>
      <c r="E66" s="36">
        <v>-205482</v>
      </c>
      <c r="F66" s="36">
        <f t="shared" si="53"/>
        <v>-205482</v>
      </c>
      <c r="G66" s="27">
        <v>0</v>
      </c>
      <c r="H66" s="27">
        <f t="shared" si="54"/>
        <v>-205482</v>
      </c>
      <c r="I66" s="27">
        <v>0</v>
      </c>
      <c r="J66" s="27">
        <f t="shared" si="55"/>
        <v>-205482</v>
      </c>
      <c r="K66" s="51">
        <f t="shared" si="56"/>
        <v>0.98499999999999999</v>
      </c>
      <c r="L66" s="42">
        <f t="shared" si="57"/>
        <v>-202400</v>
      </c>
      <c r="M66" s="18" t="str">
        <f>'CFIT Schedules'!L66</f>
        <v>GROSS PLT</v>
      </c>
      <c r="N66" s="27">
        <v>0</v>
      </c>
      <c r="O66" s="27">
        <f t="shared" si="58"/>
        <v>-202400</v>
      </c>
      <c r="P66" s="27"/>
    </row>
    <row r="67" spans="1:16" x14ac:dyDescent="0.25">
      <c r="A67" s="18">
        <f t="shared" si="2"/>
        <v>44</v>
      </c>
      <c r="B67" s="56" t="s">
        <v>241</v>
      </c>
      <c r="C67" s="37">
        <f>+'CFIT Schedules'!E67</f>
        <v>-45576565</v>
      </c>
      <c r="D67" s="42">
        <f t="shared" si="52"/>
        <v>9571079</v>
      </c>
      <c r="E67" s="37">
        <v>0</v>
      </c>
      <c r="F67" s="37">
        <f t="shared" si="53"/>
        <v>9571079</v>
      </c>
      <c r="G67" s="27">
        <f>ROUND('CFIT Schedules'!F67*-0.35,0)</f>
        <v>0</v>
      </c>
      <c r="H67" s="27">
        <f t="shared" si="54"/>
        <v>9571079</v>
      </c>
      <c r="I67" s="27">
        <f>ROUND('CFIT Schedules'!H67*-0.21,0)</f>
        <v>0</v>
      </c>
      <c r="J67" s="37">
        <f t="shared" si="55"/>
        <v>9571079</v>
      </c>
      <c r="K67" s="51">
        <f t="shared" si="56"/>
        <v>0.98499999999999999</v>
      </c>
      <c r="L67" s="42">
        <f t="shared" si="57"/>
        <v>9427513</v>
      </c>
      <c r="M67" s="18" t="str">
        <f>'CFIT Schedules'!L67</f>
        <v>PROD PLT</v>
      </c>
      <c r="N67" s="27">
        <f>ROUND('CFIT Schedules'!M67*-0.21,0)</f>
        <v>0</v>
      </c>
      <c r="O67" s="27">
        <f t="shared" si="58"/>
        <v>9427513</v>
      </c>
      <c r="P67" s="27"/>
    </row>
    <row r="68" spans="1:16" x14ac:dyDescent="0.25">
      <c r="A68" s="18">
        <f t="shared" si="2"/>
        <v>45</v>
      </c>
      <c r="B68" s="56" t="s">
        <v>242</v>
      </c>
      <c r="C68" s="37">
        <f>+'CFIT Schedules'!E68</f>
        <v>0</v>
      </c>
      <c r="D68" s="42">
        <f t="shared" si="52"/>
        <v>0</v>
      </c>
      <c r="E68" s="37">
        <v>0</v>
      </c>
      <c r="F68" s="37">
        <f t="shared" si="53"/>
        <v>0</v>
      </c>
      <c r="G68" s="27">
        <f>ROUND('CFIT Schedules'!F68*-0.35,0)</f>
        <v>0</v>
      </c>
      <c r="H68" s="27">
        <f t="shared" si="54"/>
        <v>0</v>
      </c>
      <c r="I68" s="27">
        <f>ROUND('CFIT Schedules'!H68*-0.21,0)</f>
        <v>0</v>
      </c>
      <c r="J68" s="37">
        <f t="shared" si="55"/>
        <v>0</v>
      </c>
      <c r="K68" s="51">
        <f t="shared" si="56"/>
        <v>0.98499999999999999</v>
      </c>
      <c r="L68" s="42">
        <f t="shared" si="57"/>
        <v>0</v>
      </c>
      <c r="M68" s="18" t="str">
        <f>'CFIT Schedules'!L68</f>
        <v>PROD PLT</v>
      </c>
      <c r="N68" s="27">
        <f>ROUND('CFIT Schedules'!M68*-0.21,0)</f>
        <v>0</v>
      </c>
      <c r="O68" s="27">
        <f t="shared" si="58"/>
        <v>0</v>
      </c>
      <c r="P68" s="27"/>
    </row>
    <row r="69" spans="1:16" x14ac:dyDescent="0.25">
      <c r="A69" s="18">
        <f t="shared" si="2"/>
        <v>46</v>
      </c>
      <c r="B69" s="17" t="s">
        <v>25</v>
      </c>
      <c r="C69" s="37">
        <f>+'CFIT Schedules'!E69</f>
        <v>-114</v>
      </c>
      <c r="D69" s="42">
        <f t="shared" si="52"/>
        <v>24</v>
      </c>
      <c r="E69" s="37">
        <v>0</v>
      </c>
      <c r="F69" s="37">
        <f t="shared" si="53"/>
        <v>24</v>
      </c>
      <c r="G69" s="27">
        <f>ROUND('CFIT Schedules'!F69*-0.35,0)</f>
        <v>0</v>
      </c>
      <c r="H69" s="27">
        <f t="shared" si="54"/>
        <v>24</v>
      </c>
      <c r="I69" s="27">
        <f>ROUND('CFIT Schedules'!H69*-0.21,0)</f>
        <v>0</v>
      </c>
      <c r="J69" s="37">
        <f t="shared" si="55"/>
        <v>24</v>
      </c>
      <c r="K69" s="51">
        <f t="shared" si="56"/>
        <v>0.98499999999999999</v>
      </c>
      <c r="L69" s="42">
        <f t="shared" si="57"/>
        <v>24</v>
      </c>
      <c r="M69" s="18" t="str">
        <f>'CFIT Schedules'!L69</f>
        <v>GROSS PLT</v>
      </c>
      <c r="N69" s="27">
        <f>ROUND('CFIT Schedules'!M69*-0.21,0)</f>
        <v>0</v>
      </c>
      <c r="O69" s="27">
        <f t="shared" si="58"/>
        <v>24</v>
      </c>
      <c r="P69" s="27"/>
    </row>
    <row r="70" spans="1:16" x14ac:dyDescent="0.25">
      <c r="A70" s="18">
        <f t="shared" si="2"/>
        <v>47</v>
      </c>
      <c r="B70" s="17" t="s">
        <v>234</v>
      </c>
      <c r="C70" s="37">
        <v>0</v>
      </c>
      <c r="D70" s="42">
        <f t="shared" si="52"/>
        <v>0</v>
      </c>
      <c r="E70" s="37">
        <v>-22175</v>
      </c>
      <c r="F70" s="37">
        <f t="shared" si="53"/>
        <v>-22175</v>
      </c>
      <c r="G70" s="27">
        <v>0</v>
      </c>
      <c r="H70" s="27">
        <f t="shared" si="54"/>
        <v>-22175</v>
      </c>
      <c r="I70" s="27">
        <v>0</v>
      </c>
      <c r="J70" s="37">
        <f t="shared" si="55"/>
        <v>-22175</v>
      </c>
      <c r="K70" s="51">
        <f t="shared" si="56"/>
        <v>0.98499999999999999</v>
      </c>
      <c r="L70" s="42">
        <f t="shared" si="57"/>
        <v>-21842</v>
      </c>
      <c r="M70" s="18" t="str">
        <f>'CFIT Schedules'!L70</f>
        <v>GROSS PLT</v>
      </c>
      <c r="N70" s="27">
        <v>0</v>
      </c>
      <c r="O70" s="27">
        <f t="shared" si="58"/>
        <v>-21842</v>
      </c>
      <c r="P70" s="27"/>
    </row>
    <row r="71" spans="1:16" ht="13" x14ac:dyDescent="0.3">
      <c r="A71" s="18">
        <f t="shared" si="2"/>
        <v>48</v>
      </c>
      <c r="B71" s="75" t="s">
        <v>26</v>
      </c>
      <c r="C71" s="78">
        <f t="shared" ref="C71:J71" si="59">SUM(C65:C70)</f>
        <v>-45576679</v>
      </c>
      <c r="D71" s="78">
        <f t="shared" si="59"/>
        <v>9571103</v>
      </c>
      <c r="E71" s="78">
        <f t="shared" si="59"/>
        <v>-227657</v>
      </c>
      <c r="F71" s="78">
        <f t="shared" si="59"/>
        <v>9343446</v>
      </c>
      <c r="G71" s="78">
        <f t="shared" ref="G71" si="60">SUM(G65:G70)</f>
        <v>0</v>
      </c>
      <c r="H71" s="78">
        <f t="shared" si="59"/>
        <v>9343446</v>
      </c>
      <c r="I71" s="78">
        <f t="shared" si="59"/>
        <v>0</v>
      </c>
      <c r="J71" s="78">
        <f t="shared" si="59"/>
        <v>9343446</v>
      </c>
      <c r="K71" s="24"/>
      <c r="L71" s="78">
        <f>SUM(L65:L70)</f>
        <v>9203295</v>
      </c>
      <c r="N71" s="78">
        <f t="shared" ref="N71:O71" si="61">SUM(N65:N70)</f>
        <v>0</v>
      </c>
      <c r="O71" s="78">
        <f t="shared" si="61"/>
        <v>9203295</v>
      </c>
    </row>
    <row r="72" spans="1:16" x14ac:dyDescent="0.25">
      <c r="A72" s="18">
        <f t="shared" si="2"/>
        <v>49</v>
      </c>
      <c r="B72" s="17" t="s">
        <v>0</v>
      </c>
      <c r="C72" s="36"/>
      <c r="D72" s="36"/>
      <c r="K72" s="81"/>
    </row>
    <row r="73" spans="1:16" ht="13" x14ac:dyDescent="0.3">
      <c r="A73" s="18">
        <f t="shared" si="2"/>
        <v>50</v>
      </c>
      <c r="B73" s="75" t="s">
        <v>27</v>
      </c>
      <c r="C73" s="36"/>
      <c r="D73" s="36"/>
      <c r="K73" s="81"/>
    </row>
    <row r="74" spans="1:16" x14ac:dyDescent="0.25">
      <c r="A74" s="18">
        <f t="shared" si="2"/>
        <v>51</v>
      </c>
      <c r="B74" s="17" t="s">
        <v>28</v>
      </c>
      <c r="C74" s="36">
        <f>+'CFIT Schedules'!E74</f>
        <v>-6083000</v>
      </c>
      <c r="D74" s="42">
        <v>0</v>
      </c>
      <c r="E74" s="36">
        <v>0</v>
      </c>
      <c r="F74" s="36">
        <f>SUM(D74:E74)</f>
        <v>0</v>
      </c>
      <c r="G74" s="27">
        <v>0</v>
      </c>
      <c r="H74" s="27">
        <f>+F74+G74</f>
        <v>0</v>
      </c>
      <c r="I74" s="27">
        <v>0</v>
      </c>
      <c r="J74" s="27">
        <f>+H74+I74</f>
        <v>0</v>
      </c>
      <c r="K74" s="51">
        <f>VLOOKUP(M74,$C$299:$D$313,2,FALSE)</f>
        <v>0.98499999999999999</v>
      </c>
      <c r="L74" s="42">
        <f>IF(J74*K74=0,0, ROUND(J74*K74,0))</f>
        <v>0</v>
      </c>
      <c r="M74" s="18" t="str">
        <f>'CFIT Schedules'!L74</f>
        <v>GROSS PLT</v>
      </c>
      <c r="N74" s="27">
        <v>0</v>
      </c>
      <c r="O74" s="27">
        <f>L74+N74</f>
        <v>0</v>
      </c>
      <c r="P74" s="27"/>
    </row>
    <row r="75" spans="1:16" x14ac:dyDescent="0.25">
      <c r="A75" s="18">
        <f t="shared" si="2"/>
        <v>52</v>
      </c>
      <c r="B75" s="17" t="s">
        <v>324</v>
      </c>
      <c r="C75" s="36">
        <f>+'CFIT Schedules'!E75</f>
        <v>-3483000</v>
      </c>
      <c r="D75" s="42">
        <f>IF(C75*0.21=0,0,ROUND(C75*-0.21,0))</f>
        <v>731430</v>
      </c>
      <c r="E75" s="36">
        <v>0</v>
      </c>
      <c r="F75" s="36">
        <f>SUM(D75:E75)</f>
        <v>731430</v>
      </c>
      <c r="G75" s="27">
        <v>0</v>
      </c>
      <c r="H75" s="27">
        <f>+F75+G75</f>
        <v>731430</v>
      </c>
      <c r="I75" s="27">
        <v>0</v>
      </c>
      <c r="J75" s="27">
        <f>+H75+I75</f>
        <v>731430</v>
      </c>
      <c r="K75" s="51">
        <f>VLOOKUP(M75,$C$299:$D$313,2,FALSE)</f>
        <v>0.98499999999999999</v>
      </c>
      <c r="L75" s="42">
        <f>IF(J75*K75=0,0, ROUND(J75*K75,0))</f>
        <v>720459</v>
      </c>
      <c r="M75" s="18" t="str">
        <f>'CFIT Schedules'!L75</f>
        <v>GROSS PLT</v>
      </c>
      <c r="N75" s="27">
        <v>0</v>
      </c>
      <c r="O75" s="27">
        <f>L75+N75</f>
        <v>720459</v>
      </c>
      <c r="P75" s="27"/>
    </row>
    <row r="76" spans="1:16" ht="13" x14ac:dyDescent="0.3">
      <c r="A76" s="18">
        <f t="shared" si="2"/>
        <v>53</v>
      </c>
      <c r="B76" s="75" t="s">
        <v>29</v>
      </c>
      <c r="C76" s="78">
        <f t="shared" ref="C76:J76" si="62">SUM(C74:C75)</f>
        <v>-9566000</v>
      </c>
      <c r="D76" s="78">
        <f t="shared" si="62"/>
        <v>731430</v>
      </c>
      <c r="E76" s="78">
        <f t="shared" si="62"/>
        <v>0</v>
      </c>
      <c r="F76" s="78">
        <f t="shared" si="62"/>
        <v>731430</v>
      </c>
      <c r="G76" s="78">
        <f t="shared" si="62"/>
        <v>0</v>
      </c>
      <c r="H76" s="78">
        <f t="shared" si="62"/>
        <v>731430</v>
      </c>
      <c r="I76" s="78">
        <f t="shared" si="62"/>
        <v>0</v>
      </c>
      <c r="J76" s="78">
        <f t="shared" si="62"/>
        <v>731430</v>
      </c>
      <c r="K76" s="24"/>
      <c r="L76" s="78">
        <f>SUM(L74:L75)</f>
        <v>720459</v>
      </c>
      <c r="N76" s="78">
        <f>SUM(N74:N75)</f>
        <v>0</v>
      </c>
      <c r="O76" s="78">
        <f>SUM(O74:O75)</f>
        <v>720459</v>
      </c>
    </row>
    <row r="77" spans="1:16" x14ac:dyDescent="0.25">
      <c r="A77" s="18">
        <f t="shared" si="2"/>
        <v>54</v>
      </c>
      <c r="B77" s="17" t="s">
        <v>0</v>
      </c>
      <c r="C77" s="36"/>
      <c r="D77" s="36"/>
      <c r="K77" s="81"/>
    </row>
    <row r="78" spans="1:16" ht="13" x14ac:dyDescent="0.3">
      <c r="A78" s="18">
        <f t="shared" si="2"/>
        <v>55</v>
      </c>
      <c r="B78" s="75" t="s">
        <v>30</v>
      </c>
      <c r="C78" s="36"/>
      <c r="D78" s="36"/>
      <c r="K78" s="81"/>
    </row>
    <row r="79" spans="1:16" x14ac:dyDescent="0.25">
      <c r="A79" s="18">
        <f t="shared" si="2"/>
        <v>56</v>
      </c>
      <c r="B79" s="17" t="s">
        <v>31</v>
      </c>
      <c r="C79" s="37">
        <f>+'CFIT Schedules'!E79</f>
        <v>9512222</v>
      </c>
      <c r="D79" s="42">
        <f>IF(C79*0.21=0,0,ROUND(C79*-0.21,0))</f>
        <v>-1997567</v>
      </c>
      <c r="E79" s="37">
        <v>0</v>
      </c>
      <c r="F79" s="37">
        <f>SUM(D79:E79)</f>
        <v>-1997567</v>
      </c>
      <c r="G79" s="27">
        <f>ROUND('CFIT Schedules'!F79*-0.35,0)</f>
        <v>0</v>
      </c>
      <c r="H79" s="27">
        <f>+F79+G79</f>
        <v>-1997567</v>
      </c>
      <c r="I79" s="27">
        <f>ROUND('CFIT Schedules'!H79*-0.21,0)</f>
        <v>0</v>
      </c>
      <c r="J79" s="37">
        <f>+H79+I79</f>
        <v>-1997567</v>
      </c>
      <c r="K79" s="51">
        <f>VLOOKUP(M79,$C$299:$D$313,2,FALSE)</f>
        <v>0.98499999999999999</v>
      </c>
      <c r="L79" s="42">
        <f>IF(J79*K79=0,0, ROUND(J79*K79,0))</f>
        <v>-1967603</v>
      </c>
      <c r="M79" s="18" t="str">
        <f>'CFIT Schedules'!L79</f>
        <v>PROD PLT</v>
      </c>
      <c r="N79" s="27">
        <f>ROUND('CFIT Schedules'!M79*-0.21,0)</f>
        <v>0</v>
      </c>
      <c r="O79" s="27">
        <f>L79+N79</f>
        <v>-1967603</v>
      </c>
      <c r="P79" s="27"/>
    </row>
    <row r="80" spans="1:16" ht="13" x14ac:dyDescent="0.3">
      <c r="A80" s="18">
        <f t="shared" si="2"/>
        <v>57</v>
      </c>
      <c r="B80" s="75" t="s">
        <v>32</v>
      </c>
      <c r="C80" s="78">
        <f>+C79</f>
        <v>9512222</v>
      </c>
      <c r="D80" s="78">
        <f>+D79</f>
        <v>-1997567</v>
      </c>
      <c r="E80" s="78">
        <f t="shared" ref="E80:L80" si="63">+E79</f>
        <v>0</v>
      </c>
      <c r="F80" s="78">
        <f t="shared" si="63"/>
        <v>-1997567</v>
      </c>
      <c r="G80" s="78">
        <f t="shared" ref="G80" si="64">+G79</f>
        <v>0</v>
      </c>
      <c r="H80" s="78">
        <f t="shared" si="63"/>
        <v>-1997567</v>
      </c>
      <c r="I80" s="78">
        <f t="shared" si="63"/>
        <v>0</v>
      </c>
      <c r="J80" s="78">
        <f t="shared" si="63"/>
        <v>-1997567</v>
      </c>
      <c r="K80" s="24"/>
      <c r="L80" s="78">
        <f t="shared" si="63"/>
        <v>-1967603</v>
      </c>
      <c r="N80" s="78">
        <f t="shared" ref="N80:O80" si="65">+N79</f>
        <v>0</v>
      </c>
      <c r="O80" s="78">
        <f t="shared" si="65"/>
        <v>-1967603</v>
      </c>
    </row>
    <row r="81" spans="1:16" x14ac:dyDescent="0.25">
      <c r="A81" s="18">
        <f t="shared" si="2"/>
        <v>58</v>
      </c>
      <c r="B81" s="17" t="s">
        <v>0</v>
      </c>
      <c r="C81" s="36"/>
      <c r="D81" s="36"/>
      <c r="K81" s="81"/>
    </row>
    <row r="82" spans="1:16" ht="13" x14ac:dyDescent="0.3">
      <c r="A82" s="18">
        <f t="shared" si="2"/>
        <v>59</v>
      </c>
      <c r="B82" s="75" t="s">
        <v>33</v>
      </c>
      <c r="C82" s="36"/>
      <c r="D82" s="36"/>
      <c r="K82" s="81"/>
    </row>
    <row r="83" spans="1:16" x14ac:dyDescent="0.25">
      <c r="A83" s="18">
        <f t="shared" si="2"/>
        <v>60</v>
      </c>
      <c r="B83" s="17" t="s">
        <v>357</v>
      </c>
      <c r="C83" s="36">
        <f>+'CFIT Schedules'!E83</f>
        <v>-761247</v>
      </c>
      <c r="D83" s="42">
        <f>IF(C83*0.21=0,0,ROUND(C83*-0.21,0))</f>
        <v>159862</v>
      </c>
      <c r="E83" s="36">
        <v>0</v>
      </c>
      <c r="F83" s="36">
        <f>SUM(D83:E83)</f>
        <v>159862</v>
      </c>
      <c r="G83" s="27">
        <f>ROUND('CFIT Schedules'!F83*-0.35,0)</f>
        <v>0</v>
      </c>
      <c r="H83" s="27">
        <f>+F83+G83</f>
        <v>159862</v>
      </c>
      <c r="I83" s="27">
        <f>ROUND('CFIT Schedules'!H83*-0.21,0)</f>
        <v>0</v>
      </c>
      <c r="J83" s="27">
        <f>+H83+I83</f>
        <v>159862</v>
      </c>
      <c r="K83" s="51">
        <f>VLOOKUP(M83,$C$299:$D$313,2,FALSE)</f>
        <v>0.98499999999999999</v>
      </c>
      <c r="L83" s="42">
        <f>IF(J83*K83=0,0, ROUND(J83*K83,0))</f>
        <v>157464</v>
      </c>
      <c r="M83" s="18" t="str">
        <f>'CFIT Schedules'!L83</f>
        <v>NET PLANT</v>
      </c>
      <c r="N83" s="27">
        <f>ROUND('CFIT Schedules'!M83*-0.21,0)</f>
        <v>0</v>
      </c>
      <c r="O83" s="27">
        <f>L83+N83</f>
        <v>157464</v>
      </c>
      <c r="P83" s="27"/>
    </row>
    <row r="84" spans="1:16" ht="13" x14ac:dyDescent="0.3">
      <c r="A84" s="18">
        <f t="shared" si="2"/>
        <v>61</v>
      </c>
      <c r="B84" s="75" t="s">
        <v>34</v>
      </c>
      <c r="C84" s="78">
        <f t="shared" ref="C84:J84" si="66">SUM(C83:C83)</f>
        <v>-761247</v>
      </c>
      <c r="D84" s="78">
        <f t="shared" si="66"/>
        <v>159862</v>
      </c>
      <c r="E84" s="78">
        <f t="shared" si="66"/>
        <v>0</v>
      </c>
      <c r="F84" s="78">
        <f t="shared" si="66"/>
        <v>159862</v>
      </c>
      <c r="G84" s="78">
        <f t="shared" ref="G84" si="67">SUM(G83:G83)</f>
        <v>0</v>
      </c>
      <c r="H84" s="78">
        <f t="shared" si="66"/>
        <v>159862</v>
      </c>
      <c r="I84" s="78">
        <f t="shared" si="66"/>
        <v>0</v>
      </c>
      <c r="J84" s="78">
        <f t="shared" si="66"/>
        <v>159862</v>
      </c>
      <c r="K84" s="24"/>
      <c r="L84" s="99">
        <f>SUM(L83:L83)</f>
        <v>157464</v>
      </c>
      <c r="N84" s="78">
        <f t="shared" ref="N84:O84" si="68">SUM(N83:N83)</f>
        <v>0</v>
      </c>
      <c r="O84" s="78">
        <f t="shared" si="68"/>
        <v>157464</v>
      </c>
    </row>
    <row r="85" spans="1:16" x14ac:dyDescent="0.25">
      <c r="A85" s="18">
        <f t="shared" si="2"/>
        <v>62</v>
      </c>
      <c r="B85" s="17" t="s">
        <v>0</v>
      </c>
      <c r="C85" s="36"/>
      <c r="D85" s="36"/>
      <c r="K85" s="81"/>
    </row>
    <row r="86" spans="1:16" ht="13" x14ac:dyDescent="0.3">
      <c r="A86" s="18">
        <f t="shared" si="2"/>
        <v>63</v>
      </c>
      <c r="B86" s="75" t="s">
        <v>35</v>
      </c>
      <c r="C86" s="36"/>
      <c r="D86" s="36"/>
      <c r="K86" s="81"/>
    </row>
    <row r="87" spans="1:16" x14ac:dyDescent="0.25">
      <c r="A87" s="18">
        <f t="shared" si="2"/>
        <v>64</v>
      </c>
      <c r="B87" s="17" t="s">
        <v>36</v>
      </c>
      <c r="C87" s="36">
        <f>+'CFIT Schedules'!E87</f>
        <v>-17065</v>
      </c>
      <c r="D87" s="42">
        <f>IF(C87*0.21=0,0,ROUND(C87*-0.21,0))</f>
        <v>3584</v>
      </c>
      <c r="E87" s="36">
        <v>0</v>
      </c>
      <c r="F87" s="36">
        <f>SUM(D87:E87)</f>
        <v>3584</v>
      </c>
      <c r="G87" s="27">
        <f>ROUND('CFIT Schedules'!F87*-0.35,0)</f>
        <v>0</v>
      </c>
      <c r="H87" s="27">
        <f>+F87+G87</f>
        <v>3584</v>
      </c>
      <c r="I87" s="27">
        <f>ROUND('CFIT Schedules'!H87*-0.21,0)</f>
        <v>0</v>
      </c>
      <c r="J87" s="27">
        <f>+H87+I87</f>
        <v>3584</v>
      </c>
      <c r="K87" s="51">
        <f>VLOOKUP(M87,$C$299:$D$313,2,FALSE)</f>
        <v>1</v>
      </c>
      <c r="L87" s="42">
        <f>IF(J87*K87=0,0, ROUND(J87*K87,0))</f>
        <v>3584</v>
      </c>
      <c r="M87" s="18" t="str">
        <f>'CFIT Schedules'!L87</f>
        <v>SPECIFIC</v>
      </c>
      <c r="N87" s="27">
        <f>ROUND('CFIT Schedules'!M87*-0.21,0)</f>
        <v>0</v>
      </c>
      <c r="O87" s="27">
        <f>L87+N87</f>
        <v>3584</v>
      </c>
      <c r="P87" s="27"/>
    </row>
    <row r="88" spans="1:16" x14ac:dyDescent="0.25">
      <c r="A88" s="142"/>
      <c r="B88" s="124" t="s">
        <v>369</v>
      </c>
      <c r="C88" s="36">
        <f>'CFIT Schedules'!E88</f>
        <v>-179548</v>
      </c>
      <c r="D88" s="42">
        <f t="shared" ref="D88:D89" si="69">IF(C88*0.21=0,0,ROUND(C88*-0.21,0))</f>
        <v>37705</v>
      </c>
      <c r="E88" s="36">
        <v>0</v>
      </c>
      <c r="F88" s="36">
        <f t="shared" ref="F88:F89" si="70">SUM(D88:E88)</f>
        <v>37705</v>
      </c>
      <c r="G88" s="27">
        <f>ROUND('CFIT Schedules'!F88*-0.35,0)</f>
        <v>0</v>
      </c>
      <c r="H88" s="27">
        <f t="shared" ref="H88:H89" si="71">+F88+G88</f>
        <v>37705</v>
      </c>
      <c r="I88" s="27">
        <f>ROUND('CFIT Schedules'!H88*-0.21,0)</f>
        <v>0</v>
      </c>
      <c r="J88" s="27">
        <f t="shared" ref="J88:J89" si="72">+H88+I88</f>
        <v>37705</v>
      </c>
      <c r="K88" s="51">
        <f>VLOOKUP(M88,$C$299:$D$313,2,FALSE)</f>
        <v>1</v>
      </c>
      <c r="L88" s="42">
        <f t="shared" ref="L88:L89" si="73">IF(J88*K88=0,0, ROUND(J88*K88,0))</f>
        <v>37705</v>
      </c>
      <c r="M88" s="144" t="str">
        <f>'CFIT Schedules'!L88</f>
        <v>SPECIFIC</v>
      </c>
      <c r="N88" s="27">
        <f>ROUND('CFIT Schedules'!M88*-0.21,0)</f>
        <v>0</v>
      </c>
      <c r="O88" s="27">
        <f t="shared" ref="O88:O89" si="74">L88+N88</f>
        <v>37705</v>
      </c>
      <c r="P88" s="27"/>
    </row>
    <row r="89" spans="1:16" x14ac:dyDescent="0.25">
      <c r="A89" s="142"/>
      <c r="B89" s="124" t="s">
        <v>370</v>
      </c>
      <c r="C89" s="36">
        <f>'CFIT Schedules'!E89</f>
        <v>-63846</v>
      </c>
      <c r="D89" s="42">
        <f t="shared" si="69"/>
        <v>13408</v>
      </c>
      <c r="E89" s="36">
        <v>0</v>
      </c>
      <c r="F89" s="36">
        <f t="shared" si="70"/>
        <v>13408</v>
      </c>
      <c r="G89" s="27">
        <f>ROUND('CFIT Schedules'!F89*-0.35,0)</f>
        <v>0</v>
      </c>
      <c r="H89" s="27">
        <f t="shared" si="71"/>
        <v>13408</v>
      </c>
      <c r="I89" s="27">
        <f>ROUND('CFIT Schedules'!H89*-0.21,0)</f>
        <v>0</v>
      </c>
      <c r="J89" s="27">
        <f t="shared" si="72"/>
        <v>13408</v>
      </c>
      <c r="K89" s="51">
        <f>VLOOKUP(M89,$C$299:$D$313,2,FALSE)</f>
        <v>1</v>
      </c>
      <c r="L89" s="42">
        <f t="shared" si="73"/>
        <v>13408</v>
      </c>
      <c r="M89" s="144" t="str">
        <f>'CFIT Schedules'!L89</f>
        <v>SPECIFIC</v>
      </c>
      <c r="N89" s="27">
        <f>ROUND('CFIT Schedules'!M89*-0.21,0)</f>
        <v>0</v>
      </c>
      <c r="O89" s="27">
        <f t="shared" si="74"/>
        <v>13408</v>
      </c>
      <c r="P89" s="27"/>
    </row>
    <row r="90" spans="1:16" ht="13" x14ac:dyDescent="0.3">
      <c r="A90" s="18">
        <f>A87+1</f>
        <v>65</v>
      </c>
      <c r="B90" s="75" t="s">
        <v>37</v>
      </c>
      <c r="C90" s="78">
        <f>SUM(C87:C89)</f>
        <v>-260459</v>
      </c>
      <c r="D90" s="78">
        <f>SUM(D87:D89)</f>
        <v>54697</v>
      </c>
      <c r="E90" s="78">
        <f>SUM(E87:E89)</f>
        <v>0</v>
      </c>
      <c r="F90" s="78">
        <f t="shared" ref="F90:J90" si="75">SUM(F87:F89)</f>
        <v>54697</v>
      </c>
      <c r="G90" s="78">
        <f t="shared" si="75"/>
        <v>0</v>
      </c>
      <c r="H90" s="78">
        <f t="shared" si="75"/>
        <v>54697</v>
      </c>
      <c r="I90" s="78">
        <f t="shared" si="75"/>
        <v>0</v>
      </c>
      <c r="J90" s="78">
        <f t="shared" si="75"/>
        <v>54697</v>
      </c>
      <c r="K90" s="24"/>
      <c r="L90" s="78">
        <f>SUM(L87:L89)</f>
        <v>54697</v>
      </c>
      <c r="N90" s="78">
        <f t="shared" ref="N90:O90" si="76">SUM(N87:N89)</f>
        <v>0</v>
      </c>
      <c r="O90" s="78">
        <f t="shared" si="76"/>
        <v>54697</v>
      </c>
    </row>
    <row r="91" spans="1:16" x14ac:dyDescent="0.25">
      <c r="A91" s="18">
        <f t="shared" si="2"/>
        <v>66</v>
      </c>
      <c r="B91" s="17" t="s">
        <v>0</v>
      </c>
      <c r="C91" s="36"/>
      <c r="D91" s="36"/>
      <c r="K91" s="81"/>
    </row>
    <row r="92" spans="1:16" ht="13" x14ac:dyDescent="0.3">
      <c r="A92" s="18">
        <f t="shared" si="2"/>
        <v>67</v>
      </c>
      <c r="B92" s="75" t="s">
        <v>38</v>
      </c>
      <c r="C92" s="36"/>
      <c r="D92" s="36"/>
      <c r="K92" s="81"/>
    </row>
    <row r="93" spans="1:16" x14ac:dyDescent="0.25">
      <c r="A93" s="18">
        <f t="shared" si="2"/>
        <v>68</v>
      </c>
      <c r="B93" s="17" t="s">
        <v>326</v>
      </c>
      <c r="C93" s="36">
        <f>+'CFIT Schedules'!E93</f>
        <v>0</v>
      </c>
      <c r="D93" s="42">
        <f>IF(C93*0.21=0,0,ROUND(C93*-0.21,0))</f>
        <v>0</v>
      </c>
      <c r="E93" s="36">
        <v>0</v>
      </c>
      <c r="F93" s="36">
        <f t="shared" ref="F93:F94" si="77">SUM(D93:E93)</f>
        <v>0</v>
      </c>
      <c r="G93" s="27">
        <f>ROUND('CFIT Schedules'!F93*-0.35,0)</f>
        <v>0</v>
      </c>
      <c r="H93" s="27">
        <f t="shared" ref="H93:H94" si="78">+F93+G93</f>
        <v>0</v>
      </c>
      <c r="I93" s="27">
        <f>ROUND('CFIT Schedules'!H93*-0.21,0)</f>
        <v>0</v>
      </c>
      <c r="J93" s="27">
        <f t="shared" ref="J93:J94" si="79">+H93+I93</f>
        <v>0</v>
      </c>
      <c r="K93" s="51">
        <f>VLOOKUP(M93,$C$299:$D$313,2,FALSE)</f>
        <v>1</v>
      </c>
      <c r="L93" s="42">
        <f t="shared" ref="L93:L94" si="80">IF(J93*K93=0,0, ROUND(J93*K93,0))</f>
        <v>0</v>
      </c>
      <c r="M93" s="18" t="str">
        <f>'CFIT Schedules'!L93</f>
        <v>SPECIFIC</v>
      </c>
      <c r="N93" s="27">
        <f>ROUND('CFIT Schedules'!M93*-0.21,0)</f>
        <v>0</v>
      </c>
      <c r="O93" s="27">
        <f t="shared" ref="O93:O94" si="81">L93+N93</f>
        <v>0</v>
      </c>
      <c r="P93" s="27"/>
    </row>
    <row r="94" spans="1:16" x14ac:dyDescent="0.25">
      <c r="A94" s="18">
        <f t="shared" si="2"/>
        <v>69</v>
      </c>
      <c r="B94" s="17" t="s">
        <v>327</v>
      </c>
      <c r="C94" s="36">
        <f>+'CFIT Schedules'!E94</f>
        <v>0</v>
      </c>
      <c r="D94" s="42">
        <f>IF(C94*0.21=0,0,ROUND(C94*-0.21,0))</f>
        <v>0</v>
      </c>
      <c r="E94" s="36">
        <v>0</v>
      </c>
      <c r="F94" s="36">
        <f t="shared" si="77"/>
        <v>0</v>
      </c>
      <c r="G94" s="27">
        <f>ROUND('CFIT Schedules'!F94*-0.35,0)</f>
        <v>0</v>
      </c>
      <c r="H94" s="27">
        <f t="shared" si="78"/>
        <v>0</v>
      </c>
      <c r="I94" s="27">
        <f>ROUND('CFIT Schedules'!H94*-0.21,0)</f>
        <v>0</v>
      </c>
      <c r="J94" s="27">
        <f t="shared" si="79"/>
        <v>0</v>
      </c>
      <c r="K94" s="51">
        <f>VLOOKUP(M94,$C$299:$D$313,2,FALSE)</f>
        <v>1</v>
      </c>
      <c r="L94" s="42">
        <f t="shared" si="80"/>
        <v>0</v>
      </c>
      <c r="M94" s="18" t="str">
        <f>'CFIT Schedules'!L94</f>
        <v>SPECIFIC</v>
      </c>
      <c r="N94" s="27">
        <f>ROUND('CFIT Schedules'!M94*-0.21,0)</f>
        <v>0</v>
      </c>
      <c r="O94" s="27">
        <f t="shared" si="81"/>
        <v>0</v>
      </c>
      <c r="P94" s="27"/>
    </row>
    <row r="95" spans="1:16" ht="13" x14ac:dyDescent="0.3">
      <c r="A95" s="18">
        <f t="shared" si="2"/>
        <v>70</v>
      </c>
      <c r="B95" s="75" t="s">
        <v>39</v>
      </c>
      <c r="C95" s="78">
        <f t="shared" ref="C95:J95" si="82">SUM(C93:C94)</f>
        <v>0</v>
      </c>
      <c r="D95" s="78">
        <f t="shared" si="82"/>
        <v>0</v>
      </c>
      <c r="E95" s="78">
        <f t="shared" si="82"/>
        <v>0</v>
      </c>
      <c r="F95" s="78">
        <f t="shared" si="82"/>
        <v>0</v>
      </c>
      <c r="G95" s="78">
        <f t="shared" si="82"/>
        <v>0</v>
      </c>
      <c r="H95" s="78">
        <f t="shared" si="82"/>
        <v>0</v>
      </c>
      <c r="I95" s="78">
        <f t="shared" si="82"/>
        <v>0</v>
      </c>
      <c r="J95" s="78">
        <f t="shared" si="82"/>
        <v>0</v>
      </c>
      <c r="K95" s="24"/>
      <c r="L95" s="99">
        <f>SUM(L93:L94)</f>
        <v>0</v>
      </c>
      <c r="N95" s="78">
        <f>SUM(N93:N94)</f>
        <v>0</v>
      </c>
      <c r="O95" s="78">
        <f>SUM(O93:O94)</f>
        <v>0</v>
      </c>
    </row>
    <row r="96" spans="1:16" x14ac:dyDescent="0.25">
      <c r="A96" s="18">
        <f t="shared" ref="A96:A160" si="83">A95+1</f>
        <v>71</v>
      </c>
      <c r="B96" s="17" t="s">
        <v>0</v>
      </c>
      <c r="C96" s="36"/>
      <c r="D96" s="36"/>
      <c r="K96" s="81"/>
    </row>
    <row r="97" spans="1:16" ht="13" x14ac:dyDescent="0.3">
      <c r="A97" s="18">
        <f t="shared" si="83"/>
        <v>72</v>
      </c>
      <c r="B97" s="75" t="s">
        <v>40</v>
      </c>
      <c r="C97" s="36"/>
      <c r="D97" s="36"/>
      <c r="K97" s="81"/>
    </row>
    <row r="98" spans="1:16" x14ac:dyDescent="0.25">
      <c r="A98" s="18">
        <f t="shared" si="83"/>
        <v>73</v>
      </c>
      <c r="B98" s="17" t="s">
        <v>41</v>
      </c>
      <c r="C98" s="37">
        <f>+'CFIT Schedules'!E98</f>
        <v>0</v>
      </c>
      <c r="D98" s="42">
        <f>IF(C98*0.21=0,0,ROUND(C98*-0.21,0))</f>
        <v>0</v>
      </c>
      <c r="E98" s="37">
        <v>0</v>
      </c>
      <c r="F98" s="37">
        <f>SUM(D98:E98)</f>
        <v>0</v>
      </c>
      <c r="G98" s="36">
        <v>0</v>
      </c>
      <c r="H98" s="27">
        <f>+F98+G98</f>
        <v>0</v>
      </c>
      <c r="I98" s="36">
        <v>0</v>
      </c>
      <c r="J98" s="37">
        <f>+H98+I98</f>
        <v>0</v>
      </c>
      <c r="K98" s="51">
        <f>VLOOKUP(M98,$C$299:$D$313,2,FALSE)</f>
        <v>0</v>
      </c>
      <c r="L98" s="42">
        <f>IF(J98*K98=0,0, ROUND(J98*K98,0))</f>
        <v>0</v>
      </c>
      <c r="M98" s="18" t="str">
        <f>'CFIT Schedules'!L98</f>
        <v>NON-UTILITY</v>
      </c>
      <c r="N98" s="36">
        <v>0</v>
      </c>
      <c r="O98" s="27">
        <f>L98+N98</f>
        <v>0</v>
      </c>
      <c r="P98" s="27"/>
    </row>
    <row r="99" spans="1:16" ht="13" x14ac:dyDescent="0.3">
      <c r="A99" s="18">
        <f t="shared" si="83"/>
        <v>74</v>
      </c>
      <c r="B99" s="75" t="s">
        <v>42</v>
      </c>
      <c r="C99" s="78">
        <f>+C98</f>
        <v>0</v>
      </c>
      <c r="D99" s="99">
        <f>SUM(D98:D98)</f>
        <v>0</v>
      </c>
      <c r="E99" s="78">
        <f t="shared" ref="E99:J99" si="84">+E98</f>
        <v>0</v>
      </c>
      <c r="F99" s="78">
        <f t="shared" si="84"/>
        <v>0</v>
      </c>
      <c r="G99" s="78">
        <f t="shared" ref="G99" si="85">+G98</f>
        <v>0</v>
      </c>
      <c r="H99" s="78">
        <f t="shared" si="84"/>
        <v>0</v>
      </c>
      <c r="I99" s="78">
        <f t="shared" si="84"/>
        <v>0</v>
      </c>
      <c r="J99" s="78">
        <f t="shared" si="84"/>
        <v>0</v>
      </c>
      <c r="K99" s="24"/>
      <c r="L99" s="99">
        <f>SUM(L98)</f>
        <v>0</v>
      </c>
      <c r="N99" s="78">
        <f t="shared" ref="N99:O99" si="86">+N98</f>
        <v>0</v>
      </c>
      <c r="O99" s="78">
        <f t="shared" si="86"/>
        <v>0</v>
      </c>
    </row>
    <row r="100" spans="1:16" x14ac:dyDescent="0.25">
      <c r="A100" s="18">
        <f t="shared" si="83"/>
        <v>75</v>
      </c>
      <c r="B100" s="17" t="s">
        <v>0</v>
      </c>
      <c r="C100" s="36"/>
      <c r="D100" s="36"/>
      <c r="K100" s="81"/>
    </row>
    <row r="101" spans="1:16" ht="13" x14ac:dyDescent="0.3">
      <c r="A101" s="18">
        <f t="shared" si="83"/>
        <v>76</v>
      </c>
      <c r="B101" s="75" t="s">
        <v>43</v>
      </c>
      <c r="C101" s="36"/>
      <c r="D101" s="36"/>
      <c r="K101" s="81"/>
    </row>
    <row r="102" spans="1:16" x14ac:dyDescent="0.25">
      <c r="A102" s="18">
        <f t="shared" si="83"/>
        <v>77</v>
      </c>
      <c r="B102" s="17" t="s">
        <v>44</v>
      </c>
      <c r="C102" s="36">
        <f>+'CFIT Schedules'!E102</f>
        <v>-379963</v>
      </c>
      <c r="D102" s="42">
        <f t="shared" ref="D102:D125" si="87">IF(C102*0.21=0,0,ROUND(C102*-0.21,0))</f>
        <v>79792</v>
      </c>
      <c r="E102" s="36">
        <v>0</v>
      </c>
      <c r="F102" s="36">
        <f t="shared" ref="F102:F122" si="88">SUM(D102:E102)</f>
        <v>79792</v>
      </c>
      <c r="G102" s="27">
        <f>ROUND('CFIT Schedules'!F102*-0.35,0)</f>
        <v>0</v>
      </c>
      <c r="H102" s="27">
        <f t="shared" ref="H102:H125" si="89">+F102+G102</f>
        <v>79792</v>
      </c>
      <c r="I102" s="27">
        <f>ROUND('CFIT Schedules'!H102*-0.21,0)</f>
        <v>0</v>
      </c>
      <c r="J102" s="27">
        <f t="shared" ref="J102:J124" si="90">+H102+I102</f>
        <v>79792</v>
      </c>
      <c r="K102" s="51">
        <f t="shared" ref="K102:K125" si="91">VLOOKUP(M102,$C$299:$D$313,2,FALSE)</f>
        <v>0.99</v>
      </c>
      <c r="L102" s="42">
        <f t="shared" ref="L102:L125" si="92">IF(J102*K102=0,0, ROUND(J102*K102,0))</f>
        <v>78994</v>
      </c>
      <c r="M102" s="18" t="str">
        <f>'CFIT Schedules'!L102</f>
        <v>LABOR</v>
      </c>
      <c r="N102" s="27">
        <f>ROUND('CFIT Schedules'!M102*-0.21,0)</f>
        <v>0</v>
      </c>
      <c r="O102" s="27">
        <f t="shared" ref="O102:O125" si="93">L102+N102</f>
        <v>78994</v>
      </c>
      <c r="P102" s="27"/>
    </row>
    <row r="103" spans="1:16" x14ac:dyDescent="0.25">
      <c r="A103" s="18">
        <f t="shared" si="83"/>
        <v>78</v>
      </c>
      <c r="B103" s="17" t="s">
        <v>45</v>
      </c>
      <c r="C103" s="36">
        <f>+'CFIT Schedules'!E103</f>
        <v>1045409</v>
      </c>
      <c r="D103" s="42">
        <f t="shared" si="87"/>
        <v>-219536</v>
      </c>
      <c r="E103" s="36">
        <v>0</v>
      </c>
      <c r="F103" s="36">
        <f t="shared" si="88"/>
        <v>-219536</v>
      </c>
      <c r="G103" s="27">
        <f>ROUND('CFIT Schedules'!F103*-0.35,0)</f>
        <v>0</v>
      </c>
      <c r="H103" s="27">
        <f t="shared" si="89"/>
        <v>-219536</v>
      </c>
      <c r="I103" s="27">
        <f>ROUND('CFIT Schedules'!H103*-0.21,0)</f>
        <v>0</v>
      </c>
      <c r="J103" s="27">
        <f t="shared" si="90"/>
        <v>-219536</v>
      </c>
      <c r="K103" s="51">
        <f t="shared" si="91"/>
        <v>0.99</v>
      </c>
      <c r="L103" s="42">
        <f t="shared" si="92"/>
        <v>-217341</v>
      </c>
      <c r="M103" s="18" t="str">
        <f>'CFIT Schedules'!L103</f>
        <v>LABOR</v>
      </c>
      <c r="N103" s="27">
        <f>ROUND('CFIT Schedules'!M103*-0.21,0)</f>
        <v>-507</v>
      </c>
      <c r="O103" s="27">
        <f t="shared" si="93"/>
        <v>-217848</v>
      </c>
      <c r="P103" s="27"/>
    </row>
    <row r="104" spans="1:16" x14ac:dyDescent="0.25">
      <c r="A104" s="18">
        <f t="shared" si="83"/>
        <v>79</v>
      </c>
      <c r="B104" s="56" t="s">
        <v>243</v>
      </c>
      <c r="C104" s="36">
        <f>+'CFIT Schedules'!E104</f>
        <v>535524</v>
      </c>
      <c r="D104" s="42">
        <f t="shared" si="87"/>
        <v>-112460</v>
      </c>
      <c r="E104" s="36">
        <v>0</v>
      </c>
      <c r="F104" s="36">
        <f>SUM(D104:E104)</f>
        <v>-112460</v>
      </c>
      <c r="G104" s="27">
        <f>ROUND('CFIT Schedules'!F104*-0.35,0)</f>
        <v>0</v>
      </c>
      <c r="H104" s="27">
        <f t="shared" si="89"/>
        <v>-112460</v>
      </c>
      <c r="I104" s="27">
        <f>ROUND('CFIT Schedules'!H104*-0.21,0)</f>
        <v>0</v>
      </c>
      <c r="J104" s="27">
        <f>+H104+I104</f>
        <v>-112460</v>
      </c>
      <c r="K104" s="51">
        <f t="shared" si="91"/>
        <v>0.99</v>
      </c>
      <c r="L104" s="42">
        <f>IF(J104*K104=0,0, ROUND(J104*K104,0))</f>
        <v>-111335</v>
      </c>
      <c r="M104" s="18" t="str">
        <f>'CFIT Schedules'!L104</f>
        <v>LABOR</v>
      </c>
      <c r="N104" s="27">
        <f>ROUND('CFIT Schedules'!M104*-0.21,0)</f>
        <v>0</v>
      </c>
      <c r="O104" s="27">
        <f t="shared" si="93"/>
        <v>-111335</v>
      </c>
      <c r="P104" s="27"/>
    </row>
    <row r="105" spans="1:16" x14ac:dyDescent="0.25">
      <c r="A105" s="18">
        <f t="shared" si="83"/>
        <v>80</v>
      </c>
      <c r="B105" s="17" t="s">
        <v>46</v>
      </c>
      <c r="C105" s="36">
        <f>+'CFIT Schedules'!E105</f>
        <v>5839</v>
      </c>
      <c r="D105" s="42">
        <f t="shared" si="87"/>
        <v>-1226</v>
      </c>
      <c r="E105" s="36">
        <v>0</v>
      </c>
      <c r="F105" s="36">
        <f t="shared" si="88"/>
        <v>-1226</v>
      </c>
      <c r="G105" s="27">
        <f>ROUND('CFIT Schedules'!F105*-0.35,0)</f>
        <v>0</v>
      </c>
      <c r="H105" s="27">
        <f t="shared" si="89"/>
        <v>-1226</v>
      </c>
      <c r="I105" s="27">
        <f>ROUND('CFIT Schedules'!H105*-0.21,0)</f>
        <v>0</v>
      </c>
      <c r="J105" s="27">
        <f t="shared" si="90"/>
        <v>-1226</v>
      </c>
      <c r="K105" s="51">
        <f t="shared" si="91"/>
        <v>0.99</v>
      </c>
      <c r="L105" s="42">
        <f t="shared" si="92"/>
        <v>-1214</v>
      </c>
      <c r="M105" s="18" t="str">
        <f>'CFIT Schedules'!L105</f>
        <v>LABOR</v>
      </c>
      <c r="N105" s="27">
        <f>ROUND('CFIT Schedules'!M105*-0.21,0)</f>
        <v>0</v>
      </c>
      <c r="O105" s="27">
        <f t="shared" si="93"/>
        <v>-1214</v>
      </c>
      <c r="P105" s="27"/>
    </row>
    <row r="106" spans="1:16" x14ac:dyDescent="0.25">
      <c r="A106" s="18">
        <f t="shared" si="83"/>
        <v>81</v>
      </c>
      <c r="B106" s="56" t="s">
        <v>244</v>
      </c>
      <c r="C106" s="36">
        <f>+'CFIT Schedules'!E106</f>
        <v>-332</v>
      </c>
      <c r="D106" s="42">
        <f t="shared" si="87"/>
        <v>70</v>
      </c>
      <c r="E106" s="36">
        <v>0</v>
      </c>
      <c r="F106" s="36">
        <f>SUM(D106:E106)</f>
        <v>70</v>
      </c>
      <c r="G106" s="27">
        <f>ROUND('CFIT Schedules'!F106*-0.35,0)</f>
        <v>0</v>
      </c>
      <c r="H106" s="27">
        <f t="shared" si="89"/>
        <v>70</v>
      </c>
      <c r="I106" s="27">
        <f>ROUND('CFIT Schedules'!H106*-0.21,0)</f>
        <v>0</v>
      </c>
      <c r="J106" s="27">
        <f>+H106+I106</f>
        <v>70</v>
      </c>
      <c r="K106" s="51">
        <f t="shared" si="91"/>
        <v>0.99</v>
      </c>
      <c r="L106" s="42">
        <f>IF(J106*K106=0,0, ROUND(J106*K106,0))</f>
        <v>69</v>
      </c>
      <c r="M106" s="18" t="str">
        <f>'CFIT Schedules'!L106</f>
        <v>LABOR</v>
      </c>
      <c r="N106" s="27">
        <f>ROUND('CFIT Schedules'!M106*-0.21,0)</f>
        <v>0</v>
      </c>
      <c r="O106" s="27">
        <f t="shared" si="93"/>
        <v>69</v>
      </c>
      <c r="P106" s="27"/>
    </row>
    <row r="107" spans="1:16" x14ac:dyDescent="0.25">
      <c r="A107" s="18">
        <f t="shared" si="83"/>
        <v>82</v>
      </c>
      <c r="B107" s="17" t="s">
        <v>47</v>
      </c>
      <c r="C107" s="36">
        <f>+'CFIT Schedules'!E107</f>
        <v>-727</v>
      </c>
      <c r="D107" s="42">
        <f t="shared" si="87"/>
        <v>153</v>
      </c>
      <c r="E107" s="36">
        <v>0</v>
      </c>
      <c r="F107" s="36">
        <f t="shared" si="88"/>
        <v>153</v>
      </c>
      <c r="G107" s="27">
        <f>ROUND('CFIT Schedules'!F107*-0.35,0)</f>
        <v>0</v>
      </c>
      <c r="H107" s="27">
        <f t="shared" si="89"/>
        <v>153</v>
      </c>
      <c r="I107" s="27">
        <f>ROUND('CFIT Schedules'!H107*-0.21,0)</f>
        <v>0</v>
      </c>
      <c r="J107" s="27">
        <f t="shared" si="90"/>
        <v>153</v>
      </c>
      <c r="K107" s="51">
        <f t="shared" si="91"/>
        <v>0.99</v>
      </c>
      <c r="L107" s="42">
        <f t="shared" si="92"/>
        <v>151</v>
      </c>
      <c r="M107" s="18" t="str">
        <f>'CFIT Schedules'!L107</f>
        <v>LABOR</v>
      </c>
      <c r="N107" s="27">
        <f>ROUND('CFIT Schedules'!M107*-0.21,0)</f>
        <v>0</v>
      </c>
      <c r="O107" s="27">
        <f t="shared" si="93"/>
        <v>151</v>
      </c>
      <c r="P107" s="27"/>
    </row>
    <row r="108" spans="1:16" x14ac:dyDescent="0.25">
      <c r="A108" s="18">
        <f t="shared" si="83"/>
        <v>83</v>
      </c>
      <c r="B108" s="17" t="s">
        <v>48</v>
      </c>
      <c r="C108" s="36">
        <f>+'CFIT Schedules'!E108</f>
        <v>0</v>
      </c>
      <c r="D108" s="42">
        <f t="shared" si="87"/>
        <v>0</v>
      </c>
      <c r="E108" s="36">
        <v>0</v>
      </c>
      <c r="F108" s="36">
        <f t="shared" si="88"/>
        <v>0</v>
      </c>
      <c r="G108" s="27">
        <f>ROUND('CFIT Schedules'!F108*-0.35,0)</f>
        <v>0</v>
      </c>
      <c r="H108" s="27">
        <f t="shared" si="89"/>
        <v>0</v>
      </c>
      <c r="I108" s="27">
        <f>ROUND('CFIT Schedules'!H108*-0.21,0)</f>
        <v>0</v>
      </c>
      <c r="J108" s="27">
        <f t="shared" si="90"/>
        <v>0</v>
      </c>
      <c r="K108" s="51">
        <f t="shared" si="91"/>
        <v>0.99</v>
      </c>
      <c r="L108" s="42">
        <f t="shared" si="92"/>
        <v>0</v>
      </c>
      <c r="M108" s="18" t="str">
        <f>'CFIT Schedules'!L108</f>
        <v>LABOR</v>
      </c>
      <c r="N108" s="27">
        <f>ROUND('CFIT Schedules'!M108*-0.21,0)</f>
        <v>0</v>
      </c>
      <c r="O108" s="27">
        <f t="shared" si="93"/>
        <v>0</v>
      </c>
      <c r="P108" s="27"/>
    </row>
    <row r="109" spans="1:16" x14ac:dyDescent="0.25">
      <c r="A109" s="142"/>
      <c r="B109" s="125" t="s">
        <v>371</v>
      </c>
      <c r="C109" s="36">
        <f>'CFIT Schedules'!E109</f>
        <v>181212</v>
      </c>
      <c r="D109" s="42">
        <f t="shared" si="87"/>
        <v>-38055</v>
      </c>
      <c r="E109" s="36">
        <v>0</v>
      </c>
      <c r="F109" s="36">
        <f t="shared" ref="F109" si="94">SUM(D109:E109)</f>
        <v>-38055</v>
      </c>
      <c r="G109" s="27">
        <f>ROUND('CFIT Schedules'!F109*-0.35,0)</f>
        <v>0</v>
      </c>
      <c r="H109" s="27">
        <f t="shared" ref="H109" si="95">+F109+G109</f>
        <v>-38055</v>
      </c>
      <c r="I109" s="27">
        <f>ROUND('CFIT Schedules'!H109*-0.21,0)</f>
        <v>0</v>
      </c>
      <c r="J109" s="27">
        <f t="shared" ref="J109" si="96">+H109+I109</f>
        <v>-38055</v>
      </c>
      <c r="K109" s="51">
        <f t="shared" si="91"/>
        <v>0.99</v>
      </c>
      <c r="L109" s="42">
        <f t="shared" ref="L109" si="97">IF(J109*K109=0,0, ROUND(J109*K109,0))</f>
        <v>-37674</v>
      </c>
      <c r="M109" s="144" t="str">
        <f>'CFIT Schedules'!L109</f>
        <v>LABOR</v>
      </c>
      <c r="N109" s="27">
        <f>ROUND('CFIT Schedules'!M109*-0.21,0)</f>
        <v>0</v>
      </c>
      <c r="O109" s="27">
        <f t="shared" ref="O109" si="98">L109+N109</f>
        <v>-37674</v>
      </c>
      <c r="P109" s="27"/>
    </row>
    <row r="110" spans="1:16" x14ac:dyDescent="0.25">
      <c r="A110" s="18">
        <f>A108+1</f>
        <v>84</v>
      </c>
      <c r="B110" s="17" t="s">
        <v>49</v>
      </c>
      <c r="C110" s="36">
        <f>+'CFIT Schedules'!E110</f>
        <v>404340</v>
      </c>
      <c r="D110" s="42">
        <f t="shared" si="87"/>
        <v>-84911</v>
      </c>
      <c r="E110" s="36">
        <v>0</v>
      </c>
      <c r="F110" s="36">
        <f t="shared" si="88"/>
        <v>-84911</v>
      </c>
      <c r="G110" s="27">
        <f>ROUND('CFIT Schedules'!F110*-0.35,0)</f>
        <v>0</v>
      </c>
      <c r="H110" s="27">
        <f t="shared" si="89"/>
        <v>-84911</v>
      </c>
      <c r="I110" s="27">
        <f>ROUND('CFIT Schedules'!H110*-0.21,0)</f>
        <v>0</v>
      </c>
      <c r="J110" s="27">
        <f t="shared" si="90"/>
        <v>-84911</v>
      </c>
      <c r="K110" s="51">
        <f t="shared" si="91"/>
        <v>1</v>
      </c>
      <c r="L110" s="42">
        <f t="shared" si="92"/>
        <v>-84911</v>
      </c>
      <c r="M110" s="18" t="str">
        <f>'CFIT Schedules'!L110</f>
        <v>SPECIFIC</v>
      </c>
      <c r="N110" s="27">
        <f>ROUND('CFIT Schedules'!M110*-0.21,0)</f>
        <v>0</v>
      </c>
      <c r="O110" s="27">
        <f t="shared" si="93"/>
        <v>-84911</v>
      </c>
      <c r="P110" s="27"/>
    </row>
    <row r="111" spans="1:16" x14ac:dyDescent="0.25">
      <c r="A111" s="18">
        <f t="shared" si="83"/>
        <v>85</v>
      </c>
      <c r="B111" s="17" t="s">
        <v>310</v>
      </c>
      <c r="C111" s="36">
        <f>+'CFIT Schedules'!E111</f>
        <v>0</v>
      </c>
      <c r="D111" s="42">
        <f t="shared" si="87"/>
        <v>0</v>
      </c>
      <c r="E111" s="36">
        <v>0</v>
      </c>
      <c r="F111" s="36">
        <f>SUM(D111:E111)</f>
        <v>0</v>
      </c>
      <c r="G111" s="27">
        <f>ROUND('CFIT Schedules'!F111*-0.35,0)</f>
        <v>0</v>
      </c>
      <c r="H111" s="27">
        <f t="shared" si="89"/>
        <v>0</v>
      </c>
      <c r="I111" s="27">
        <f>ROUND('CFIT Schedules'!H111*-0.21,0)</f>
        <v>0</v>
      </c>
      <c r="J111" s="27">
        <f>+H111+I111</f>
        <v>0</v>
      </c>
      <c r="K111" s="51">
        <f t="shared" si="91"/>
        <v>0.99</v>
      </c>
      <c r="L111" s="42">
        <f>IF(J111*K111=0,0, ROUND(J111*K111,0))</f>
        <v>0</v>
      </c>
      <c r="M111" s="18" t="str">
        <f>'CFIT Schedules'!L111</f>
        <v>LABOR</v>
      </c>
      <c r="N111" s="27">
        <f>ROUND('CFIT Schedules'!M111*-0.21,0)</f>
        <v>0</v>
      </c>
      <c r="O111" s="27">
        <f t="shared" si="93"/>
        <v>0</v>
      </c>
      <c r="P111" s="27"/>
    </row>
    <row r="112" spans="1:16" x14ac:dyDescent="0.25">
      <c r="A112" s="18">
        <f t="shared" si="83"/>
        <v>86</v>
      </c>
      <c r="B112" s="56" t="s">
        <v>245</v>
      </c>
      <c r="C112" s="36">
        <f>+'CFIT Schedules'!E112</f>
        <v>-458101</v>
      </c>
      <c r="D112" s="42">
        <f t="shared" si="87"/>
        <v>96201</v>
      </c>
      <c r="E112" s="36">
        <v>0</v>
      </c>
      <c r="F112" s="36">
        <f>SUM(D112:E112)</f>
        <v>96201</v>
      </c>
      <c r="G112" s="27">
        <f>ROUND('CFIT Schedules'!F112*-0.35,0)</f>
        <v>0</v>
      </c>
      <c r="H112" s="27">
        <f t="shared" si="89"/>
        <v>96201</v>
      </c>
      <c r="I112" s="27">
        <f>ROUND('CFIT Schedules'!H112*-0.21,0)</f>
        <v>0</v>
      </c>
      <c r="J112" s="27">
        <f>+H112+I112</f>
        <v>96201</v>
      </c>
      <c r="K112" s="51">
        <f t="shared" si="91"/>
        <v>0.99</v>
      </c>
      <c r="L112" s="42">
        <f>IF(J112*K112=0,0, ROUND(J112*K112,0))</f>
        <v>95239</v>
      </c>
      <c r="M112" s="18" t="str">
        <f>'CFIT Schedules'!L112</f>
        <v>LABOR</v>
      </c>
      <c r="N112" s="27">
        <f>ROUND('CFIT Schedules'!M112*-0.21,0)</f>
        <v>-95239</v>
      </c>
      <c r="O112" s="27">
        <f t="shared" si="93"/>
        <v>0</v>
      </c>
      <c r="P112" s="27"/>
    </row>
    <row r="113" spans="1:16" x14ac:dyDescent="0.25">
      <c r="A113" s="18">
        <f t="shared" si="83"/>
        <v>87</v>
      </c>
      <c r="B113" s="17" t="s">
        <v>50</v>
      </c>
      <c r="C113" s="36">
        <f>+'CFIT Schedules'!E113</f>
        <v>369254</v>
      </c>
      <c r="D113" s="42">
        <f t="shared" si="87"/>
        <v>-77543</v>
      </c>
      <c r="E113" s="36">
        <v>0</v>
      </c>
      <c r="F113" s="36">
        <f t="shared" si="88"/>
        <v>-77543</v>
      </c>
      <c r="G113" s="27">
        <f>ROUND('CFIT Schedules'!F113*-0.35,0)</f>
        <v>0</v>
      </c>
      <c r="H113" s="27">
        <f t="shared" si="89"/>
        <v>-77543</v>
      </c>
      <c r="I113" s="27">
        <f>ROUND('CFIT Schedules'!H113*-0.21,0)</f>
        <v>0</v>
      </c>
      <c r="J113" s="27">
        <f t="shared" si="90"/>
        <v>-77543</v>
      </c>
      <c r="K113" s="51">
        <f t="shared" si="91"/>
        <v>0.99</v>
      </c>
      <c r="L113" s="42">
        <f t="shared" si="92"/>
        <v>-76768</v>
      </c>
      <c r="M113" s="18" t="str">
        <f>'CFIT Schedules'!L113</f>
        <v>LABOR</v>
      </c>
      <c r="N113" s="27">
        <f>ROUND('CFIT Schedules'!M113*-0.21,0)</f>
        <v>0</v>
      </c>
      <c r="O113" s="27">
        <f t="shared" si="93"/>
        <v>-76768</v>
      </c>
      <c r="P113" s="27"/>
    </row>
    <row r="114" spans="1:16" x14ac:dyDescent="0.25">
      <c r="A114" s="18">
        <f t="shared" si="83"/>
        <v>88</v>
      </c>
      <c r="B114" s="56" t="s">
        <v>278</v>
      </c>
      <c r="C114" s="36">
        <f>+'CFIT Schedules'!E114</f>
        <v>-2290</v>
      </c>
      <c r="D114" s="42">
        <f t="shared" si="87"/>
        <v>481</v>
      </c>
      <c r="E114" s="36">
        <v>0</v>
      </c>
      <c r="F114" s="36">
        <f t="shared" ref="F114:F118" si="99">SUM(D114:E114)</f>
        <v>481</v>
      </c>
      <c r="G114" s="27">
        <f>ROUND('CFIT Schedules'!F114*-0.35,0)</f>
        <v>0</v>
      </c>
      <c r="H114" s="27">
        <f t="shared" si="89"/>
        <v>481</v>
      </c>
      <c r="I114" s="27">
        <f>ROUND('CFIT Schedules'!H114*-0.21,0)</f>
        <v>0</v>
      </c>
      <c r="J114" s="27">
        <f t="shared" ref="J114:J118" si="100">+H114+I114</f>
        <v>481</v>
      </c>
      <c r="K114" s="51">
        <f t="shared" si="91"/>
        <v>0.99</v>
      </c>
      <c r="L114" s="42">
        <f t="shared" ref="L114:L118" si="101">IF(J114*K114=0,0, ROUND(J114*K114,0))</f>
        <v>476</v>
      </c>
      <c r="M114" s="18" t="str">
        <f>'CFIT Schedules'!L114</f>
        <v>LABOR</v>
      </c>
      <c r="N114" s="27">
        <f>ROUND('CFIT Schedules'!M114*-0.21,0)</f>
        <v>0</v>
      </c>
      <c r="O114" s="27">
        <f t="shared" si="93"/>
        <v>476</v>
      </c>
      <c r="P114" s="27"/>
    </row>
    <row r="115" spans="1:16" x14ac:dyDescent="0.25">
      <c r="A115" s="18">
        <f t="shared" si="83"/>
        <v>89</v>
      </c>
      <c r="B115" s="56" t="s">
        <v>246</v>
      </c>
      <c r="C115" s="36">
        <f>+'CFIT Schedules'!E115</f>
        <v>-2110344</v>
      </c>
      <c r="D115" s="42">
        <f t="shared" si="87"/>
        <v>443172</v>
      </c>
      <c r="E115" s="36">
        <v>0</v>
      </c>
      <c r="F115" s="36">
        <f t="shared" si="99"/>
        <v>443172</v>
      </c>
      <c r="G115" s="27">
        <f>ROUND('CFIT Schedules'!F115*-0.35,0)</f>
        <v>0</v>
      </c>
      <c r="H115" s="27">
        <f t="shared" si="89"/>
        <v>443172</v>
      </c>
      <c r="I115" s="27">
        <f>ROUND('CFIT Schedules'!H115*-0.21,0)</f>
        <v>0</v>
      </c>
      <c r="J115" s="27">
        <f t="shared" si="100"/>
        <v>443172</v>
      </c>
      <c r="K115" s="51">
        <f t="shared" si="91"/>
        <v>0.99</v>
      </c>
      <c r="L115" s="42">
        <f t="shared" si="101"/>
        <v>438740</v>
      </c>
      <c r="M115" s="18" t="str">
        <f>'CFIT Schedules'!L115</f>
        <v>LABOR</v>
      </c>
      <c r="N115" s="27">
        <f>ROUND('CFIT Schedules'!M115*-0.21,0)</f>
        <v>0</v>
      </c>
      <c r="O115" s="27">
        <f t="shared" si="93"/>
        <v>438740</v>
      </c>
      <c r="P115" s="27"/>
    </row>
    <row r="116" spans="1:16" x14ac:dyDescent="0.25">
      <c r="A116" s="18">
        <f t="shared" si="83"/>
        <v>90</v>
      </c>
      <c r="B116" s="56" t="s">
        <v>311</v>
      </c>
      <c r="C116" s="36">
        <f>+'CFIT Schedules'!E116</f>
        <v>0</v>
      </c>
      <c r="D116" s="42">
        <f t="shared" si="87"/>
        <v>0</v>
      </c>
      <c r="E116" s="36">
        <v>0</v>
      </c>
      <c r="F116" s="36">
        <f t="shared" ref="F116:F117" si="102">SUM(D116:E116)</f>
        <v>0</v>
      </c>
      <c r="G116" s="27">
        <f>ROUND('CFIT Schedules'!F116*-0.35,0)</f>
        <v>0</v>
      </c>
      <c r="H116" s="27">
        <f t="shared" ref="H116:H117" si="103">+F116+G116</f>
        <v>0</v>
      </c>
      <c r="I116" s="27">
        <f>ROUND('CFIT Schedules'!H116*-0.21,0)</f>
        <v>0</v>
      </c>
      <c r="J116" s="27">
        <f t="shared" ref="J116:J117" si="104">+H116+I116</f>
        <v>0</v>
      </c>
      <c r="K116" s="51">
        <f t="shared" si="91"/>
        <v>0</v>
      </c>
      <c r="L116" s="42">
        <f t="shared" ref="L116:L117" si="105">IF(J116*K116=0,0, ROUND(J116*K116,0))</f>
        <v>0</v>
      </c>
      <c r="M116" s="18" t="str">
        <f>'CFIT Schedules'!L116</f>
        <v>NON-APPLIC</v>
      </c>
      <c r="N116" s="27">
        <f>ROUND('CFIT Schedules'!M116*-0.21,0)</f>
        <v>0</v>
      </c>
      <c r="O116" s="27">
        <f t="shared" ref="O116:O117" si="106">L116+N116</f>
        <v>0</v>
      </c>
      <c r="P116" s="27"/>
    </row>
    <row r="117" spans="1:16" x14ac:dyDescent="0.25">
      <c r="A117" s="18">
        <f t="shared" si="83"/>
        <v>91</v>
      </c>
      <c r="B117" s="56" t="s">
        <v>312</v>
      </c>
      <c r="C117" s="36">
        <f>+'CFIT Schedules'!E117</f>
        <v>0</v>
      </c>
      <c r="D117" s="42">
        <f t="shared" si="87"/>
        <v>0</v>
      </c>
      <c r="E117" s="36">
        <v>0</v>
      </c>
      <c r="F117" s="36">
        <f t="shared" si="102"/>
        <v>0</v>
      </c>
      <c r="G117" s="27">
        <f>ROUND('CFIT Schedules'!F117*-0.35,0)</f>
        <v>0</v>
      </c>
      <c r="H117" s="27">
        <f t="shared" si="103"/>
        <v>0</v>
      </c>
      <c r="I117" s="27">
        <f>ROUND('CFIT Schedules'!H117*-0.21,0)</f>
        <v>0</v>
      </c>
      <c r="J117" s="27">
        <f t="shared" si="104"/>
        <v>0</v>
      </c>
      <c r="K117" s="51">
        <f t="shared" si="91"/>
        <v>0</v>
      </c>
      <c r="L117" s="42">
        <f t="shared" si="105"/>
        <v>0</v>
      </c>
      <c r="M117" s="18" t="str">
        <f>'CFIT Schedules'!L117</f>
        <v>NON-APPLIC</v>
      </c>
      <c r="N117" s="27">
        <f>ROUND('CFIT Schedules'!M117*-0.21,0)</f>
        <v>0</v>
      </c>
      <c r="O117" s="27">
        <f t="shared" si="106"/>
        <v>0</v>
      </c>
      <c r="P117" s="27"/>
    </row>
    <row r="118" spans="1:16" x14ac:dyDescent="0.25">
      <c r="A118" s="18">
        <f t="shared" si="83"/>
        <v>92</v>
      </c>
      <c r="B118" s="56" t="s">
        <v>264</v>
      </c>
      <c r="C118" s="36">
        <f>+'CFIT Schedules'!E118</f>
        <v>0</v>
      </c>
      <c r="D118" s="42">
        <f t="shared" si="87"/>
        <v>0</v>
      </c>
      <c r="E118" s="36">
        <v>0</v>
      </c>
      <c r="F118" s="36">
        <f t="shared" si="99"/>
        <v>0</v>
      </c>
      <c r="G118" s="27">
        <f>ROUND('CFIT Schedules'!F118*-0.35,0)</f>
        <v>0</v>
      </c>
      <c r="H118" s="27">
        <f t="shared" si="89"/>
        <v>0</v>
      </c>
      <c r="I118" s="27">
        <f>ROUND('CFIT Schedules'!H118*-0.21,0)</f>
        <v>0</v>
      </c>
      <c r="J118" s="27">
        <f t="shared" si="100"/>
        <v>0</v>
      </c>
      <c r="K118" s="51">
        <f t="shared" si="91"/>
        <v>0</v>
      </c>
      <c r="L118" s="42">
        <f t="shared" si="101"/>
        <v>0</v>
      </c>
      <c r="M118" s="18" t="str">
        <f>'CFIT Schedules'!L118</f>
        <v>NON-APPLIC</v>
      </c>
      <c r="N118" s="27">
        <f>ROUND('CFIT Schedules'!M118*-0.21,0)</f>
        <v>0</v>
      </c>
      <c r="O118" s="27">
        <f t="shared" si="93"/>
        <v>0</v>
      </c>
      <c r="P118" s="27"/>
    </row>
    <row r="119" spans="1:16" x14ac:dyDescent="0.25">
      <c r="A119" s="18">
        <f t="shared" si="83"/>
        <v>93</v>
      </c>
      <c r="B119" s="17" t="s">
        <v>51</v>
      </c>
      <c r="C119" s="36">
        <f>+'CFIT Schedules'!E119</f>
        <v>0</v>
      </c>
      <c r="D119" s="42">
        <f t="shared" si="87"/>
        <v>0</v>
      </c>
      <c r="E119" s="36">
        <v>0</v>
      </c>
      <c r="F119" s="36">
        <f t="shared" si="88"/>
        <v>0</v>
      </c>
      <c r="G119" s="27">
        <f>ROUND('CFIT Schedules'!F119*-0.35,0)</f>
        <v>0</v>
      </c>
      <c r="H119" s="27">
        <f t="shared" si="89"/>
        <v>0</v>
      </c>
      <c r="I119" s="27">
        <f>ROUND('CFIT Schedules'!H119*-0.21,0)</f>
        <v>0</v>
      </c>
      <c r="J119" s="27">
        <f t="shared" si="90"/>
        <v>0</v>
      </c>
      <c r="K119" s="160">
        <f t="shared" si="91"/>
        <v>0.98299999999999998</v>
      </c>
      <c r="L119" s="164">
        <f t="shared" si="92"/>
        <v>0</v>
      </c>
      <c r="M119" s="155" t="str">
        <f>'CFIT Schedules'!L119</f>
        <v>REVENUE</v>
      </c>
      <c r="N119" s="161">
        <f>ROUND('CFIT Schedules'!M119*-0.21,0)</f>
        <v>0</v>
      </c>
      <c r="O119" s="161">
        <f t="shared" si="93"/>
        <v>0</v>
      </c>
      <c r="P119" s="27"/>
    </row>
    <row r="120" spans="1:16" x14ac:dyDescent="0.25">
      <c r="A120" s="18">
        <f t="shared" si="83"/>
        <v>94</v>
      </c>
      <c r="B120" s="17" t="s">
        <v>52</v>
      </c>
      <c r="C120" s="36">
        <f>+'CFIT Schedules'!E120</f>
        <v>-7890</v>
      </c>
      <c r="D120" s="42">
        <f t="shared" si="87"/>
        <v>1657</v>
      </c>
      <c r="E120" s="36">
        <v>0</v>
      </c>
      <c r="F120" s="36">
        <f t="shared" si="88"/>
        <v>1657</v>
      </c>
      <c r="G120" s="27">
        <f>ROUND('CFIT Schedules'!F120*-0.35,0)</f>
        <v>0</v>
      </c>
      <c r="H120" s="27">
        <f t="shared" si="89"/>
        <v>1657</v>
      </c>
      <c r="I120" s="27">
        <f>ROUND('CFIT Schedules'!H120*-0.21,0)</f>
        <v>0</v>
      </c>
      <c r="J120" s="27">
        <f t="shared" si="90"/>
        <v>1657</v>
      </c>
      <c r="K120" s="51">
        <f t="shared" si="91"/>
        <v>0</v>
      </c>
      <c r="L120" s="42">
        <f t="shared" si="92"/>
        <v>0</v>
      </c>
      <c r="M120" s="18" t="str">
        <f>'CFIT Schedules'!L120</f>
        <v>NON-APPLIC</v>
      </c>
      <c r="N120" s="27">
        <f>ROUND('CFIT Schedules'!M120*-0.21,0)</f>
        <v>0</v>
      </c>
      <c r="O120" s="27">
        <f t="shared" si="93"/>
        <v>0</v>
      </c>
      <c r="P120" s="27"/>
    </row>
    <row r="121" spans="1:16" x14ac:dyDescent="0.25">
      <c r="A121" s="18">
        <f t="shared" si="83"/>
        <v>95</v>
      </c>
      <c r="B121" s="17" t="s">
        <v>53</v>
      </c>
      <c r="C121" s="36">
        <f>+'CFIT Schedules'!E121</f>
        <v>-7441</v>
      </c>
      <c r="D121" s="42">
        <f t="shared" si="87"/>
        <v>1563</v>
      </c>
      <c r="E121" s="36">
        <v>0</v>
      </c>
      <c r="F121" s="36">
        <f t="shared" si="88"/>
        <v>1563</v>
      </c>
      <c r="G121" s="27">
        <f>ROUND('CFIT Schedules'!F121*-0.35,0)</f>
        <v>0</v>
      </c>
      <c r="H121" s="27">
        <f t="shared" si="89"/>
        <v>1563</v>
      </c>
      <c r="I121" s="27">
        <f>ROUND('CFIT Schedules'!H121*-0.21,0)</f>
        <v>0</v>
      </c>
      <c r="J121" s="27">
        <f t="shared" si="90"/>
        <v>1563</v>
      </c>
      <c r="K121" s="51">
        <f t="shared" si="91"/>
        <v>0</v>
      </c>
      <c r="L121" s="42">
        <f t="shared" si="92"/>
        <v>0</v>
      </c>
      <c r="M121" s="18" t="str">
        <f>'CFIT Schedules'!L121</f>
        <v>NON-APPLIC</v>
      </c>
      <c r="N121" s="27">
        <f>ROUND('CFIT Schedules'!M121*-0.21,0)</f>
        <v>0</v>
      </c>
      <c r="O121" s="27">
        <f t="shared" si="93"/>
        <v>0</v>
      </c>
      <c r="P121" s="27"/>
    </row>
    <row r="122" spans="1:16" x14ac:dyDescent="0.25">
      <c r="A122" s="18">
        <f t="shared" si="83"/>
        <v>96</v>
      </c>
      <c r="B122" s="17" t="s">
        <v>54</v>
      </c>
      <c r="C122" s="36">
        <f>+'CFIT Schedules'!E122</f>
        <v>0</v>
      </c>
      <c r="D122" s="42">
        <f t="shared" si="87"/>
        <v>0</v>
      </c>
      <c r="E122" s="36">
        <v>0</v>
      </c>
      <c r="F122" s="36">
        <f t="shared" si="88"/>
        <v>0</v>
      </c>
      <c r="G122" s="27">
        <f>ROUND('CFIT Schedules'!F122*-0.35,0)</f>
        <v>0</v>
      </c>
      <c r="H122" s="27">
        <f t="shared" si="89"/>
        <v>0</v>
      </c>
      <c r="I122" s="27">
        <f>ROUND('CFIT Schedules'!H122*-0.21,0)</f>
        <v>0</v>
      </c>
      <c r="J122" s="27">
        <f t="shared" si="90"/>
        <v>0</v>
      </c>
      <c r="K122" s="160">
        <f t="shared" si="91"/>
        <v>0.98299999999999998</v>
      </c>
      <c r="L122" s="164">
        <f t="shared" si="92"/>
        <v>0</v>
      </c>
      <c r="M122" s="155" t="str">
        <f>'CFIT Schedules'!L122</f>
        <v>REVENUE</v>
      </c>
      <c r="N122" s="161">
        <f>ROUND('CFIT Schedules'!M122*-0.21,0)</f>
        <v>0</v>
      </c>
      <c r="O122" s="161">
        <f t="shared" si="93"/>
        <v>0</v>
      </c>
      <c r="P122" s="27"/>
    </row>
    <row r="123" spans="1:16" x14ac:dyDescent="0.25">
      <c r="A123" s="18">
        <f t="shared" si="83"/>
        <v>97</v>
      </c>
      <c r="B123" s="17" t="s">
        <v>55</v>
      </c>
      <c r="C123" s="36">
        <f>+'CFIT Schedules'!E123</f>
        <v>73336</v>
      </c>
      <c r="D123" s="42">
        <f t="shared" si="87"/>
        <v>-15401</v>
      </c>
      <c r="E123" s="36">
        <v>0</v>
      </c>
      <c r="F123" s="36">
        <f>SUM(D123:E123)</f>
        <v>-15401</v>
      </c>
      <c r="G123" s="27">
        <f>ROUND('CFIT Schedules'!F123*-0.35,0)</f>
        <v>0</v>
      </c>
      <c r="H123" s="27">
        <f t="shared" si="89"/>
        <v>-15401</v>
      </c>
      <c r="I123" s="27">
        <f>ROUND('CFIT Schedules'!H123*-0.21,0)</f>
        <v>0</v>
      </c>
      <c r="J123" s="27">
        <f t="shared" si="90"/>
        <v>-15401</v>
      </c>
      <c r="K123" s="51">
        <f t="shared" si="91"/>
        <v>0.98499999999999999</v>
      </c>
      <c r="L123" s="42">
        <f t="shared" si="92"/>
        <v>-15170</v>
      </c>
      <c r="M123" s="18" t="str">
        <f>'CFIT Schedules'!L123</f>
        <v>TRAN PLT</v>
      </c>
      <c r="N123" s="27">
        <f>ROUND('CFIT Schedules'!M123*-0.21,0)</f>
        <v>0</v>
      </c>
      <c r="O123" s="27">
        <f t="shared" si="93"/>
        <v>-15170</v>
      </c>
      <c r="P123" s="27"/>
    </row>
    <row r="124" spans="1:16" x14ac:dyDescent="0.25">
      <c r="A124" s="18">
        <f t="shared" si="83"/>
        <v>98</v>
      </c>
      <c r="B124" s="17" t="s">
        <v>178</v>
      </c>
      <c r="C124" s="36">
        <f>+'CFIT Schedules'!E124</f>
        <v>0</v>
      </c>
      <c r="D124" s="42">
        <f t="shared" si="87"/>
        <v>0</v>
      </c>
      <c r="E124" s="36">
        <v>0</v>
      </c>
      <c r="F124" s="36">
        <f>SUM(D124:E124)</f>
        <v>0</v>
      </c>
      <c r="G124" s="27">
        <f>ROUND('CFIT Schedules'!F124*-0.35,0)</f>
        <v>0</v>
      </c>
      <c r="H124" s="27">
        <f t="shared" si="89"/>
        <v>0</v>
      </c>
      <c r="I124" s="27">
        <f>ROUND('CFIT Schedules'!H124*-0.21,0)</f>
        <v>0</v>
      </c>
      <c r="J124" s="27">
        <f t="shared" si="90"/>
        <v>0</v>
      </c>
      <c r="K124" s="51">
        <f t="shared" si="91"/>
        <v>1</v>
      </c>
      <c r="L124" s="42">
        <f t="shared" si="92"/>
        <v>0</v>
      </c>
      <c r="M124" s="18" t="str">
        <f>'CFIT Schedules'!L124</f>
        <v>SPECIFIC</v>
      </c>
      <c r="N124" s="27">
        <f>ROUND('CFIT Schedules'!M124*-0.21,0)</f>
        <v>0</v>
      </c>
      <c r="O124" s="27">
        <f t="shared" si="93"/>
        <v>0</v>
      </c>
      <c r="P124" s="27"/>
    </row>
    <row r="125" spans="1:16" x14ac:dyDescent="0.25">
      <c r="A125" s="18">
        <f t="shared" si="83"/>
        <v>99</v>
      </c>
      <c r="B125" s="17" t="s">
        <v>179</v>
      </c>
      <c r="C125" s="37">
        <f>+'CFIT Schedules'!E125</f>
        <v>0</v>
      </c>
      <c r="D125" s="42">
        <f t="shared" si="87"/>
        <v>0</v>
      </c>
      <c r="E125" s="37">
        <v>0</v>
      </c>
      <c r="F125" s="37">
        <f>SUM(D125:E125)</f>
        <v>0</v>
      </c>
      <c r="G125" s="27">
        <f>ROUND('CFIT Schedules'!F125*-0.35,0)</f>
        <v>0</v>
      </c>
      <c r="H125" s="27">
        <f t="shared" si="89"/>
        <v>0</v>
      </c>
      <c r="I125" s="27">
        <f>ROUND('CFIT Schedules'!H125*-0.21,0)</f>
        <v>0</v>
      </c>
      <c r="J125" s="37">
        <f>+H125+I125</f>
        <v>0</v>
      </c>
      <c r="K125" s="51">
        <f t="shared" si="91"/>
        <v>1</v>
      </c>
      <c r="L125" s="42">
        <f t="shared" si="92"/>
        <v>0</v>
      </c>
      <c r="M125" s="18" t="str">
        <f>'CFIT Schedules'!L125</f>
        <v>SPECIFIC</v>
      </c>
      <c r="N125" s="27">
        <f>ROUND('CFIT Schedules'!M125*-0.21,0)</f>
        <v>0</v>
      </c>
      <c r="O125" s="27">
        <f t="shared" si="93"/>
        <v>0</v>
      </c>
      <c r="P125" s="27"/>
    </row>
    <row r="126" spans="1:16" ht="13" x14ac:dyDescent="0.3">
      <c r="A126" s="18">
        <f t="shared" si="83"/>
        <v>100</v>
      </c>
      <c r="B126" s="75" t="s">
        <v>56</v>
      </c>
      <c r="C126" s="78">
        <f t="shared" ref="C126:J126" si="107">SUM(C102:C125)</f>
        <v>-352174</v>
      </c>
      <c r="D126" s="78">
        <f t="shared" si="107"/>
        <v>73957</v>
      </c>
      <c r="E126" s="78">
        <f t="shared" si="107"/>
        <v>0</v>
      </c>
      <c r="F126" s="78">
        <f t="shared" si="107"/>
        <v>73957</v>
      </c>
      <c r="G126" s="78">
        <f t="shared" ref="G126" si="108">SUM(G102:G125)</f>
        <v>0</v>
      </c>
      <c r="H126" s="78">
        <f t="shared" si="107"/>
        <v>73957</v>
      </c>
      <c r="I126" s="78">
        <f t="shared" si="107"/>
        <v>0</v>
      </c>
      <c r="J126" s="78">
        <f t="shared" si="107"/>
        <v>73957</v>
      </c>
      <c r="K126" s="24"/>
      <c r="L126" s="78">
        <f>SUM(L102:L125)</f>
        <v>69256</v>
      </c>
      <c r="N126" s="78">
        <f t="shared" ref="N126:O126" si="109">SUM(N102:N125)</f>
        <v>-95746</v>
      </c>
      <c r="O126" s="78">
        <f t="shared" si="109"/>
        <v>-26490</v>
      </c>
    </row>
    <row r="127" spans="1:16" x14ac:dyDescent="0.25">
      <c r="A127" s="18">
        <f t="shared" si="83"/>
        <v>101</v>
      </c>
      <c r="B127" s="17" t="s">
        <v>0</v>
      </c>
      <c r="C127" s="36"/>
      <c r="D127" s="36"/>
      <c r="K127" s="81"/>
    </row>
    <row r="128" spans="1:16" ht="13" x14ac:dyDescent="0.3">
      <c r="A128" s="18">
        <f t="shared" si="83"/>
        <v>102</v>
      </c>
      <c r="B128" s="75" t="s">
        <v>57</v>
      </c>
      <c r="C128" s="36"/>
      <c r="D128" s="36"/>
      <c r="K128" s="81"/>
    </row>
    <row r="129" spans="1:16" x14ac:dyDescent="0.25">
      <c r="A129" s="18">
        <f t="shared" si="83"/>
        <v>103</v>
      </c>
      <c r="B129" s="17" t="s">
        <v>58</v>
      </c>
      <c r="C129" s="36">
        <f>+'CFIT Schedules'!E129</f>
        <v>2936</v>
      </c>
      <c r="D129" s="42">
        <f t="shared" ref="D129:D151" si="110">IF(C129*0.21=0,0,ROUND(C129*-0.21,0))</f>
        <v>-617</v>
      </c>
      <c r="E129" s="36">
        <v>0</v>
      </c>
      <c r="F129" s="36">
        <f t="shared" ref="F129:F140" si="111">SUM(D129:E129)</f>
        <v>-617</v>
      </c>
      <c r="G129" s="27">
        <f>ROUND('CFIT Schedules'!F129*-0.35,0)</f>
        <v>0</v>
      </c>
      <c r="H129" s="27">
        <f t="shared" ref="H129:H143" si="112">+F129+G129</f>
        <v>-617</v>
      </c>
      <c r="I129" s="27">
        <f>ROUND('CFIT Schedules'!H129*-0.21,0)</f>
        <v>0</v>
      </c>
      <c r="J129" s="27">
        <f t="shared" ref="J129:J140" si="113">+H129+I129</f>
        <v>-617</v>
      </c>
      <c r="K129" s="51">
        <f t="shared" ref="K129:K147" si="114">VLOOKUP(M129,$C$299:$D$313,2,FALSE)</f>
        <v>0.999</v>
      </c>
      <c r="L129" s="42">
        <f t="shared" ref="L129:L140" si="115">IF(J129*K129=0,0, ROUND(J129*K129,0))</f>
        <v>-616</v>
      </c>
      <c r="M129" s="18" t="str">
        <f>'CFIT Schedules'!L129</f>
        <v>DIST PLT</v>
      </c>
      <c r="N129" s="27">
        <f>ROUND('CFIT Schedules'!M129*-0.21,0)</f>
        <v>0</v>
      </c>
      <c r="O129" s="27">
        <f t="shared" ref="O129:O143" si="116">L129+N129</f>
        <v>-616</v>
      </c>
      <c r="P129" s="27"/>
    </row>
    <row r="130" spans="1:16" x14ac:dyDescent="0.25">
      <c r="A130" s="18">
        <f t="shared" si="83"/>
        <v>104</v>
      </c>
      <c r="B130" s="17" t="s">
        <v>59</v>
      </c>
      <c r="C130" s="36">
        <f>+'CFIT Schedules'!E130</f>
        <v>64321</v>
      </c>
      <c r="D130" s="42">
        <f t="shared" si="110"/>
        <v>-13507</v>
      </c>
      <c r="E130" s="36">
        <v>0</v>
      </c>
      <c r="F130" s="36">
        <f t="shared" si="111"/>
        <v>-13507</v>
      </c>
      <c r="G130" s="27">
        <f>ROUND('CFIT Schedules'!F130*-0.35,0)</f>
        <v>0</v>
      </c>
      <c r="H130" s="27">
        <f t="shared" si="112"/>
        <v>-13507</v>
      </c>
      <c r="I130" s="27">
        <f>ROUND('CFIT Schedules'!H130*-0.21,0)</f>
        <v>0</v>
      </c>
      <c r="J130" s="27">
        <f t="shared" si="113"/>
        <v>-13507</v>
      </c>
      <c r="K130" s="160">
        <f t="shared" si="114"/>
        <v>0.98299999999999998</v>
      </c>
      <c r="L130" s="164">
        <f t="shared" si="115"/>
        <v>-13277</v>
      </c>
      <c r="M130" s="155" t="str">
        <f>'CFIT Schedules'!L130</f>
        <v>REVENUE</v>
      </c>
      <c r="N130" s="161">
        <f>ROUND('CFIT Schedules'!M130*-0.21,0)</f>
        <v>0</v>
      </c>
      <c r="O130" s="161">
        <f t="shared" si="116"/>
        <v>-13277</v>
      </c>
      <c r="P130" s="27"/>
    </row>
    <row r="131" spans="1:16" x14ac:dyDescent="0.25">
      <c r="A131" s="18">
        <f t="shared" si="83"/>
        <v>105</v>
      </c>
      <c r="B131" s="56" t="s">
        <v>292</v>
      </c>
      <c r="C131" s="36">
        <f>+'CFIT Schedules'!E131</f>
        <v>2066559</v>
      </c>
      <c r="D131" s="42">
        <f t="shared" si="110"/>
        <v>-433977</v>
      </c>
      <c r="E131" s="36">
        <v>0</v>
      </c>
      <c r="F131" s="36">
        <f t="shared" si="111"/>
        <v>-433977</v>
      </c>
      <c r="G131" s="27">
        <f>ROUND('CFIT Schedules'!F131*-0.35,0)</f>
        <v>0</v>
      </c>
      <c r="H131" s="27">
        <f t="shared" si="112"/>
        <v>-433977</v>
      </c>
      <c r="I131" s="27">
        <f>ROUND('CFIT Schedules'!H131*-0.21,0)</f>
        <v>0</v>
      </c>
      <c r="J131" s="27">
        <f t="shared" si="113"/>
        <v>-433977</v>
      </c>
      <c r="K131" s="51">
        <f t="shared" si="114"/>
        <v>0.98499999999999999</v>
      </c>
      <c r="L131" s="42">
        <f t="shared" si="115"/>
        <v>-427467</v>
      </c>
      <c r="M131" s="18" t="str">
        <f>'CFIT Schedules'!L131</f>
        <v>DEMAND</v>
      </c>
      <c r="N131" s="27">
        <f>ROUND('CFIT Schedules'!M131*-0.21,0)</f>
        <v>0</v>
      </c>
      <c r="O131" s="27">
        <f t="shared" si="116"/>
        <v>-427467</v>
      </c>
      <c r="P131" s="27"/>
    </row>
    <row r="132" spans="1:16" x14ac:dyDescent="0.25">
      <c r="A132" s="18">
        <f t="shared" si="83"/>
        <v>106</v>
      </c>
      <c r="B132" s="56" t="s">
        <v>263</v>
      </c>
      <c r="C132" s="36">
        <f>+'CFIT Schedules'!E132</f>
        <v>0</v>
      </c>
      <c r="D132" s="42">
        <f t="shared" si="110"/>
        <v>0</v>
      </c>
      <c r="E132" s="36">
        <v>0</v>
      </c>
      <c r="F132" s="36">
        <f>SUM(D132:E132)</f>
        <v>0</v>
      </c>
      <c r="G132" s="27">
        <f>ROUND('CFIT Schedules'!F132*-0.35,0)</f>
        <v>0</v>
      </c>
      <c r="H132" s="27">
        <f t="shared" si="112"/>
        <v>0</v>
      </c>
      <c r="I132" s="27">
        <f>ROUND('CFIT Schedules'!H132*-0.21,0)</f>
        <v>0</v>
      </c>
      <c r="J132" s="27">
        <f t="shared" si="113"/>
        <v>0</v>
      </c>
      <c r="K132" s="51">
        <f t="shared" si="114"/>
        <v>1</v>
      </c>
      <c r="L132" s="42">
        <f t="shared" si="115"/>
        <v>0</v>
      </c>
      <c r="M132" s="18" t="str">
        <f>'CFIT Schedules'!L132</f>
        <v>SPECIFIC</v>
      </c>
      <c r="N132" s="27">
        <f>ROUND('CFIT Schedules'!M132*-0.21,0)</f>
        <v>0</v>
      </c>
      <c r="O132" s="27">
        <f t="shared" si="116"/>
        <v>0</v>
      </c>
      <c r="P132" s="27"/>
    </row>
    <row r="133" spans="1:16" x14ac:dyDescent="0.25">
      <c r="A133" s="18">
        <f t="shared" si="83"/>
        <v>107</v>
      </c>
      <c r="B133" s="17" t="s">
        <v>60</v>
      </c>
      <c r="C133" s="36">
        <f>+'CFIT Schedules'!E133</f>
        <v>-10618</v>
      </c>
      <c r="D133" s="42">
        <f t="shared" si="110"/>
        <v>2230</v>
      </c>
      <c r="E133" s="36">
        <v>0</v>
      </c>
      <c r="F133" s="36">
        <f t="shared" si="111"/>
        <v>2230</v>
      </c>
      <c r="G133" s="27">
        <f>ROUND('CFIT Schedules'!F133*-0.35,0)</f>
        <v>0</v>
      </c>
      <c r="H133" s="27">
        <f t="shared" si="112"/>
        <v>2230</v>
      </c>
      <c r="I133" s="27">
        <f>ROUND('CFIT Schedules'!H133*-0.21,0)</f>
        <v>0</v>
      </c>
      <c r="J133" s="27">
        <f t="shared" si="113"/>
        <v>2230</v>
      </c>
      <c r="K133" s="160">
        <f t="shared" si="114"/>
        <v>0.98299999999999998</v>
      </c>
      <c r="L133" s="164">
        <f t="shared" si="115"/>
        <v>2192</v>
      </c>
      <c r="M133" s="155" t="str">
        <f>'CFIT Schedules'!L133</f>
        <v>REVENUE</v>
      </c>
      <c r="N133" s="161">
        <f>ROUND('CFIT Schedules'!M133*-0.21,0)</f>
        <v>0</v>
      </c>
      <c r="O133" s="161">
        <f t="shared" si="116"/>
        <v>2192</v>
      </c>
      <c r="P133" s="27"/>
    </row>
    <row r="134" spans="1:16" x14ac:dyDescent="0.25">
      <c r="A134" s="18">
        <f t="shared" si="83"/>
        <v>108</v>
      </c>
      <c r="B134" s="17" t="s">
        <v>313</v>
      </c>
      <c r="C134" s="36">
        <f>+'CFIT Schedules'!E134</f>
        <v>-13196</v>
      </c>
      <c r="D134" s="42">
        <f t="shared" si="110"/>
        <v>2771</v>
      </c>
      <c r="E134" s="36">
        <v>0</v>
      </c>
      <c r="F134" s="36">
        <f>SUM(D134:E134)</f>
        <v>2771</v>
      </c>
      <c r="G134" s="27">
        <f>ROUND('CFIT Schedules'!F134*-0.35,0)</f>
        <v>0</v>
      </c>
      <c r="H134" s="27">
        <f t="shared" si="112"/>
        <v>2771</v>
      </c>
      <c r="I134" s="27">
        <f>ROUND('CFIT Schedules'!H134*-0.21,0)</f>
        <v>0</v>
      </c>
      <c r="J134" s="27">
        <f>+H134+I134</f>
        <v>2771</v>
      </c>
      <c r="K134" s="160">
        <f t="shared" si="114"/>
        <v>0.98299999999999998</v>
      </c>
      <c r="L134" s="164">
        <f>IF(J134*K134=0,0, ROUND(J134*K134,0))</f>
        <v>2724</v>
      </c>
      <c r="M134" s="155" t="str">
        <f>'CFIT Schedules'!L134</f>
        <v>REVENUE</v>
      </c>
      <c r="N134" s="161">
        <f>ROUND('CFIT Schedules'!M134*-0.21,0)</f>
        <v>0</v>
      </c>
      <c r="O134" s="161">
        <f t="shared" si="116"/>
        <v>2724</v>
      </c>
      <c r="P134" s="27"/>
    </row>
    <row r="135" spans="1:16" x14ac:dyDescent="0.25">
      <c r="A135" s="18">
        <f t="shared" si="83"/>
        <v>109</v>
      </c>
      <c r="B135" s="17" t="s">
        <v>314</v>
      </c>
      <c r="C135" s="36">
        <f>+'CFIT Schedules'!E135</f>
        <v>68302</v>
      </c>
      <c r="D135" s="42">
        <f t="shared" si="110"/>
        <v>-14343</v>
      </c>
      <c r="E135" s="36">
        <v>0</v>
      </c>
      <c r="F135" s="36">
        <f>SUM(D135:E135)</f>
        <v>-14343</v>
      </c>
      <c r="G135" s="27">
        <f>ROUND('CFIT Schedules'!F135*-0.35,0)</f>
        <v>0</v>
      </c>
      <c r="H135" s="27">
        <f t="shared" si="112"/>
        <v>-14343</v>
      </c>
      <c r="I135" s="27">
        <f>ROUND('CFIT Schedules'!H135*-0.21,0)</f>
        <v>0</v>
      </c>
      <c r="J135" s="27">
        <f>+H135+I135</f>
        <v>-14343</v>
      </c>
      <c r="K135" s="160">
        <f t="shared" si="114"/>
        <v>0.98299999999999998</v>
      </c>
      <c r="L135" s="164">
        <f>IF(J135*K135=0,0, ROUND(J135*K135,0))</f>
        <v>-14099</v>
      </c>
      <c r="M135" s="155" t="str">
        <f>'CFIT Schedules'!L135</f>
        <v>REVENUE</v>
      </c>
      <c r="N135" s="161">
        <f>ROUND('CFIT Schedules'!M135*-0.21,0)</f>
        <v>0</v>
      </c>
      <c r="O135" s="161">
        <f t="shared" si="116"/>
        <v>-14099</v>
      </c>
      <c r="P135" s="27"/>
    </row>
    <row r="136" spans="1:16" x14ac:dyDescent="0.25">
      <c r="A136" s="18">
        <f t="shared" si="83"/>
        <v>110</v>
      </c>
      <c r="B136" s="17" t="s">
        <v>61</v>
      </c>
      <c r="C136" s="36">
        <f>+'CFIT Schedules'!E136</f>
        <v>0</v>
      </c>
      <c r="D136" s="42">
        <f t="shared" si="110"/>
        <v>0</v>
      </c>
      <c r="E136" s="36">
        <v>0</v>
      </c>
      <c r="F136" s="36">
        <f t="shared" si="111"/>
        <v>0</v>
      </c>
      <c r="G136" s="27">
        <f>ROUND('CFIT Schedules'!F136*-0.35,0)</f>
        <v>0</v>
      </c>
      <c r="H136" s="27">
        <f t="shared" si="112"/>
        <v>0</v>
      </c>
      <c r="I136" s="27">
        <f>ROUND('CFIT Schedules'!H136*-0.21,0)</f>
        <v>0</v>
      </c>
      <c r="J136" s="27">
        <f t="shared" si="113"/>
        <v>0</v>
      </c>
      <c r="K136" s="51">
        <f t="shared" si="114"/>
        <v>0.98499999999999999</v>
      </c>
      <c r="L136" s="42">
        <f t="shared" si="115"/>
        <v>0</v>
      </c>
      <c r="M136" s="18" t="str">
        <f>'CFIT Schedules'!L136</f>
        <v>TRAN PLT</v>
      </c>
      <c r="N136" s="27">
        <f>ROUND('CFIT Schedules'!M136*-0.21,0)</f>
        <v>0</v>
      </c>
      <c r="O136" s="27">
        <f t="shared" si="116"/>
        <v>0</v>
      </c>
      <c r="P136" s="27"/>
    </row>
    <row r="137" spans="1:16" x14ac:dyDescent="0.25">
      <c r="A137" s="18">
        <f t="shared" si="83"/>
        <v>111</v>
      </c>
      <c r="B137" s="17" t="s">
        <v>62</v>
      </c>
      <c r="C137" s="36">
        <f>+'CFIT Schedules'!E137</f>
        <v>0</v>
      </c>
      <c r="D137" s="42">
        <f t="shared" si="110"/>
        <v>0</v>
      </c>
      <c r="E137" s="36">
        <v>0</v>
      </c>
      <c r="F137" s="36">
        <f t="shared" si="111"/>
        <v>0</v>
      </c>
      <c r="G137" s="27">
        <f>ROUND('CFIT Schedules'!F137*-0.35,0)</f>
        <v>0</v>
      </c>
      <c r="H137" s="27">
        <f t="shared" si="112"/>
        <v>0</v>
      </c>
      <c r="I137" s="27">
        <f>ROUND('CFIT Schedules'!H137*-0.21,0)</f>
        <v>0</v>
      </c>
      <c r="J137" s="27">
        <f t="shared" si="113"/>
        <v>0</v>
      </c>
      <c r="K137" s="51">
        <f t="shared" si="114"/>
        <v>0</v>
      </c>
      <c r="L137" s="42">
        <f t="shared" si="115"/>
        <v>0</v>
      </c>
      <c r="M137" s="18" t="str">
        <f>'CFIT Schedules'!L137</f>
        <v>NON-UTILITY</v>
      </c>
      <c r="N137" s="27">
        <f>ROUND('CFIT Schedules'!M137*-0.21,0)</f>
        <v>0</v>
      </c>
      <c r="O137" s="27">
        <f t="shared" si="116"/>
        <v>0</v>
      </c>
      <c r="P137" s="27"/>
    </row>
    <row r="138" spans="1:16" x14ac:dyDescent="0.25">
      <c r="A138" s="18">
        <f t="shared" si="83"/>
        <v>112</v>
      </c>
      <c r="B138" s="56" t="s">
        <v>247</v>
      </c>
      <c r="C138" s="36">
        <f>+'CFIT Schedules'!E138</f>
        <v>-535524</v>
      </c>
      <c r="D138" s="42">
        <f t="shared" si="110"/>
        <v>112460</v>
      </c>
      <c r="E138" s="36">
        <v>0</v>
      </c>
      <c r="F138" s="36">
        <f t="shared" si="111"/>
        <v>112460</v>
      </c>
      <c r="G138" s="27">
        <f>ROUND('CFIT Schedules'!F138*-0.35,0)</f>
        <v>0</v>
      </c>
      <c r="H138" s="27">
        <f t="shared" si="112"/>
        <v>112460</v>
      </c>
      <c r="I138" s="27">
        <f>ROUND('CFIT Schedules'!H138*-0.21,0)</f>
        <v>0</v>
      </c>
      <c r="J138" s="27">
        <f t="shared" si="113"/>
        <v>112460</v>
      </c>
      <c r="K138" s="51">
        <f t="shared" si="114"/>
        <v>0.99</v>
      </c>
      <c r="L138" s="42">
        <f t="shared" si="115"/>
        <v>111335</v>
      </c>
      <c r="M138" s="18" t="str">
        <f>'CFIT Schedules'!L138</f>
        <v>LABOR</v>
      </c>
      <c r="N138" s="27">
        <f>ROUND('CFIT Schedules'!M138*-0.21,0)</f>
        <v>0</v>
      </c>
      <c r="O138" s="27">
        <f t="shared" si="116"/>
        <v>111335</v>
      </c>
      <c r="P138" s="27"/>
    </row>
    <row r="139" spans="1:16" x14ac:dyDescent="0.25">
      <c r="A139" s="18">
        <f t="shared" si="83"/>
        <v>113</v>
      </c>
      <c r="B139" s="56" t="s">
        <v>248</v>
      </c>
      <c r="C139" s="36">
        <f>+'CFIT Schedules'!E139</f>
        <v>332</v>
      </c>
      <c r="D139" s="42">
        <f t="shared" si="110"/>
        <v>-70</v>
      </c>
      <c r="E139" s="36">
        <v>0</v>
      </c>
      <c r="F139" s="36">
        <f t="shared" si="111"/>
        <v>-70</v>
      </c>
      <c r="G139" s="27">
        <f>ROUND('CFIT Schedules'!F139*-0.35,0)</f>
        <v>0</v>
      </c>
      <c r="H139" s="27">
        <f t="shared" si="112"/>
        <v>-70</v>
      </c>
      <c r="I139" s="27">
        <f>ROUND('CFIT Schedules'!H139*-0.21,0)</f>
        <v>0</v>
      </c>
      <c r="J139" s="27">
        <f t="shared" si="113"/>
        <v>-70</v>
      </c>
      <c r="K139" s="51">
        <f t="shared" si="114"/>
        <v>0.99</v>
      </c>
      <c r="L139" s="42">
        <f t="shared" si="115"/>
        <v>-69</v>
      </c>
      <c r="M139" s="18" t="str">
        <f>'CFIT Schedules'!L139</f>
        <v>LABOR</v>
      </c>
      <c r="N139" s="27">
        <f>ROUND('CFIT Schedules'!M139*-0.21,0)</f>
        <v>0</v>
      </c>
      <c r="O139" s="27">
        <f t="shared" si="116"/>
        <v>-69</v>
      </c>
      <c r="P139" s="27"/>
    </row>
    <row r="140" spans="1:16" x14ac:dyDescent="0.25">
      <c r="A140" s="18">
        <f t="shared" si="83"/>
        <v>114</v>
      </c>
      <c r="B140" s="56" t="s">
        <v>249</v>
      </c>
      <c r="C140" s="36">
        <f>+'CFIT Schedules'!E140</f>
        <v>3596491</v>
      </c>
      <c r="D140" s="42">
        <f t="shared" si="110"/>
        <v>-755263</v>
      </c>
      <c r="E140" s="36">
        <v>0</v>
      </c>
      <c r="F140" s="36">
        <f t="shared" si="111"/>
        <v>-755263</v>
      </c>
      <c r="G140" s="27">
        <f>ROUND('CFIT Schedules'!F140*-0.35,0)</f>
        <v>0</v>
      </c>
      <c r="H140" s="27">
        <f t="shared" si="112"/>
        <v>-755263</v>
      </c>
      <c r="I140" s="27">
        <f>ROUND('CFIT Schedules'!H140*-0.21,0)</f>
        <v>0</v>
      </c>
      <c r="J140" s="27">
        <f t="shared" si="113"/>
        <v>-755263</v>
      </c>
      <c r="K140" s="51">
        <f t="shared" si="114"/>
        <v>0.99</v>
      </c>
      <c r="L140" s="42">
        <f t="shared" si="115"/>
        <v>-747710</v>
      </c>
      <c r="M140" s="18" t="str">
        <f>'CFIT Schedules'!L140</f>
        <v>LABOR</v>
      </c>
      <c r="N140" s="27">
        <f>ROUND('CFIT Schedules'!M140*-0.21,0)</f>
        <v>0</v>
      </c>
      <c r="O140" s="27">
        <f t="shared" si="116"/>
        <v>-747710</v>
      </c>
      <c r="P140" s="27"/>
    </row>
    <row r="141" spans="1:16" x14ac:dyDescent="0.25">
      <c r="A141" s="18">
        <f t="shared" si="83"/>
        <v>115</v>
      </c>
      <c r="B141" s="56" t="s">
        <v>282</v>
      </c>
      <c r="C141" s="36">
        <f>+'CFIT Schedules'!E141</f>
        <v>0</v>
      </c>
      <c r="D141" s="42">
        <f t="shared" si="110"/>
        <v>0</v>
      </c>
      <c r="E141" s="36">
        <v>0</v>
      </c>
      <c r="F141" s="36">
        <f t="shared" ref="F141" si="117">SUM(D141:E141)</f>
        <v>0</v>
      </c>
      <c r="G141" s="27">
        <f>ROUND('CFIT Schedules'!F141*-0.35,0)</f>
        <v>0</v>
      </c>
      <c r="H141" s="27">
        <f t="shared" si="112"/>
        <v>0</v>
      </c>
      <c r="I141" s="27">
        <f>ROUND('CFIT Schedules'!H141*-0.21,0)</f>
        <v>0</v>
      </c>
      <c r="J141" s="27">
        <f t="shared" ref="J141" si="118">+H141+I141</f>
        <v>0</v>
      </c>
      <c r="K141" s="51">
        <f t="shared" si="114"/>
        <v>0.98499999999999999</v>
      </c>
      <c r="L141" s="42">
        <f t="shared" ref="L141" si="119">IF(J141*K141=0,0, ROUND(J141*K141,0))</f>
        <v>0</v>
      </c>
      <c r="M141" s="18" t="str">
        <f>'CFIT Schedules'!L141</f>
        <v>TRAN PLT</v>
      </c>
      <c r="N141" s="27">
        <f>ROUND('CFIT Schedules'!M141*-0.21,0)</f>
        <v>0</v>
      </c>
      <c r="O141" s="27">
        <f t="shared" si="116"/>
        <v>0</v>
      </c>
      <c r="P141" s="27"/>
    </row>
    <row r="142" spans="1:16" x14ac:dyDescent="0.25">
      <c r="A142" s="18">
        <f t="shared" si="83"/>
        <v>116</v>
      </c>
      <c r="B142" s="56" t="s">
        <v>250</v>
      </c>
      <c r="C142" s="36">
        <f>+'CFIT Schedules'!E142</f>
        <v>0</v>
      </c>
      <c r="D142" s="42">
        <f t="shared" si="110"/>
        <v>0</v>
      </c>
      <c r="E142" s="36">
        <v>0</v>
      </c>
      <c r="F142" s="36">
        <f t="shared" ref="F142:F143" si="120">SUM(D142:E142)</f>
        <v>0</v>
      </c>
      <c r="G142" s="27">
        <f>ROUND('CFIT Schedules'!F142*-0.35,0)</f>
        <v>0</v>
      </c>
      <c r="H142" s="27">
        <f t="shared" si="112"/>
        <v>0</v>
      </c>
      <c r="I142" s="27">
        <f>ROUND('CFIT Schedules'!H142*-0.21,0)</f>
        <v>0</v>
      </c>
      <c r="J142" s="27">
        <f t="shared" ref="J142:J143" si="121">+H142+I142</f>
        <v>0</v>
      </c>
      <c r="K142" s="51">
        <f t="shared" si="114"/>
        <v>0</v>
      </c>
      <c r="L142" s="42">
        <f t="shared" ref="L142:L143" si="122">IF(J142*K142=0,0, ROUND(J142*K142,0))</f>
        <v>0</v>
      </c>
      <c r="M142" s="18" t="str">
        <f>'CFIT Schedules'!L142</f>
        <v>NON-APPLIC</v>
      </c>
      <c r="N142" s="27">
        <f>ROUND('CFIT Schedules'!M142*-0.21,0)</f>
        <v>0</v>
      </c>
      <c r="O142" s="27">
        <f t="shared" si="116"/>
        <v>0</v>
      </c>
      <c r="P142" s="27"/>
    </row>
    <row r="143" spans="1:16" x14ac:dyDescent="0.25">
      <c r="A143" s="18">
        <f t="shared" si="83"/>
        <v>117</v>
      </c>
      <c r="B143" s="56" t="s">
        <v>279</v>
      </c>
      <c r="C143" s="36">
        <f>+'CFIT Schedules'!E143</f>
        <v>34914</v>
      </c>
      <c r="D143" s="42">
        <f t="shared" si="110"/>
        <v>-7332</v>
      </c>
      <c r="E143" s="36">
        <v>0</v>
      </c>
      <c r="F143" s="36">
        <f t="shared" si="120"/>
        <v>-7332</v>
      </c>
      <c r="G143" s="27">
        <f>ROUND('CFIT Schedules'!F143*-0.35,0)</f>
        <v>0</v>
      </c>
      <c r="H143" s="27">
        <f t="shared" si="112"/>
        <v>-7332</v>
      </c>
      <c r="I143" s="27">
        <f>ROUND('CFIT Schedules'!H143*-0.21,0)</f>
        <v>0</v>
      </c>
      <c r="J143" s="27">
        <f t="shared" si="121"/>
        <v>-7332</v>
      </c>
      <c r="K143" s="51">
        <f t="shared" si="114"/>
        <v>0.98499999999999999</v>
      </c>
      <c r="L143" s="42">
        <f t="shared" si="122"/>
        <v>-7222</v>
      </c>
      <c r="M143" s="18" t="str">
        <f>'CFIT Schedules'!L143</f>
        <v>DEMAND</v>
      </c>
      <c r="N143" s="27">
        <f>ROUND('CFIT Schedules'!M143*-0.21,0)</f>
        <v>0</v>
      </c>
      <c r="O143" s="27">
        <f t="shared" si="116"/>
        <v>-7222</v>
      </c>
      <c r="P143" s="27"/>
    </row>
    <row r="144" spans="1:16" x14ac:dyDescent="0.25">
      <c r="A144" s="18">
        <f t="shared" si="83"/>
        <v>118</v>
      </c>
      <c r="B144" s="17" t="s">
        <v>325</v>
      </c>
      <c r="C144" s="36">
        <f>+'CFIT Schedules'!E144</f>
        <v>-462688</v>
      </c>
      <c r="D144" s="42">
        <f t="shared" si="110"/>
        <v>97164</v>
      </c>
      <c r="E144" s="36">
        <v>0</v>
      </c>
      <c r="F144" s="36">
        <f>SUM(D144:E144)</f>
        <v>97164</v>
      </c>
      <c r="G144" s="27">
        <v>0</v>
      </c>
      <c r="H144" s="27">
        <f>+F144+G144</f>
        <v>97164</v>
      </c>
      <c r="I144" s="27">
        <v>0</v>
      </c>
      <c r="J144" s="27">
        <f>+H144+I144</f>
        <v>97164</v>
      </c>
      <c r="K144" s="51">
        <f t="shared" si="114"/>
        <v>0.98499999999999999</v>
      </c>
      <c r="L144" s="42">
        <f>IF(J144*K144=0,0, ROUND(J144*K144,0))</f>
        <v>95707</v>
      </c>
      <c r="M144" s="18" t="str">
        <f>'CFIT Schedules'!L144</f>
        <v>DEMAND</v>
      </c>
      <c r="N144" s="27">
        <v>0</v>
      </c>
      <c r="O144" s="27">
        <f>L144+N144</f>
        <v>95707</v>
      </c>
      <c r="P144" s="27"/>
    </row>
    <row r="145" spans="1:16" x14ac:dyDescent="0.25">
      <c r="A145" s="18">
        <f t="shared" si="83"/>
        <v>119</v>
      </c>
      <c r="B145" s="17" t="s">
        <v>347</v>
      </c>
      <c r="C145" s="36">
        <f>+'CFIT Schedules'!E145</f>
        <v>-22282236</v>
      </c>
      <c r="D145" s="42">
        <f t="shared" si="110"/>
        <v>4679270</v>
      </c>
      <c r="E145" s="36">
        <v>0</v>
      </c>
      <c r="F145" s="36">
        <f t="shared" ref="F145:F146" si="123">SUM(D145:E145)</f>
        <v>4679270</v>
      </c>
      <c r="G145" s="27">
        <f>ROUND('CFIT Schedules'!F145*-0.35,0)</f>
        <v>0</v>
      </c>
      <c r="H145" s="27">
        <f t="shared" ref="H145:H146" si="124">+F145+G145</f>
        <v>4679270</v>
      </c>
      <c r="I145" s="27">
        <f>ROUND('CFIT Schedules'!H145*-0.21,0)</f>
        <v>0</v>
      </c>
      <c r="J145" s="27">
        <f t="shared" ref="J145:J146" si="125">+H145+I145</f>
        <v>4679270</v>
      </c>
      <c r="K145" s="51">
        <f t="shared" si="114"/>
        <v>0.98499999999999999</v>
      </c>
      <c r="L145" s="42">
        <f t="shared" ref="L145:L146" si="126">IF(J145*K145=0,0, ROUND(J145*K145,0))</f>
        <v>4609081</v>
      </c>
      <c r="M145" s="18" t="str">
        <f>'CFIT Schedules'!L145</f>
        <v>DEMAND</v>
      </c>
      <c r="N145" s="27">
        <f>ROUND('CFIT Schedules'!M145*-0.21,0)</f>
        <v>0</v>
      </c>
      <c r="O145" s="27">
        <f t="shared" ref="O145:O146" si="127">L145+N145</f>
        <v>4609081</v>
      </c>
      <c r="P145" s="27"/>
    </row>
    <row r="146" spans="1:16" x14ac:dyDescent="0.25">
      <c r="A146" s="18">
        <f t="shared" si="83"/>
        <v>120</v>
      </c>
      <c r="B146" s="17" t="s">
        <v>348</v>
      </c>
      <c r="C146" s="36">
        <f>+'CFIT Schedules'!E146</f>
        <v>20643299</v>
      </c>
      <c r="D146" s="42">
        <f t="shared" si="110"/>
        <v>-4335093</v>
      </c>
      <c r="E146" s="36">
        <v>0</v>
      </c>
      <c r="F146" s="36">
        <f t="shared" si="123"/>
        <v>-4335093</v>
      </c>
      <c r="G146" s="27">
        <f>ROUND('CFIT Schedules'!F146*-0.35,0)</f>
        <v>0</v>
      </c>
      <c r="H146" s="27">
        <f t="shared" si="124"/>
        <v>-4335093</v>
      </c>
      <c r="I146" s="27">
        <f>ROUND('CFIT Schedules'!H146*-0.21,0)</f>
        <v>0</v>
      </c>
      <c r="J146" s="27">
        <f t="shared" si="125"/>
        <v>-4335093</v>
      </c>
      <c r="K146" s="51">
        <f t="shared" si="114"/>
        <v>0.98499999999999999</v>
      </c>
      <c r="L146" s="42">
        <f t="shared" si="126"/>
        <v>-4270067</v>
      </c>
      <c r="M146" s="18" t="str">
        <f>'CFIT Schedules'!L146</f>
        <v>DEMAND</v>
      </c>
      <c r="N146" s="27">
        <f>ROUND('CFIT Schedules'!M146*-0.21,0)</f>
        <v>0</v>
      </c>
      <c r="O146" s="27">
        <f t="shared" si="127"/>
        <v>-4270067</v>
      </c>
      <c r="P146" s="27"/>
    </row>
    <row r="147" spans="1:16" x14ac:dyDescent="0.25">
      <c r="A147" s="18">
        <f t="shared" si="83"/>
        <v>121</v>
      </c>
      <c r="B147" s="17" t="s">
        <v>328</v>
      </c>
      <c r="C147" s="36">
        <f>+'CFIT Schedules'!E147</f>
        <v>0</v>
      </c>
      <c r="D147" s="42">
        <f t="shared" si="110"/>
        <v>0</v>
      </c>
      <c r="E147" s="36">
        <v>0</v>
      </c>
      <c r="F147" s="36">
        <f t="shared" ref="F147:F171" si="128">SUM(D147:E147)</f>
        <v>0</v>
      </c>
      <c r="G147" s="27">
        <f>ROUND('CFIT Schedules'!F147*-0.35,0)</f>
        <v>0</v>
      </c>
      <c r="H147" s="27">
        <f t="shared" ref="H147:H171" si="129">+F147+G147</f>
        <v>0</v>
      </c>
      <c r="I147" s="27">
        <f>ROUND('CFIT Schedules'!H147*-0.21,0)</f>
        <v>0</v>
      </c>
      <c r="J147" s="27">
        <f t="shared" ref="J147:J171" si="130">+H147+I147</f>
        <v>0</v>
      </c>
      <c r="K147" s="51">
        <f t="shared" si="114"/>
        <v>1</v>
      </c>
      <c r="L147" s="42">
        <f t="shared" ref="L147:L171" si="131">IF(J147*K147=0,0, ROUND(J147*K147,0))</f>
        <v>0</v>
      </c>
      <c r="M147" s="18" t="str">
        <f>'CFIT Schedules'!L147</f>
        <v>SPECIFIC</v>
      </c>
      <c r="N147" s="27">
        <f>ROUND('CFIT Schedules'!M147*-0.21,0)</f>
        <v>0</v>
      </c>
      <c r="O147" s="27">
        <f t="shared" ref="O147:O171" si="132">L147+N147</f>
        <v>0</v>
      </c>
      <c r="P147" s="27"/>
    </row>
    <row r="148" spans="1:16" x14ac:dyDescent="0.25">
      <c r="A148" s="18">
        <f t="shared" si="83"/>
        <v>122</v>
      </c>
      <c r="B148" s="17" t="s">
        <v>329</v>
      </c>
      <c r="C148" s="36">
        <f>+'CFIT Schedules'!E148</f>
        <v>6189686</v>
      </c>
      <c r="D148" s="42">
        <f t="shared" si="110"/>
        <v>-1299834</v>
      </c>
      <c r="E148" s="36">
        <v>0</v>
      </c>
      <c r="F148" s="36">
        <f t="shared" si="128"/>
        <v>-1299834</v>
      </c>
      <c r="G148" s="27">
        <f>ROUND('CFIT Schedules'!F148*-0.35,0)</f>
        <v>0</v>
      </c>
      <c r="H148" s="27">
        <f t="shared" si="129"/>
        <v>-1299834</v>
      </c>
      <c r="I148" s="27">
        <f>ROUND('CFIT Schedules'!H148*-0.21,0)</f>
        <v>0</v>
      </c>
      <c r="J148" s="27">
        <f t="shared" si="130"/>
        <v>-1299834</v>
      </c>
      <c r="K148" s="51">
        <f>'CFIT Schedules'!J148</f>
        <v>1</v>
      </c>
      <c r="L148" s="42">
        <f t="shared" si="131"/>
        <v>-1299834</v>
      </c>
      <c r="M148" s="18" t="str">
        <f>'CFIT Schedules'!L148</f>
        <v>SPECIFIC</v>
      </c>
      <c r="N148" s="27">
        <f>ROUND('CFIT Schedules'!M148*-0.21,0)</f>
        <v>1299834</v>
      </c>
      <c r="O148" s="27">
        <f t="shared" si="132"/>
        <v>0</v>
      </c>
      <c r="P148" s="27"/>
    </row>
    <row r="149" spans="1:16" x14ac:dyDescent="0.25">
      <c r="A149" s="18">
        <f t="shared" si="83"/>
        <v>123</v>
      </c>
      <c r="B149" s="17" t="s">
        <v>330</v>
      </c>
      <c r="C149" s="36">
        <f>+'CFIT Schedules'!E149</f>
        <v>-260031</v>
      </c>
      <c r="D149" s="42">
        <f t="shared" si="110"/>
        <v>54607</v>
      </c>
      <c r="E149" s="36">
        <v>0</v>
      </c>
      <c r="F149" s="36">
        <f t="shared" si="128"/>
        <v>54607</v>
      </c>
      <c r="G149" s="27">
        <f>ROUND('CFIT Schedules'!F149*-0.35,0)</f>
        <v>0</v>
      </c>
      <c r="H149" s="27">
        <f t="shared" si="129"/>
        <v>54607</v>
      </c>
      <c r="I149" s="27">
        <f>ROUND('CFIT Schedules'!H149*-0.21,0)</f>
        <v>0</v>
      </c>
      <c r="J149" s="27">
        <f t="shared" si="130"/>
        <v>54607</v>
      </c>
      <c r="K149" s="51">
        <f t="shared" ref="K149:K154" si="133">VLOOKUP(M149,$C$299:$D$313,2,FALSE)</f>
        <v>0.98599999999999999</v>
      </c>
      <c r="L149" s="42">
        <f t="shared" si="131"/>
        <v>53843</v>
      </c>
      <c r="M149" s="18" t="str">
        <f>'CFIT Schedules'!L149</f>
        <v>ENERGY</v>
      </c>
      <c r="N149" s="27">
        <f>ROUND('CFIT Schedules'!M149*-0.21,0)</f>
        <v>-53842</v>
      </c>
      <c r="O149" s="27">
        <f t="shared" si="132"/>
        <v>1</v>
      </c>
      <c r="P149" s="27"/>
    </row>
    <row r="150" spans="1:16" x14ac:dyDescent="0.25">
      <c r="A150" s="18">
        <f t="shared" si="83"/>
        <v>124</v>
      </c>
      <c r="B150" s="17" t="s">
        <v>331</v>
      </c>
      <c r="C150" s="36">
        <f>+'CFIT Schedules'!E150</f>
        <v>0</v>
      </c>
      <c r="D150" s="42">
        <f t="shared" si="110"/>
        <v>0</v>
      </c>
      <c r="E150" s="36">
        <v>0</v>
      </c>
      <c r="F150" s="36">
        <f t="shared" si="128"/>
        <v>0</v>
      </c>
      <c r="G150" s="27">
        <f>ROUND('CFIT Schedules'!F150*-0.35,0)</f>
        <v>0</v>
      </c>
      <c r="H150" s="27">
        <f t="shared" si="129"/>
        <v>0</v>
      </c>
      <c r="I150" s="27">
        <f>ROUND('CFIT Schedules'!H150*-0.21,0)</f>
        <v>0</v>
      </c>
      <c r="J150" s="27">
        <f t="shared" si="130"/>
        <v>0</v>
      </c>
      <c r="K150" s="51">
        <f t="shared" si="133"/>
        <v>1</v>
      </c>
      <c r="L150" s="42">
        <f t="shared" si="131"/>
        <v>0</v>
      </c>
      <c r="M150" s="18" t="str">
        <f>'CFIT Schedules'!L150</f>
        <v>SPECIFIC</v>
      </c>
      <c r="N150" s="27">
        <f>ROUND('CFIT Schedules'!M150*-0.21,0)</f>
        <v>0</v>
      </c>
      <c r="O150" s="27">
        <f t="shared" si="132"/>
        <v>0</v>
      </c>
      <c r="P150" s="27"/>
    </row>
    <row r="151" spans="1:16" x14ac:dyDescent="0.25">
      <c r="A151" s="18">
        <f t="shared" si="83"/>
        <v>125</v>
      </c>
      <c r="B151" s="17" t="s">
        <v>332</v>
      </c>
      <c r="C151" s="36">
        <f>+'CFIT Schedules'!E151</f>
        <v>-464470</v>
      </c>
      <c r="D151" s="42">
        <f t="shared" si="110"/>
        <v>97539</v>
      </c>
      <c r="E151" s="36">
        <v>0</v>
      </c>
      <c r="F151" s="36">
        <f t="shared" si="128"/>
        <v>97539</v>
      </c>
      <c r="G151" s="27">
        <f>ROUND('CFIT Schedules'!F151*-0.35,0)</f>
        <v>0</v>
      </c>
      <c r="H151" s="27">
        <f t="shared" si="129"/>
        <v>97539</v>
      </c>
      <c r="I151" s="27">
        <f>ROUND('CFIT Schedules'!H151*-0.21,0)</f>
        <v>0</v>
      </c>
      <c r="J151" s="27">
        <f t="shared" si="130"/>
        <v>97539</v>
      </c>
      <c r="K151" s="51">
        <f t="shared" si="133"/>
        <v>0.98499999999999999</v>
      </c>
      <c r="L151" s="42">
        <f t="shared" si="131"/>
        <v>96076</v>
      </c>
      <c r="M151" s="18" t="str">
        <f>'CFIT Schedules'!L151</f>
        <v>GROSS PLT</v>
      </c>
      <c r="N151" s="27">
        <f>ROUND('CFIT Schedules'!M151*-0.21,0)</f>
        <v>-96076</v>
      </c>
      <c r="O151" s="27">
        <f t="shared" si="132"/>
        <v>0</v>
      </c>
      <c r="P151" s="27"/>
    </row>
    <row r="152" spans="1:16" x14ac:dyDescent="0.25">
      <c r="A152" s="18">
        <f t="shared" si="83"/>
        <v>126</v>
      </c>
      <c r="B152" s="17" t="s">
        <v>333</v>
      </c>
      <c r="C152" s="36">
        <f>+'CFIT Schedules'!E152</f>
        <v>0</v>
      </c>
      <c r="D152" s="42">
        <f t="shared" ref="D152:D164" si="134">IF(C152*0.21=0,0,ROUND(C152*-0.21,0))</f>
        <v>0</v>
      </c>
      <c r="E152" s="36">
        <v>0</v>
      </c>
      <c r="F152" s="36">
        <f t="shared" si="128"/>
        <v>0</v>
      </c>
      <c r="G152" s="27">
        <f>ROUND('CFIT Schedules'!F152*-0.35,0)</f>
        <v>0</v>
      </c>
      <c r="H152" s="27">
        <f t="shared" si="129"/>
        <v>0</v>
      </c>
      <c r="I152" s="27">
        <f>ROUND('CFIT Schedules'!H152*-0.21,0)</f>
        <v>0</v>
      </c>
      <c r="J152" s="27">
        <f t="shared" si="130"/>
        <v>0</v>
      </c>
      <c r="K152" s="51">
        <f t="shared" si="133"/>
        <v>0</v>
      </c>
      <c r="L152" s="42">
        <f t="shared" si="131"/>
        <v>0</v>
      </c>
      <c r="M152" s="18" t="str">
        <f>'CFIT Schedules'!L152</f>
        <v>NON-APPLIC</v>
      </c>
      <c r="N152" s="27">
        <f>ROUND('CFIT Schedules'!M152*-0.21,0)</f>
        <v>0</v>
      </c>
      <c r="O152" s="27">
        <f t="shared" si="132"/>
        <v>0</v>
      </c>
      <c r="P152" s="27"/>
    </row>
    <row r="153" spans="1:16" x14ac:dyDescent="0.25">
      <c r="A153" s="18">
        <f t="shared" si="83"/>
        <v>127</v>
      </c>
      <c r="B153" s="17" t="s">
        <v>334</v>
      </c>
      <c r="C153" s="36">
        <f>+'CFIT Schedules'!E153</f>
        <v>0</v>
      </c>
      <c r="D153" s="42">
        <f t="shared" si="134"/>
        <v>0</v>
      </c>
      <c r="E153" s="36">
        <v>0</v>
      </c>
      <c r="F153" s="36">
        <f t="shared" si="128"/>
        <v>0</v>
      </c>
      <c r="G153" s="27">
        <f>ROUND('CFIT Schedules'!F153*-0.35,0)</f>
        <v>0</v>
      </c>
      <c r="H153" s="27">
        <f t="shared" si="129"/>
        <v>0</v>
      </c>
      <c r="I153" s="27">
        <f>ROUND('CFIT Schedules'!H153*-0.21,0)</f>
        <v>0</v>
      </c>
      <c r="J153" s="27">
        <f t="shared" si="130"/>
        <v>0</v>
      </c>
      <c r="K153" s="51">
        <f t="shared" si="133"/>
        <v>0</v>
      </c>
      <c r="L153" s="42">
        <f t="shared" si="131"/>
        <v>0</v>
      </c>
      <c r="M153" s="18" t="str">
        <f>'CFIT Schedules'!L153</f>
        <v>NON-APPLIC</v>
      </c>
      <c r="N153" s="27">
        <f>ROUND('CFIT Schedules'!M153*-0.21,0)</f>
        <v>0</v>
      </c>
      <c r="O153" s="27">
        <f t="shared" si="132"/>
        <v>0</v>
      </c>
      <c r="P153" s="27"/>
    </row>
    <row r="154" spans="1:16" x14ac:dyDescent="0.25">
      <c r="A154" s="18">
        <f t="shared" si="83"/>
        <v>128</v>
      </c>
      <c r="B154" s="17" t="s">
        <v>335</v>
      </c>
      <c r="C154" s="36">
        <f>+'CFIT Schedules'!E154</f>
        <v>0</v>
      </c>
      <c r="D154" s="42">
        <f t="shared" si="134"/>
        <v>0</v>
      </c>
      <c r="E154" s="36">
        <v>0</v>
      </c>
      <c r="F154" s="36">
        <f t="shared" si="128"/>
        <v>0</v>
      </c>
      <c r="G154" s="27">
        <f>ROUND('CFIT Schedules'!F154*-0.35,0)</f>
        <v>0</v>
      </c>
      <c r="H154" s="27">
        <f t="shared" si="129"/>
        <v>0</v>
      </c>
      <c r="I154" s="27">
        <f>ROUND('CFIT Schedules'!H154*-0.21,0)</f>
        <v>0</v>
      </c>
      <c r="J154" s="27">
        <f t="shared" si="130"/>
        <v>0</v>
      </c>
      <c r="K154" s="51">
        <f t="shared" si="133"/>
        <v>0.98499999999999999</v>
      </c>
      <c r="L154" s="42">
        <f t="shared" si="131"/>
        <v>0</v>
      </c>
      <c r="M154" s="18" t="str">
        <f>'CFIT Schedules'!L154</f>
        <v>GROSS PLT</v>
      </c>
      <c r="N154" s="27">
        <f>ROUND('CFIT Schedules'!M154*-0.21,0)</f>
        <v>0</v>
      </c>
      <c r="O154" s="27">
        <f t="shared" si="132"/>
        <v>0</v>
      </c>
      <c r="P154" s="27"/>
    </row>
    <row r="155" spans="1:16" x14ac:dyDescent="0.25">
      <c r="A155" s="18">
        <f t="shared" si="83"/>
        <v>129</v>
      </c>
      <c r="B155" s="17" t="s">
        <v>336</v>
      </c>
      <c r="C155" s="36">
        <f>+'CFIT Schedules'!E155</f>
        <v>0</v>
      </c>
      <c r="D155" s="42">
        <f t="shared" si="134"/>
        <v>0</v>
      </c>
      <c r="E155" s="36">
        <v>0</v>
      </c>
      <c r="F155" s="36">
        <f t="shared" si="128"/>
        <v>0</v>
      </c>
      <c r="G155" s="27">
        <f>ROUND('CFIT Schedules'!F155*-0.35,0)</f>
        <v>0</v>
      </c>
      <c r="H155" s="27">
        <f t="shared" si="129"/>
        <v>0</v>
      </c>
      <c r="I155" s="27">
        <f>ROUND('CFIT Schedules'!H155*-0.21,0)</f>
        <v>0</v>
      </c>
      <c r="J155" s="27">
        <f t="shared" si="130"/>
        <v>0</v>
      </c>
      <c r="K155" s="51">
        <f>'CFIT Schedules'!J155</f>
        <v>0.98565999999999998</v>
      </c>
      <c r="L155" s="42">
        <f t="shared" si="131"/>
        <v>0</v>
      </c>
      <c r="M155" s="18" t="str">
        <f>'CFIT Schedules'!L155</f>
        <v>SPECIFIC</v>
      </c>
      <c r="N155" s="27">
        <f>ROUND('CFIT Schedules'!M155*-0.21,0)</f>
        <v>0</v>
      </c>
      <c r="O155" s="27">
        <f t="shared" si="132"/>
        <v>0</v>
      </c>
      <c r="P155" s="27"/>
    </row>
    <row r="156" spans="1:16" x14ac:dyDescent="0.25">
      <c r="A156" s="18">
        <f t="shared" si="83"/>
        <v>130</v>
      </c>
      <c r="B156" s="17" t="s">
        <v>337</v>
      </c>
      <c r="C156" s="36">
        <f>+'CFIT Schedules'!E156</f>
        <v>0</v>
      </c>
      <c r="D156" s="42">
        <f t="shared" si="134"/>
        <v>0</v>
      </c>
      <c r="E156" s="36">
        <v>0</v>
      </c>
      <c r="F156" s="36">
        <f t="shared" si="128"/>
        <v>0</v>
      </c>
      <c r="G156" s="27">
        <f>ROUND('CFIT Schedules'!F156*-0.35,0)</f>
        <v>0</v>
      </c>
      <c r="H156" s="27">
        <f t="shared" si="129"/>
        <v>0</v>
      </c>
      <c r="I156" s="27">
        <f>ROUND('CFIT Schedules'!H156*-0.21,0)</f>
        <v>0</v>
      </c>
      <c r="J156" s="27">
        <f t="shared" si="130"/>
        <v>0</v>
      </c>
      <c r="K156" s="51">
        <f t="shared" ref="K156:K171" si="135">VLOOKUP(M156,$C$299:$D$313,2,FALSE)</f>
        <v>0.98499999999999999</v>
      </c>
      <c r="L156" s="42">
        <f t="shared" si="131"/>
        <v>0</v>
      </c>
      <c r="M156" s="18" t="str">
        <f>'CFIT Schedules'!L156</f>
        <v>GROSS PLT</v>
      </c>
      <c r="N156" s="27">
        <f>ROUND('CFIT Schedules'!M156*-0.21,0)</f>
        <v>0</v>
      </c>
      <c r="O156" s="27">
        <f t="shared" si="132"/>
        <v>0</v>
      </c>
      <c r="P156" s="27"/>
    </row>
    <row r="157" spans="1:16" x14ac:dyDescent="0.25">
      <c r="A157" s="18">
        <f t="shared" si="83"/>
        <v>131</v>
      </c>
      <c r="B157" s="17" t="s">
        <v>338</v>
      </c>
      <c r="C157" s="36">
        <f>+'CFIT Schedules'!E157</f>
        <v>0</v>
      </c>
      <c r="D157" s="42">
        <f t="shared" si="134"/>
        <v>0</v>
      </c>
      <c r="E157" s="36">
        <v>0</v>
      </c>
      <c r="F157" s="36">
        <f t="shared" si="128"/>
        <v>0</v>
      </c>
      <c r="G157" s="27">
        <f>ROUND('CFIT Schedules'!F157*-0.35,0)</f>
        <v>0</v>
      </c>
      <c r="H157" s="27">
        <f t="shared" si="129"/>
        <v>0</v>
      </c>
      <c r="I157" s="27">
        <f>ROUND('CFIT Schedules'!H157*-0.21,0)</f>
        <v>0</v>
      </c>
      <c r="J157" s="27">
        <f t="shared" si="130"/>
        <v>0</v>
      </c>
      <c r="K157" s="51">
        <f t="shared" si="135"/>
        <v>0</v>
      </c>
      <c r="L157" s="42">
        <f t="shared" si="131"/>
        <v>0</v>
      </c>
      <c r="M157" s="18" t="str">
        <f>'CFIT Schedules'!L157</f>
        <v>NON-APPLIC</v>
      </c>
      <c r="N157" s="27">
        <f>ROUND('CFIT Schedules'!M157*-0.21,0)</f>
        <v>0</v>
      </c>
      <c r="O157" s="27">
        <f t="shared" si="132"/>
        <v>0</v>
      </c>
      <c r="P157" s="27"/>
    </row>
    <row r="158" spans="1:16" x14ac:dyDescent="0.25">
      <c r="A158" s="18">
        <f t="shared" si="83"/>
        <v>132</v>
      </c>
      <c r="B158" s="17" t="s">
        <v>339</v>
      </c>
      <c r="C158" s="36">
        <f>+'CFIT Schedules'!E158</f>
        <v>0</v>
      </c>
      <c r="D158" s="42">
        <f t="shared" si="134"/>
        <v>0</v>
      </c>
      <c r="E158" s="36">
        <v>0</v>
      </c>
      <c r="F158" s="36">
        <f t="shared" si="128"/>
        <v>0</v>
      </c>
      <c r="G158" s="27">
        <f>ROUND('CFIT Schedules'!F158*-0.35,0)</f>
        <v>0</v>
      </c>
      <c r="H158" s="27">
        <f t="shared" si="129"/>
        <v>0</v>
      </c>
      <c r="I158" s="27">
        <f>ROUND('CFIT Schedules'!H158*-0.21,0)</f>
        <v>0</v>
      </c>
      <c r="J158" s="27">
        <f t="shared" si="130"/>
        <v>0</v>
      </c>
      <c r="K158" s="51">
        <f t="shared" si="135"/>
        <v>0</v>
      </c>
      <c r="L158" s="42">
        <f t="shared" si="131"/>
        <v>0</v>
      </c>
      <c r="M158" s="18" t="str">
        <f>'CFIT Schedules'!L158</f>
        <v>NON-APPLIC</v>
      </c>
      <c r="N158" s="27">
        <f>ROUND('CFIT Schedules'!M158*-0.21,0)</f>
        <v>0</v>
      </c>
      <c r="O158" s="27">
        <f t="shared" si="132"/>
        <v>0</v>
      </c>
      <c r="P158" s="27"/>
    </row>
    <row r="159" spans="1:16" x14ac:dyDescent="0.25">
      <c r="A159" s="18">
        <f t="shared" si="83"/>
        <v>133</v>
      </c>
      <c r="B159" s="17" t="s">
        <v>340</v>
      </c>
      <c r="C159" s="36">
        <f>+'CFIT Schedules'!E159</f>
        <v>27807</v>
      </c>
      <c r="D159" s="42">
        <f t="shared" si="134"/>
        <v>-5839</v>
      </c>
      <c r="E159" s="36">
        <v>0</v>
      </c>
      <c r="F159" s="36">
        <f t="shared" si="128"/>
        <v>-5839</v>
      </c>
      <c r="G159" s="27">
        <f>ROUND('CFIT Schedules'!F159*-0.35,0)</f>
        <v>0</v>
      </c>
      <c r="H159" s="27">
        <f t="shared" si="129"/>
        <v>-5839</v>
      </c>
      <c r="I159" s="27">
        <f>ROUND('CFIT Schedules'!H159*-0.21,0)</f>
        <v>0</v>
      </c>
      <c r="J159" s="27">
        <f t="shared" si="130"/>
        <v>-5839</v>
      </c>
      <c r="K159" s="51">
        <f t="shared" si="135"/>
        <v>0</v>
      </c>
      <c r="L159" s="42">
        <f t="shared" si="131"/>
        <v>0</v>
      </c>
      <c r="M159" s="18" t="str">
        <f>'CFIT Schedules'!L159</f>
        <v>NON-APPLIC</v>
      </c>
      <c r="N159" s="27">
        <f>ROUND('CFIT Schedules'!M159*-0.21,0)</f>
        <v>0</v>
      </c>
      <c r="O159" s="27">
        <f t="shared" si="132"/>
        <v>0</v>
      </c>
      <c r="P159" s="27"/>
    </row>
    <row r="160" spans="1:16" x14ac:dyDescent="0.25">
      <c r="A160" s="18">
        <f t="shared" si="83"/>
        <v>134</v>
      </c>
      <c r="B160" s="17" t="s">
        <v>341</v>
      </c>
      <c r="C160" s="36">
        <f>+'CFIT Schedules'!E160</f>
        <v>-58428</v>
      </c>
      <c r="D160" s="42">
        <f t="shared" si="134"/>
        <v>12270</v>
      </c>
      <c r="E160" s="36">
        <v>0</v>
      </c>
      <c r="F160" s="36">
        <f t="shared" si="128"/>
        <v>12270</v>
      </c>
      <c r="G160" s="27">
        <f>ROUND('CFIT Schedules'!F160*-0.35,0)</f>
        <v>0</v>
      </c>
      <c r="H160" s="27">
        <f t="shared" si="129"/>
        <v>12270</v>
      </c>
      <c r="I160" s="27">
        <f>ROUND('CFIT Schedules'!H160*-0.21,0)</f>
        <v>0</v>
      </c>
      <c r="J160" s="27">
        <f t="shared" si="130"/>
        <v>12270</v>
      </c>
      <c r="K160" s="51">
        <f t="shared" si="135"/>
        <v>0</v>
      </c>
      <c r="L160" s="42">
        <f t="shared" si="131"/>
        <v>0</v>
      </c>
      <c r="M160" s="18" t="str">
        <f>'CFIT Schedules'!L160</f>
        <v>NON-APPLIC</v>
      </c>
      <c r="N160" s="27">
        <f>ROUND('CFIT Schedules'!M160*-0.21,0)</f>
        <v>0</v>
      </c>
      <c r="O160" s="27">
        <f t="shared" si="132"/>
        <v>0</v>
      </c>
      <c r="P160" s="27"/>
    </row>
    <row r="161" spans="1:16" x14ac:dyDescent="0.25">
      <c r="A161" s="18">
        <f t="shared" ref="A161:A250" si="136">A160+1</f>
        <v>135</v>
      </c>
      <c r="B161" s="17" t="s">
        <v>342</v>
      </c>
      <c r="C161" s="36">
        <f>+'CFIT Schedules'!E161</f>
        <v>-188154</v>
      </c>
      <c r="D161" s="42">
        <f t="shared" si="134"/>
        <v>39512</v>
      </c>
      <c r="E161" s="36">
        <v>0</v>
      </c>
      <c r="F161" s="36">
        <f t="shared" si="128"/>
        <v>39512</v>
      </c>
      <c r="G161" s="27">
        <f>ROUND('CFIT Schedules'!F161*-0.35,0)</f>
        <v>0</v>
      </c>
      <c r="H161" s="27">
        <f t="shared" si="129"/>
        <v>39512</v>
      </c>
      <c r="I161" s="27">
        <f>ROUND('CFIT Schedules'!H161*-0.21,0)</f>
        <v>0</v>
      </c>
      <c r="J161" s="27">
        <f t="shared" si="130"/>
        <v>39512</v>
      </c>
      <c r="K161" s="51">
        <f t="shared" si="135"/>
        <v>1</v>
      </c>
      <c r="L161" s="42">
        <f t="shared" si="131"/>
        <v>39512</v>
      </c>
      <c r="M161" s="18" t="str">
        <f>'CFIT Schedules'!L161</f>
        <v>SPECIFIC</v>
      </c>
      <c r="N161" s="27">
        <f>ROUND('CFIT Schedules'!M161*-0.21,0)</f>
        <v>-61172</v>
      </c>
      <c r="O161" s="27">
        <f t="shared" si="132"/>
        <v>-21660</v>
      </c>
      <c r="P161" s="27"/>
    </row>
    <row r="162" spans="1:16" x14ac:dyDescent="0.25">
      <c r="A162" s="18">
        <f t="shared" si="136"/>
        <v>136</v>
      </c>
      <c r="B162" s="17" t="s">
        <v>343</v>
      </c>
      <c r="C162" s="36">
        <f>+'CFIT Schedules'!E162</f>
        <v>-36929</v>
      </c>
      <c r="D162" s="42">
        <f t="shared" si="134"/>
        <v>7755</v>
      </c>
      <c r="E162" s="36">
        <v>0</v>
      </c>
      <c r="F162" s="36">
        <f t="shared" si="128"/>
        <v>7755</v>
      </c>
      <c r="G162" s="27">
        <f>ROUND('CFIT Schedules'!F162*-0.35,0)</f>
        <v>0</v>
      </c>
      <c r="H162" s="27">
        <f t="shared" si="129"/>
        <v>7755</v>
      </c>
      <c r="I162" s="27">
        <f>ROUND('CFIT Schedules'!H162*-0.21,0)</f>
        <v>0</v>
      </c>
      <c r="J162" s="27">
        <f t="shared" si="130"/>
        <v>7755</v>
      </c>
      <c r="K162" s="51">
        <f t="shared" si="135"/>
        <v>1</v>
      </c>
      <c r="L162" s="42">
        <f t="shared" si="131"/>
        <v>7755</v>
      </c>
      <c r="M162" s="18" t="str">
        <f>'CFIT Schedules'!L162</f>
        <v>SPECIFIC</v>
      </c>
      <c r="N162" s="27">
        <f>ROUND('CFIT Schedules'!M162*-0.21,0)</f>
        <v>0</v>
      </c>
      <c r="O162" s="27">
        <f t="shared" si="132"/>
        <v>7755</v>
      </c>
      <c r="P162" s="27"/>
    </row>
    <row r="163" spans="1:16" x14ac:dyDescent="0.25">
      <c r="A163" s="18">
        <f t="shared" si="136"/>
        <v>137</v>
      </c>
      <c r="B163" s="17" t="s">
        <v>344</v>
      </c>
      <c r="C163" s="36">
        <f>+'CFIT Schedules'!E163</f>
        <v>0</v>
      </c>
      <c r="D163" s="42">
        <f t="shared" si="134"/>
        <v>0</v>
      </c>
      <c r="E163" s="36">
        <v>0</v>
      </c>
      <c r="F163" s="36">
        <f t="shared" si="128"/>
        <v>0</v>
      </c>
      <c r="G163" s="27">
        <f>ROUND('CFIT Schedules'!F163*-0.35,0)</f>
        <v>0</v>
      </c>
      <c r="H163" s="27">
        <f t="shared" si="129"/>
        <v>0</v>
      </c>
      <c r="I163" s="27">
        <f>ROUND('CFIT Schedules'!H163*-0.21,0)</f>
        <v>0</v>
      </c>
      <c r="J163" s="27">
        <f t="shared" si="130"/>
        <v>0</v>
      </c>
      <c r="K163" s="51">
        <f t="shared" si="135"/>
        <v>1</v>
      </c>
      <c r="L163" s="42">
        <f t="shared" si="131"/>
        <v>0</v>
      </c>
      <c r="M163" s="18" t="str">
        <f>'CFIT Schedules'!L163</f>
        <v>SPECIFIC</v>
      </c>
      <c r="N163" s="27">
        <f>ROUND('CFIT Schedules'!M163*-0.21,0)</f>
        <v>0</v>
      </c>
      <c r="O163" s="27">
        <f t="shared" si="132"/>
        <v>0</v>
      </c>
      <c r="P163" s="27"/>
    </row>
    <row r="164" spans="1:16" x14ac:dyDescent="0.25">
      <c r="A164" s="18">
        <f t="shared" si="136"/>
        <v>138</v>
      </c>
      <c r="B164" s="17" t="s">
        <v>345</v>
      </c>
      <c r="C164" s="36">
        <f>+'CFIT Schedules'!E164</f>
        <v>0</v>
      </c>
      <c r="D164" s="42">
        <f t="shared" si="134"/>
        <v>0</v>
      </c>
      <c r="E164" s="36">
        <v>0</v>
      </c>
      <c r="F164" s="36">
        <f t="shared" si="128"/>
        <v>0</v>
      </c>
      <c r="G164" s="27">
        <f>ROUND('CFIT Schedules'!F164*-0.35,0)</f>
        <v>0</v>
      </c>
      <c r="H164" s="27">
        <f t="shared" si="129"/>
        <v>0</v>
      </c>
      <c r="I164" s="27">
        <f>ROUND('CFIT Schedules'!H164*-0.21,0)</f>
        <v>0</v>
      </c>
      <c r="J164" s="27">
        <f t="shared" si="130"/>
        <v>0</v>
      </c>
      <c r="K164" s="51">
        <f t="shared" si="135"/>
        <v>1</v>
      </c>
      <c r="L164" s="42">
        <f t="shared" si="131"/>
        <v>0</v>
      </c>
      <c r="M164" s="18" t="str">
        <f>'CFIT Schedules'!L164</f>
        <v>SPECIFIC</v>
      </c>
      <c r="N164" s="27">
        <f>ROUND('CFIT Schedules'!M164*-0.21,0)</f>
        <v>0</v>
      </c>
      <c r="O164" s="27">
        <f t="shared" si="132"/>
        <v>0</v>
      </c>
      <c r="P164" s="27"/>
    </row>
    <row r="165" spans="1:16" x14ac:dyDescent="0.25">
      <c r="A165" s="142"/>
      <c r="B165" s="125" t="s">
        <v>372</v>
      </c>
      <c r="C165" s="36">
        <f>'CFIT Schedules'!E165</f>
        <v>736511.47</v>
      </c>
      <c r="D165" s="42">
        <f t="shared" ref="D165:D170" si="137">IF(C165*0.21=0,0,ROUND(C165*-0.21,0))</f>
        <v>-154667</v>
      </c>
      <c r="E165" s="36">
        <v>0</v>
      </c>
      <c r="F165" s="36">
        <f t="shared" ref="F165:F170" si="138">SUM(D165:E165)</f>
        <v>-154667</v>
      </c>
      <c r="G165" s="27">
        <f>ROUND('CFIT Schedules'!F165*-0.35,0)</f>
        <v>0</v>
      </c>
      <c r="H165" s="27">
        <f t="shared" ref="H165:H170" si="139">+F165+G165</f>
        <v>-154667</v>
      </c>
      <c r="I165" s="27">
        <f>ROUND('CFIT Schedules'!H165*-0.21,0)</f>
        <v>0</v>
      </c>
      <c r="J165" s="27">
        <f t="shared" ref="J165:J170" si="140">+H165+I165</f>
        <v>-154667</v>
      </c>
      <c r="K165" s="51">
        <f t="shared" si="135"/>
        <v>0.98499999999999999</v>
      </c>
      <c r="L165" s="42">
        <f t="shared" ref="L165:L170" si="141">IF(J165*K165=0,0, ROUND(J165*K165,0))</f>
        <v>-152347</v>
      </c>
      <c r="M165" s="143" t="str">
        <f>'CFIT Schedules'!L165</f>
        <v>GROSS PLT</v>
      </c>
      <c r="N165" s="27">
        <f>ROUND('CFIT Schedules'!M165*-0.21,0)</f>
        <v>0</v>
      </c>
      <c r="O165" s="27">
        <f t="shared" si="132"/>
        <v>-152347</v>
      </c>
      <c r="P165" s="27"/>
    </row>
    <row r="166" spans="1:16" x14ac:dyDescent="0.25">
      <c r="A166" s="142"/>
      <c r="B166" s="125" t="s">
        <v>373</v>
      </c>
      <c r="C166" s="36">
        <f>'CFIT Schedules'!E166</f>
        <v>-1543540</v>
      </c>
      <c r="D166" s="42">
        <f t="shared" si="137"/>
        <v>324143</v>
      </c>
      <c r="E166" s="36">
        <v>0</v>
      </c>
      <c r="F166" s="36">
        <f t="shared" si="138"/>
        <v>324143</v>
      </c>
      <c r="G166" s="27">
        <f>ROUND('CFIT Schedules'!F166*-0.35,0)</f>
        <v>0</v>
      </c>
      <c r="H166" s="27">
        <f t="shared" si="139"/>
        <v>324143</v>
      </c>
      <c r="I166" s="27">
        <f>ROUND('CFIT Schedules'!H166*-0.21,0)</f>
        <v>0</v>
      </c>
      <c r="J166" s="27">
        <f t="shared" si="140"/>
        <v>324143</v>
      </c>
      <c r="K166" s="51">
        <f t="shared" si="135"/>
        <v>0.98499999999999999</v>
      </c>
      <c r="L166" s="42">
        <f t="shared" si="141"/>
        <v>319281</v>
      </c>
      <c r="M166" s="143" t="str">
        <f>'CFIT Schedules'!L166</f>
        <v>GROSS PLT</v>
      </c>
      <c r="N166" s="27">
        <f>ROUND('CFIT Schedules'!M166*-0.21,0)</f>
        <v>0</v>
      </c>
      <c r="O166" s="27">
        <f t="shared" si="132"/>
        <v>319281</v>
      </c>
      <c r="P166" s="27"/>
    </row>
    <row r="167" spans="1:16" x14ac:dyDescent="0.25">
      <c r="A167" s="142"/>
      <c r="B167" s="125" t="s">
        <v>374</v>
      </c>
      <c r="C167" s="36">
        <f>'CFIT Schedules'!E167</f>
        <v>-13749999.99</v>
      </c>
      <c r="D167" s="42">
        <f t="shared" si="137"/>
        <v>2887500</v>
      </c>
      <c r="E167" s="36">
        <v>0</v>
      </c>
      <c r="F167" s="36">
        <f t="shared" si="138"/>
        <v>2887500</v>
      </c>
      <c r="G167" s="27">
        <f>ROUND('CFIT Schedules'!F167*-0.35,0)</f>
        <v>0</v>
      </c>
      <c r="H167" s="27">
        <f t="shared" si="139"/>
        <v>2887500</v>
      </c>
      <c r="I167" s="27">
        <f>ROUND('CFIT Schedules'!H167*-0.21,0)</f>
        <v>0</v>
      </c>
      <c r="J167" s="27">
        <f t="shared" si="140"/>
        <v>2887500</v>
      </c>
      <c r="K167" s="51">
        <f t="shared" si="135"/>
        <v>0.98499999999999999</v>
      </c>
      <c r="L167" s="42">
        <f t="shared" si="141"/>
        <v>2844188</v>
      </c>
      <c r="M167" s="143" t="str">
        <f>'CFIT Schedules'!L167</f>
        <v>GROSS PLT</v>
      </c>
      <c r="N167" s="27">
        <f>ROUND('CFIT Schedules'!M167*-0.21,0)</f>
        <v>0</v>
      </c>
      <c r="O167" s="27">
        <f t="shared" si="132"/>
        <v>2844188</v>
      </c>
      <c r="P167" s="27"/>
    </row>
    <row r="168" spans="1:16" x14ac:dyDescent="0.25">
      <c r="A168" s="142"/>
      <c r="B168" s="125" t="s">
        <v>375</v>
      </c>
      <c r="C168" s="36">
        <f>'CFIT Schedules'!E168</f>
        <v>-5956225.5199999996</v>
      </c>
      <c r="D168" s="42">
        <f t="shared" si="137"/>
        <v>1250807</v>
      </c>
      <c r="E168" s="36">
        <v>0</v>
      </c>
      <c r="F168" s="36">
        <f t="shared" si="138"/>
        <v>1250807</v>
      </c>
      <c r="G168" s="27">
        <f>ROUND('CFIT Schedules'!F168*-0.35,0)</f>
        <v>0</v>
      </c>
      <c r="H168" s="27">
        <f t="shared" si="139"/>
        <v>1250807</v>
      </c>
      <c r="I168" s="27">
        <f>ROUND('CFIT Schedules'!H168*-0.21,0)</f>
        <v>0</v>
      </c>
      <c r="J168" s="27">
        <f t="shared" si="140"/>
        <v>1250807</v>
      </c>
      <c r="K168" s="51">
        <f t="shared" si="135"/>
        <v>0.98499999999999999</v>
      </c>
      <c r="L168" s="42">
        <f t="shared" si="141"/>
        <v>1232045</v>
      </c>
      <c r="M168" s="143" t="str">
        <f>'CFIT Schedules'!L168</f>
        <v>GROSS PLT</v>
      </c>
      <c r="N168" s="27">
        <f>ROUND('CFIT Schedules'!M168*-0.21,0)</f>
        <v>0</v>
      </c>
      <c r="O168" s="27">
        <f t="shared" si="132"/>
        <v>1232045</v>
      </c>
      <c r="P168" s="27"/>
    </row>
    <row r="169" spans="1:16" x14ac:dyDescent="0.25">
      <c r="A169" s="142"/>
      <c r="B169" s="125" t="s">
        <v>376</v>
      </c>
      <c r="C169" s="36">
        <f>'CFIT Schedules'!E169</f>
        <v>-333379.67000000004</v>
      </c>
      <c r="D169" s="42">
        <f t="shared" si="137"/>
        <v>70010</v>
      </c>
      <c r="E169" s="36">
        <v>0</v>
      </c>
      <c r="F169" s="36">
        <f t="shared" si="138"/>
        <v>70010</v>
      </c>
      <c r="G169" s="27">
        <f>ROUND('CFIT Schedules'!F169*-0.35,0)</f>
        <v>0</v>
      </c>
      <c r="H169" s="27">
        <f t="shared" si="139"/>
        <v>70010</v>
      </c>
      <c r="I169" s="27">
        <f>ROUND('CFIT Schedules'!H169*-0.21,0)</f>
        <v>0</v>
      </c>
      <c r="J169" s="27">
        <f t="shared" si="140"/>
        <v>70010</v>
      </c>
      <c r="K169" s="51">
        <f t="shared" si="135"/>
        <v>0.98499999999999999</v>
      </c>
      <c r="L169" s="42">
        <f t="shared" si="141"/>
        <v>68960</v>
      </c>
      <c r="M169" s="143" t="str">
        <f>'CFIT Schedules'!L169</f>
        <v>GROSS PLT</v>
      </c>
      <c r="N169" s="27">
        <f>ROUND('CFIT Schedules'!M169*-0.21,0)</f>
        <v>6964</v>
      </c>
      <c r="O169" s="27">
        <f t="shared" si="132"/>
        <v>75924</v>
      </c>
      <c r="P169" s="27"/>
    </row>
    <row r="170" spans="1:16" x14ac:dyDescent="0.25">
      <c r="A170" s="142"/>
      <c r="B170" s="125" t="s">
        <v>377</v>
      </c>
      <c r="C170" s="36">
        <f>'CFIT Schedules'!E170</f>
        <v>294065.67</v>
      </c>
      <c r="D170" s="42">
        <f t="shared" si="137"/>
        <v>-61754</v>
      </c>
      <c r="E170" s="36">
        <v>0</v>
      </c>
      <c r="F170" s="36">
        <f t="shared" si="138"/>
        <v>-61754</v>
      </c>
      <c r="G170" s="27">
        <f>ROUND('CFIT Schedules'!F170*-0.35,0)</f>
        <v>0</v>
      </c>
      <c r="H170" s="27">
        <f t="shared" si="139"/>
        <v>-61754</v>
      </c>
      <c r="I170" s="27">
        <f>ROUND('CFIT Schedules'!H170*-0.21,0)</f>
        <v>0</v>
      </c>
      <c r="J170" s="27">
        <f t="shared" si="140"/>
        <v>-61754</v>
      </c>
      <c r="K170" s="51">
        <f t="shared" si="135"/>
        <v>0.98499999999999999</v>
      </c>
      <c r="L170" s="42">
        <f t="shared" si="141"/>
        <v>-60828</v>
      </c>
      <c r="M170" s="143" t="str">
        <f>'CFIT Schedules'!L170</f>
        <v>GROSS PLT</v>
      </c>
      <c r="N170" s="27">
        <f>ROUND('CFIT Schedules'!M170*-0.21,0)</f>
        <v>0</v>
      </c>
      <c r="O170" s="27">
        <f t="shared" si="132"/>
        <v>-60828</v>
      </c>
      <c r="P170" s="27"/>
    </row>
    <row r="171" spans="1:16" x14ac:dyDescent="0.25">
      <c r="A171" s="18">
        <f>A164+1</f>
        <v>139</v>
      </c>
      <c r="B171" s="17" t="s">
        <v>346</v>
      </c>
      <c r="C171" s="36">
        <f>+'CFIT Schedules'!E171</f>
        <v>0</v>
      </c>
      <c r="D171" s="42">
        <f>IF(C171*0.35=0,0,ROUND(C171*-0.21,0))</f>
        <v>0</v>
      </c>
      <c r="E171" s="36">
        <v>0</v>
      </c>
      <c r="F171" s="36">
        <f t="shared" si="128"/>
        <v>0</v>
      </c>
      <c r="G171" s="27">
        <f>ROUND('CFIT Schedules'!F171*-0.35,0)</f>
        <v>0</v>
      </c>
      <c r="H171" s="27">
        <f t="shared" si="129"/>
        <v>0</v>
      </c>
      <c r="I171" s="27">
        <f>ROUND('CFIT Schedules'!H171*-0.21,0)</f>
        <v>0</v>
      </c>
      <c r="J171" s="27">
        <f t="shared" si="130"/>
        <v>0</v>
      </c>
      <c r="K171" s="51">
        <f t="shared" si="135"/>
        <v>0.98499999999999999</v>
      </c>
      <c r="L171" s="42">
        <f t="shared" si="131"/>
        <v>0</v>
      </c>
      <c r="M171" s="18" t="str">
        <f>'CFIT Schedules'!L171</f>
        <v>DEMAND</v>
      </c>
      <c r="N171" s="27">
        <f>ROUND('CFIT Schedules'!M171*-0.21,0)</f>
        <v>0</v>
      </c>
      <c r="O171" s="27">
        <f t="shared" si="132"/>
        <v>0</v>
      </c>
      <c r="P171" s="27"/>
    </row>
    <row r="172" spans="1:16" x14ac:dyDescent="0.25">
      <c r="A172" s="18">
        <f t="shared" si="136"/>
        <v>140</v>
      </c>
      <c r="B172" s="56"/>
      <c r="C172" s="36"/>
      <c r="D172" s="42"/>
      <c r="E172" s="36"/>
      <c r="F172" s="36"/>
      <c r="G172" s="27"/>
      <c r="H172" s="27"/>
      <c r="I172" s="27"/>
      <c r="J172" s="27"/>
      <c r="K172" s="51"/>
      <c r="L172" s="42"/>
      <c r="M172" s="18"/>
      <c r="N172" s="27"/>
      <c r="O172" s="27"/>
    </row>
    <row r="173" spans="1:16" ht="13" x14ac:dyDescent="0.3">
      <c r="A173" s="18">
        <f t="shared" si="136"/>
        <v>141</v>
      </c>
      <c r="B173" s="75" t="s">
        <v>63</v>
      </c>
      <c r="C173" s="78">
        <f t="shared" ref="C173:J173" si="142">SUM(C129:C172)</f>
        <v>-12170195.039999999</v>
      </c>
      <c r="D173" s="78">
        <f t="shared" si="142"/>
        <v>2555742</v>
      </c>
      <c r="E173" s="78">
        <f t="shared" si="142"/>
        <v>0</v>
      </c>
      <c r="F173" s="78">
        <f t="shared" si="142"/>
        <v>2555742</v>
      </c>
      <c r="G173" s="78">
        <f t="shared" si="142"/>
        <v>0</v>
      </c>
      <c r="H173" s="78">
        <f t="shared" si="142"/>
        <v>2555742</v>
      </c>
      <c r="I173" s="78">
        <f t="shared" si="142"/>
        <v>0</v>
      </c>
      <c r="J173" s="78">
        <f t="shared" si="142"/>
        <v>2555742</v>
      </c>
      <c r="K173" s="24"/>
      <c r="L173" s="78">
        <f>SUM(L129:L172)</f>
        <v>2489163</v>
      </c>
      <c r="N173" s="78">
        <f>SUM(N129:N172)</f>
        <v>1095708</v>
      </c>
      <c r="O173" s="78">
        <f>SUM(O129:O172)</f>
        <v>3584871</v>
      </c>
    </row>
    <row r="174" spans="1:16" x14ac:dyDescent="0.25">
      <c r="A174" s="18">
        <f t="shared" si="136"/>
        <v>142</v>
      </c>
      <c r="B174" s="17" t="s">
        <v>0</v>
      </c>
      <c r="C174" s="36"/>
      <c r="D174" s="36"/>
      <c r="K174" s="81"/>
    </row>
    <row r="175" spans="1:16" ht="13" x14ac:dyDescent="0.3">
      <c r="A175" s="18">
        <f t="shared" si="136"/>
        <v>143</v>
      </c>
      <c r="B175" s="75" t="s">
        <v>64</v>
      </c>
      <c r="C175" s="36"/>
      <c r="D175" s="36"/>
      <c r="K175" s="81"/>
    </row>
    <row r="176" spans="1:16" x14ac:dyDescent="0.25">
      <c r="A176" s="18">
        <f t="shared" si="136"/>
        <v>144</v>
      </c>
      <c r="B176" s="17" t="s">
        <v>358</v>
      </c>
      <c r="C176" s="37">
        <f>+'CFIT Schedules'!E176</f>
        <v>0</v>
      </c>
      <c r="D176" s="42">
        <f>IF(C176*0.35=0,0,ROUND(C176*-0.21,0))</f>
        <v>0</v>
      </c>
      <c r="E176" s="37">
        <v>0</v>
      </c>
      <c r="F176" s="37">
        <f>SUM(D176:E176)</f>
        <v>0</v>
      </c>
      <c r="G176" s="27">
        <f>ROUND('CFIT Schedules'!F176*-0.35,0)</f>
        <v>0</v>
      </c>
      <c r="H176" s="27">
        <f>+F176+G176</f>
        <v>0</v>
      </c>
      <c r="I176" s="27">
        <f>ROUND('CFIT Schedules'!H176*-0.35,0)</f>
        <v>0</v>
      </c>
      <c r="J176" s="37">
        <f>+H176+I176</f>
        <v>0</v>
      </c>
      <c r="K176" s="51">
        <f>VLOOKUP(M176,$C$299:$D$313,2,FALSE)</f>
        <v>0</v>
      </c>
      <c r="L176" s="42">
        <f>IF(J176*K176=0,0, ROUND(J176*K176,0))</f>
        <v>0</v>
      </c>
      <c r="M176" s="18" t="str">
        <f>'CFIT Schedules'!L176</f>
        <v>NON-APPLIC</v>
      </c>
      <c r="N176" s="27">
        <f>ROUND('CFIT Schedules'!M176*-0.35,0)</f>
        <v>0</v>
      </c>
      <c r="O176" s="27">
        <f>L176+N176</f>
        <v>0</v>
      </c>
      <c r="P176" s="27"/>
    </row>
    <row r="177" spans="1:16" ht="13" x14ac:dyDescent="0.3">
      <c r="A177" s="18">
        <f t="shared" si="136"/>
        <v>145</v>
      </c>
      <c r="B177" s="75" t="s">
        <v>65</v>
      </c>
      <c r="C177" s="78">
        <f>+C176</f>
        <v>0</v>
      </c>
      <c r="D177" s="99">
        <f>+D176</f>
        <v>0</v>
      </c>
      <c r="E177" s="78">
        <f t="shared" ref="E177:L177" si="143">+E176</f>
        <v>0</v>
      </c>
      <c r="F177" s="78">
        <f t="shared" si="143"/>
        <v>0</v>
      </c>
      <c r="G177" s="78">
        <f t="shared" ref="G177" si="144">+G176</f>
        <v>0</v>
      </c>
      <c r="H177" s="78">
        <f t="shared" si="143"/>
        <v>0</v>
      </c>
      <c r="I177" s="78">
        <f t="shared" si="143"/>
        <v>0</v>
      </c>
      <c r="J177" s="78">
        <f t="shared" si="143"/>
        <v>0</v>
      </c>
      <c r="K177" s="24"/>
      <c r="L177" s="99">
        <f t="shared" si="143"/>
        <v>0</v>
      </c>
      <c r="N177" s="78">
        <f t="shared" ref="N177:O177" si="145">+N176</f>
        <v>0</v>
      </c>
      <c r="O177" s="78">
        <f t="shared" si="145"/>
        <v>0</v>
      </c>
    </row>
    <row r="178" spans="1:16" x14ac:dyDescent="0.25">
      <c r="A178" s="18">
        <f t="shared" si="136"/>
        <v>146</v>
      </c>
      <c r="B178" s="17" t="s">
        <v>0</v>
      </c>
      <c r="C178" s="36"/>
      <c r="D178" s="36"/>
      <c r="K178" s="81"/>
    </row>
    <row r="179" spans="1:16" ht="13" x14ac:dyDescent="0.3">
      <c r="A179" s="18">
        <f t="shared" si="136"/>
        <v>147</v>
      </c>
      <c r="B179" s="75" t="s">
        <v>66</v>
      </c>
      <c r="C179" s="36"/>
      <c r="D179" s="36"/>
      <c r="K179" s="81"/>
    </row>
    <row r="180" spans="1:16" x14ac:dyDescent="0.25">
      <c r="A180" s="18">
        <f>A179+1</f>
        <v>148</v>
      </c>
      <c r="B180" s="17" t="s">
        <v>67</v>
      </c>
      <c r="C180" s="36">
        <f>+'CFIT Schedules'!E180</f>
        <v>33651</v>
      </c>
      <c r="D180" s="42">
        <f t="shared" ref="D180:D185" si="146">IF(C180*0.21=0,0,ROUND(C180*-0.21,0))</f>
        <v>-7067</v>
      </c>
      <c r="E180" s="36">
        <v>0</v>
      </c>
      <c r="F180" s="36">
        <f t="shared" ref="F180:F205" si="147">SUM(D180:E180)</f>
        <v>-7067</v>
      </c>
      <c r="G180" s="27">
        <f>ROUND('CFIT Schedules'!F180*-0.35,0)</f>
        <v>0</v>
      </c>
      <c r="H180" s="27">
        <f t="shared" ref="H180:H222" si="148">+F180+G180</f>
        <v>-7067</v>
      </c>
      <c r="I180" s="27">
        <f>ROUND('CFIT Schedules'!H180*-0.21,0)</f>
        <v>0</v>
      </c>
      <c r="J180" s="27">
        <f t="shared" ref="J180:J205" si="149">+H180+I180</f>
        <v>-7067</v>
      </c>
      <c r="K180" s="51">
        <f t="shared" ref="K180:K190" si="150">VLOOKUP(M180,$C$299:$D$313,2,FALSE)</f>
        <v>0.98499999999999999</v>
      </c>
      <c r="L180" s="42">
        <f t="shared" ref="L180:L205" si="151">IF(J180*K180=0,0, ROUND(J180*K180,0))</f>
        <v>-6961</v>
      </c>
      <c r="M180" s="18" t="str">
        <f>'CFIT Schedules'!L180</f>
        <v>GROSS PLT</v>
      </c>
      <c r="N180" s="27">
        <f>ROUND('CFIT Schedules'!M180*-0.21,0)</f>
        <v>0</v>
      </c>
      <c r="O180" s="27">
        <f t="shared" ref="O180:O222" si="152">L180+N180</f>
        <v>-6961</v>
      </c>
      <c r="P180" s="27"/>
    </row>
    <row r="181" spans="1:16" x14ac:dyDescent="0.25">
      <c r="A181" s="18">
        <f t="shared" si="136"/>
        <v>149</v>
      </c>
      <c r="B181" s="17" t="s">
        <v>68</v>
      </c>
      <c r="C181" s="36">
        <f>+'CFIT Schedules'!E181</f>
        <v>-2716963</v>
      </c>
      <c r="D181" s="42">
        <f t="shared" si="146"/>
        <v>570562</v>
      </c>
      <c r="E181" s="36">
        <v>0</v>
      </c>
      <c r="F181" s="36">
        <f t="shared" si="147"/>
        <v>570562</v>
      </c>
      <c r="G181" s="27">
        <f>ROUND('CFIT Schedules'!F181*-0.35,0)</f>
        <v>0</v>
      </c>
      <c r="H181" s="27">
        <f t="shared" si="148"/>
        <v>570562</v>
      </c>
      <c r="I181" s="27">
        <f>ROUND('CFIT Schedules'!H181*-0.21,0)</f>
        <v>0</v>
      </c>
      <c r="J181" s="27">
        <f t="shared" si="149"/>
        <v>570562</v>
      </c>
      <c r="K181" s="51">
        <f t="shared" si="150"/>
        <v>0.99</v>
      </c>
      <c r="L181" s="42">
        <f t="shared" si="151"/>
        <v>564856</v>
      </c>
      <c r="M181" s="18" t="str">
        <f>'CFIT Schedules'!L181</f>
        <v>LABOR</v>
      </c>
      <c r="N181" s="27">
        <f>ROUND('CFIT Schedules'!M181*-0.21,0)</f>
        <v>2364</v>
      </c>
      <c r="O181" s="27">
        <f t="shared" si="152"/>
        <v>567220</v>
      </c>
      <c r="P181" s="27"/>
    </row>
    <row r="182" spans="1:16" x14ac:dyDescent="0.25">
      <c r="A182" s="18">
        <f t="shared" si="136"/>
        <v>150</v>
      </c>
      <c r="B182" s="56" t="s">
        <v>251</v>
      </c>
      <c r="C182" s="36">
        <f>+'CFIT Schedules'!E182</f>
        <v>-3596491</v>
      </c>
      <c r="D182" s="42">
        <f t="shared" si="146"/>
        <v>755263</v>
      </c>
      <c r="E182" s="36">
        <v>0</v>
      </c>
      <c r="F182" s="36">
        <f>SUM(D182:E182)</f>
        <v>755263</v>
      </c>
      <c r="G182" s="27">
        <f>ROUND('CFIT Schedules'!F182*-0.35,0)</f>
        <v>0</v>
      </c>
      <c r="H182" s="27">
        <f t="shared" si="148"/>
        <v>755263</v>
      </c>
      <c r="I182" s="27">
        <f>ROUND('CFIT Schedules'!H182*-0.21,0)</f>
        <v>0</v>
      </c>
      <c r="J182" s="27">
        <f>+H182+I182</f>
        <v>755263</v>
      </c>
      <c r="K182" s="51">
        <f t="shared" si="150"/>
        <v>0.99</v>
      </c>
      <c r="L182" s="42">
        <f>IF(J182*K182=0,0, ROUND(J182*K182,0))</f>
        <v>747710</v>
      </c>
      <c r="M182" s="18" t="str">
        <f>'CFIT Schedules'!L182</f>
        <v>LABOR</v>
      </c>
      <c r="N182" s="27">
        <f>ROUND('CFIT Schedules'!M182*-0.21,0)</f>
        <v>0</v>
      </c>
      <c r="O182" s="27">
        <f t="shared" si="152"/>
        <v>747710</v>
      </c>
      <c r="P182" s="27"/>
    </row>
    <row r="183" spans="1:16" x14ac:dyDescent="0.25">
      <c r="A183" s="18">
        <f t="shared" si="136"/>
        <v>151</v>
      </c>
      <c r="B183" s="17" t="s">
        <v>69</v>
      </c>
      <c r="C183" s="36">
        <f>+'CFIT Schedules'!E183</f>
        <v>151273</v>
      </c>
      <c r="D183" s="42">
        <f t="shared" si="146"/>
        <v>-31767</v>
      </c>
      <c r="E183" s="36">
        <v>0</v>
      </c>
      <c r="F183" s="36">
        <f t="shared" si="147"/>
        <v>-31767</v>
      </c>
      <c r="G183" s="27">
        <f>ROUND('CFIT Schedules'!F183*-0.35,0)</f>
        <v>0</v>
      </c>
      <c r="H183" s="27">
        <f t="shared" si="148"/>
        <v>-31767</v>
      </c>
      <c r="I183" s="27">
        <f>ROUND('CFIT Schedules'!H183*-0.21,0)</f>
        <v>0</v>
      </c>
      <c r="J183" s="27">
        <f t="shared" si="149"/>
        <v>-31767</v>
      </c>
      <c r="K183" s="51">
        <f t="shared" si="150"/>
        <v>0.99</v>
      </c>
      <c r="L183" s="42">
        <f t="shared" si="151"/>
        <v>-31449</v>
      </c>
      <c r="M183" s="18" t="str">
        <f>'CFIT Schedules'!L183</f>
        <v>LABOR</v>
      </c>
      <c r="N183" s="27">
        <f>ROUND('CFIT Schedules'!M183*-0.21,0)</f>
        <v>0</v>
      </c>
      <c r="O183" s="27">
        <f t="shared" si="152"/>
        <v>-31449</v>
      </c>
      <c r="P183" s="27"/>
    </row>
    <row r="184" spans="1:16" x14ac:dyDescent="0.25">
      <c r="A184" s="18">
        <f t="shared" si="136"/>
        <v>152</v>
      </c>
      <c r="B184" s="17" t="s">
        <v>70</v>
      </c>
      <c r="C184" s="36">
        <f>+'CFIT Schedules'!E184</f>
        <v>-18635614</v>
      </c>
      <c r="D184" s="42">
        <f t="shared" si="146"/>
        <v>3913479</v>
      </c>
      <c r="E184" s="36">
        <v>0</v>
      </c>
      <c r="F184" s="36">
        <f t="shared" si="147"/>
        <v>3913479</v>
      </c>
      <c r="G184" s="27">
        <f>ROUND('CFIT Schedules'!F184*-0.35,0)</f>
        <v>0</v>
      </c>
      <c r="H184" s="27">
        <f t="shared" si="148"/>
        <v>3913479</v>
      </c>
      <c r="I184" s="27">
        <f>ROUND('CFIT Schedules'!H184*-0.21,0)</f>
        <v>0</v>
      </c>
      <c r="J184" s="27">
        <f t="shared" si="149"/>
        <v>3913479</v>
      </c>
      <c r="K184" s="51">
        <f t="shared" si="150"/>
        <v>0.98499999999999999</v>
      </c>
      <c r="L184" s="42">
        <f t="shared" si="151"/>
        <v>3854777</v>
      </c>
      <c r="M184" s="18" t="str">
        <f>'CFIT Schedules'!L184</f>
        <v>PROD PLT</v>
      </c>
      <c r="N184" s="27">
        <f>ROUND('CFIT Schedules'!M184*-0.21,0)</f>
        <v>31564</v>
      </c>
      <c r="O184" s="27">
        <f t="shared" si="152"/>
        <v>3886341</v>
      </c>
      <c r="P184" s="27"/>
    </row>
    <row r="185" spans="1:16" x14ac:dyDescent="0.25">
      <c r="A185" s="18">
        <f t="shared" si="136"/>
        <v>153</v>
      </c>
      <c r="B185" s="17" t="s">
        <v>315</v>
      </c>
      <c r="C185" s="36">
        <f>+'CFIT Schedules'!E185</f>
        <v>216620</v>
      </c>
      <c r="D185" s="42">
        <f t="shared" si="146"/>
        <v>-45490</v>
      </c>
      <c r="E185" s="36">
        <v>0</v>
      </c>
      <c r="F185" s="36">
        <f>SUM(D185:E185)</f>
        <v>-45490</v>
      </c>
      <c r="G185" s="27">
        <f>ROUND('CFIT Schedules'!F185*-0.35,0)</f>
        <v>0</v>
      </c>
      <c r="H185" s="27">
        <f t="shared" si="148"/>
        <v>-45490</v>
      </c>
      <c r="I185" s="27">
        <f>ROUND('CFIT Schedules'!H185*-0.21,0)</f>
        <v>0</v>
      </c>
      <c r="J185" s="27">
        <f>+H185+I185</f>
        <v>-45490</v>
      </c>
      <c r="K185" s="51">
        <f t="shared" si="150"/>
        <v>0.99</v>
      </c>
      <c r="L185" s="42">
        <f>IF(J185*K185=0,0, ROUND(J185*K185,0))</f>
        <v>-45035</v>
      </c>
      <c r="M185" s="18" t="str">
        <f>'CFIT Schedules'!L185</f>
        <v>LABOR</v>
      </c>
      <c r="N185" s="27">
        <f>ROUND('CFIT Schedules'!M185*-0.21,0)</f>
        <v>0</v>
      </c>
      <c r="O185" s="27">
        <f t="shared" si="152"/>
        <v>-45035</v>
      </c>
      <c r="P185" s="27"/>
    </row>
    <row r="186" spans="1:16" x14ac:dyDescent="0.25">
      <c r="A186" s="18">
        <f t="shared" si="136"/>
        <v>154</v>
      </c>
      <c r="B186" s="56" t="s">
        <v>252</v>
      </c>
      <c r="C186" s="36">
        <f>+'CFIT Schedules'!E186</f>
        <v>0</v>
      </c>
      <c r="D186" s="42">
        <v>0</v>
      </c>
      <c r="E186" s="36">
        <v>0</v>
      </c>
      <c r="F186" s="36">
        <f>SUM(D186:E186)</f>
        <v>0</v>
      </c>
      <c r="G186" s="27">
        <v>0</v>
      </c>
      <c r="H186" s="27">
        <f t="shared" si="148"/>
        <v>0</v>
      </c>
      <c r="I186" s="27">
        <v>0</v>
      </c>
      <c r="J186" s="27">
        <f>+H186+I186</f>
        <v>0</v>
      </c>
      <c r="K186" s="51">
        <f t="shared" si="150"/>
        <v>0.99</v>
      </c>
      <c r="L186" s="42">
        <f>IF(J186*K186=0,0, ROUND(J186*K186,0))</f>
        <v>0</v>
      </c>
      <c r="M186" s="18" t="str">
        <f>'CFIT Schedules'!L186</f>
        <v>LABOR</v>
      </c>
      <c r="N186" s="27">
        <v>0</v>
      </c>
      <c r="O186" s="27">
        <f t="shared" si="152"/>
        <v>0</v>
      </c>
      <c r="P186" s="27"/>
    </row>
    <row r="187" spans="1:16" x14ac:dyDescent="0.25">
      <c r="A187" s="18">
        <f t="shared" si="136"/>
        <v>155</v>
      </c>
      <c r="B187" s="56" t="s">
        <v>253</v>
      </c>
      <c r="C187" s="36">
        <f>+'CFIT Schedules'!E187</f>
        <v>0</v>
      </c>
      <c r="D187" s="42">
        <f>IF(C187*0.21=0,0,ROUND(C187*-0.21,0))</f>
        <v>0</v>
      </c>
      <c r="E187" s="36">
        <v>0</v>
      </c>
      <c r="F187" s="36">
        <f>SUM(D187:E187)</f>
        <v>0</v>
      </c>
      <c r="G187" s="27">
        <v>0</v>
      </c>
      <c r="H187" s="27">
        <f t="shared" si="148"/>
        <v>0</v>
      </c>
      <c r="I187" s="27">
        <v>0</v>
      </c>
      <c r="J187" s="27">
        <f>+H187+I187</f>
        <v>0</v>
      </c>
      <c r="K187" s="51">
        <f t="shared" si="150"/>
        <v>0.99</v>
      </c>
      <c r="L187" s="42">
        <f>IF(J187*K187=0,0, ROUND(J187*K187,0))</f>
        <v>0</v>
      </c>
      <c r="M187" s="18" t="str">
        <f>'CFIT Schedules'!L187</f>
        <v>LABOR</v>
      </c>
      <c r="N187" s="27">
        <v>0</v>
      </c>
      <c r="O187" s="27">
        <f t="shared" si="152"/>
        <v>0</v>
      </c>
      <c r="P187" s="27"/>
    </row>
    <row r="188" spans="1:16" x14ac:dyDescent="0.25">
      <c r="A188" s="142"/>
      <c r="B188" s="124" t="s">
        <v>378</v>
      </c>
      <c r="C188" s="36">
        <f>'CFIT Schedules'!E188</f>
        <v>-8597566</v>
      </c>
      <c r="D188" s="42">
        <f t="shared" ref="D188:D189" si="153">IF(C188*0.21=0,0,ROUND(C188*-0.21,0))</f>
        <v>1805489</v>
      </c>
      <c r="E188" s="36">
        <v>0</v>
      </c>
      <c r="F188" s="36">
        <f t="shared" ref="F188:F189" si="154">SUM(D188:E188)</f>
        <v>1805489</v>
      </c>
      <c r="G188" s="27">
        <v>0</v>
      </c>
      <c r="H188" s="27">
        <f t="shared" ref="H188:H189" si="155">+F188+G188</f>
        <v>1805489</v>
      </c>
      <c r="I188" s="27">
        <v>0</v>
      </c>
      <c r="J188" s="27">
        <f t="shared" ref="J188:J189" si="156">+H188+I188</f>
        <v>1805489</v>
      </c>
      <c r="K188" s="51">
        <f t="shared" si="150"/>
        <v>0.98499999999999999</v>
      </c>
      <c r="L188" s="42">
        <f t="shared" ref="L188:L189" si="157">IF(J188*K188=0,0, ROUND(J188*K188,0))</f>
        <v>1778407</v>
      </c>
      <c r="M188" s="143" t="str">
        <f>'CFIT Schedules'!L188</f>
        <v>GROSS PLT</v>
      </c>
      <c r="N188" s="27">
        <f>ROUND('CFIT Schedules'!M188*-0.21,0)</f>
        <v>0</v>
      </c>
      <c r="O188" s="27">
        <f t="shared" si="152"/>
        <v>1778407</v>
      </c>
      <c r="P188" s="27"/>
    </row>
    <row r="189" spans="1:16" x14ac:dyDescent="0.25">
      <c r="A189" s="142"/>
      <c r="B189" s="124" t="s">
        <v>379</v>
      </c>
      <c r="C189" s="36">
        <f>'CFIT Schedules'!E189</f>
        <v>8624454</v>
      </c>
      <c r="D189" s="42">
        <f t="shared" si="153"/>
        <v>-1811135</v>
      </c>
      <c r="E189" s="36">
        <v>0</v>
      </c>
      <c r="F189" s="36">
        <f t="shared" si="154"/>
        <v>-1811135</v>
      </c>
      <c r="G189" s="27">
        <v>0</v>
      </c>
      <c r="H189" s="27">
        <f t="shared" si="155"/>
        <v>-1811135</v>
      </c>
      <c r="I189" s="27">
        <v>0</v>
      </c>
      <c r="J189" s="27">
        <f t="shared" si="156"/>
        <v>-1811135</v>
      </c>
      <c r="K189" s="51">
        <f t="shared" si="150"/>
        <v>0.98499999999999999</v>
      </c>
      <c r="L189" s="42">
        <f t="shared" si="157"/>
        <v>-1783968</v>
      </c>
      <c r="M189" s="143" t="str">
        <f>'CFIT Schedules'!L189</f>
        <v>GROSS PLT</v>
      </c>
      <c r="N189" s="27">
        <f>ROUND('CFIT Schedules'!M189*-0.21,0)</f>
        <v>0</v>
      </c>
      <c r="O189" s="27">
        <f t="shared" si="152"/>
        <v>-1783968</v>
      </c>
      <c r="P189" s="27"/>
    </row>
    <row r="190" spans="1:16" x14ac:dyDescent="0.25">
      <c r="A190" s="18">
        <f>A187+1</f>
        <v>156</v>
      </c>
      <c r="B190" s="17" t="s">
        <v>235</v>
      </c>
      <c r="C190" s="36">
        <f>+'CFIT Schedules'!E190</f>
        <v>0</v>
      </c>
      <c r="D190" s="42">
        <f t="shared" ref="D190:D201" si="158">IF(C190*0.21=0,0,ROUND(C190*-0.21,0))</f>
        <v>0</v>
      </c>
      <c r="E190" s="36">
        <v>0</v>
      </c>
      <c r="F190" s="36">
        <f t="shared" si="147"/>
        <v>0</v>
      </c>
      <c r="G190" s="27">
        <v>0</v>
      </c>
      <c r="H190" s="27">
        <f t="shared" si="148"/>
        <v>0</v>
      </c>
      <c r="I190" s="27">
        <v>0</v>
      </c>
      <c r="J190" s="27">
        <f t="shared" si="149"/>
        <v>0</v>
      </c>
      <c r="K190" s="51">
        <f t="shared" si="150"/>
        <v>1</v>
      </c>
      <c r="L190" s="42">
        <f>IF(J190*K190=0,0, ROUND(J190*K190,0))</f>
        <v>0</v>
      </c>
      <c r="M190" s="18" t="str">
        <f>'CFIT Schedules'!L190</f>
        <v>SPECIFIC</v>
      </c>
      <c r="N190" s="27">
        <v>0</v>
      </c>
      <c r="O190" s="27">
        <f t="shared" si="152"/>
        <v>0</v>
      </c>
      <c r="P190" s="27"/>
    </row>
    <row r="191" spans="1:16" x14ac:dyDescent="0.25">
      <c r="A191" s="142"/>
      <c r="B191" s="125" t="s">
        <v>380</v>
      </c>
      <c r="C191" s="36">
        <f>'CFIT Schedules'!E191</f>
        <v>-71358</v>
      </c>
      <c r="D191" s="42">
        <f t="shared" si="158"/>
        <v>14985</v>
      </c>
      <c r="E191" s="36">
        <v>0</v>
      </c>
      <c r="F191" s="36">
        <f t="shared" ref="F191" si="159">SUM(D191:E191)</f>
        <v>14985</v>
      </c>
      <c r="G191" s="27">
        <v>0</v>
      </c>
      <c r="H191" s="27">
        <f t="shared" ref="H191" si="160">+F191+G191</f>
        <v>14985</v>
      </c>
      <c r="I191" s="27">
        <v>0</v>
      </c>
      <c r="J191" s="27">
        <f t="shared" ref="J191" si="161">+H191+I191</f>
        <v>14985</v>
      </c>
      <c r="K191" s="51">
        <f t="shared" ref="K191" si="162">VLOOKUP(M191,$C$299:$D$313,2,FALSE)</f>
        <v>0.98499999999999999</v>
      </c>
      <c r="L191" s="42">
        <f t="shared" ref="L191" si="163">IF(J191*K191=0,0, ROUND(J191*K191,0))</f>
        <v>14760</v>
      </c>
      <c r="M191" s="143" t="str">
        <f>'CFIT Schedules'!L191</f>
        <v>GROSS PLT</v>
      </c>
      <c r="N191" s="27">
        <f>ROUND('CFIT Schedules'!M191*-0.21,0)</f>
        <v>0</v>
      </c>
      <c r="O191" s="27">
        <f t="shared" si="152"/>
        <v>14760</v>
      </c>
      <c r="P191" s="27"/>
    </row>
    <row r="192" spans="1:16" x14ac:dyDescent="0.25">
      <c r="A192" s="18">
        <f>A190+1</f>
        <v>157</v>
      </c>
      <c r="B192" s="17" t="s">
        <v>268</v>
      </c>
      <c r="C192" s="36">
        <f>+'CFIT Schedules'!E192</f>
        <v>0</v>
      </c>
      <c r="D192" s="42">
        <f t="shared" si="158"/>
        <v>0</v>
      </c>
      <c r="E192" s="36">
        <v>0</v>
      </c>
      <c r="F192" s="36">
        <f t="shared" ref="F192:F197" si="164">SUM(D192:E192)</f>
        <v>0</v>
      </c>
      <c r="G192" s="27">
        <f>ROUND('CFIT Schedules'!F192*-0.35,0)</f>
        <v>0</v>
      </c>
      <c r="H192" s="27">
        <f t="shared" si="148"/>
        <v>0</v>
      </c>
      <c r="I192" s="27">
        <f>ROUND('CFIT Schedules'!H192*-0.21,0)</f>
        <v>0</v>
      </c>
      <c r="J192" s="27">
        <f>+H192+I192</f>
        <v>0</v>
      </c>
      <c r="K192" s="51">
        <f t="shared" ref="K192:K220" si="165">VLOOKUP(M192,$C$299:$D$313,2,FALSE)</f>
        <v>0</v>
      </c>
      <c r="L192" s="42">
        <f>IF(J192*K192=0,0, ROUND(J192*K192,0))</f>
        <v>0</v>
      </c>
      <c r="M192" s="18" t="str">
        <f>'CFIT Schedules'!L192</f>
        <v>NON-APPLIC</v>
      </c>
      <c r="N192" s="27">
        <f>ROUND('CFIT Schedules'!M192*-0.21,0)</f>
        <v>0</v>
      </c>
      <c r="O192" s="27">
        <f t="shared" si="152"/>
        <v>0</v>
      </c>
      <c r="P192" s="27"/>
    </row>
    <row r="193" spans="1:16" x14ac:dyDescent="0.25">
      <c r="A193" s="18">
        <f t="shared" si="136"/>
        <v>158</v>
      </c>
      <c r="B193" s="17" t="s">
        <v>180</v>
      </c>
      <c r="C193" s="36">
        <f>+'CFIT Schedules'!E193</f>
        <v>0</v>
      </c>
      <c r="D193" s="42">
        <f t="shared" si="158"/>
        <v>0</v>
      </c>
      <c r="E193" s="36">
        <v>0</v>
      </c>
      <c r="F193" s="36">
        <f t="shared" si="164"/>
        <v>0</v>
      </c>
      <c r="G193" s="36">
        <f>ROUND('SIT Schedules'!F135*0.35*-1,0)</f>
        <v>0</v>
      </c>
      <c r="H193" s="27">
        <f t="shared" si="148"/>
        <v>0</v>
      </c>
      <c r="I193" s="36">
        <f>ROUND('SIT Schedules'!H135*0.21*-1,0)</f>
        <v>0</v>
      </c>
      <c r="J193" s="27">
        <f t="shared" si="149"/>
        <v>0</v>
      </c>
      <c r="K193" s="51">
        <f t="shared" si="165"/>
        <v>0.98499999999999999</v>
      </c>
      <c r="L193" s="42">
        <f t="shared" si="151"/>
        <v>0</v>
      </c>
      <c r="M193" s="18" t="str">
        <f>'CFIT Schedules'!L193</f>
        <v>GROSS PLT</v>
      </c>
      <c r="N193" s="36">
        <v>0</v>
      </c>
      <c r="O193" s="27">
        <f t="shared" si="152"/>
        <v>0</v>
      </c>
      <c r="P193" s="27"/>
    </row>
    <row r="194" spans="1:16" x14ac:dyDescent="0.25">
      <c r="A194" s="18">
        <f t="shared" si="136"/>
        <v>159</v>
      </c>
      <c r="B194" s="17" t="s">
        <v>353</v>
      </c>
      <c r="C194" s="36">
        <f>+'CFIT Schedules'!E194</f>
        <v>0</v>
      </c>
      <c r="D194" s="42">
        <f t="shared" si="158"/>
        <v>0</v>
      </c>
      <c r="E194" s="36">
        <f>ROUND('SIT Schedules'!E136*0.21*-1,0)</f>
        <v>0</v>
      </c>
      <c r="F194" s="36">
        <f t="shared" si="164"/>
        <v>0</v>
      </c>
      <c r="G194" s="36">
        <f>ROUND('SIT Schedules'!F136*0.35*-1,0)</f>
        <v>0</v>
      </c>
      <c r="H194" s="27">
        <f t="shared" ref="H194:H195" si="166">+F194+G194</f>
        <v>0</v>
      </c>
      <c r="I194" s="36">
        <f>ROUND('SIT Schedules'!H136*0.21*-1,0)</f>
        <v>0</v>
      </c>
      <c r="J194" s="27">
        <f t="shared" ref="J194:J195" si="167">+H194+I194</f>
        <v>0</v>
      </c>
      <c r="K194" s="51">
        <f t="shared" si="165"/>
        <v>0</v>
      </c>
      <c r="L194" s="42">
        <f t="shared" ref="L194:L196" si="168">IF(J194*K194=0,0, ROUND(J194*K194,0))</f>
        <v>0</v>
      </c>
      <c r="M194" s="18" t="str">
        <f>'CFIT Schedules'!L194</f>
        <v>NON-APPLIC</v>
      </c>
      <c r="N194" s="36">
        <v>0</v>
      </c>
      <c r="O194" s="27">
        <f t="shared" ref="O194:O195" si="169">L194+N194</f>
        <v>0</v>
      </c>
      <c r="P194" s="27"/>
    </row>
    <row r="195" spans="1:16" x14ac:dyDescent="0.25">
      <c r="A195" s="18">
        <f t="shared" si="136"/>
        <v>160</v>
      </c>
      <c r="B195" s="17" t="s">
        <v>354</v>
      </c>
      <c r="C195" s="36">
        <f>+'CFIT Schedules'!E195</f>
        <v>0</v>
      </c>
      <c r="D195" s="42">
        <f t="shared" si="158"/>
        <v>0</v>
      </c>
      <c r="E195" s="36">
        <f>ROUND('SIT Schedules'!E137*0.21*-1,0)</f>
        <v>0</v>
      </c>
      <c r="F195" s="36">
        <f t="shared" si="164"/>
        <v>0</v>
      </c>
      <c r="G195" s="36">
        <f>ROUND('SIT Schedules'!F137*0.35*-1,0)</f>
        <v>0</v>
      </c>
      <c r="H195" s="27">
        <f t="shared" si="166"/>
        <v>0</v>
      </c>
      <c r="I195" s="36">
        <f>ROUND('SIT Schedules'!H137*0.21*-1,0)</f>
        <v>0</v>
      </c>
      <c r="J195" s="27">
        <f t="shared" si="167"/>
        <v>0</v>
      </c>
      <c r="K195" s="51">
        <f t="shared" si="165"/>
        <v>0</v>
      </c>
      <c r="L195" s="42">
        <f t="shared" si="168"/>
        <v>0</v>
      </c>
      <c r="M195" s="18" t="str">
        <f>'CFIT Schedules'!L195</f>
        <v>NON-APPLIC</v>
      </c>
      <c r="N195" s="36">
        <v>0</v>
      </c>
      <c r="O195" s="27">
        <f t="shared" si="169"/>
        <v>0</v>
      </c>
      <c r="P195" s="27"/>
    </row>
    <row r="196" spans="1:16" x14ac:dyDescent="0.25">
      <c r="A196" s="144"/>
      <c r="B196" s="125" t="s">
        <v>386</v>
      </c>
      <c r="C196" s="36"/>
      <c r="D196" s="42"/>
      <c r="E196" s="36">
        <f>ROUND('SIT Schedules'!E107*0.21*-1,0)</f>
        <v>95065</v>
      </c>
      <c r="F196" s="36">
        <f t="shared" si="164"/>
        <v>95065</v>
      </c>
      <c r="G196" s="36">
        <f>ROUND('SIT Schedules'!F138*0.35*-1,0)</f>
        <v>0</v>
      </c>
      <c r="H196" s="27">
        <f t="shared" ref="H196" si="170">+F196+G196</f>
        <v>95065</v>
      </c>
      <c r="I196" s="36">
        <f>ROUND('SIT Schedules'!H138*0.21*-1,0)</f>
        <v>0</v>
      </c>
      <c r="J196" s="27">
        <f t="shared" ref="J196" si="171">+H196+I196</f>
        <v>95065</v>
      </c>
      <c r="K196" s="51">
        <f t="shared" si="165"/>
        <v>0.98499999999999999</v>
      </c>
      <c r="L196" s="42">
        <f t="shared" si="168"/>
        <v>93639</v>
      </c>
      <c r="M196" s="144" t="str">
        <f>'CFIT Schedules'!L196</f>
        <v>GROSS PLT</v>
      </c>
      <c r="N196" s="36">
        <v>0</v>
      </c>
      <c r="O196" s="27">
        <f t="shared" ref="O196" si="172">L196+N196</f>
        <v>93639</v>
      </c>
      <c r="P196" s="27"/>
    </row>
    <row r="197" spans="1:16" x14ac:dyDescent="0.25">
      <c r="A197" s="18">
        <f>A195+1</f>
        <v>161</v>
      </c>
      <c r="B197" s="17" t="s">
        <v>316</v>
      </c>
      <c r="C197" s="36">
        <f>+'CFIT Schedules'!E196</f>
        <v>414000</v>
      </c>
      <c r="D197" s="42">
        <f t="shared" si="158"/>
        <v>-86940</v>
      </c>
      <c r="E197" s="36">
        <v>0</v>
      </c>
      <c r="F197" s="36">
        <f t="shared" si="164"/>
        <v>-86940</v>
      </c>
      <c r="G197" s="27">
        <f>ROUND('CFIT Schedules'!F196*-0.35,0)</f>
        <v>0</v>
      </c>
      <c r="H197" s="27">
        <f t="shared" si="148"/>
        <v>-86940</v>
      </c>
      <c r="I197" s="27">
        <f>ROUND('CFIT Schedules'!H196*-0.21,0)</f>
        <v>0</v>
      </c>
      <c r="J197" s="27">
        <f>+H197+I197</f>
        <v>-86940</v>
      </c>
      <c r="K197" s="51">
        <f t="shared" si="165"/>
        <v>0.98499999999999999</v>
      </c>
      <c r="L197" s="42">
        <f>IF(J197*K197=0,0, ROUND(J197*K197,0))</f>
        <v>-85636</v>
      </c>
      <c r="M197" s="18" t="str">
        <f>'CFIT Schedules'!L196</f>
        <v>GROSS PLT</v>
      </c>
      <c r="N197" s="27">
        <f>ROUND('CFIT Schedules'!M196*-0.21,0)</f>
        <v>85636</v>
      </c>
      <c r="O197" s="27">
        <f t="shared" si="152"/>
        <v>0</v>
      </c>
      <c r="P197" s="27"/>
    </row>
    <row r="198" spans="1:16" x14ac:dyDescent="0.25">
      <c r="A198" s="18">
        <f t="shared" si="136"/>
        <v>162</v>
      </c>
      <c r="B198" s="17" t="s">
        <v>72</v>
      </c>
      <c r="C198" s="36">
        <f>+'CFIT Schedules'!E197</f>
        <v>-34849</v>
      </c>
      <c r="D198" s="42">
        <f t="shared" si="158"/>
        <v>7318</v>
      </c>
      <c r="E198" s="36">
        <v>0</v>
      </c>
      <c r="F198" s="36">
        <f t="shared" si="147"/>
        <v>7318</v>
      </c>
      <c r="G198" s="27">
        <f>ROUND('CFIT Schedules'!F197*-0.35,0)</f>
        <v>0</v>
      </c>
      <c r="H198" s="27">
        <f t="shared" si="148"/>
        <v>7318</v>
      </c>
      <c r="I198" s="27">
        <f>ROUND('CFIT Schedules'!H197*-0.21,0)</f>
        <v>0</v>
      </c>
      <c r="J198" s="27">
        <f t="shared" si="149"/>
        <v>7318</v>
      </c>
      <c r="K198" s="51">
        <f t="shared" si="165"/>
        <v>0</v>
      </c>
      <c r="L198" s="42">
        <f t="shared" si="151"/>
        <v>0</v>
      </c>
      <c r="M198" s="18" t="str">
        <f>'CFIT Schedules'!L197</f>
        <v>NON-APPLIC</v>
      </c>
      <c r="N198" s="27">
        <f>ROUND('CFIT Schedules'!M197*-0.21,0)</f>
        <v>0</v>
      </c>
      <c r="O198" s="27">
        <f t="shared" si="152"/>
        <v>0</v>
      </c>
      <c r="P198" s="27"/>
    </row>
    <row r="199" spans="1:16" x14ac:dyDescent="0.25">
      <c r="A199" s="18">
        <f t="shared" si="136"/>
        <v>163</v>
      </c>
      <c r="B199" s="56" t="s">
        <v>254</v>
      </c>
      <c r="C199" s="36">
        <f>+'CFIT Schedules'!E198</f>
        <v>-27798</v>
      </c>
      <c r="D199" s="42">
        <f t="shared" si="158"/>
        <v>5838</v>
      </c>
      <c r="E199" s="36">
        <v>0</v>
      </c>
      <c r="F199" s="36">
        <f>SUM(D199:E199)</f>
        <v>5838</v>
      </c>
      <c r="G199" s="27">
        <f>ROUND('CFIT Schedules'!F198*-0.35,0)</f>
        <v>0</v>
      </c>
      <c r="H199" s="27">
        <f t="shared" si="148"/>
        <v>5838</v>
      </c>
      <c r="I199" s="27">
        <f>ROUND('CFIT Schedules'!H198*-0.21,0)</f>
        <v>0</v>
      </c>
      <c r="J199" s="27">
        <f>+H199+I199</f>
        <v>5838</v>
      </c>
      <c r="K199" s="51">
        <f t="shared" si="165"/>
        <v>0</v>
      </c>
      <c r="L199" s="42">
        <f>IF(J199*K199=0,0, ROUND(J199*K199,0))</f>
        <v>0</v>
      </c>
      <c r="M199" s="18" t="str">
        <f>'CFIT Schedules'!L198</f>
        <v>NON-APPLIC</v>
      </c>
      <c r="N199" s="27">
        <f>ROUND('CFIT Schedules'!M198*-0.21,0)</f>
        <v>0</v>
      </c>
      <c r="O199" s="27">
        <f t="shared" si="152"/>
        <v>0</v>
      </c>
      <c r="P199" s="27"/>
    </row>
    <row r="200" spans="1:16" x14ac:dyDescent="0.25">
      <c r="A200" s="18">
        <f t="shared" si="136"/>
        <v>164</v>
      </c>
      <c r="B200" s="56" t="s">
        <v>255</v>
      </c>
      <c r="C200" s="36">
        <f>+'CFIT Schedules'!E199</f>
        <v>0</v>
      </c>
      <c r="D200" s="42">
        <f t="shared" si="158"/>
        <v>0</v>
      </c>
      <c r="E200" s="36">
        <v>0</v>
      </c>
      <c r="F200" s="36">
        <f>SUM(D200:E200)</f>
        <v>0</v>
      </c>
      <c r="G200" s="27">
        <f>ROUND('CFIT Schedules'!F199*-0.35,0)</f>
        <v>0</v>
      </c>
      <c r="H200" s="27">
        <f t="shared" si="148"/>
        <v>0</v>
      </c>
      <c r="I200" s="27">
        <f>ROUND('CFIT Schedules'!H199*-0.21,0)</f>
        <v>0</v>
      </c>
      <c r="J200" s="27">
        <f>+H200+I200</f>
        <v>0</v>
      </c>
      <c r="K200" s="51">
        <f t="shared" si="165"/>
        <v>0</v>
      </c>
      <c r="L200" s="42">
        <f>IF(J200*K200=0,0, ROUND(J200*K200,0))</f>
        <v>0</v>
      </c>
      <c r="M200" s="18" t="str">
        <f>'CFIT Schedules'!L199</f>
        <v>NON-APPLIC</v>
      </c>
      <c r="N200" s="27">
        <f>ROUND('CFIT Schedules'!M199*-0.21,0)</f>
        <v>0</v>
      </c>
      <c r="O200" s="27">
        <f t="shared" si="152"/>
        <v>0</v>
      </c>
      <c r="P200" s="27"/>
    </row>
    <row r="201" spans="1:16" x14ac:dyDescent="0.25">
      <c r="A201" s="18">
        <f t="shared" si="136"/>
        <v>165</v>
      </c>
      <c r="B201" s="56" t="s">
        <v>356</v>
      </c>
      <c r="C201" s="36">
        <f>+'CFIT Schedules'!E200</f>
        <v>0</v>
      </c>
      <c r="D201" s="42">
        <f t="shared" si="158"/>
        <v>0</v>
      </c>
      <c r="E201" s="36">
        <v>0</v>
      </c>
      <c r="F201" s="36">
        <f>SUM(D201:E201)</f>
        <v>0</v>
      </c>
      <c r="G201" s="27">
        <f>ROUND('CFIT Schedules'!F200*-0.35,0)</f>
        <v>0</v>
      </c>
      <c r="H201" s="27">
        <f t="shared" ref="H201" si="173">+F201+G201</f>
        <v>0</v>
      </c>
      <c r="I201" s="27">
        <f>ROUND('CFIT Schedules'!H200*-0.21,0)</f>
        <v>0</v>
      </c>
      <c r="J201" s="27">
        <f>+H201+I201</f>
        <v>0</v>
      </c>
      <c r="K201" s="51">
        <f t="shared" si="165"/>
        <v>0</v>
      </c>
      <c r="L201" s="42">
        <f>IF(J201*K201=0,0, ROUND(J201*K201,0))</f>
        <v>0</v>
      </c>
      <c r="M201" s="18" t="str">
        <f>'CFIT Schedules'!L200</f>
        <v>NON-APPLIC</v>
      </c>
      <c r="N201" s="27">
        <f>ROUND('CFIT Schedules'!M200*-0.21,0)</f>
        <v>0</v>
      </c>
      <c r="O201" s="27">
        <f t="shared" ref="O201" si="174">L201+N201</f>
        <v>0</v>
      </c>
      <c r="P201" s="27"/>
    </row>
    <row r="202" spans="1:16" x14ac:dyDescent="0.25">
      <c r="A202" s="18">
        <f t="shared" si="136"/>
        <v>166</v>
      </c>
      <c r="B202" s="17" t="s">
        <v>73</v>
      </c>
      <c r="C202" s="36">
        <f>+'CFIT Schedules'!E201</f>
        <v>7452221</v>
      </c>
      <c r="D202" s="42">
        <v>0</v>
      </c>
      <c r="E202" s="36">
        <v>0</v>
      </c>
      <c r="F202" s="36">
        <f t="shared" si="147"/>
        <v>0</v>
      </c>
      <c r="G202" s="27">
        <f>ROUND('CFIT Schedules'!F201*-0.35,0)</f>
        <v>0</v>
      </c>
      <c r="H202" s="27">
        <f t="shared" si="148"/>
        <v>0</v>
      </c>
      <c r="I202" s="27">
        <f>ROUND('CFIT Schedules'!H201*-0.21,0)</f>
        <v>0</v>
      </c>
      <c r="J202" s="27">
        <f t="shared" si="149"/>
        <v>0</v>
      </c>
      <c r="K202" s="51">
        <f t="shared" si="165"/>
        <v>0.98499999999999999</v>
      </c>
      <c r="L202" s="42">
        <f t="shared" si="151"/>
        <v>0</v>
      </c>
      <c r="M202" s="18" t="str">
        <f>'CFIT Schedules'!L201</f>
        <v>NET PLANT</v>
      </c>
      <c r="N202" s="27">
        <f>ROUND('CFIT Schedules'!M201*-0.21,0)</f>
        <v>0</v>
      </c>
      <c r="O202" s="27">
        <f t="shared" si="152"/>
        <v>0</v>
      </c>
      <c r="P202" s="27"/>
    </row>
    <row r="203" spans="1:16" x14ac:dyDescent="0.25">
      <c r="A203" s="18">
        <f t="shared" si="136"/>
        <v>167</v>
      </c>
      <c r="B203" s="17" t="s">
        <v>74</v>
      </c>
      <c r="C203" s="36">
        <f>+'CFIT Schedules'!E202</f>
        <v>-7452221</v>
      </c>
      <c r="D203" s="42">
        <v>0</v>
      </c>
      <c r="E203" s="36">
        <v>0</v>
      </c>
      <c r="F203" s="36">
        <f t="shared" si="147"/>
        <v>0</v>
      </c>
      <c r="G203" s="27">
        <f>ROUND('CFIT Schedules'!F202*-0.35,0)</f>
        <v>0</v>
      </c>
      <c r="H203" s="27">
        <f t="shared" si="148"/>
        <v>0</v>
      </c>
      <c r="I203" s="27">
        <f>ROUND('CFIT Schedules'!H202*-0.21,0)</f>
        <v>0</v>
      </c>
      <c r="J203" s="27">
        <f t="shared" si="149"/>
        <v>0</v>
      </c>
      <c r="K203" s="51">
        <f t="shared" si="165"/>
        <v>0.98499999999999999</v>
      </c>
      <c r="L203" s="42">
        <f t="shared" si="151"/>
        <v>0</v>
      </c>
      <c r="M203" s="18" t="str">
        <f>'CFIT Schedules'!L202</f>
        <v>NET PLANT</v>
      </c>
      <c r="N203" s="27">
        <f>ROUND('CFIT Schedules'!M202*-0.21,0)</f>
        <v>0</v>
      </c>
      <c r="O203" s="27">
        <f t="shared" si="152"/>
        <v>0</v>
      </c>
      <c r="P203" s="27"/>
    </row>
    <row r="204" spans="1:16" x14ac:dyDescent="0.25">
      <c r="A204" s="18">
        <f t="shared" si="136"/>
        <v>168</v>
      </c>
      <c r="B204" s="17" t="s">
        <v>75</v>
      </c>
      <c r="C204" s="36">
        <f>+'CFIT Schedules'!E203</f>
        <v>-268254</v>
      </c>
      <c r="D204" s="42">
        <f>IF(C204*0.21=0,0,ROUND(C204*-0.21,0))</f>
        <v>56333</v>
      </c>
      <c r="E204" s="36">
        <v>0</v>
      </c>
      <c r="F204" s="36">
        <f t="shared" si="147"/>
        <v>56333</v>
      </c>
      <c r="G204" s="27">
        <f>ROUND('CFIT Schedules'!F203*-0.35,0)</f>
        <v>0</v>
      </c>
      <c r="H204" s="27">
        <f t="shared" si="148"/>
        <v>56333</v>
      </c>
      <c r="I204" s="27">
        <f>ROUND('CFIT Schedules'!H203*-0.21,0)</f>
        <v>0</v>
      </c>
      <c r="J204" s="27">
        <f t="shared" si="149"/>
        <v>56333</v>
      </c>
      <c r="K204" s="51">
        <f t="shared" si="165"/>
        <v>0.99</v>
      </c>
      <c r="L204" s="42">
        <f t="shared" si="151"/>
        <v>55770</v>
      </c>
      <c r="M204" s="18" t="str">
        <f>'CFIT Schedules'!L203</f>
        <v>LABOR</v>
      </c>
      <c r="N204" s="27">
        <f>ROUND('CFIT Schedules'!M203*-0.21,0)</f>
        <v>0</v>
      </c>
      <c r="O204" s="27">
        <f t="shared" si="152"/>
        <v>55770</v>
      </c>
      <c r="P204" s="27"/>
    </row>
    <row r="205" spans="1:16" x14ac:dyDescent="0.25">
      <c r="A205" s="18">
        <f t="shared" si="136"/>
        <v>169</v>
      </c>
      <c r="B205" s="56" t="s">
        <v>256</v>
      </c>
      <c r="C205" s="36">
        <f>+'CFIT Schedules'!E204</f>
        <v>0</v>
      </c>
      <c r="D205" s="42">
        <f>IF(C205*0.21=0,0,ROUND(C205*-0.21,0))</f>
        <v>0</v>
      </c>
      <c r="E205" s="36">
        <v>0</v>
      </c>
      <c r="F205" s="36">
        <f t="shared" si="147"/>
        <v>0</v>
      </c>
      <c r="G205" s="27">
        <f>ROUND('CFIT Schedules'!F204*-0.35,0)</f>
        <v>0</v>
      </c>
      <c r="H205" s="27">
        <f t="shared" si="148"/>
        <v>0</v>
      </c>
      <c r="I205" s="27">
        <f>ROUND('CFIT Schedules'!H204*-0.21,0)</f>
        <v>0</v>
      </c>
      <c r="J205" s="27">
        <f t="shared" si="149"/>
        <v>0</v>
      </c>
      <c r="K205" s="51">
        <f t="shared" si="165"/>
        <v>0.98499999999999999</v>
      </c>
      <c r="L205" s="42">
        <f t="shared" si="151"/>
        <v>0</v>
      </c>
      <c r="M205" s="18" t="str">
        <f>'CFIT Schedules'!L204</f>
        <v>GROSS PLT</v>
      </c>
      <c r="N205" s="27">
        <f>ROUND('CFIT Schedules'!M204*-0.21,0)</f>
        <v>0</v>
      </c>
      <c r="O205" s="27">
        <f t="shared" si="152"/>
        <v>0</v>
      </c>
      <c r="P205" s="27"/>
    </row>
    <row r="206" spans="1:16" x14ac:dyDescent="0.25">
      <c r="A206" s="18">
        <f t="shared" si="136"/>
        <v>170</v>
      </c>
      <c r="B206" s="56" t="s">
        <v>257</v>
      </c>
      <c r="C206" s="36">
        <f>+'CFIT Schedules'!E205</f>
        <v>0</v>
      </c>
      <c r="D206" s="42">
        <f>IF(C206*0.21=0,0,ROUND(C206*-0.21,0))</f>
        <v>0</v>
      </c>
      <c r="E206" s="36">
        <v>0</v>
      </c>
      <c r="F206" s="36">
        <f t="shared" ref="F206:F219" si="175">SUM(D206:E206)</f>
        <v>0</v>
      </c>
      <c r="G206" s="27">
        <f>ROUND('CFIT Schedules'!F205*-0.35,0)</f>
        <v>0</v>
      </c>
      <c r="H206" s="27">
        <f t="shared" si="148"/>
        <v>0</v>
      </c>
      <c r="I206" s="27">
        <f>ROUND('CFIT Schedules'!H205*-0.21,0)</f>
        <v>0</v>
      </c>
      <c r="J206" s="27">
        <f t="shared" ref="J206" si="176">+H206+I206</f>
        <v>0</v>
      </c>
      <c r="K206" s="51">
        <f t="shared" si="165"/>
        <v>0.98499999999999999</v>
      </c>
      <c r="L206" s="42">
        <f t="shared" ref="L206:L219" si="177">IF(J206*K206=0,0, ROUND(J206*K206,0))</f>
        <v>0</v>
      </c>
      <c r="M206" s="18" t="str">
        <f>'CFIT Schedules'!L205</f>
        <v>GROSS PLT</v>
      </c>
      <c r="N206" s="27">
        <f>ROUND('CFIT Schedules'!M205*-0.21,0)</f>
        <v>0</v>
      </c>
      <c r="O206" s="27">
        <f t="shared" si="152"/>
        <v>0</v>
      </c>
      <c r="P206" s="27"/>
    </row>
    <row r="207" spans="1:16" x14ac:dyDescent="0.25">
      <c r="A207" s="127"/>
      <c r="B207" s="64" t="s">
        <v>396</v>
      </c>
      <c r="C207" s="36">
        <f>'CFIT Schedules'!E206</f>
        <v>0</v>
      </c>
      <c r="D207" s="42">
        <f t="shared" ref="D207:D219" si="178">IF(C207*0.21=0,0,ROUND(C207*-0.21,0))</f>
        <v>0</v>
      </c>
      <c r="E207" s="36">
        <v>-691072</v>
      </c>
      <c r="F207" s="36">
        <f t="shared" si="175"/>
        <v>-691072</v>
      </c>
      <c r="G207" s="27">
        <f>ROUND('CFIT Schedules'!F206*-0.21,0)</f>
        <v>0</v>
      </c>
      <c r="H207" s="27">
        <f t="shared" ref="H207" si="179">+F207+G207</f>
        <v>-691072</v>
      </c>
      <c r="I207" s="27">
        <f>ROUND('CFIT Schedules'!H206*-0.21,0)</f>
        <v>0</v>
      </c>
      <c r="J207" s="27">
        <f t="shared" ref="J207" si="180">+H207+I207</f>
        <v>-691072</v>
      </c>
      <c r="K207" s="51">
        <f t="shared" si="165"/>
        <v>0</v>
      </c>
      <c r="L207" s="42">
        <f t="shared" si="177"/>
        <v>0</v>
      </c>
      <c r="M207" s="127" t="str">
        <f>'CFIT Schedules'!L206</f>
        <v>NON-APPLIC</v>
      </c>
      <c r="N207" s="27">
        <f>ROUND('CFIT Schedules'!M206*-0.21,0)</f>
        <v>0</v>
      </c>
      <c r="O207" s="27">
        <f t="shared" ref="O207:O219" si="181">L207+N207</f>
        <v>0</v>
      </c>
      <c r="P207" s="27"/>
    </row>
    <row r="208" spans="1:16" x14ac:dyDescent="0.25">
      <c r="A208" s="127"/>
      <c r="B208" s="64" t="s">
        <v>387</v>
      </c>
      <c r="C208" s="36">
        <f>'CFIT Schedules'!E207</f>
        <v>0</v>
      </c>
      <c r="D208" s="42">
        <f t="shared" si="178"/>
        <v>0</v>
      </c>
      <c r="E208" s="36">
        <v>-4616.3499999999985</v>
      </c>
      <c r="F208" s="36">
        <f t="shared" si="175"/>
        <v>-4616.3499999999985</v>
      </c>
      <c r="G208" s="27">
        <f>ROUND('CFIT Schedules'!F207*-0.21,0)</f>
        <v>0</v>
      </c>
      <c r="H208" s="27">
        <f t="shared" ref="H208:H219" si="182">+F208+G208</f>
        <v>-4616.3499999999985</v>
      </c>
      <c r="I208" s="27">
        <f>ROUND('CFIT Schedules'!H207*-0.21,0)</f>
        <v>0</v>
      </c>
      <c r="J208" s="27">
        <f t="shared" ref="J208:J219" si="183">+H208+I208</f>
        <v>-4616.3499999999985</v>
      </c>
      <c r="K208" s="51">
        <f t="shared" si="165"/>
        <v>0</v>
      </c>
      <c r="L208" s="42">
        <f t="shared" si="177"/>
        <v>0</v>
      </c>
      <c r="M208" s="127" t="str">
        <f>'CFIT Schedules'!L207</f>
        <v>NON-APPLIC</v>
      </c>
      <c r="N208" s="27">
        <f>ROUND('CFIT Schedules'!M207*-0.21,0)</f>
        <v>0</v>
      </c>
      <c r="O208" s="27">
        <f t="shared" si="181"/>
        <v>0</v>
      </c>
      <c r="P208" s="27"/>
    </row>
    <row r="209" spans="1:16" x14ac:dyDescent="0.25">
      <c r="A209" s="127"/>
      <c r="B209" s="64" t="s">
        <v>388</v>
      </c>
      <c r="C209" s="36">
        <f>'CFIT Schedules'!E208</f>
        <v>0</v>
      </c>
      <c r="D209" s="42">
        <f t="shared" si="178"/>
        <v>0</v>
      </c>
      <c r="E209" s="36">
        <v>-2544634</v>
      </c>
      <c r="F209" s="36">
        <f t="shared" si="175"/>
        <v>-2544634</v>
      </c>
      <c r="G209" s="27">
        <f>ROUND('CFIT Schedules'!F208*-0.21,0)</f>
        <v>0</v>
      </c>
      <c r="H209" s="27">
        <f t="shared" si="182"/>
        <v>-2544634</v>
      </c>
      <c r="I209" s="27">
        <f>ROUND('CFIT Schedules'!H208*-0.21,0)</f>
        <v>0</v>
      </c>
      <c r="J209" s="27">
        <f t="shared" si="183"/>
        <v>-2544634</v>
      </c>
      <c r="K209" s="51">
        <f t="shared" si="165"/>
        <v>1</v>
      </c>
      <c r="L209" s="42">
        <f t="shared" si="177"/>
        <v>-2544634</v>
      </c>
      <c r="M209" s="127" t="str">
        <f>'CFIT Schedules'!L208</f>
        <v>SPECIFIC</v>
      </c>
      <c r="N209" s="27">
        <v>2544634</v>
      </c>
      <c r="O209" s="27">
        <f t="shared" si="181"/>
        <v>0</v>
      </c>
      <c r="P209" s="27"/>
    </row>
    <row r="210" spans="1:16" x14ac:dyDescent="0.25">
      <c r="A210" s="127"/>
      <c r="B210" s="64" t="s">
        <v>397</v>
      </c>
      <c r="C210" s="36">
        <f>'CFIT Schedules'!E209</f>
        <v>0</v>
      </c>
      <c r="D210" s="42">
        <f t="shared" si="178"/>
        <v>0</v>
      </c>
      <c r="E210" s="36">
        <v>0</v>
      </c>
      <c r="F210" s="36">
        <f t="shared" si="175"/>
        <v>0</v>
      </c>
      <c r="G210" s="27">
        <f>ROUND('CFIT Schedules'!F209*-0.21,0)</f>
        <v>0</v>
      </c>
      <c r="H210" s="27">
        <f t="shared" si="182"/>
        <v>0</v>
      </c>
      <c r="I210" s="27">
        <f>ROUND('CFIT Schedules'!H209*-0.21,0)</f>
        <v>0</v>
      </c>
      <c r="J210" s="27">
        <f t="shared" si="183"/>
        <v>0</v>
      </c>
      <c r="K210" s="51">
        <f t="shared" si="165"/>
        <v>0</v>
      </c>
      <c r="L210" s="42">
        <f t="shared" si="177"/>
        <v>0</v>
      </c>
      <c r="M210" s="127" t="str">
        <f>'CFIT Schedules'!L209</f>
        <v>NON-APPLIC</v>
      </c>
      <c r="N210" s="27">
        <f>ROUND('CFIT Schedules'!M209*-0.21,0)</f>
        <v>0</v>
      </c>
      <c r="O210" s="27">
        <f t="shared" si="181"/>
        <v>0</v>
      </c>
      <c r="P210" s="27"/>
    </row>
    <row r="211" spans="1:16" x14ac:dyDescent="0.25">
      <c r="A211" s="127"/>
      <c r="B211" s="64" t="s">
        <v>389</v>
      </c>
      <c r="C211" s="36">
        <f>'CFIT Schedules'!E210</f>
        <v>0</v>
      </c>
      <c r="D211" s="42">
        <f t="shared" si="178"/>
        <v>0</v>
      </c>
      <c r="E211" s="36">
        <v>-105131.06</v>
      </c>
      <c r="F211" s="36">
        <f t="shared" si="175"/>
        <v>-105131.06</v>
      </c>
      <c r="G211" s="27">
        <f>ROUND('CFIT Schedules'!F210*-0.21,0)</f>
        <v>0</v>
      </c>
      <c r="H211" s="27">
        <f t="shared" si="182"/>
        <v>-105131.06</v>
      </c>
      <c r="I211" s="27">
        <f>ROUND('CFIT Schedules'!H210*-0.21,0)</f>
        <v>0</v>
      </c>
      <c r="J211" s="27">
        <f t="shared" si="183"/>
        <v>-105131.06</v>
      </c>
      <c r="K211" s="51">
        <f t="shared" si="165"/>
        <v>0</v>
      </c>
      <c r="L211" s="42">
        <f t="shared" si="177"/>
        <v>0</v>
      </c>
      <c r="M211" s="127" t="str">
        <f>'CFIT Schedules'!L210</f>
        <v>NON-APPLIC</v>
      </c>
      <c r="N211" s="27">
        <f>ROUND('CFIT Schedules'!M210*-0.21,0)</f>
        <v>0</v>
      </c>
      <c r="O211" s="27">
        <f t="shared" si="181"/>
        <v>0</v>
      </c>
      <c r="P211" s="27"/>
    </row>
    <row r="212" spans="1:16" x14ac:dyDescent="0.25">
      <c r="A212" s="127"/>
      <c r="B212" s="64" t="s">
        <v>390</v>
      </c>
      <c r="C212" s="36">
        <f>'CFIT Schedules'!E211</f>
        <v>0</v>
      </c>
      <c r="D212" s="42">
        <f t="shared" si="178"/>
        <v>0</v>
      </c>
      <c r="E212" s="36">
        <v>-6052711</v>
      </c>
      <c r="F212" s="36">
        <f t="shared" si="175"/>
        <v>-6052711</v>
      </c>
      <c r="G212" s="27">
        <f>ROUND('CFIT Schedules'!F211*-0.21,0)</f>
        <v>0</v>
      </c>
      <c r="H212" s="27">
        <f t="shared" si="182"/>
        <v>-6052711</v>
      </c>
      <c r="I212" s="27">
        <f>ROUND('CFIT Schedules'!H211*-0.21,0)</f>
        <v>0</v>
      </c>
      <c r="J212" s="27">
        <f t="shared" si="183"/>
        <v>-6052711</v>
      </c>
      <c r="K212" s="51">
        <f t="shared" si="165"/>
        <v>1</v>
      </c>
      <c r="L212" s="42">
        <f t="shared" si="177"/>
        <v>-6052711</v>
      </c>
      <c r="M212" s="127" t="str">
        <f>'CFIT Schedules'!L211</f>
        <v>SPECIFIC</v>
      </c>
      <c r="N212" s="27">
        <v>6052711</v>
      </c>
      <c r="O212" s="27">
        <f t="shared" si="181"/>
        <v>0</v>
      </c>
      <c r="P212" s="27"/>
    </row>
    <row r="213" spans="1:16" x14ac:dyDescent="0.25">
      <c r="A213" s="127"/>
      <c r="B213" s="64" t="s">
        <v>391</v>
      </c>
      <c r="C213" s="36">
        <f>'CFIT Schedules'!E212</f>
        <v>0</v>
      </c>
      <c r="D213" s="42">
        <f t="shared" si="178"/>
        <v>0</v>
      </c>
      <c r="E213" s="36">
        <v>565213.18999999994</v>
      </c>
      <c r="F213" s="36">
        <f t="shared" si="175"/>
        <v>565213.18999999994</v>
      </c>
      <c r="G213" s="27">
        <f>ROUND('CFIT Schedules'!F212*-0.21,0)</f>
        <v>0</v>
      </c>
      <c r="H213" s="27">
        <f t="shared" si="182"/>
        <v>565213.18999999994</v>
      </c>
      <c r="I213" s="27">
        <f>ROUND('CFIT Schedules'!H212*-0.21,0)</f>
        <v>0</v>
      </c>
      <c r="J213" s="27">
        <f t="shared" si="183"/>
        <v>565213.18999999994</v>
      </c>
      <c r="K213" s="51">
        <f t="shared" si="165"/>
        <v>0</v>
      </c>
      <c r="L213" s="42">
        <f t="shared" si="177"/>
        <v>0</v>
      </c>
      <c r="M213" s="127" t="str">
        <f>'CFIT Schedules'!L212</f>
        <v>NON-APPLIC</v>
      </c>
      <c r="N213" s="27">
        <f>ROUND('CFIT Schedules'!M212*-0.21,0)</f>
        <v>0</v>
      </c>
      <c r="O213" s="27">
        <f t="shared" si="181"/>
        <v>0</v>
      </c>
      <c r="P213" s="27"/>
    </row>
    <row r="214" spans="1:16" x14ac:dyDescent="0.25">
      <c r="A214" s="127"/>
      <c r="B214" s="64" t="s">
        <v>392</v>
      </c>
      <c r="C214" s="36">
        <f>'CFIT Schedules'!E213</f>
        <v>0</v>
      </c>
      <c r="D214" s="42">
        <f t="shared" si="178"/>
        <v>0</v>
      </c>
      <c r="E214" s="36">
        <v>-8066.7999999999993</v>
      </c>
      <c r="F214" s="36">
        <f t="shared" si="175"/>
        <v>-8066.7999999999993</v>
      </c>
      <c r="G214" s="27">
        <f>ROUND('CFIT Schedules'!F213*-0.21,0)</f>
        <v>0</v>
      </c>
      <c r="H214" s="27">
        <f t="shared" si="182"/>
        <v>-8066.7999999999993</v>
      </c>
      <c r="I214" s="27">
        <f>ROUND('CFIT Schedules'!H213*-0.21,0)</f>
        <v>0</v>
      </c>
      <c r="J214" s="27">
        <f t="shared" si="183"/>
        <v>-8066.7999999999993</v>
      </c>
      <c r="K214" s="51">
        <f t="shared" si="165"/>
        <v>0</v>
      </c>
      <c r="L214" s="42">
        <f t="shared" si="177"/>
        <v>0</v>
      </c>
      <c r="M214" s="127" t="str">
        <f>'CFIT Schedules'!L213</f>
        <v>NON-APPLIC</v>
      </c>
      <c r="N214" s="27">
        <f>ROUND('CFIT Schedules'!M213*-0.21,0)</f>
        <v>0</v>
      </c>
      <c r="O214" s="27">
        <f t="shared" si="181"/>
        <v>0</v>
      </c>
      <c r="P214" s="27"/>
    </row>
    <row r="215" spans="1:16" x14ac:dyDescent="0.25">
      <c r="A215" s="127"/>
      <c r="B215" s="64" t="s">
        <v>393</v>
      </c>
      <c r="C215" s="36">
        <f>'CFIT Schedules'!E214</f>
        <v>0</v>
      </c>
      <c r="D215" s="42">
        <f t="shared" si="178"/>
        <v>0</v>
      </c>
      <c r="E215" s="36">
        <v>-909531</v>
      </c>
      <c r="F215" s="36">
        <f t="shared" si="175"/>
        <v>-909531</v>
      </c>
      <c r="G215" s="27">
        <f>ROUND('CFIT Schedules'!F214*-0.21,0)</f>
        <v>0</v>
      </c>
      <c r="H215" s="27">
        <f t="shared" si="182"/>
        <v>-909531</v>
      </c>
      <c r="I215" s="27">
        <f>ROUND('CFIT Schedules'!H214*-0.21,0)</f>
        <v>0</v>
      </c>
      <c r="J215" s="27">
        <f t="shared" si="183"/>
        <v>-909531</v>
      </c>
      <c r="K215" s="51">
        <f t="shared" si="165"/>
        <v>1</v>
      </c>
      <c r="L215" s="42">
        <f t="shared" si="177"/>
        <v>-909531</v>
      </c>
      <c r="M215" s="127" t="str">
        <f>'CFIT Schedules'!L214</f>
        <v>SPECIFIC</v>
      </c>
      <c r="N215" s="27">
        <v>909531</v>
      </c>
      <c r="O215" s="27">
        <f t="shared" si="181"/>
        <v>0</v>
      </c>
      <c r="P215" s="27"/>
    </row>
    <row r="216" spans="1:16" x14ac:dyDescent="0.25">
      <c r="A216" s="127"/>
      <c r="B216" s="64" t="s">
        <v>394</v>
      </c>
      <c r="C216" s="36">
        <f>'CFIT Schedules'!E215</f>
        <v>0</v>
      </c>
      <c r="D216" s="42">
        <f t="shared" si="178"/>
        <v>0</v>
      </c>
      <c r="E216" s="36">
        <v>-20489.79</v>
      </c>
      <c r="F216" s="36">
        <f t="shared" si="175"/>
        <v>-20489.79</v>
      </c>
      <c r="G216" s="27">
        <f>ROUND('CFIT Schedules'!F215*-0.21,0)</f>
        <v>0</v>
      </c>
      <c r="H216" s="27">
        <f t="shared" si="182"/>
        <v>-20489.79</v>
      </c>
      <c r="I216" s="27">
        <f>ROUND('CFIT Schedules'!H215*-0.21,0)</f>
        <v>0</v>
      </c>
      <c r="J216" s="27">
        <f t="shared" si="183"/>
        <v>-20489.79</v>
      </c>
      <c r="K216" s="51">
        <f t="shared" si="165"/>
        <v>0</v>
      </c>
      <c r="L216" s="42">
        <f t="shared" si="177"/>
        <v>0</v>
      </c>
      <c r="M216" s="127" t="str">
        <f>'CFIT Schedules'!L215</f>
        <v>NON-APPLIC</v>
      </c>
      <c r="N216" s="27">
        <f>ROUND('CFIT Schedules'!M215*-0.21,0)</f>
        <v>0</v>
      </c>
      <c r="O216" s="27">
        <f t="shared" si="181"/>
        <v>0</v>
      </c>
      <c r="P216" s="27"/>
    </row>
    <row r="217" spans="1:16" x14ac:dyDescent="0.25">
      <c r="A217" s="127"/>
      <c r="B217" s="64" t="s">
        <v>395</v>
      </c>
      <c r="C217" s="36">
        <f>'CFIT Schedules'!E216</f>
        <v>0</v>
      </c>
      <c r="D217" s="42">
        <f t="shared" si="178"/>
        <v>0</v>
      </c>
      <c r="E217" s="36">
        <v>-751633</v>
      </c>
      <c r="F217" s="36">
        <f t="shared" si="175"/>
        <v>-751633</v>
      </c>
      <c r="G217" s="27">
        <f>ROUND('CFIT Schedules'!F216*-0.21,0)</f>
        <v>0</v>
      </c>
      <c r="H217" s="27">
        <f t="shared" si="182"/>
        <v>-751633</v>
      </c>
      <c r="I217" s="27">
        <f>ROUND('CFIT Schedules'!H216*-0.21,0)</f>
        <v>0</v>
      </c>
      <c r="J217" s="27">
        <f t="shared" si="183"/>
        <v>-751633</v>
      </c>
      <c r="K217" s="51">
        <f t="shared" si="165"/>
        <v>1</v>
      </c>
      <c r="L217" s="42">
        <f t="shared" si="177"/>
        <v>-751633</v>
      </c>
      <c r="M217" s="127" t="str">
        <f>'CFIT Schedules'!L216</f>
        <v>SPECIFIC</v>
      </c>
      <c r="N217" s="27">
        <v>751633</v>
      </c>
      <c r="O217" s="27">
        <f t="shared" si="181"/>
        <v>0</v>
      </c>
      <c r="P217" s="27"/>
    </row>
    <row r="218" spans="1:16" x14ac:dyDescent="0.25">
      <c r="A218" s="127"/>
      <c r="B218" s="64" t="s">
        <v>398</v>
      </c>
      <c r="C218" s="36">
        <f>'CFIT Schedules'!E217</f>
        <v>0</v>
      </c>
      <c r="D218" s="42">
        <f t="shared" si="178"/>
        <v>0</v>
      </c>
      <c r="E218" s="36">
        <v>-2370099</v>
      </c>
      <c r="F218" s="36">
        <f t="shared" si="175"/>
        <v>-2370099</v>
      </c>
      <c r="G218" s="27">
        <f>ROUND('CFIT Schedules'!F217*-0.21,0)</f>
        <v>0</v>
      </c>
      <c r="H218" s="27">
        <f t="shared" si="182"/>
        <v>-2370099</v>
      </c>
      <c r="I218" s="27">
        <f>ROUND('CFIT Schedules'!H217*-0.21,0)</f>
        <v>0</v>
      </c>
      <c r="J218" s="27">
        <f t="shared" si="183"/>
        <v>-2370099</v>
      </c>
      <c r="K218" s="51">
        <f t="shared" si="165"/>
        <v>0</v>
      </c>
      <c r="L218" s="42">
        <f t="shared" si="177"/>
        <v>0</v>
      </c>
      <c r="M218" s="127" t="str">
        <f>'CFIT Schedules'!L217</f>
        <v>NON-APPLIC</v>
      </c>
      <c r="N218" s="27">
        <f>ROUND('CFIT Schedules'!M217*-0.21,0)</f>
        <v>0</v>
      </c>
      <c r="O218" s="27">
        <f t="shared" si="181"/>
        <v>0</v>
      </c>
      <c r="P218" s="27"/>
    </row>
    <row r="219" spans="1:16" x14ac:dyDescent="0.25">
      <c r="A219" s="127"/>
      <c r="B219" s="64" t="s">
        <v>399</v>
      </c>
      <c r="C219" s="36">
        <f>'CFIT Schedules'!E218</f>
        <v>0</v>
      </c>
      <c r="D219" s="42">
        <f t="shared" si="178"/>
        <v>0</v>
      </c>
      <c r="E219" s="36">
        <v>2467228</v>
      </c>
      <c r="F219" s="36">
        <f t="shared" si="175"/>
        <v>2467228</v>
      </c>
      <c r="G219" s="27">
        <f>ROUND('CFIT Schedules'!F218*-0.21,0)</f>
        <v>0</v>
      </c>
      <c r="H219" s="27">
        <f t="shared" si="182"/>
        <v>2467228</v>
      </c>
      <c r="I219" s="27">
        <f>ROUND('CFIT Schedules'!H218*-0.21,0)</f>
        <v>0</v>
      </c>
      <c r="J219" s="27">
        <f t="shared" si="183"/>
        <v>2467228</v>
      </c>
      <c r="K219" s="51">
        <f t="shared" si="165"/>
        <v>0</v>
      </c>
      <c r="L219" s="42">
        <f t="shared" si="177"/>
        <v>0</v>
      </c>
      <c r="M219" s="127" t="str">
        <f>'CFIT Schedules'!L218</f>
        <v>NON-APPLIC</v>
      </c>
      <c r="N219" s="27">
        <f>ROUND('CFIT Schedules'!M218*-0.21,0)</f>
        <v>0</v>
      </c>
      <c r="O219" s="27">
        <f t="shared" si="181"/>
        <v>0</v>
      </c>
      <c r="P219" s="27"/>
    </row>
    <row r="220" spans="1:16" x14ac:dyDescent="0.25">
      <c r="A220" s="18">
        <f>A206+1</f>
        <v>171</v>
      </c>
      <c r="B220" s="64" t="s">
        <v>362</v>
      </c>
      <c r="C220" s="36">
        <f>+'CFIT Schedules'!E219</f>
        <v>-1759348</v>
      </c>
      <c r="D220" s="42">
        <f>IF(C220*0.21=0,0,ROUND(C220*-0.21,0))</f>
        <v>369463</v>
      </c>
      <c r="E220" s="36">
        <v>0</v>
      </c>
      <c r="F220" s="36">
        <f t="shared" ref="F220" si="184">SUM(D220:E220)</f>
        <v>369463</v>
      </c>
      <c r="G220" s="27">
        <f>ROUND('CFIT Schedules'!F219*-0.35,0)</f>
        <v>0</v>
      </c>
      <c r="H220" s="27">
        <f t="shared" si="148"/>
        <v>369463</v>
      </c>
      <c r="I220" s="27">
        <f>ROUND('CFIT Schedules'!H219*-0.21,0)</f>
        <v>0</v>
      </c>
      <c r="J220" s="27">
        <f t="shared" ref="J220" si="185">+H220+I220</f>
        <v>369463</v>
      </c>
      <c r="K220" s="51">
        <f t="shared" si="165"/>
        <v>0.98499999999999999</v>
      </c>
      <c r="L220" s="42">
        <f t="shared" ref="L220" si="186">IF(J220*K220=0,0, ROUND(J220*K220,0))</f>
        <v>363921</v>
      </c>
      <c r="M220" s="18" t="str">
        <f>'CFIT Schedules'!L219</f>
        <v>GROSS PLT</v>
      </c>
      <c r="N220" s="27">
        <f>ROUND('CFIT Schedules'!M219*-0.21,0)</f>
        <v>0</v>
      </c>
      <c r="O220" s="27">
        <f t="shared" si="152"/>
        <v>363921</v>
      </c>
      <c r="P220" s="27"/>
    </row>
    <row r="221" spans="1:16" x14ac:dyDescent="0.25">
      <c r="A221" s="142"/>
      <c r="B221" s="124" t="s">
        <v>381</v>
      </c>
      <c r="C221" s="36">
        <f>'CFIT Schedules'!C220</f>
        <v>262164</v>
      </c>
      <c r="D221" s="42">
        <f>IF(C221*0.21=0,0,ROUND(C221*-0.21,0))</f>
        <v>-55054</v>
      </c>
      <c r="E221" s="36">
        <v>0</v>
      </c>
      <c r="F221" s="36">
        <f t="shared" ref="F221" si="187">SUM(D221:E221)</f>
        <v>-55054</v>
      </c>
      <c r="G221" s="27">
        <f>ROUND('CFIT Schedules'!F220*-0.35,0)</f>
        <v>0</v>
      </c>
      <c r="H221" s="27">
        <f t="shared" ref="H221" si="188">+F221+G221</f>
        <v>-55054</v>
      </c>
      <c r="I221" s="27">
        <f>ROUND('CFIT Schedules'!H220*-0.21,0)</f>
        <v>0</v>
      </c>
      <c r="J221" s="27">
        <f t="shared" ref="J221" si="189">+H221+I221</f>
        <v>-55054</v>
      </c>
      <c r="K221" s="51">
        <f t="shared" ref="K221" si="190">VLOOKUP(M221,$C$299:$D$313,2,FALSE)</f>
        <v>0.98499999999999999</v>
      </c>
      <c r="L221" s="42">
        <f t="shared" ref="L221" si="191">IF(J221*K221=0,0, ROUND(J221*K221,0))</f>
        <v>-54228</v>
      </c>
      <c r="M221" s="143" t="str">
        <f>'CFIT Schedules'!L220</f>
        <v>GROSS PLT</v>
      </c>
      <c r="N221" s="27">
        <f>ROUND('CFIT Schedules'!M220*-0.21,0)</f>
        <v>0</v>
      </c>
      <c r="O221" s="27">
        <f t="shared" si="152"/>
        <v>-54228</v>
      </c>
      <c r="P221" s="27"/>
    </row>
    <row r="222" spans="1:16" x14ac:dyDescent="0.25">
      <c r="A222" s="18">
        <f>A220+1</f>
        <v>172</v>
      </c>
      <c r="B222" s="64" t="s">
        <v>365</v>
      </c>
      <c r="C222" s="36">
        <f>+'CFIT Schedules'!E221</f>
        <v>0</v>
      </c>
      <c r="D222" s="42">
        <f>IF(C222*0.35=0,0,ROUND(C222*-0.21,0))</f>
        <v>0</v>
      </c>
      <c r="E222" s="36">
        <v>0</v>
      </c>
      <c r="F222" s="36">
        <f>SUM(D222:E222)</f>
        <v>0</v>
      </c>
      <c r="G222" s="27">
        <f>ROUND('CFIT Schedules'!F221*-0.35,0)</f>
        <v>0</v>
      </c>
      <c r="H222" s="27">
        <f t="shared" si="148"/>
        <v>0</v>
      </c>
      <c r="I222" s="27">
        <f>ROUND('CFIT Schedules'!H221*-0.21,0)</f>
        <v>0</v>
      </c>
      <c r="J222" s="27">
        <f>+H222+I222</f>
        <v>0</v>
      </c>
      <c r="K222" s="51">
        <f>VLOOKUP(M222,$C$299:$D$313,2,FALSE)</f>
        <v>0</v>
      </c>
      <c r="L222" s="42">
        <f>IF(J222*K222=0,0, ROUND(J222*K222,0))</f>
        <v>0</v>
      </c>
      <c r="M222" s="18" t="str">
        <f>'CFIT Schedules'!L221</f>
        <v>NON-APPLIC</v>
      </c>
      <c r="N222" s="27">
        <f>ROUND('CFIT Schedules'!M221*-0.35,0)</f>
        <v>0</v>
      </c>
      <c r="O222" s="27">
        <f t="shared" si="152"/>
        <v>0</v>
      </c>
      <c r="P222" s="27"/>
    </row>
    <row r="223" spans="1:16" ht="13" x14ac:dyDescent="0.3">
      <c r="A223" s="18">
        <f t="shared" si="136"/>
        <v>173</v>
      </c>
      <c r="B223" s="75" t="s">
        <v>76</v>
      </c>
      <c r="C223" s="78">
        <f t="shared" ref="C223:J223" si="192">SUM(C180:C222)</f>
        <v>-26006079</v>
      </c>
      <c r="D223" s="78">
        <f t="shared" si="192"/>
        <v>5461277</v>
      </c>
      <c r="E223" s="78">
        <f t="shared" si="192"/>
        <v>-10330477.810000001</v>
      </c>
      <c r="F223" s="78">
        <f t="shared" si="192"/>
        <v>-4869200.8099999996</v>
      </c>
      <c r="G223" s="78">
        <f t="shared" si="192"/>
        <v>0</v>
      </c>
      <c r="H223" s="78">
        <f t="shared" si="192"/>
        <v>-4869200.8099999996</v>
      </c>
      <c r="I223" s="78">
        <f t="shared" si="192"/>
        <v>0</v>
      </c>
      <c r="J223" s="78">
        <f t="shared" si="192"/>
        <v>-4869200.8099999996</v>
      </c>
      <c r="K223" s="24"/>
      <c r="L223" s="78">
        <f>SUM(L180:L222)</f>
        <v>-4791946</v>
      </c>
      <c r="N223" s="78">
        <f>SUM(N180:N222)</f>
        <v>10378073</v>
      </c>
      <c r="O223" s="78">
        <f>SUM(O180:O222)</f>
        <v>5586127</v>
      </c>
    </row>
    <row r="224" spans="1:16" x14ac:dyDescent="0.25">
      <c r="A224" s="18">
        <f t="shared" si="136"/>
        <v>174</v>
      </c>
      <c r="B224" s="17" t="s">
        <v>0</v>
      </c>
      <c r="C224" s="36"/>
      <c r="D224" s="36"/>
      <c r="K224" s="81"/>
    </row>
    <row r="225" spans="1:16" ht="13" x14ac:dyDescent="0.3">
      <c r="A225" s="18">
        <f t="shared" si="136"/>
        <v>175</v>
      </c>
      <c r="B225" s="75" t="s">
        <v>77</v>
      </c>
      <c r="C225" s="36"/>
      <c r="D225" s="36"/>
      <c r="K225" s="81"/>
    </row>
    <row r="226" spans="1:16" x14ac:dyDescent="0.25">
      <c r="A226" s="142"/>
      <c r="B226" s="125" t="s">
        <v>382</v>
      </c>
      <c r="C226" s="36">
        <f>'CFIT Schedules'!E225</f>
        <v>139417</v>
      </c>
      <c r="D226" s="42">
        <v>0</v>
      </c>
      <c r="E226" s="36">
        <v>0</v>
      </c>
      <c r="F226" s="36">
        <f t="shared" ref="F226" si="193">SUM(D226:E226)</f>
        <v>0</v>
      </c>
      <c r="G226" s="27">
        <v>0</v>
      </c>
      <c r="H226" s="27">
        <f t="shared" ref="H226" si="194">+F226+G226</f>
        <v>0</v>
      </c>
      <c r="I226" s="27">
        <v>0</v>
      </c>
      <c r="J226" s="27">
        <f t="shared" ref="J226" si="195">+H226+I226</f>
        <v>0</v>
      </c>
      <c r="K226" s="51">
        <f t="shared" ref="K226" si="196">VLOOKUP(M226,$C$299:$D$313,2,FALSE)</f>
        <v>0.98499999999999999</v>
      </c>
      <c r="L226" s="42">
        <f t="shared" ref="L226" si="197">IF(J226*K226=0,0, ROUND(J226*K226,0))</f>
        <v>0</v>
      </c>
      <c r="M226" s="144" t="str">
        <f>'CFIT Schedules'!L225</f>
        <v>GROSS PLT</v>
      </c>
      <c r="N226" s="27">
        <v>0</v>
      </c>
      <c r="O226" s="27">
        <f t="shared" ref="O226" si="198">L226+N226</f>
        <v>0</v>
      </c>
      <c r="P226" s="27"/>
    </row>
    <row r="227" spans="1:16" x14ac:dyDescent="0.25">
      <c r="A227" s="18">
        <f>A225+1</f>
        <v>176</v>
      </c>
      <c r="B227" s="17" t="s">
        <v>293</v>
      </c>
      <c r="C227" s="36">
        <f>+'CFIT Schedules'!E226</f>
        <v>-918</v>
      </c>
      <c r="D227" s="42">
        <v>0</v>
      </c>
      <c r="E227" s="36">
        <v>0</v>
      </c>
      <c r="F227" s="36">
        <f t="shared" ref="F227:F235" si="199">SUM(D227:E227)</f>
        <v>0</v>
      </c>
      <c r="G227" s="27">
        <v>0</v>
      </c>
      <c r="H227" s="27">
        <f t="shared" ref="H227:H237" si="200">+F227+G227</f>
        <v>0</v>
      </c>
      <c r="I227" s="27">
        <v>0</v>
      </c>
      <c r="J227" s="27">
        <f t="shared" ref="J227:J235" si="201">+H227+I227</f>
        <v>0</v>
      </c>
      <c r="K227" s="51">
        <f t="shared" ref="K227:K236" si="202">VLOOKUP(M227,$C$299:$D$313,2,FALSE)</f>
        <v>0.99</v>
      </c>
      <c r="L227" s="42">
        <f t="shared" ref="L227:L237" si="203">IF(J227*K227=0,0, ROUND(J227*K227,0))</f>
        <v>0</v>
      </c>
      <c r="M227" s="18" t="str">
        <f>'CFIT Schedules'!L226</f>
        <v>LABOR</v>
      </c>
      <c r="N227" s="27">
        <v>0</v>
      </c>
      <c r="O227" s="27">
        <f t="shared" ref="O227:O237" si="204">L227+N227</f>
        <v>0</v>
      </c>
      <c r="P227" s="27"/>
    </row>
    <row r="228" spans="1:16" x14ac:dyDescent="0.25">
      <c r="A228" s="18">
        <f t="shared" si="136"/>
        <v>177</v>
      </c>
      <c r="B228" s="17" t="s">
        <v>78</v>
      </c>
      <c r="C228" s="36">
        <f>+'CFIT Schedules'!E227</f>
        <v>0</v>
      </c>
      <c r="D228" s="42">
        <v>0</v>
      </c>
      <c r="E228" s="36">
        <v>0</v>
      </c>
      <c r="F228" s="36">
        <f t="shared" ref="F228" si="205">SUM(D228:E228)</f>
        <v>0</v>
      </c>
      <c r="G228" s="27">
        <v>0</v>
      </c>
      <c r="H228" s="27">
        <f t="shared" si="200"/>
        <v>0</v>
      </c>
      <c r="I228" s="27">
        <v>0</v>
      </c>
      <c r="J228" s="27">
        <f t="shared" ref="J228" si="206">+H228+I228</f>
        <v>0</v>
      </c>
      <c r="K228" s="51">
        <f t="shared" si="202"/>
        <v>0.99</v>
      </c>
      <c r="L228" s="42">
        <f t="shared" ref="L228" si="207">IF(J228*K228=0,0, ROUND(J228*K228,0))</f>
        <v>0</v>
      </c>
      <c r="M228" s="18" t="str">
        <f>'CFIT Schedules'!L227</f>
        <v>LABOR</v>
      </c>
      <c r="N228" s="27">
        <v>0</v>
      </c>
      <c r="O228" s="27">
        <f t="shared" si="204"/>
        <v>0</v>
      </c>
      <c r="P228" s="27"/>
    </row>
    <row r="229" spans="1:16" x14ac:dyDescent="0.25">
      <c r="A229" s="18">
        <f t="shared" si="136"/>
        <v>178</v>
      </c>
      <c r="B229" s="17" t="s">
        <v>79</v>
      </c>
      <c r="C229" s="36">
        <f>+'CFIT Schedules'!E228</f>
        <v>93822</v>
      </c>
      <c r="D229" s="42">
        <v>0</v>
      </c>
      <c r="E229" s="36">
        <v>0</v>
      </c>
      <c r="F229" s="36">
        <f t="shared" si="199"/>
        <v>0</v>
      </c>
      <c r="G229" s="27">
        <v>0</v>
      </c>
      <c r="H229" s="27">
        <f t="shared" si="200"/>
        <v>0</v>
      </c>
      <c r="I229" s="27">
        <v>0</v>
      </c>
      <c r="J229" s="27">
        <f t="shared" si="201"/>
        <v>0</v>
      </c>
      <c r="K229" s="51">
        <f t="shared" si="202"/>
        <v>0.99</v>
      </c>
      <c r="L229" s="42">
        <f t="shared" si="203"/>
        <v>0</v>
      </c>
      <c r="M229" s="18" t="str">
        <f>'CFIT Schedules'!L228</f>
        <v>LABOR</v>
      </c>
      <c r="N229" s="27">
        <v>0</v>
      </c>
      <c r="O229" s="27">
        <f t="shared" si="204"/>
        <v>0</v>
      </c>
      <c r="P229" s="27"/>
    </row>
    <row r="230" spans="1:16" x14ac:dyDescent="0.25">
      <c r="A230" s="18">
        <f t="shared" si="136"/>
        <v>179</v>
      </c>
      <c r="B230" s="17" t="s">
        <v>80</v>
      </c>
      <c r="C230" s="36">
        <f>+'CFIT Schedules'!E229</f>
        <v>0</v>
      </c>
      <c r="D230" s="42">
        <v>0</v>
      </c>
      <c r="E230" s="36">
        <v>0</v>
      </c>
      <c r="F230" s="36">
        <f t="shared" si="199"/>
        <v>0</v>
      </c>
      <c r="G230" s="27">
        <v>0</v>
      </c>
      <c r="H230" s="27">
        <f t="shared" si="200"/>
        <v>0</v>
      </c>
      <c r="I230" s="27">
        <v>0</v>
      </c>
      <c r="J230" s="27">
        <f t="shared" si="201"/>
        <v>0</v>
      </c>
      <c r="K230" s="51">
        <f t="shared" si="202"/>
        <v>0</v>
      </c>
      <c r="L230" s="42">
        <f t="shared" si="203"/>
        <v>0</v>
      </c>
      <c r="M230" s="18" t="str">
        <f>'CFIT Schedules'!L229</f>
        <v>NON-APPLIC</v>
      </c>
      <c r="N230" s="27">
        <v>0</v>
      </c>
      <c r="O230" s="27">
        <f t="shared" si="204"/>
        <v>0</v>
      </c>
      <c r="P230" s="27"/>
    </row>
    <row r="231" spans="1:16" x14ac:dyDescent="0.25">
      <c r="A231" s="18">
        <f t="shared" si="136"/>
        <v>180</v>
      </c>
      <c r="B231" s="17" t="s">
        <v>280</v>
      </c>
      <c r="C231" s="36">
        <f>+'CFIT Schedules'!E230</f>
        <v>0</v>
      </c>
      <c r="D231" s="42">
        <f>IF(C231*0.21=0,0,ROUND(C231*-0.21,0))</f>
        <v>0</v>
      </c>
      <c r="E231" s="36">
        <v>0</v>
      </c>
      <c r="F231" s="36">
        <f>SUM(D231:E231)</f>
        <v>0</v>
      </c>
      <c r="G231" s="27">
        <f>ROUND('CFIT Schedules'!F230*-0.35,0)</f>
        <v>0</v>
      </c>
      <c r="H231" s="27">
        <f t="shared" si="200"/>
        <v>0</v>
      </c>
      <c r="I231" s="27">
        <f>ROUND('CFIT Schedules'!H230*-0.35,0)</f>
        <v>0</v>
      </c>
      <c r="J231" s="27">
        <f>+H231+I231</f>
        <v>0</v>
      </c>
      <c r="K231" s="51">
        <f t="shared" si="202"/>
        <v>0</v>
      </c>
      <c r="L231" s="42">
        <f>IF(J231*K231=0,0, ROUND(J231*K231,0))</f>
        <v>0</v>
      </c>
      <c r="M231" s="18" t="str">
        <f>'CFIT Schedules'!L230</f>
        <v>NON-APPLIC</v>
      </c>
      <c r="N231" s="27">
        <f>ROUND('CFIT Schedules'!M230*-0.21,0)</f>
        <v>0</v>
      </c>
      <c r="O231" s="27">
        <f t="shared" si="204"/>
        <v>0</v>
      </c>
      <c r="P231" s="27"/>
    </row>
    <row r="232" spans="1:16" x14ac:dyDescent="0.25">
      <c r="A232" s="18">
        <f t="shared" si="136"/>
        <v>181</v>
      </c>
      <c r="B232" s="17" t="s">
        <v>81</v>
      </c>
      <c r="C232" s="36">
        <f>+'CFIT Schedules'!E231</f>
        <v>0</v>
      </c>
      <c r="D232" s="42">
        <v>0</v>
      </c>
      <c r="E232" s="36">
        <v>0</v>
      </c>
      <c r="F232" s="36">
        <f t="shared" si="199"/>
        <v>0</v>
      </c>
      <c r="G232" s="27">
        <v>0</v>
      </c>
      <c r="H232" s="27">
        <f t="shared" si="200"/>
        <v>0</v>
      </c>
      <c r="I232" s="27">
        <v>0</v>
      </c>
      <c r="J232" s="27">
        <f t="shared" si="201"/>
        <v>0</v>
      </c>
      <c r="K232" s="51">
        <f t="shared" si="202"/>
        <v>0</v>
      </c>
      <c r="L232" s="42">
        <f t="shared" si="203"/>
        <v>0</v>
      </c>
      <c r="M232" s="18" t="str">
        <f>'CFIT Schedules'!L231</f>
        <v>NON-APPLIC</v>
      </c>
      <c r="N232" s="27">
        <v>0</v>
      </c>
      <c r="O232" s="27">
        <f t="shared" si="204"/>
        <v>0</v>
      </c>
      <c r="P232" s="27"/>
    </row>
    <row r="233" spans="1:16" x14ac:dyDescent="0.25">
      <c r="A233" s="18">
        <f t="shared" si="136"/>
        <v>182</v>
      </c>
      <c r="B233" s="17" t="s">
        <v>281</v>
      </c>
      <c r="C233" s="36">
        <f>+'CFIT Schedules'!E232</f>
        <v>0</v>
      </c>
      <c r="D233" s="42">
        <f>IF(C233*0.21=0,0,ROUND(C233*-0.21,0))</f>
        <v>0</v>
      </c>
      <c r="E233" s="36">
        <v>0</v>
      </c>
      <c r="F233" s="36">
        <f>SUM(D233:E233)</f>
        <v>0</v>
      </c>
      <c r="G233" s="27">
        <f>ROUND('CFIT Schedules'!F232*-0.35,0)</f>
        <v>0</v>
      </c>
      <c r="H233" s="27">
        <f t="shared" si="200"/>
        <v>0</v>
      </c>
      <c r="I233" s="27">
        <f>ROUND('CFIT Schedules'!H232*-0.21,0)</f>
        <v>0</v>
      </c>
      <c r="J233" s="27">
        <f>+H233+I233</f>
        <v>0</v>
      </c>
      <c r="K233" s="51">
        <f t="shared" si="202"/>
        <v>0.99</v>
      </c>
      <c r="L233" s="42">
        <f>IF(J233*K233=0,0, ROUND(J233*K233,0))</f>
        <v>0</v>
      </c>
      <c r="M233" s="18" t="str">
        <f>'CFIT Schedules'!L232</f>
        <v>LABOR</v>
      </c>
      <c r="N233" s="27">
        <f>ROUND('CFIT Schedules'!M232*-0.21,0)</f>
        <v>0</v>
      </c>
      <c r="O233" s="27">
        <f t="shared" si="204"/>
        <v>0</v>
      </c>
      <c r="P233" s="27"/>
    </row>
    <row r="234" spans="1:16" x14ac:dyDescent="0.25">
      <c r="A234" s="18">
        <f t="shared" si="136"/>
        <v>183</v>
      </c>
      <c r="B234" s="56" t="s">
        <v>258</v>
      </c>
      <c r="C234" s="36">
        <f>+'CFIT Schedules'!E233</f>
        <v>0</v>
      </c>
      <c r="D234" s="42">
        <v>0</v>
      </c>
      <c r="E234" s="36">
        <v>0</v>
      </c>
      <c r="F234" s="36">
        <f t="shared" si="199"/>
        <v>0</v>
      </c>
      <c r="G234" s="27">
        <v>0</v>
      </c>
      <c r="H234" s="27">
        <f t="shared" si="200"/>
        <v>0</v>
      </c>
      <c r="I234" s="27">
        <v>0</v>
      </c>
      <c r="J234" s="27">
        <f t="shared" si="201"/>
        <v>0</v>
      </c>
      <c r="K234" s="51">
        <f t="shared" si="202"/>
        <v>0.98499999999999999</v>
      </c>
      <c r="L234" s="42">
        <f t="shared" si="203"/>
        <v>0</v>
      </c>
      <c r="M234" s="18" t="str">
        <f>'CFIT Schedules'!L234</f>
        <v>PROD PLT</v>
      </c>
      <c r="N234" s="27">
        <v>0</v>
      </c>
      <c r="O234" s="27">
        <f t="shared" si="204"/>
        <v>0</v>
      </c>
      <c r="P234" s="27"/>
    </row>
    <row r="235" spans="1:16" x14ac:dyDescent="0.25">
      <c r="A235" s="18">
        <f t="shared" si="136"/>
        <v>184</v>
      </c>
      <c r="B235" s="17" t="s">
        <v>82</v>
      </c>
      <c r="C235" s="36">
        <f>+'CFIT Schedules'!E234</f>
        <v>0</v>
      </c>
      <c r="D235" s="42">
        <v>0</v>
      </c>
      <c r="E235" s="36">
        <v>0</v>
      </c>
      <c r="F235" s="36">
        <f t="shared" si="199"/>
        <v>0</v>
      </c>
      <c r="G235" s="27">
        <v>0</v>
      </c>
      <c r="H235" s="27">
        <f t="shared" si="200"/>
        <v>0</v>
      </c>
      <c r="I235" s="27">
        <v>0</v>
      </c>
      <c r="J235" s="27">
        <f t="shared" si="201"/>
        <v>0</v>
      </c>
      <c r="K235" s="51">
        <f t="shared" si="202"/>
        <v>0.98499999999999999</v>
      </c>
      <c r="L235" s="42">
        <f t="shared" si="203"/>
        <v>0</v>
      </c>
      <c r="M235" s="18" t="str">
        <f>'CFIT Schedules'!L234</f>
        <v>PROD PLT</v>
      </c>
      <c r="N235" s="27">
        <v>0</v>
      </c>
      <c r="O235" s="27">
        <f t="shared" si="204"/>
        <v>0</v>
      </c>
      <c r="P235" s="27"/>
    </row>
    <row r="236" spans="1:16" x14ac:dyDescent="0.25">
      <c r="A236" s="142"/>
      <c r="B236" s="125" t="s">
        <v>383</v>
      </c>
      <c r="C236" s="36">
        <f>'CFIT Schedules'!E235</f>
        <v>-18382</v>
      </c>
      <c r="D236" s="42">
        <v>0</v>
      </c>
      <c r="E236" s="36">
        <v>0</v>
      </c>
      <c r="F236" s="36">
        <f t="shared" ref="F236" si="208">SUM(D236:E236)</f>
        <v>0</v>
      </c>
      <c r="G236" s="27">
        <v>0</v>
      </c>
      <c r="H236" s="27">
        <f t="shared" ref="H236" si="209">+F236+G236</f>
        <v>0</v>
      </c>
      <c r="I236" s="27">
        <v>0</v>
      </c>
      <c r="J236" s="27">
        <f t="shared" ref="J236" si="210">+H236+I236</f>
        <v>0</v>
      </c>
      <c r="K236" s="51">
        <f t="shared" si="202"/>
        <v>0.98499999999999999</v>
      </c>
      <c r="L236" s="42">
        <f t="shared" si="203"/>
        <v>0</v>
      </c>
      <c r="M236" s="143" t="str">
        <f>'CFIT Schedules'!L235</f>
        <v>GROSS PLT</v>
      </c>
      <c r="N236" s="27">
        <v>0</v>
      </c>
      <c r="O236" s="27">
        <f t="shared" si="204"/>
        <v>0</v>
      </c>
      <c r="P236" s="27"/>
    </row>
    <row r="237" spans="1:16" x14ac:dyDescent="0.25">
      <c r="A237" s="18">
        <f>A235+1</f>
        <v>185</v>
      </c>
      <c r="B237" s="56" t="s">
        <v>259</v>
      </c>
      <c r="C237" s="36">
        <f>+'CFIT Schedules'!E236</f>
        <v>66465</v>
      </c>
      <c r="D237" s="42">
        <f>IF(C237*0.21=0,0,ROUND(C237*-0.21,0))</f>
        <v>-13958</v>
      </c>
      <c r="E237" s="36">
        <v>0</v>
      </c>
      <c r="F237" s="36">
        <f>SUM(D237:E237)</f>
        <v>-13958</v>
      </c>
      <c r="G237" s="27">
        <v>0</v>
      </c>
      <c r="H237" s="27">
        <f t="shared" si="200"/>
        <v>-13958</v>
      </c>
      <c r="I237" s="27">
        <v>0</v>
      </c>
      <c r="J237" s="27">
        <f>+H237+I237</f>
        <v>-13958</v>
      </c>
      <c r="K237" s="51">
        <f>VLOOKUP(M237,$C$299:$D$313,2,FALSE)</f>
        <v>0</v>
      </c>
      <c r="L237" s="42">
        <f t="shared" si="203"/>
        <v>0</v>
      </c>
      <c r="M237" s="18" t="str">
        <f>'CFIT Schedules'!L236</f>
        <v>NON-APPLIC</v>
      </c>
      <c r="N237" s="27">
        <v>0</v>
      </c>
      <c r="O237" s="27">
        <f t="shared" si="204"/>
        <v>0</v>
      </c>
      <c r="P237" s="27"/>
    </row>
    <row r="238" spans="1:16" ht="13" x14ac:dyDescent="0.3">
      <c r="A238" s="18">
        <f t="shared" si="136"/>
        <v>186</v>
      </c>
      <c r="B238" s="75" t="s">
        <v>83</v>
      </c>
      <c r="C238" s="78">
        <f t="shared" ref="C238:J238" si="211">SUM(C226:C237)</f>
        <v>280404</v>
      </c>
      <c r="D238" s="78">
        <f t="shared" si="211"/>
        <v>-13958</v>
      </c>
      <c r="E238" s="78">
        <f t="shared" si="211"/>
        <v>0</v>
      </c>
      <c r="F238" s="78">
        <f t="shared" si="211"/>
        <v>-13958</v>
      </c>
      <c r="G238" s="78">
        <f t="shared" si="211"/>
        <v>0</v>
      </c>
      <c r="H238" s="78">
        <f t="shared" si="211"/>
        <v>-13958</v>
      </c>
      <c r="I238" s="78">
        <f t="shared" si="211"/>
        <v>0</v>
      </c>
      <c r="J238" s="78">
        <f t="shared" si="211"/>
        <v>-13958</v>
      </c>
      <c r="K238" s="24"/>
      <c r="L238" s="78">
        <f>SUM(L226:L237)</f>
        <v>0</v>
      </c>
      <c r="N238" s="78">
        <f>SUM(N226:N237)</f>
        <v>0</v>
      </c>
      <c r="O238" s="78">
        <f>SUM(O226:O237)</f>
        <v>0</v>
      </c>
    </row>
    <row r="239" spans="1:16" x14ac:dyDescent="0.25">
      <c r="A239" s="18">
        <f t="shared" si="136"/>
        <v>187</v>
      </c>
      <c r="B239" s="17" t="s">
        <v>0</v>
      </c>
      <c r="C239" s="36"/>
      <c r="D239" s="36"/>
      <c r="K239" s="81"/>
    </row>
    <row r="240" spans="1:16" ht="13" x14ac:dyDescent="0.3">
      <c r="A240" s="18">
        <f t="shared" si="136"/>
        <v>188</v>
      </c>
      <c r="B240" s="75" t="s">
        <v>84</v>
      </c>
      <c r="C240" s="36"/>
      <c r="D240" s="36"/>
      <c r="K240" s="81"/>
    </row>
    <row r="241" spans="1:16" x14ac:dyDescent="0.25">
      <c r="A241" s="18">
        <f t="shared" si="136"/>
        <v>189</v>
      </c>
      <c r="B241" s="17" t="s">
        <v>85</v>
      </c>
      <c r="C241" s="36">
        <f>+'CFIT Schedules'!E240</f>
        <v>-124055</v>
      </c>
      <c r="D241" s="42">
        <f>IF(C241*0.21=0,0,ROUND(C241*-0.21,0))</f>
        <v>26052</v>
      </c>
      <c r="E241" s="36">
        <v>0</v>
      </c>
      <c r="F241" s="36">
        <f>SUM(D241:E241)</f>
        <v>26052</v>
      </c>
      <c r="G241" s="27">
        <f>ROUND('CFIT Schedules'!F240*-0.35,0)</f>
        <v>0</v>
      </c>
      <c r="H241" s="27">
        <f t="shared" ref="H241:H242" si="212">+F241+G241</f>
        <v>26052</v>
      </c>
      <c r="I241" s="27">
        <f>ROUND('CFIT Schedules'!H240*-0.21,0)</f>
        <v>0</v>
      </c>
      <c r="J241" s="27">
        <f>+H241+I241</f>
        <v>26052</v>
      </c>
      <c r="K241" s="51">
        <f>VLOOKUP(M241,$C$299:$D$313,2,FALSE)</f>
        <v>0.98499999999999999</v>
      </c>
      <c r="L241" s="42">
        <f>IF(J241*K241=0,0, ROUND(J241*K241,0))</f>
        <v>25661</v>
      </c>
      <c r="M241" s="18" t="str">
        <f>'CFIT Schedules'!L240</f>
        <v>GROSS PLT</v>
      </c>
      <c r="N241" s="27">
        <f>ROUND('CFIT Schedules'!M240*-0.21,0)</f>
        <v>0</v>
      </c>
      <c r="O241" s="27">
        <f t="shared" ref="O241:O242" si="213">L241+N241</f>
        <v>25661</v>
      </c>
      <c r="P241" s="27"/>
    </row>
    <row r="242" spans="1:16" x14ac:dyDescent="0.25">
      <c r="A242" s="18">
        <f t="shared" si="136"/>
        <v>190</v>
      </c>
      <c r="B242" s="17" t="s">
        <v>86</v>
      </c>
      <c r="C242" s="37">
        <f>+'CFIT Schedules'!E241</f>
        <v>0</v>
      </c>
      <c r="D242" s="42">
        <f>IF(C242*0.21=0,0,ROUND(C242*-0.21,0))</f>
        <v>0</v>
      </c>
      <c r="E242" s="37">
        <v>0</v>
      </c>
      <c r="F242" s="37">
        <f>SUM(D242:E242)</f>
        <v>0</v>
      </c>
      <c r="G242" s="27">
        <f>ROUND('CFIT Schedules'!F241*-0.35,0)</f>
        <v>0</v>
      </c>
      <c r="H242" s="27">
        <f t="shared" si="212"/>
        <v>0</v>
      </c>
      <c r="I242" s="27">
        <f>ROUND('CFIT Schedules'!H241*-0.21,0)</f>
        <v>0</v>
      </c>
      <c r="J242" s="37">
        <f>+H242+I242</f>
        <v>0</v>
      </c>
      <c r="K242" s="51">
        <f>VLOOKUP(M242,$C$299:$D$313,2,FALSE)</f>
        <v>0.98499999999999999</v>
      </c>
      <c r="L242" s="42">
        <f>IF(J242*K242=0,0, ROUND(J242*K242,0))</f>
        <v>0</v>
      </c>
      <c r="M242" s="18" t="str">
        <f>'CFIT Schedules'!L241</f>
        <v>GROSS PLT</v>
      </c>
      <c r="N242" s="27">
        <f>ROUND('CFIT Schedules'!M241*-0.21,0)</f>
        <v>0</v>
      </c>
      <c r="O242" s="27">
        <f t="shared" si="213"/>
        <v>0</v>
      </c>
      <c r="P242" s="27"/>
    </row>
    <row r="243" spans="1:16" ht="13" x14ac:dyDescent="0.3">
      <c r="A243" s="18">
        <f t="shared" si="136"/>
        <v>191</v>
      </c>
      <c r="B243" s="75" t="s">
        <v>87</v>
      </c>
      <c r="C243" s="78">
        <f t="shared" ref="C243:J243" si="214">SUM(C241:C242)</f>
        <v>-124055</v>
      </c>
      <c r="D243" s="78">
        <f t="shared" si="214"/>
        <v>26052</v>
      </c>
      <c r="E243" s="78">
        <f t="shared" si="214"/>
        <v>0</v>
      </c>
      <c r="F243" s="78">
        <f t="shared" si="214"/>
        <v>26052</v>
      </c>
      <c r="G243" s="78">
        <f t="shared" ref="G243" si="215">SUM(G241:G242)</f>
        <v>0</v>
      </c>
      <c r="H243" s="78">
        <f t="shared" si="214"/>
        <v>26052</v>
      </c>
      <c r="I243" s="78">
        <f t="shared" si="214"/>
        <v>0</v>
      </c>
      <c r="J243" s="78">
        <f t="shared" si="214"/>
        <v>26052</v>
      </c>
      <c r="K243" s="24"/>
      <c r="L243" s="78">
        <f>SUM(L241:L242)</f>
        <v>25661</v>
      </c>
      <c r="N243" s="78">
        <f t="shared" ref="N243:O243" si="216">SUM(N241:N242)</f>
        <v>0</v>
      </c>
      <c r="O243" s="78">
        <f t="shared" si="216"/>
        <v>25661</v>
      </c>
    </row>
    <row r="244" spans="1:16" x14ac:dyDescent="0.25">
      <c r="A244" s="18">
        <f t="shared" si="136"/>
        <v>192</v>
      </c>
      <c r="B244" s="17" t="s">
        <v>0</v>
      </c>
      <c r="C244" s="36"/>
      <c r="D244" s="36"/>
      <c r="K244" s="81"/>
    </row>
    <row r="245" spans="1:16" ht="13" x14ac:dyDescent="0.3">
      <c r="A245" s="18">
        <f t="shared" si="136"/>
        <v>193</v>
      </c>
      <c r="B245" s="75" t="s">
        <v>88</v>
      </c>
      <c r="C245" s="36"/>
      <c r="D245" s="36"/>
      <c r="K245" s="81"/>
    </row>
    <row r="246" spans="1:16" x14ac:dyDescent="0.25">
      <c r="A246" s="18">
        <f t="shared" si="136"/>
        <v>194</v>
      </c>
      <c r="B246" s="17" t="s">
        <v>89</v>
      </c>
      <c r="C246" s="36">
        <f>+'CFIT Schedules'!E245</f>
        <v>-3718466</v>
      </c>
      <c r="D246" s="42">
        <f>IF(C246*0.21=0,0,ROUND(C246*-0.21,0))</f>
        <v>780878</v>
      </c>
      <c r="E246" s="36">
        <v>0</v>
      </c>
      <c r="F246" s="36">
        <f>SUM(D246:E246)</f>
        <v>780878</v>
      </c>
      <c r="G246" s="27">
        <f>ROUND('CFIT Schedules'!F245*-0.35,0)</f>
        <v>0</v>
      </c>
      <c r="H246" s="27">
        <f>+F246+G246</f>
        <v>780878</v>
      </c>
      <c r="I246" s="27">
        <f>ROUND('CFIT Schedules'!H245*-0.21,0)</f>
        <v>0</v>
      </c>
      <c r="J246" s="27">
        <f>+H246+I246</f>
        <v>780878</v>
      </c>
      <c r="K246" s="51">
        <f>VLOOKUP(M246,$C$299:$D$313,2,FALSE)</f>
        <v>0.98499999999999999</v>
      </c>
      <c r="L246" s="42">
        <f>IF(J246*K246=0,0, ROUND(J246*K246,0))</f>
        <v>769165</v>
      </c>
      <c r="M246" s="18" t="str">
        <f>'CFIT Schedules'!L245</f>
        <v>GROSS PLT</v>
      </c>
      <c r="N246" s="27">
        <f>ROUND('CFIT Schedules'!M245*-0.21,0)</f>
        <v>0</v>
      </c>
      <c r="O246" s="27">
        <f>L246+N246</f>
        <v>769165</v>
      </c>
      <c r="P246" s="27"/>
    </row>
    <row r="247" spans="1:16" ht="13" x14ac:dyDescent="0.3">
      <c r="A247" s="18">
        <f t="shared" si="136"/>
        <v>195</v>
      </c>
      <c r="B247" s="75" t="s">
        <v>90</v>
      </c>
      <c r="C247" s="78">
        <f t="shared" ref="C247:J247" si="217">SUM(C246:C246)</f>
        <v>-3718466</v>
      </c>
      <c r="D247" s="78">
        <f t="shared" si="217"/>
        <v>780878</v>
      </c>
      <c r="E247" s="78">
        <f t="shared" si="217"/>
        <v>0</v>
      </c>
      <c r="F247" s="78">
        <f t="shared" si="217"/>
        <v>780878</v>
      </c>
      <c r="G247" s="78">
        <f t="shared" ref="G247" si="218">SUM(G246:G246)</f>
        <v>0</v>
      </c>
      <c r="H247" s="78">
        <f t="shared" si="217"/>
        <v>780878</v>
      </c>
      <c r="I247" s="78">
        <f t="shared" si="217"/>
        <v>0</v>
      </c>
      <c r="J247" s="78">
        <f t="shared" si="217"/>
        <v>780878</v>
      </c>
      <c r="K247" s="24"/>
      <c r="L247" s="78">
        <f>SUM(L246:L246)</f>
        <v>769165</v>
      </c>
      <c r="N247" s="78">
        <f t="shared" ref="N247:O247" si="219">SUM(N246:N246)</f>
        <v>0</v>
      </c>
      <c r="O247" s="78">
        <f t="shared" si="219"/>
        <v>769165</v>
      </c>
    </row>
    <row r="248" spans="1:16" x14ac:dyDescent="0.25">
      <c r="A248" s="18">
        <f t="shared" si="136"/>
        <v>196</v>
      </c>
      <c r="B248" s="17" t="s">
        <v>0</v>
      </c>
      <c r="C248" s="36"/>
      <c r="D248" s="36"/>
      <c r="K248" s="81"/>
    </row>
    <row r="249" spans="1:16" ht="13" x14ac:dyDescent="0.3">
      <c r="A249" s="18">
        <f t="shared" si="136"/>
        <v>197</v>
      </c>
      <c r="B249" s="75" t="s">
        <v>91</v>
      </c>
      <c r="C249" s="36"/>
      <c r="D249" s="36"/>
      <c r="K249" s="81"/>
    </row>
    <row r="250" spans="1:16" x14ac:dyDescent="0.25">
      <c r="A250" s="18">
        <f t="shared" si="136"/>
        <v>198</v>
      </c>
      <c r="B250" s="17" t="s">
        <v>349</v>
      </c>
      <c r="C250" s="37">
        <f>+'CFIT Schedules'!E249</f>
        <v>37226</v>
      </c>
      <c r="D250" s="42">
        <f>IF(C250*0.21=0,0,ROUND(C250*-0.21,0))</f>
        <v>-7817</v>
      </c>
      <c r="E250" s="58">
        <v>0</v>
      </c>
      <c r="F250" s="37">
        <f>SUM(D250:E250)</f>
        <v>-7817</v>
      </c>
      <c r="G250" s="58">
        <v>0</v>
      </c>
      <c r="H250" s="27">
        <f>+F250+G250</f>
        <v>-7817</v>
      </c>
      <c r="I250" s="58">
        <v>0</v>
      </c>
      <c r="J250" s="37">
        <f>+H250+I250</f>
        <v>-7817</v>
      </c>
      <c r="K250" s="51">
        <f>VLOOKUP(M250,$C$299:$D$313,2,FALSE)</f>
        <v>0.98499999999999999</v>
      </c>
      <c r="L250" s="42">
        <f>IF(J250*K250=0,0, ROUND(J250*K250,0))</f>
        <v>-7700</v>
      </c>
      <c r="M250" s="18" t="str">
        <f>'CFIT Schedules'!L249</f>
        <v>DEMAND</v>
      </c>
      <c r="N250" s="58">
        <v>0</v>
      </c>
      <c r="O250" s="27">
        <f>L250+N250</f>
        <v>-7700</v>
      </c>
      <c r="P250" s="27"/>
    </row>
    <row r="251" spans="1:16" ht="13" x14ac:dyDescent="0.3">
      <c r="A251" s="18">
        <f t="shared" ref="A251:A293" si="220">A250+1</f>
        <v>199</v>
      </c>
      <c r="B251" s="75" t="s">
        <v>92</v>
      </c>
      <c r="C251" s="78">
        <f t="shared" ref="C251:J251" si="221">SUM(C250:C250)</f>
        <v>37226</v>
      </c>
      <c r="D251" s="78">
        <f t="shared" si="221"/>
        <v>-7817</v>
      </c>
      <c r="E251" s="78">
        <f t="shared" si="221"/>
        <v>0</v>
      </c>
      <c r="F251" s="78">
        <f t="shared" si="221"/>
        <v>-7817</v>
      </c>
      <c r="G251" s="78">
        <f t="shared" ref="G251" si="222">SUM(G250:G250)</f>
        <v>0</v>
      </c>
      <c r="H251" s="78">
        <f t="shared" si="221"/>
        <v>-7817</v>
      </c>
      <c r="I251" s="78">
        <f t="shared" si="221"/>
        <v>0</v>
      </c>
      <c r="J251" s="78">
        <f t="shared" si="221"/>
        <v>-7817</v>
      </c>
      <c r="K251" s="24"/>
      <c r="L251" s="78">
        <f>SUM(L250:L250)</f>
        <v>-7700</v>
      </c>
      <c r="N251" s="78">
        <f t="shared" ref="N251:O251" si="223">SUM(N250:N250)</f>
        <v>0</v>
      </c>
      <c r="O251" s="78">
        <f t="shared" si="223"/>
        <v>-7700</v>
      </c>
    </row>
    <row r="252" spans="1:16" x14ac:dyDescent="0.25">
      <c r="A252" s="18">
        <f t="shared" si="220"/>
        <v>200</v>
      </c>
      <c r="B252" s="17" t="s">
        <v>0</v>
      </c>
      <c r="C252" s="36"/>
      <c r="D252" s="36"/>
      <c r="K252" s="81"/>
    </row>
    <row r="253" spans="1:16" ht="13" x14ac:dyDescent="0.3">
      <c r="A253" s="18">
        <f t="shared" si="220"/>
        <v>201</v>
      </c>
      <c r="B253" s="75" t="s">
        <v>93</v>
      </c>
      <c r="C253" s="36"/>
      <c r="D253" s="36"/>
      <c r="K253" s="81"/>
    </row>
    <row r="254" spans="1:16" x14ac:dyDescent="0.25">
      <c r="A254" s="18">
        <f t="shared" si="220"/>
        <v>202</v>
      </c>
      <c r="B254" s="17" t="s">
        <v>94</v>
      </c>
      <c r="C254" s="36">
        <f>+'CFIT Schedules'!E253</f>
        <v>0</v>
      </c>
      <c r="D254" s="42">
        <f>IF(C254*0.21=0,0,ROUND(C254*-0.21,0))</f>
        <v>0</v>
      </c>
      <c r="E254" s="36">
        <v>0</v>
      </c>
      <c r="F254" s="36">
        <f t="shared" ref="F254:F264" si="224">SUM(D254:E254)</f>
        <v>0</v>
      </c>
      <c r="G254" s="27">
        <f>ROUND('CFIT Schedules'!F253*-0.35,0)</f>
        <v>0</v>
      </c>
      <c r="H254" s="27">
        <f t="shared" ref="H254:H264" si="225">+F254+G254</f>
        <v>0</v>
      </c>
      <c r="I254" s="27">
        <f>ROUND('CFIT Schedules'!H253*-0.21,0)</f>
        <v>0</v>
      </c>
      <c r="J254" s="27">
        <f t="shared" ref="J254:J264" si="226">+H254+I254</f>
        <v>0</v>
      </c>
      <c r="K254" s="51">
        <f t="shared" ref="K254:K264" si="227">VLOOKUP(M254,$C$299:$D$313,2,FALSE)</f>
        <v>0</v>
      </c>
      <c r="L254" s="42">
        <f t="shared" ref="L254:L264" si="228">IF(J254*K254=0,0, ROUND(J254*K254,0))</f>
        <v>0</v>
      </c>
      <c r="M254" s="18" t="str">
        <f>'CFIT Schedules'!L253</f>
        <v>NON-UTILITY</v>
      </c>
      <c r="N254" s="27">
        <f>ROUND('CFIT Schedules'!M253*-0.21,0)</f>
        <v>0</v>
      </c>
      <c r="O254" s="27">
        <f t="shared" ref="O254:O264" si="229">L254+N254</f>
        <v>0</v>
      </c>
      <c r="P254" s="27"/>
    </row>
    <row r="255" spans="1:16" x14ac:dyDescent="0.25">
      <c r="A255" s="18">
        <f t="shared" si="220"/>
        <v>203</v>
      </c>
      <c r="B255" s="17" t="s">
        <v>95</v>
      </c>
      <c r="C255" s="36">
        <f>+'CFIT Schedules'!E254</f>
        <v>6372725</v>
      </c>
      <c r="D255" s="42">
        <f>IF(C255*0.35=0,0,ROUND(C255*-0.21,0))</f>
        <v>-1338272</v>
      </c>
      <c r="E255" s="36">
        <v>0</v>
      </c>
      <c r="F255" s="36">
        <f t="shared" si="224"/>
        <v>-1338272</v>
      </c>
      <c r="G255" s="27">
        <f>ROUND('CFIT Schedules'!F254*-0.35,0)</f>
        <v>0</v>
      </c>
      <c r="H255" s="27">
        <f t="shared" si="225"/>
        <v>-1338272</v>
      </c>
      <c r="I255" s="27">
        <f>ROUND('CFIT Schedules'!H254*-0.21,0)</f>
        <v>0</v>
      </c>
      <c r="J255" s="27">
        <f t="shared" si="226"/>
        <v>-1338272</v>
      </c>
      <c r="K255" s="51">
        <f t="shared" si="227"/>
        <v>0.98599999999999999</v>
      </c>
      <c r="L255" s="42">
        <f t="shared" si="228"/>
        <v>-1319536</v>
      </c>
      <c r="M255" s="18" t="str">
        <f>'CFIT Schedules'!L254</f>
        <v>ENERGY</v>
      </c>
      <c r="N255" s="27">
        <f>ROUND('CFIT Schedules'!M254*-0.21,0)</f>
        <v>0</v>
      </c>
      <c r="O255" s="27">
        <f t="shared" si="229"/>
        <v>-1319536</v>
      </c>
      <c r="P255" s="27"/>
    </row>
    <row r="256" spans="1:16" x14ac:dyDescent="0.25">
      <c r="A256" s="18">
        <f t="shared" si="220"/>
        <v>204</v>
      </c>
      <c r="B256" s="17" t="s">
        <v>96</v>
      </c>
      <c r="C256" s="36">
        <f>+'CFIT Schedules'!E255</f>
        <v>0</v>
      </c>
      <c r="D256" s="42">
        <f t="shared" ref="D256:D264" si="230">IF(C256*0.21=0,0,ROUND(C256*-0.21,0))</f>
        <v>0</v>
      </c>
      <c r="E256" s="36">
        <v>0</v>
      </c>
      <c r="F256" s="36">
        <f t="shared" si="224"/>
        <v>0</v>
      </c>
      <c r="G256" s="27">
        <f>ROUND('CFIT Schedules'!F255*-0.35,0)</f>
        <v>0</v>
      </c>
      <c r="H256" s="27">
        <f t="shared" si="225"/>
        <v>0</v>
      </c>
      <c r="I256" s="27">
        <f>ROUND('CFIT Schedules'!H255*-0.21,0)</f>
        <v>0</v>
      </c>
      <c r="J256" s="27">
        <f t="shared" si="226"/>
        <v>0</v>
      </c>
      <c r="K256" s="51">
        <f t="shared" si="227"/>
        <v>0</v>
      </c>
      <c r="L256" s="42">
        <f t="shared" si="228"/>
        <v>0</v>
      </c>
      <c r="M256" s="18" t="str">
        <f>'CFIT Schedules'!L255</f>
        <v>NON-UTILITY</v>
      </c>
      <c r="N256" s="27">
        <f>ROUND('CFIT Schedules'!M255*-0.21,0)</f>
        <v>0</v>
      </c>
      <c r="O256" s="27">
        <f t="shared" si="229"/>
        <v>0</v>
      </c>
      <c r="P256" s="27"/>
    </row>
    <row r="257" spans="1:16" x14ac:dyDescent="0.25">
      <c r="A257" s="18">
        <f t="shared" si="220"/>
        <v>205</v>
      </c>
      <c r="B257" s="17" t="s">
        <v>97</v>
      </c>
      <c r="C257" s="36">
        <f>+'CFIT Schedules'!E256</f>
        <v>0</v>
      </c>
      <c r="D257" s="42">
        <f t="shared" si="230"/>
        <v>0</v>
      </c>
      <c r="E257" s="36">
        <v>0</v>
      </c>
      <c r="F257" s="36">
        <f t="shared" si="224"/>
        <v>0</v>
      </c>
      <c r="G257" s="27">
        <f>ROUND('CFIT Schedules'!F256*-0.35,0)</f>
        <v>0</v>
      </c>
      <c r="H257" s="27">
        <f t="shared" si="225"/>
        <v>0</v>
      </c>
      <c r="I257" s="27">
        <f>ROUND('CFIT Schedules'!H256*-0.21,0)</f>
        <v>0</v>
      </c>
      <c r="J257" s="27">
        <f t="shared" si="226"/>
        <v>0</v>
      </c>
      <c r="K257" s="51">
        <f t="shared" si="227"/>
        <v>0</v>
      </c>
      <c r="L257" s="42">
        <f t="shared" si="228"/>
        <v>0</v>
      </c>
      <c r="M257" s="18" t="str">
        <f>'CFIT Schedules'!L256</f>
        <v>NON-UTILITY</v>
      </c>
      <c r="N257" s="27">
        <f>ROUND('CFIT Schedules'!M256*-0.21,0)</f>
        <v>0</v>
      </c>
      <c r="O257" s="27">
        <f t="shared" si="229"/>
        <v>0</v>
      </c>
      <c r="P257" s="27"/>
    </row>
    <row r="258" spans="1:16" x14ac:dyDescent="0.25">
      <c r="A258" s="18">
        <f t="shared" si="220"/>
        <v>206</v>
      </c>
      <c r="B258" s="17" t="s">
        <v>98</v>
      </c>
      <c r="C258" s="36">
        <f>+'CFIT Schedules'!E257</f>
        <v>287340</v>
      </c>
      <c r="D258" s="42">
        <f t="shared" si="230"/>
        <v>-60341</v>
      </c>
      <c r="E258" s="36">
        <v>0</v>
      </c>
      <c r="F258" s="36">
        <f t="shared" si="224"/>
        <v>-60341</v>
      </c>
      <c r="G258" s="27">
        <f>ROUND('CFIT Schedules'!F257*-0.35,0)</f>
        <v>0</v>
      </c>
      <c r="H258" s="27">
        <f t="shared" si="225"/>
        <v>-60341</v>
      </c>
      <c r="I258" s="27">
        <f>ROUND('CFIT Schedules'!H257*-0.21,0)</f>
        <v>0</v>
      </c>
      <c r="J258" s="27">
        <f t="shared" si="226"/>
        <v>-60341</v>
      </c>
      <c r="K258" s="51">
        <f t="shared" si="227"/>
        <v>0.98599999999999999</v>
      </c>
      <c r="L258" s="42">
        <f t="shared" si="228"/>
        <v>-59496</v>
      </c>
      <c r="M258" s="18" t="str">
        <f>'CFIT Schedules'!L257</f>
        <v>ENERGY</v>
      </c>
      <c r="N258" s="27">
        <f>ROUND('CFIT Schedules'!M257*-0.21,0)</f>
        <v>0</v>
      </c>
      <c r="O258" s="27">
        <f t="shared" si="229"/>
        <v>-59496</v>
      </c>
      <c r="P258" s="27"/>
    </row>
    <row r="259" spans="1:16" x14ac:dyDescent="0.25">
      <c r="A259" s="18">
        <f t="shared" si="220"/>
        <v>207</v>
      </c>
      <c r="B259" s="17" t="s">
        <v>99</v>
      </c>
      <c r="C259" s="36">
        <f>+'CFIT Schedules'!E258</f>
        <v>0</v>
      </c>
      <c r="D259" s="42">
        <f t="shared" si="230"/>
        <v>0</v>
      </c>
      <c r="E259" s="36">
        <v>0</v>
      </c>
      <c r="F259" s="36">
        <f t="shared" si="224"/>
        <v>0</v>
      </c>
      <c r="G259" s="27">
        <f>ROUND('CFIT Schedules'!F258*-0.35,0)</f>
        <v>0</v>
      </c>
      <c r="H259" s="27">
        <f t="shared" si="225"/>
        <v>0</v>
      </c>
      <c r="I259" s="27">
        <f>ROUND('CFIT Schedules'!H258*-0.21,0)</f>
        <v>0</v>
      </c>
      <c r="J259" s="27">
        <f t="shared" si="226"/>
        <v>0</v>
      </c>
      <c r="K259" s="51">
        <f t="shared" si="227"/>
        <v>0.98599999999999999</v>
      </c>
      <c r="L259" s="42">
        <f t="shared" si="228"/>
        <v>0</v>
      </c>
      <c r="M259" s="18" t="str">
        <f>'CFIT Schedules'!L258</f>
        <v>ENERGY</v>
      </c>
      <c r="N259" s="27">
        <f>ROUND('CFIT Schedules'!M258*-0.21,0)</f>
        <v>0</v>
      </c>
      <c r="O259" s="27">
        <f t="shared" si="229"/>
        <v>0</v>
      </c>
      <c r="P259" s="27"/>
    </row>
    <row r="260" spans="1:16" x14ac:dyDescent="0.25">
      <c r="A260" s="18">
        <f t="shared" si="220"/>
        <v>208</v>
      </c>
      <c r="B260" s="17" t="s">
        <v>100</v>
      </c>
      <c r="C260" s="36">
        <f>+'CFIT Schedules'!E259</f>
        <v>9181</v>
      </c>
      <c r="D260" s="42">
        <f t="shared" si="230"/>
        <v>-1928</v>
      </c>
      <c r="E260" s="36">
        <v>0</v>
      </c>
      <c r="F260" s="36">
        <f t="shared" si="224"/>
        <v>-1928</v>
      </c>
      <c r="G260" s="27">
        <f>ROUND('CFIT Schedules'!F259*-0.35,0)</f>
        <v>0</v>
      </c>
      <c r="H260" s="27">
        <f t="shared" si="225"/>
        <v>-1928</v>
      </c>
      <c r="I260" s="27">
        <f>ROUND('CFIT Schedules'!H259*-0.21,0)</f>
        <v>0</v>
      </c>
      <c r="J260" s="27">
        <f t="shared" si="226"/>
        <v>-1928</v>
      </c>
      <c r="K260" s="51">
        <f t="shared" si="227"/>
        <v>0.98599999999999999</v>
      </c>
      <c r="L260" s="42">
        <f t="shared" si="228"/>
        <v>-1901</v>
      </c>
      <c r="M260" s="18" t="str">
        <f>'CFIT Schedules'!L259</f>
        <v>ENERGY</v>
      </c>
      <c r="N260" s="27">
        <f>ROUND('CFIT Schedules'!M259*-0.21,0)</f>
        <v>0</v>
      </c>
      <c r="O260" s="27">
        <f t="shared" si="229"/>
        <v>-1901</v>
      </c>
      <c r="P260" s="27"/>
    </row>
    <row r="261" spans="1:16" x14ac:dyDescent="0.25">
      <c r="A261" s="18">
        <f t="shared" si="220"/>
        <v>209</v>
      </c>
      <c r="B261" s="17" t="s">
        <v>260</v>
      </c>
      <c r="C261" s="36">
        <f>+'CFIT Schedules'!E260</f>
        <v>0</v>
      </c>
      <c r="D261" s="42">
        <f t="shared" si="230"/>
        <v>0</v>
      </c>
      <c r="E261" s="36">
        <v>0</v>
      </c>
      <c r="F261" s="36">
        <f t="shared" si="224"/>
        <v>0</v>
      </c>
      <c r="G261" s="27">
        <f>ROUND('CFIT Schedules'!F260*-0.35,0)</f>
        <v>0</v>
      </c>
      <c r="H261" s="27">
        <f t="shared" si="225"/>
        <v>0</v>
      </c>
      <c r="I261" s="27">
        <f>ROUND('CFIT Schedules'!H260*-0.21,0)</f>
        <v>0</v>
      </c>
      <c r="J261" s="27">
        <f t="shared" si="226"/>
        <v>0</v>
      </c>
      <c r="K261" s="51">
        <f t="shared" si="227"/>
        <v>0.98599999999999999</v>
      </c>
      <c r="L261" s="42">
        <f t="shared" si="228"/>
        <v>0</v>
      </c>
      <c r="M261" s="18" t="str">
        <f>'CFIT Schedules'!L260</f>
        <v>ENERGY</v>
      </c>
      <c r="N261" s="27">
        <f>ROUND('CFIT Schedules'!M260*-0.21,0)</f>
        <v>0</v>
      </c>
      <c r="O261" s="27">
        <f t="shared" si="229"/>
        <v>0</v>
      </c>
      <c r="P261" s="27"/>
    </row>
    <row r="262" spans="1:16" x14ac:dyDescent="0.25">
      <c r="A262" s="18">
        <f t="shared" si="220"/>
        <v>210</v>
      </c>
      <c r="B262" s="17" t="s">
        <v>101</v>
      </c>
      <c r="C262" s="36">
        <f>+'CFIT Schedules'!E261</f>
        <v>0</v>
      </c>
      <c r="D262" s="42">
        <f t="shared" si="230"/>
        <v>0</v>
      </c>
      <c r="E262" s="36">
        <v>0</v>
      </c>
      <c r="F262" s="36">
        <f t="shared" si="224"/>
        <v>0</v>
      </c>
      <c r="G262" s="27">
        <f>ROUND('CFIT Schedules'!F261*-0.35,0)</f>
        <v>0</v>
      </c>
      <c r="H262" s="27">
        <f t="shared" si="225"/>
        <v>0</v>
      </c>
      <c r="I262" s="27">
        <f>ROUND('CFIT Schedules'!H261*-0.21,0)</f>
        <v>0</v>
      </c>
      <c r="J262" s="27">
        <f t="shared" si="226"/>
        <v>0</v>
      </c>
      <c r="K262" s="51">
        <f t="shared" si="227"/>
        <v>0</v>
      </c>
      <c r="L262" s="42">
        <f t="shared" si="228"/>
        <v>0</v>
      </c>
      <c r="M262" s="18" t="str">
        <f>'CFIT Schedules'!L261</f>
        <v>NON-UTILITY</v>
      </c>
      <c r="N262" s="27">
        <f>ROUND('CFIT Schedules'!M261*-0.21,0)</f>
        <v>0</v>
      </c>
      <c r="O262" s="27">
        <f t="shared" si="229"/>
        <v>0</v>
      </c>
      <c r="P262" s="27"/>
    </row>
    <row r="263" spans="1:16" x14ac:dyDescent="0.25">
      <c r="A263" s="18">
        <f t="shared" si="220"/>
        <v>211</v>
      </c>
      <c r="B263" s="17" t="s">
        <v>261</v>
      </c>
      <c r="C263" s="36">
        <f>+'CFIT Schedules'!E262</f>
        <v>0</v>
      </c>
      <c r="D263" s="42">
        <f t="shared" si="230"/>
        <v>0</v>
      </c>
      <c r="E263" s="36">
        <v>0</v>
      </c>
      <c r="F263" s="36">
        <f t="shared" si="224"/>
        <v>0</v>
      </c>
      <c r="G263" s="27">
        <f>ROUND('CFIT Schedules'!F262*-0.35,0)</f>
        <v>0</v>
      </c>
      <c r="H263" s="27">
        <f t="shared" si="225"/>
        <v>0</v>
      </c>
      <c r="I263" s="27">
        <f>ROUND('CFIT Schedules'!H262*-0.21,0)</f>
        <v>0</v>
      </c>
      <c r="J263" s="27">
        <f t="shared" si="226"/>
        <v>0</v>
      </c>
      <c r="K263" s="51">
        <f t="shared" si="227"/>
        <v>0</v>
      </c>
      <c r="L263" s="42">
        <f t="shared" si="228"/>
        <v>0</v>
      </c>
      <c r="M263" s="18" t="str">
        <f>'CFIT Schedules'!L262</f>
        <v>NON-UTILITY</v>
      </c>
      <c r="N263" s="27">
        <f>ROUND('CFIT Schedules'!M262*-0.21,0)</f>
        <v>0</v>
      </c>
      <c r="O263" s="27">
        <f t="shared" si="229"/>
        <v>0</v>
      </c>
      <c r="P263" s="27"/>
    </row>
    <row r="264" spans="1:16" x14ac:dyDescent="0.25">
      <c r="A264" s="18">
        <f t="shared" si="220"/>
        <v>212</v>
      </c>
      <c r="B264" s="17" t="s">
        <v>102</v>
      </c>
      <c r="C264" s="36">
        <f>+'CFIT Schedules'!E263</f>
        <v>-3290753</v>
      </c>
      <c r="D264" s="42">
        <f t="shared" si="230"/>
        <v>691058</v>
      </c>
      <c r="E264" s="36">
        <v>0</v>
      </c>
      <c r="F264" s="36">
        <f t="shared" si="224"/>
        <v>691058</v>
      </c>
      <c r="G264" s="27">
        <f>ROUND('CFIT Schedules'!F263*-0.35,0)</f>
        <v>0</v>
      </c>
      <c r="H264" s="27">
        <f t="shared" si="225"/>
        <v>691058</v>
      </c>
      <c r="I264" s="27">
        <f>ROUND('CFIT Schedules'!H263*-0.21,0)</f>
        <v>0</v>
      </c>
      <c r="J264" s="27">
        <f t="shared" si="226"/>
        <v>691058</v>
      </c>
      <c r="K264" s="51">
        <f t="shared" si="227"/>
        <v>0.98599999999999999</v>
      </c>
      <c r="L264" s="42">
        <f t="shared" si="228"/>
        <v>681383</v>
      </c>
      <c r="M264" s="18" t="str">
        <f>'CFIT Schedules'!L263</f>
        <v>ENERGY</v>
      </c>
      <c r="N264" s="27">
        <f>ROUND('CFIT Schedules'!M263*-0.21,0)</f>
        <v>0</v>
      </c>
      <c r="O264" s="27">
        <f t="shared" si="229"/>
        <v>681383</v>
      </c>
      <c r="P264" s="27"/>
    </row>
    <row r="265" spans="1:16" ht="13" x14ac:dyDescent="0.3">
      <c r="A265" s="18">
        <f t="shared" si="220"/>
        <v>213</v>
      </c>
      <c r="B265" s="75" t="s">
        <v>103</v>
      </c>
      <c r="C265" s="78">
        <f t="shared" ref="C265:J265" si="231">SUM(C254:C264)</f>
        <v>3378493</v>
      </c>
      <c r="D265" s="78">
        <f t="shared" si="231"/>
        <v>-709483</v>
      </c>
      <c r="E265" s="78">
        <f t="shared" si="231"/>
        <v>0</v>
      </c>
      <c r="F265" s="78">
        <f t="shared" si="231"/>
        <v>-709483</v>
      </c>
      <c r="G265" s="78">
        <f t="shared" ref="G265" si="232">SUM(G254:G264)</f>
        <v>0</v>
      </c>
      <c r="H265" s="78">
        <f t="shared" si="231"/>
        <v>-709483</v>
      </c>
      <c r="I265" s="78">
        <f t="shared" si="231"/>
        <v>0</v>
      </c>
      <c r="J265" s="78">
        <f t="shared" si="231"/>
        <v>-709483</v>
      </c>
      <c r="K265" s="24"/>
      <c r="L265" s="78">
        <f>SUM(L254:L264)</f>
        <v>-699550</v>
      </c>
      <c r="N265" s="78">
        <f t="shared" ref="N265:O265" si="233">SUM(N254:N264)</f>
        <v>0</v>
      </c>
      <c r="O265" s="78">
        <f t="shared" si="233"/>
        <v>-699550</v>
      </c>
    </row>
    <row r="266" spans="1:16" x14ac:dyDescent="0.25">
      <c r="A266" s="18">
        <f t="shared" si="220"/>
        <v>214</v>
      </c>
      <c r="B266" s="17" t="s">
        <v>0</v>
      </c>
      <c r="C266" s="36"/>
      <c r="D266" s="36"/>
      <c r="K266" s="81"/>
    </row>
    <row r="267" spans="1:16" ht="13" x14ac:dyDescent="0.3">
      <c r="A267" s="18">
        <f t="shared" si="220"/>
        <v>215</v>
      </c>
      <c r="B267" s="75" t="s">
        <v>104</v>
      </c>
      <c r="C267" s="36"/>
      <c r="D267" s="36"/>
      <c r="K267" s="81"/>
    </row>
    <row r="268" spans="1:16" x14ac:dyDescent="0.25">
      <c r="A268" s="18">
        <f t="shared" si="220"/>
        <v>216</v>
      </c>
      <c r="B268" s="17" t="s">
        <v>105</v>
      </c>
      <c r="C268" s="36">
        <f>+'CFIT Schedules'!E267</f>
        <v>320607</v>
      </c>
      <c r="D268" s="42">
        <f t="shared" ref="D268:D274" si="234">IF(C268*0.21=0,0,ROUND(C268*-0.21,0))</f>
        <v>-67327</v>
      </c>
      <c r="E268" s="36">
        <v>0</v>
      </c>
      <c r="F268" s="36">
        <f t="shared" ref="F268" si="235">SUM(D268:E268)</f>
        <v>-67327</v>
      </c>
      <c r="G268" s="27">
        <f>ROUND('CFIT Schedules'!F267*-0.35,0)</f>
        <v>0</v>
      </c>
      <c r="H268" s="27">
        <f t="shared" ref="H268" si="236">+F268+G268</f>
        <v>-67327</v>
      </c>
      <c r="I268" s="27">
        <f>ROUND('CFIT Schedules'!H267*-0.21,0)</f>
        <v>0</v>
      </c>
      <c r="J268" s="27">
        <f t="shared" ref="J268" si="237">+H268+I268</f>
        <v>-67327</v>
      </c>
      <c r="K268" s="51">
        <f t="shared" ref="K268:K274" si="238">VLOOKUP(M268,$C$299:$D$313,2,FALSE)</f>
        <v>0.98599999999999999</v>
      </c>
      <c r="L268" s="42">
        <f t="shared" ref="L268" si="239">IF(J268*K268=0,0, ROUND(J268*K268,0))</f>
        <v>-66384</v>
      </c>
      <c r="M268" s="18" t="str">
        <f>'CFIT Schedules'!L267</f>
        <v>ENERGY</v>
      </c>
      <c r="N268" s="27">
        <f>ROUND('CFIT Schedules'!M267*-0.21,0)</f>
        <v>0</v>
      </c>
      <c r="O268" s="27">
        <f t="shared" ref="O268" si="240">L268+N268</f>
        <v>-66384</v>
      </c>
      <c r="P268" s="27"/>
    </row>
    <row r="269" spans="1:16" x14ac:dyDescent="0.25">
      <c r="A269" s="18">
        <f t="shared" si="220"/>
        <v>217</v>
      </c>
      <c r="B269" s="17" t="s">
        <v>265</v>
      </c>
      <c r="C269" s="36">
        <f>+'CFIT Schedules'!E268</f>
        <v>0</v>
      </c>
      <c r="D269" s="42">
        <f t="shared" si="234"/>
        <v>0</v>
      </c>
      <c r="E269" s="36">
        <v>0</v>
      </c>
      <c r="F269" s="36">
        <f t="shared" ref="F269:F274" si="241">SUM(D269:E269)</f>
        <v>0</v>
      </c>
      <c r="G269" s="27">
        <f>ROUND('CFIT Schedules'!F268*-0.35,0)</f>
        <v>0</v>
      </c>
      <c r="H269" s="27">
        <f t="shared" ref="H269:H274" si="242">+F269+G269</f>
        <v>0</v>
      </c>
      <c r="I269" s="27">
        <f>ROUND('CFIT Schedules'!H268*-0.21,0)</f>
        <v>0</v>
      </c>
      <c r="J269" s="27">
        <f t="shared" ref="J269:J274" si="243">+H269+I269</f>
        <v>0</v>
      </c>
      <c r="K269" s="51">
        <f t="shared" si="238"/>
        <v>0.98599999999999999</v>
      </c>
      <c r="L269" s="42">
        <f t="shared" ref="L269:L274" si="244">IF(J269*K269=0,0, ROUND(J269*K269,0))</f>
        <v>0</v>
      </c>
      <c r="M269" s="18" t="str">
        <f>'CFIT Schedules'!L268</f>
        <v>ENERGY</v>
      </c>
      <c r="N269" s="27">
        <f>ROUND('CFIT Schedules'!M268*-0.21,0)</f>
        <v>0</v>
      </c>
      <c r="O269" s="27">
        <f t="shared" ref="O269:O274" si="245">L269+N269</f>
        <v>0</v>
      </c>
      <c r="P269" s="27"/>
    </row>
    <row r="270" spans="1:16" x14ac:dyDescent="0.25">
      <c r="A270" s="18">
        <f t="shared" si="220"/>
        <v>218</v>
      </c>
      <c r="B270" s="17" t="s">
        <v>262</v>
      </c>
      <c r="C270" s="36">
        <f>+'CFIT Schedules'!E269</f>
        <v>0</v>
      </c>
      <c r="D270" s="42">
        <f t="shared" si="234"/>
        <v>0</v>
      </c>
      <c r="E270" s="36">
        <v>0</v>
      </c>
      <c r="F270" s="36">
        <f t="shared" si="241"/>
        <v>0</v>
      </c>
      <c r="G270" s="27">
        <f>ROUND('CFIT Schedules'!F269*-0.35,0)</f>
        <v>0</v>
      </c>
      <c r="H270" s="27">
        <f t="shared" si="242"/>
        <v>0</v>
      </c>
      <c r="I270" s="27">
        <f>ROUND('CFIT Schedules'!H269*-0.21,0)</f>
        <v>0</v>
      </c>
      <c r="J270" s="27">
        <f t="shared" si="243"/>
        <v>0</v>
      </c>
      <c r="K270" s="51">
        <f t="shared" si="238"/>
        <v>0</v>
      </c>
      <c r="L270" s="42">
        <f t="shared" si="244"/>
        <v>0</v>
      </c>
      <c r="M270" s="18" t="str">
        <f>'CFIT Schedules'!L269</f>
        <v>NON-UTILITY</v>
      </c>
      <c r="N270" s="27">
        <f>ROUND('CFIT Schedules'!M269*-0.21,0)</f>
        <v>0</v>
      </c>
      <c r="O270" s="27">
        <f t="shared" si="245"/>
        <v>0</v>
      </c>
      <c r="P270" s="27"/>
    </row>
    <row r="271" spans="1:16" x14ac:dyDescent="0.25">
      <c r="A271" s="18">
        <f t="shared" si="220"/>
        <v>219</v>
      </c>
      <c r="B271" s="17" t="s">
        <v>106</v>
      </c>
      <c r="C271" s="36">
        <f>+'CFIT Schedules'!E270</f>
        <v>0</v>
      </c>
      <c r="D271" s="42">
        <f t="shared" si="234"/>
        <v>0</v>
      </c>
      <c r="E271" s="36">
        <v>0</v>
      </c>
      <c r="F271" s="36">
        <f t="shared" si="241"/>
        <v>0</v>
      </c>
      <c r="G271" s="27">
        <f>ROUND('CFIT Schedules'!F270*-0.35,0)</f>
        <v>0</v>
      </c>
      <c r="H271" s="27">
        <f t="shared" si="242"/>
        <v>0</v>
      </c>
      <c r="I271" s="27">
        <f>ROUND('CFIT Schedules'!H270*-0.21,0)</f>
        <v>0</v>
      </c>
      <c r="J271" s="27">
        <f t="shared" si="243"/>
        <v>0</v>
      </c>
      <c r="K271" s="51">
        <f t="shared" si="238"/>
        <v>0</v>
      </c>
      <c r="L271" s="42">
        <f t="shared" si="244"/>
        <v>0</v>
      </c>
      <c r="M271" s="18" t="str">
        <f>'CFIT Schedules'!L270</f>
        <v>NON-UTILITY</v>
      </c>
      <c r="N271" s="27">
        <f>ROUND('CFIT Schedules'!M270*-0.21,0)</f>
        <v>0</v>
      </c>
      <c r="O271" s="27">
        <f t="shared" si="245"/>
        <v>0</v>
      </c>
      <c r="P271" s="27"/>
    </row>
    <row r="272" spans="1:16" x14ac:dyDescent="0.25">
      <c r="A272" s="18">
        <f t="shared" si="220"/>
        <v>220</v>
      </c>
      <c r="B272" s="17" t="s">
        <v>266</v>
      </c>
      <c r="C272" s="36">
        <f>+'CFIT Schedules'!E271</f>
        <v>0</v>
      </c>
      <c r="D272" s="42">
        <f t="shared" si="234"/>
        <v>0</v>
      </c>
      <c r="E272" s="36">
        <v>0</v>
      </c>
      <c r="F272" s="36">
        <f t="shared" si="241"/>
        <v>0</v>
      </c>
      <c r="G272" s="27">
        <f>ROUND('CFIT Schedules'!F271*-0.35,0)</f>
        <v>0</v>
      </c>
      <c r="H272" s="27">
        <f t="shared" si="242"/>
        <v>0</v>
      </c>
      <c r="I272" s="27">
        <f>ROUND('CFIT Schedules'!H271*-0.21,0)</f>
        <v>0</v>
      </c>
      <c r="J272" s="27">
        <f t="shared" si="243"/>
        <v>0</v>
      </c>
      <c r="K272" s="51">
        <f t="shared" si="238"/>
        <v>0.98599999999999999</v>
      </c>
      <c r="L272" s="42">
        <f t="shared" si="244"/>
        <v>0</v>
      </c>
      <c r="M272" s="18" t="str">
        <f>'CFIT Schedules'!L271</f>
        <v>ENERGY</v>
      </c>
      <c r="N272" s="27">
        <f>ROUND('CFIT Schedules'!M271*-0.21,0)</f>
        <v>0</v>
      </c>
      <c r="O272" s="27">
        <f t="shared" si="245"/>
        <v>0</v>
      </c>
      <c r="P272" s="27"/>
    </row>
    <row r="273" spans="1:16" x14ac:dyDescent="0.25">
      <c r="A273" s="18">
        <f t="shared" si="220"/>
        <v>221</v>
      </c>
      <c r="B273" s="17" t="s">
        <v>267</v>
      </c>
      <c r="C273" s="36">
        <f>+'CFIT Schedules'!E272</f>
        <v>0</v>
      </c>
      <c r="D273" s="42">
        <f t="shared" si="234"/>
        <v>0</v>
      </c>
      <c r="E273" s="36">
        <v>0</v>
      </c>
      <c r="F273" s="36">
        <f t="shared" si="241"/>
        <v>0</v>
      </c>
      <c r="G273" s="27">
        <f>ROUND('CFIT Schedules'!F272*-0.35,0)</f>
        <v>0</v>
      </c>
      <c r="H273" s="27">
        <f t="shared" si="242"/>
        <v>0</v>
      </c>
      <c r="I273" s="27">
        <f>ROUND('CFIT Schedules'!H272*-0.21,0)</f>
        <v>0</v>
      </c>
      <c r="J273" s="27">
        <f t="shared" si="243"/>
        <v>0</v>
      </c>
      <c r="K273" s="51">
        <f t="shared" si="238"/>
        <v>0.98599999999999999</v>
      </c>
      <c r="L273" s="42">
        <f t="shared" si="244"/>
        <v>0</v>
      </c>
      <c r="M273" s="18" t="str">
        <f>'CFIT Schedules'!L272</f>
        <v>ENERGY</v>
      </c>
      <c r="N273" s="27">
        <f>ROUND('CFIT Schedules'!M272*-0.21,0)</f>
        <v>0</v>
      </c>
      <c r="O273" s="27">
        <f t="shared" si="245"/>
        <v>0</v>
      </c>
      <c r="P273" s="27"/>
    </row>
    <row r="274" spans="1:16" x14ac:dyDescent="0.25">
      <c r="A274" s="18">
        <f t="shared" si="220"/>
        <v>222</v>
      </c>
      <c r="B274" s="17" t="s">
        <v>107</v>
      </c>
      <c r="C274" s="36">
        <f>+'CFIT Schedules'!E273</f>
        <v>0</v>
      </c>
      <c r="D274" s="42">
        <f t="shared" si="234"/>
        <v>0</v>
      </c>
      <c r="E274" s="36">
        <v>0</v>
      </c>
      <c r="F274" s="36">
        <f t="shared" si="241"/>
        <v>0</v>
      </c>
      <c r="G274" s="27">
        <f>ROUND('CFIT Schedules'!F273*-0.35,0)</f>
        <v>0</v>
      </c>
      <c r="H274" s="27">
        <f t="shared" si="242"/>
        <v>0</v>
      </c>
      <c r="I274" s="27">
        <f>ROUND('CFIT Schedules'!H273*-0.21,0)</f>
        <v>0</v>
      </c>
      <c r="J274" s="27">
        <f t="shared" si="243"/>
        <v>0</v>
      </c>
      <c r="K274" s="51">
        <f t="shared" si="238"/>
        <v>0.98599999999999999</v>
      </c>
      <c r="L274" s="42">
        <f t="shared" si="244"/>
        <v>0</v>
      </c>
      <c r="M274" s="18" t="str">
        <f>'CFIT Schedules'!L273</f>
        <v>ENERGY</v>
      </c>
      <c r="N274" s="27">
        <f>ROUND('CFIT Schedules'!M273*-0.21,0)</f>
        <v>0</v>
      </c>
      <c r="O274" s="27">
        <f t="shared" si="245"/>
        <v>0</v>
      </c>
      <c r="P274" s="27"/>
    </row>
    <row r="275" spans="1:16" ht="13" x14ac:dyDescent="0.3">
      <c r="A275" s="18">
        <f t="shared" si="220"/>
        <v>223</v>
      </c>
      <c r="B275" s="75" t="s">
        <v>108</v>
      </c>
      <c r="C275" s="78">
        <f t="shared" ref="C275:J275" si="246">SUM(C268:C274)</f>
        <v>320607</v>
      </c>
      <c r="D275" s="78">
        <f t="shared" si="246"/>
        <v>-67327</v>
      </c>
      <c r="E275" s="78">
        <f t="shared" si="246"/>
        <v>0</v>
      </c>
      <c r="F275" s="78">
        <f t="shared" si="246"/>
        <v>-67327</v>
      </c>
      <c r="G275" s="78">
        <f t="shared" ref="G275" si="247">SUM(G268:G274)</f>
        <v>0</v>
      </c>
      <c r="H275" s="78">
        <f t="shared" si="246"/>
        <v>-67327</v>
      </c>
      <c r="I275" s="78">
        <f t="shared" si="246"/>
        <v>0</v>
      </c>
      <c r="J275" s="78">
        <f t="shared" si="246"/>
        <v>-67327</v>
      </c>
      <c r="K275" s="24"/>
      <c r="L275" s="99">
        <f>SUM(L268:L274)</f>
        <v>-66384</v>
      </c>
      <c r="N275" s="78">
        <f t="shared" ref="N275:O275" si="248">SUM(N268:N274)</f>
        <v>0</v>
      </c>
      <c r="O275" s="78">
        <f t="shared" si="248"/>
        <v>-66384</v>
      </c>
    </row>
    <row r="276" spans="1:16" x14ac:dyDescent="0.25">
      <c r="A276" s="18">
        <f t="shared" si="220"/>
        <v>224</v>
      </c>
      <c r="B276" s="17" t="s">
        <v>0</v>
      </c>
      <c r="C276" s="36"/>
      <c r="D276" s="36"/>
      <c r="K276" s="81"/>
    </row>
    <row r="277" spans="1:16" ht="13" x14ac:dyDescent="0.3">
      <c r="A277" s="18">
        <f t="shared" si="220"/>
        <v>225</v>
      </c>
      <c r="B277" s="75" t="s">
        <v>158</v>
      </c>
      <c r="C277" s="85">
        <f t="shared" ref="C277:J277" si="249">+C43+C55+C62+C71+C76+C80+C84+C90+C95+C99+C126+C173+C177+C223+C238+C243+C247+C251+C265+C275</f>
        <v>-65385559.039999992</v>
      </c>
      <c r="D277" s="85">
        <f t="shared" si="249"/>
        <v>16013050</v>
      </c>
      <c r="E277" s="85">
        <f t="shared" si="249"/>
        <v>-11500538.810000001</v>
      </c>
      <c r="F277" s="85">
        <f t="shared" si="249"/>
        <v>4512511.1900000004</v>
      </c>
      <c r="G277" s="85">
        <f t="shared" si="249"/>
        <v>0</v>
      </c>
      <c r="H277" s="85">
        <f t="shared" si="249"/>
        <v>4512511.1900000004</v>
      </c>
      <c r="I277" s="85">
        <f t="shared" si="249"/>
        <v>0</v>
      </c>
      <c r="J277" s="85">
        <f t="shared" si="249"/>
        <v>4512511.1900000004</v>
      </c>
      <c r="K277" s="24"/>
      <c r="L277" s="85">
        <f>+L43+L55+L62+L71+L76+L80+L84+L90+L95+L99+L126+L173+L177+L223+L238+L243+L247+L251+L265+L275</f>
        <v>4429310</v>
      </c>
      <c r="N277" s="85">
        <f>+N43+N55+N62+N71+N76+N80+N84+N90+N95+N99+N126+N173+N177+N223+N238+N243+N247+N251+N265+N275</f>
        <v>10486154</v>
      </c>
      <c r="O277" s="85">
        <f>+O43+O55+O62+O71+O76+O80+O84+O90+O95+O99+O126+O173+O177+O223+O238+O243+O247+O251+O265+O275</f>
        <v>14915464</v>
      </c>
    </row>
    <row r="278" spans="1:16" x14ac:dyDescent="0.25">
      <c r="A278" s="18">
        <f t="shared" si="220"/>
        <v>226</v>
      </c>
      <c r="B278" s="17" t="s">
        <v>0</v>
      </c>
      <c r="C278" s="36"/>
      <c r="D278" s="36"/>
      <c r="K278" s="81"/>
    </row>
    <row r="279" spans="1:16" x14ac:dyDescent="0.25">
      <c r="A279" s="18">
        <f t="shared" si="220"/>
        <v>227</v>
      </c>
      <c r="C279" s="36"/>
      <c r="D279" s="36"/>
      <c r="F279" s="36"/>
      <c r="G279" s="36"/>
      <c r="H279" s="36"/>
      <c r="I279" s="36"/>
      <c r="J279" s="36"/>
      <c r="K279" s="81"/>
      <c r="L279" s="36"/>
      <c r="N279" s="36"/>
      <c r="O279" s="36"/>
    </row>
    <row r="280" spans="1:16" x14ac:dyDescent="0.25">
      <c r="A280" s="18">
        <f t="shared" si="220"/>
        <v>228</v>
      </c>
      <c r="C280" s="36"/>
      <c r="D280" s="36"/>
      <c r="F280" s="36"/>
      <c r="G280" s="36"/>
      <c r="H280" s="36"/>
      <c r="I280" s="36"/>
      <c r="J280" s="36"/>
      <c r="K280" s="81"/>
      <c r="L280" s="36"/>
      <c r="N280" s="36"/>
      <c r="O280" s="36"/>
    </row>
    <row r="281" spans="1:16" ht="13" x14ac:dyDescent="0.3">
      <c r="A281" s="18">
        <f t="shared" si="220"/>
        <v>229</v>
      </c>
      <c r="B281" s="75" t="s">
        <v>159</v>
      </c>
      <c r="C281" s="36"/>
      <c r="D281" s="36"/>
      <c r="F281" s="36"/>
      <c r="G281" s="36"/>
      <c r="H281" s="36"/>
      <c r="I281" s="36"/>
      <c r="J281" s="36"/>
      <c r="K281" s="81"/>
      <c r="L281" s="36"/>
      <c r="N281" s="36"/>
      <c r="O281" s="36"/>
    </row>
    <row r="282" spans="1:16" x14ac:dyDescent="0.25">
      <c r="A282" s="18">
        <f t="shared" si="220"/>
        <v>230</v>
      </c>
      <c r="B282" s="17" t="s">
        <v>160</v>
      </c>
      <c r="C282" s="36">
        <v>0</v>
      </c>
      <c r="D282" s="36">
        <v>0</v>
      </c>
      <c r="E282" s="105">
        <v>-26</v>
      </c>
      <c r="F282" s="36">
        <f t="shared" ref="F282:F287" si="250">SUM(D282:E282)</f>
        <v>-26</v>
      </c>
      <c r="G282" s="27">
        <v>0</v>
      </c>
      <c r="H282" s="27">
        <f t="shared" ref="H282:H287" si="251">+F282+G282</f>
        <v>-26</v>
      </c>
      <c r="I282" s="27">
        <v>0</v>
      </c>
      <c r="J282" s="27">
        <f t="shared" ref="J282:J285" si="252">+H282+I282</f>
        <v>-26</v>
      </c>
      <c r="K282" s="51">
        <f t="shared" ref="K282:K287" si="253">VLOOKUP(M282,$C$299:$D$313,2,FALSE)</f>
        <v>0.98499999999999999</v>
      </c>
      <c r="L282" s="42">
        <f t="shared" ref="L282:L285" si="254">IF(J282*K282=0,0, ROUND(J282*K282,0))</f>
        <v>-26</v>
      </c>
      <c r="M282" s="18" t="s">
        <v>225</v>
      </c>
      <c r="N282" s="27">
        <v>0</v>
      </c>
      <c r="O282" s="27">
        <f t="shared" ref="O282:O287" si="255">L282+N282</f>
        <v>-26</v>
      </c>
      <c r="P282" s="27"/>
    </row>
    <row r="283" spans="1:16" x14ac:dyDescent="0.25">
      <c r="A283" s="18">
        <f t="shared" si="220"/>
        <v>231</v>
      </c>
      <c r="B283" s="17" t="s">
        <v>161</v>
      </c>
      <c r="C283" s="36">
        <v>0</v>
      </c>
      <c r="D283" s="36">
        <v>0</v>
      </c>
      <c r="E283" s="105">
        <v>0</v>
      </c>
      <c r="F283" s="36">
        <f t="shared" si="250"/>
        <v>0</v>
      </c>
      <c r="G283" s="27">
        <v>0</v>
      </c>
      <c r="H283" s="27">
        <f t="shared" si="251"/>
        <v>0</v>
      </c>
      <c r="I283" s="27">
        <v>0</v>
      </c>
      <c r="J283" s="27">
        <f t="shared" si="252"/>
        <v>0</v>
      </c>
      <c r="K283" s="51">
        <f t="shared" si="253"/>
        <v>0.98499999999999999</v>
      </c>
      <c r="L283" s="42">
        <f t="shared" si="254"/>
        <v>0</v>
      </c>
      <c r="M283" s="18" t="s">
        <v>225</v>
      </c>
      <c r="N283" s="27">
        <v>0</v>
      </c>
      <c r="O283" s="27">
        <f t="shared" si="255"/>
        <v>0</v>
      </c>
      <c r="P283" s="27"/>
    </row>
    <row r="284" spans="1:16" x14ac:dyDescent="0.25">
      <c r="A284" s="18">
        <f t="shared" si="220"/>
        <v>232</v>
      </c>
      <c r="B284" s="17" t="s">
        <v>350</v>
      </c>
      <c r="C284" s="36">
        <v>0</v>
      </c>
      <c r="D284" s="36">
        <v>0</v>
      </c>
      <c r="E284" s="105">
        <v>0</v>
      </c>
      <c r="F284" s="36">
        <f t="shared" si="250"/>
        <v>0</v>
      </c>
      <c r="G284" s="27">
        <v>0</v>
      </c>
      <c r="H284" s="27">
        <f t="shared" si="251"/>
        <v>0</v>
      </c>
      <c r="I284" s="27">
        <v>0</v>
      </c>
      <c r="J284" s="27">
        <f t="shared" si="252"/>
        <v>0</v>
      </c>
      <c r="K284" s="51">
        <f t="shared" si="253"/>
        <v>0.98499999999999999</v>
      </c>
      <c r="L284" s="42">
        <f t="shared" si="254"/>
        <v>0</v>
      </c>
      <c r="M284" s="18" t="s">
        <v>225</v>
      </c>
      <c r="N284" s="27">
        <v>0</v>
      </c>
      <c r="O284" s="27">
        <f t="shared" si="255"/>
        <v>0</v>
      </c>
      <c r="P284" s="27"/>
    </row>
    <row r="285" spans="1:16" x14ac:dyDescent="0.25">
      <c r="A285" s="18">
        <f t="shared" si="220"/>
        <v>233</v>
      </c>
      <c r="B285" s="17" t="s">
        <v>351</v>
      </c>
      <c r="C285" s="36">
        <v>0</v>
      </c>
      <c r="D285" s="36">
        <v>0</v>
      </c>
      <c r="E285" s="105">
        <v>0</v>
      </c>
      <c r="F285" s="36">
        <f t="shared" si="250"/>
        <v>0</v>
      </c>
      <c r="G285" s="27">
        <v>0</v>
      </c>
      <c r="H285" s="27">
        <f t="shared" si="251"/>
        <v>0</v>
      </c>
      <c r="I285" s="27">
        <v>0</v>
      </c>
      <c r="J285" s="27">
        <f t="shared" si="252"/>
        <v>0</v>
      </c>
      <c r="K285" s="51">
        <f t="shared" si="253"/>
        <v>0.98499999999999999</v>
      </c>
      <c r="L285" s="42">
        <f t="shared" si="254"/>
        <v>0</v>
      </c>
      <c r="M285" s="18" t="s">
        <v>225</v>
      </c>
      <c r="N285" s="27">
        <v>0</v>
      </c>
      <c r="O285" s="27">
        <f t="shared" si="255"/>
        <v>0</v>
      </c>
      <c r="P285" s="27"/>
    </row>
    <row r="286" spans="1:16" x14ac:dyDescent="0.25">
      <c r="A286" s="18">
        <f t="shared" si="220"/>
        <v>234</v>
      </c>
      <c r="B286" s="17" t="s">
        <v>352</v>
      </c>
      <c r="C286" s="36">
        <v>0</v>
      </c>
      <c r="D286" s="36">
        <v>0</v>
      </c>
      <c r="E286" s="105">
        <v>0</v>
      </c>
      <c r="F286" s="36">
        <f t="shared" ref="F286" si="256">SUM(D286:E286)</f>
        <v>0</v>
      </c>
      <c r="G286" s="27">
        <v>0</v>
      </c>
      <c r="H286" s="27">
        <f t="shared" ref="H286" si="257">+F286+G286</f>
        <v>0</v>
      </c>
      <c r="I286" s="27">
        <v>0</v>
      </c>
      <c r="J286" s="27">
        <f t="shared" ref="J286" si="258">+H286+I286</f>
        <v>0</v>
      </c>
      <c r="K286" s="51">
        <f t="shared" si="253"/>
        <v>0.98499999999999999</v>
      </c>
      <c r="L286" s="42">
        <f t="shared" ref="L286:L287" si="259">IF(J286*K286=0,0, ROUND(J286*K286,0))</f>
        <v>0</v>
      </c>
      <c r="M286" s="18" t="s">
        <v>225</v>
      </c>
      <c r="N286" s="27">
        <v>0</v>
      </c>
      <c r="O286" s="27">
        <f t="shared" si="255"/>
        <v>0</v>
      </c>
      <c r="P286" s="27"/>
    </row>
    <row r="287" spans="1:16" x14ac:dyDescent="0.25">
      <c r="A287" s="18">
        <f t="shared" si="220"/>
        <v>235</v>
      </c>
      <c r="B287" s="17" t="s">
        <v>297</v>
      </c>
      <c r="C287" s="36">
        <v>0</v>
      </c>
      <c r="D287" s="36">
        <v>0</v>
      </c>
      <c r="E287" s="58">
        <v>0</v>
      </c>
      <c r="F287" s="37">
        <f t="shared" si="250"/>
        <v>0</v>
      </c>
      <c r="G287" s="37">
        <v>0</v>
      </c>
      <c r="H287" s="27">
        <f t="shared" si="251"/>
        <v>0</v>
      </c>
      <c r="I287" s="37">
        <v>0</v>
      </c>
      <c r="J287" s="37">
        <f>+H287+I287</f>
        <v>0</v>
      </c>
      <c r="K287" s="51">
        <f t="shared" si="253"/>
        <v>0.98499999999999999</v>
      </c>
      <c r="L287" s="42">
        <f t="shared" si="259"/>
        <v>0</v>
      </c>
      <c r="M287" s="18" t="s">
        <v>225</v>
      </c>
      <c r="N287" s="37">
        <v>0</v>
      </c>
      <c r="O287" s="27">
        <f t="shared" si="255"/>
        <v>0</v>
      </c>
      <c r="P287" s="27"/>
    </row>
    <row r="288" spans="1:16" ht="13" x14ac:dyDescent="0.3">
      <c r="A288" s="18">
        <f t="shared" si="220"/>
        <v>236</v>
      </c>
      <c r="B288" s="75" t="s">
        <v>216</v>
      </c>
      <c r="C288" s="78">
        <f t="shared" ref="C288:J288" si="260">SUM(C282:C287)</f>
        <v>0</v>
      </c>
      <c r="D288" s="78">
        <f t="shared" si="260"/>
        <v>0</v>
      </c>
      <c r="E288" s="78">
        <f t="shared" si="260"/>
        <v>-26</v>
      </c>
      <c r="F288" s="78">
        <f t="shared" si="260"/>
        <v>-26</v>
      </c>
      <c r="G288" s="78">
        <f t="shared" ref="G288" si="261">SUM(G282:G287)</f>
        <v>0</v>
      </c>
      <c r="H288" s="78">
        <f t="shared" si="260"/>
        <v>-26</v>
      </c>
      <c r="I288" s="78">
        <f t="shared" si="260"/>
        <v>0</v>
      </c>
      <c r="J288" s="78">
        <f t="shared" si="260"/>
        <v>-26</v>
      </c>
      <c r="K288" s="24"/>
      <c r="L288" s="78">
        <f>SUM(L282:L287)</f>
        <v>-26</v>
      </c>
      <c r="M288" s="36"/>
      <c r="N288" s="78">
        <f t="shared" ref="N288:O288" si="262">SUM(N282:N287)</f>
        <v>0</v>
      </c>
      <c r="O288" s="78">
        <f t="shared" si="262"/>
        <v>-26</v>
      </c>
    </row>
    <row r="289" spans="1:15" x14ac:dyDescent="0.25">
      <c r="A289" s="18">
        <f t="shared" si="220"/>
        <v>237</v>
      </c>
      <c r="K289" s="81"/>
    </row>
    <row r="290" spans="1:15" x14ac:dyDescent="0.25">
      <c r="A290" s="18">
        <f t="shared" si="220"/>
        <v>238</v>
      </c>
    </row>
    <row r="291" spans="1:15" x14ac:dyDescent="0.25">
      <c r="A291" s="18">
        <f t="shared" si="220"/>
        <v>239</v>
      </c>
    </row>
    <row r="292" spans="1:15" ht="13.5" thickBot="1" x14ac:dyDescent="0.35">
      <c r="A292" s="18">
        <f t="shared" si="220"/>
        <v>240</v>
      </c>
      <c r="B292" s="75" t="s">
        <v>162</v>
      </c>
      <c r="C292" s="100">
        <f t="shared" ref="C292:J292" si="263">+C277+C288</f>
        <v>-65385559.039999992</v>
      </c>
      <c r="D292" s="100">
        <f t="shared" si="263"/>
        <v>16013050</v>
      </c>
      <c r="E292" s="100">
        <f t="shared" si="263"/>
        <v>-11500564.810000001</v>
      </c>
      <c r="F292" s="100">
        <f t="shared" si="263"/>
        <v>4512485.1900000004</v>
      </c>
      <c r="G292" s="100">
        <f t="shared" ref="G292" si="264">+G277+G288</f>
        <v>0</v>
      </c>
      <c r="H292" s="100">
        <f t="shared" si="263"/>
        <v>4512485.1900000004</v>
      </c>
      <c r="I292" s="100">
        <f t="shared" si="263"/>
        <v>0</v>
      </c>
      <c r="J292" s="100">
        <f t="shared" si="263"/>
        <v>4512485.1900000004</v>
      </c>
      <c r="L292" s="100">
        <f>+L277+L288</f>
        <v>4429284</v>
      </c>
      <c r="N292" s="100">
        <f t="shared" ref="N292:O292" si="265">+N277+N288</f>
        <v>10486154</v>
      </c>
      <c r="O292" s="100">
        <f t="shared" si="265"/>
        <v>14915438</v>
      </c>
    </row>
    <row r="293" spans="1:15" ht="13" thickTop="1" x14ac:dyDescent="0.25">
      <c r="A293" s="18">
        <f t="shared" si="220"/>
        <v>241</v>
      </c>
    </row>
    <row r="294" spans="1:15" x14ac:dyDescent="0.25">
      <c r="C294" s="36"/>
      <c r="F294" s="36"/>
      <c r="L294" s="36"/>
      <c r="N294" s="36"/>
      <c r="O294" s="36"/>
    </row>
    <row r="295" spans="1:15" x14ac:dyDescent="0.25">
      <c r="C295" s="27"/>
      <c r="F295" s="27"/>
      <c r="N295" s="27"/>
    </row>
    <row r="296" spans="1:15" x14ac:dyDescent="0.25">
      <c r="F296" s="148"/>
    </row>
    <row r="297" spans="1:15" x14ac:dyDescent="0.25">
      <c r="G297" s="38"/>
      <c r="H297" s="38"/>
      <c r="I297" s="38"/>
      <c r="J297" s="38"/>
      <c r="K297" s="38"/>
      <c r="N297" s="38"/>
      <c r="O297" s="38"/>
    </row>
    <row r="298" spans="1:15" ht="13" x14ac:dyDescent="0.3">
      <c r="C298" s="93" t="s">
        <v>226</v>
      </c>
      <c r="D298" s="94"/>
      <c r="G298" s="38"/>
      <c r="H298" s="38"/>
      <c r="I298" s="38"/>
      <c r="J298" s="38"/>
      <c r="K298" s="38"/>
      <c r="N298" s="38"/>
      <c r="O298" s="38"/>
    </row>
    <row r="299" spans="1:15" x14ac:dyDescent="0.25">
      <c r="C299" s="47" t="str">
        <f>'CFIT Schedules'!C308</f>
        <v>GROSS PLT</v>
      </c>
      <c r="D299" s="44">
        <f>'CFIT Schedules'!D308</f>
        <v>0.98499999999999999</v>
      </c>
      <c r="G299" s="38"/>
      <c r="H299" s="38"/>
      <c r="I299" s="38"/>
      <c r="J299" s="40"/>
      <c r="K299" s="38"/>
      <c r="N299" s="38"/>
      <c r="O299" s="38"/>
    </row>
    <row r="300" spans="1:15" x14ac:dyDescent="0.25">
      <c r="C300" s="47" t="str">
        <f>'CFIT Schedules'!C309</f>
        <v>NET PLANT</v>
      </c>
      <c r="D300" s="44">
        <f>'CFIT Schedules'!D309</f>
        <v>0.98499999999999999</v>
      </c>
      <c r="G300" s="38"/>
      <c r="H300" s="38"/>
      <c r="I300" s="38"/>
      <c r="J300" s="37"/>
      <c r="K300" s="38"/>
      <c r="N300" s="38"/>
      <c r="O300" s="38"/>
    </row>
    <row r="301" spans="1:15" x14ac:dyDescent="0.25">
      <c r="C301" s="47" t="str">
        <f>'CFIT Schedules'!C310</f>
        <v>PROD PLT</v>
      </c>
      <c r="D301" s="44">
        <f>'CFIT Schedules'!D310</f>
        <v>0.98499999999999999</v>
      </c>
      <c r="G301" s="38"/>
      <c r="H301" s="38"/>
      <c r="I301" s="38"/>
      <c r="J301" s="37"/>
      <c r="K301" s="38"/>
      <c r="N301" s="38"/>
      <c r="O301" s="38"/>
    </row>
    <row r="302" spans="1:15" x14ac:dyDescent="0.25">
      <c r="C302" s="47" t="str">
        <f>'CFIT Schedules'!C311</f>
        <v>TRAN PLT</v>
      </c>
      <c r="D302" s="44">
        <f>'CFIT Schedules'!D311</f>
        <v>0.98499999999999999</v>
      </c>
      <c r="G302" s="38"/>
      <c r="H302" s="38"/>
      <c r="I302" s="38"/>
      <c r="J302" s="41"/>
      <c r="K302" s="38"/>
    </row>
    <row r="303" spans="1:15" x14ac:dyDescent="0.25">
      <c r="C303" s="47" t="str">
        <f>'CFIT Schedules'!C312</f>
        <v>DIST PLT</v>
      </c>
      <c r="D303" s="44">
        <f>'CFIT Schedules'!D312</f>
        <v>0.999</v>
      </c>
      <c r="G303" s="38"/>
      <c r="H303" s="38"/>
      <c r="I303" s="38"/>
      <c r="J303" s="38"/>
      <c r="K303" s="38"/>
    </row>
    <row r="304" spans="1:15" x14ac:dyDescent="0.25">
      <c r="C304" s="47" t="str">
        <f>'CFIT Schedules'!C313</f>
        <v>T&amp;D PLT</v>
      </c>
      <c r="D304" s="44">
        <f>'CFIT Schedules'!D313</f>
        <v>0.99299999999999999</v>
      </c>
      <c r="G304" s="38"/>
      <c r="H304" s="38"/>
      <c r="I304" s="38"/>
      <c r="J304" s="38"/>
      <c r="K304" s="38"/>
    </row>
    <row r="305" spans="3:11" x14ac:dyDescent="0.25">
      <c r="C305" s="47" t="str">
        <f>'CFIT Schedules'!C314</f>
        <v>ENERGY</v>
      </c>
      <c r="D305" s="44">
        <f>'CFIT Schedules'!D314</f>
        <v>0.98599999999999999</v>
      </c>
      <c r="G305" s="38"/>
      <c r="H305" s="38"/>
      <c r="I305" s="38"/>
      <c r="J305" s="38"/>
      <c r="K305" s="38"/>
    </row>
    <row r="306" spans="3:11" x14ac:dyDescent="0.25">
      <c r="C306" s="47" t="str">
        <f>'CFIT Schedules'!C315</f>
        <v>LABOR</v>
      </c>
      <c r="D306" s="44">
        <f>'CFIT Schedules'!D315</f>
        <v>0.99</v>
      </c>
      <c r="G306" s="38"/>
      <c r="H306" s="38"/>
      <c r="I306" s="38"/>
      <c r="J306" s="37"/>
      <c r="K306" s="38"/>
    </row>
    <row r="307" spans="3:11" x14ac:dyDescent="0.25">
      <c r="C307" s="165" t="str">
        <f>'CFIT Schedules'!C316</f>
        <v>O&amp;M EXP</v>
      </c>
      <c r="D307" s="158">
        <f>'CFIT Schedules'!D316</f>
        <v>0.98</v>
      </c>
      <c r="G307" s="38"/>
      <c r="H307" s="38"/>
      <c r="I307" s="38"/>
      <c r="J307" s="38"/>
      <c r="K307" s="38"/>
    </row>
    <row r="308" spans="3:11" x14ac:dyDescent="0.25">
      <c r="C308" s="165" t="str">
        <f>'CFIT Schedules'!C317</f>
        <v>REVENUE</v>
      </c>
      <c r="D308" s="158">
        <f>'CFIT Schedules'!D317</f>
        <v>0.98299999999999998</v>
      </c>
    </row>
    <row r="309" spans="3:11" x14ac:dyDescent="0.25">
      <c r="C309" s="47" t="str">
        <f>'CFIT Schedules'!C318</f>
        <v>REVENUE-OTH</v>
      </c>
      <c r="D309" s="44">
        <f>'CFIT Schedules'!D318</f>
        <v>0</v>
      </c>
    </row>
    <row r="310" spans="3:11" x14ac:dyDescent="0.25">
      <c r="C310" s="47" t="str">
        <f>'CFIT Schedules'!C319</f>
        <v>DEMAND</v>
      </c>
      <c r="D310" s="44">
        <f>'CFIT Schedules'!D319</f>
        <v>0.98499999999999999</v>
      </c>
    </row>
    <row r="311" spans="3:11" x14ac:dyDescent="0.25">
      <c r="C311" s="47" t="str">
        <f>'CFIT Schedules'!C320</f>
        <v>SPECIFIC</v>
      </c>
      <c r="D311" s="44">
        <f>'CFIT Schedules'!D320</f>
        <v>1</v>
      </c>
    </row>
    <row r="312" spans="3:11" x14ac:dyDescent="0.25">
      <c r="C312" s="47" t="str">
        <f>'CFIT Schedules'!C321</f>
        <v>NON-APPLIC</v>
      </c>
      <c r="D312" s="44">
        <f>'CFIT Schedules'!D321</f>
        <v>0</v>
      </c>
    </row>
    <row r="313" spans="3:11" x14ac:dyDescent="0.25">
      <c r="C313" s="47" t="str">
        <f>'CFIT Schedules'!C322</f>
        <v>NON-UTILITY</v>
      </c>
      <c r="D313" s="44">
        <f>'CFIT Schedules'!D322</f>
        <v>0</v>
      </c>
    </row>
    <row r="314" spans="3:11" x14ac:dyDescent="0.25">
      <c r="C314" s="47"/>
      <c r="D314" s="44"/>
    </row>
  </sheetData>
  <mergeCells count="5">
    <mergeCell ref="A3:K3"/>
    <mergeCell ref="A4:K4"/>
    <mergeCell ref="A5:K5"/>
    <mergeCell ref="A1:K1"/>
    <mergeCell ref="A2:K2"/>
  </mergeCells>
  <phoneticPr fontId="2" type="noConversion"/>
  <pageMargins left="0.25" right="0.25" top="1" bottom="0.5" header="0.5" footer="0.5"/>
  <pageSetup scale="48" orientation="landscape" r:id="rId1"/>
  <headerFooter alignWithMargins="0"/>
  <rowBreaks count="4" manualBreakCount="4">
    <brk id="81" max="14" man="1"/>
    <brk id="127" max="14" man="1"/>
    <brk id="178" max="14" man="1"/>
    <brk id="2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4" zoomScaleNormal="100" workbookViewId="0">
      <selection activeCell="I134" sqref="I134"/>
    </sheetView>
  </sheetViews>
  <sheetFormatPr defaultColWidth="9.1796875" defaultRowHeight="13" x14ac:dyDescent="0.3"/>
  <cols>
    <col min="1" max="1" width="6.7265625" style="14" customWidth="1"/>
    <col min="2" max="2" width="58.54296875" style="14" customWidth="1"/>
    <col min="3" max="4" width="15.7265625" style="14" customWidth="1"/>
    <col min="5" max="5" width="16" style="14" customWidth="1"/>
    <col min="6" max="14" width="15.7265625" style="14" customWidth="1"/>
    <col min="15" max="15" width="10.26953125" style="14" bestFit="1" customWidth="1"/>
    <col min="16" max="16384" width="9.1796875" style="14"/>
  </cols>
  <sheetData>
    <row r="1" spans="1:14" x14ac:dyDescent="0.3">
      <c r="B1" s="106" t="s">
        <v>287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4" x14ac:dyDescent="0.3">
      <c r="B2" s="106" t="s">
        <v>182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1:14" x14ac:dyDescent="0.3">
      <c r="B3" s="106" t="str">
        <f>Summary!A4</f>
        <v>Twelve Months Ended March 31, 2020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1:14" x14ac:dyDescent="0.3">
      <c r="C4" s="107"/>
      <c r="D4" s="107"/>
      <c r="E4" s="107"/>
      <c r="F4" s="107"/>
      <c r="G4" s="107"/>
      <c r="H4" s="107"/>
      <c r="I4" s="107"/>
      <c r="J4" s="107"/>
      <c r="K4" s="107"/>
    </row>
    <row r="5" spans="1:14" ht="13.5" thickBot="1" x14ac:dyDescent="0.35">
      <c r="C5" s="107"/>
      <c r="D5" s="107"/>
      <c r="E5" s="107"/>
      <c r="F5" s="107"/>
      <c r="G5" s="107"/>
      <c r="H5" s="107"/>
      <c r="I5" s="107"/>
      <c r="J5" s="107"/>
      <c r="K5" s="107"/>
    </row>
    <row r="6" spans="1:14" ht="13.5" thickBot="1" x14ac:dyDescent="0.35">
      <c r="B6" s="121" t="s">
        <v>182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4" x14ac:dyDescent="0.3">
      <c r="C7" s="107"/>
      <c r="D7" s="107"/>
      <c r="E7" s="108" t="s">
        <v>114</v>
      </c>
      <c r="F7" s="108"/>
      <c r="G7" s="108" t="s">
        <v>114</v>
      </c>
      <c r="H7" s="107"/>
      <c r="I7" s="108" t="s">
        <v>114</v>
      </c>
      <c r="J7" s="108" t="s">
        <v>295</v>
      </c>
      <c r="K7" s="108" t="s">
        <v>295</v>
      </c>
      <c r="M7" s="108"/>
      <c r="N7" s="108"/>
    </row>
    <row r="8" spans="1:14" x14ac:dyDescent="0.3">
      <c r="C8" s="108" t="s">
        <v>114</v>
      </c>
      <c r="D8" s="108" t="s">
        <v>124</v>
      </c>
      <c r="E8" s="108" t="s">
        <v>122</v>
      </c>
      <c r="F8" s="108"/>
      <c r="G8" s="108" t="s">
        <v>122</v>
      </c>
      <c r="H8" s="108"/>
      <c r="I8" s="108" t="s">
        <v>122</v>
      </c>
      <c r="J8" s="108" t="s">
        <v>183</v>
      </c>
      <c r="K8" s="108" t="s">
        <v>183</v>
      </c>
      <c r="M8" s="108" t="s">
        <v>295</v>
      </c>
      <c r="N8" s="108" t="s">
        <v>294</v>
      </c>
    </row>
    <row r="9" spans="1:14" x14ac:dyDescent="0.3">
      <c r="C9" s="108" t="s">
        <v>115</v>
      </c>
      <c r="D9" s="108" t="s">
        <v>184</v>
      </c>
      <c r="E9" s="108" t="s">
        <v>185</v>
      </c>
      <c r="F9" s="108" t="s">
        <v>307</v>
      </c>
      <c r="G9" s="108" t="s">
        <v>303</v>
      </c>
      <c r="H9" s="108" t="s">
        <v>129</v>
      </c>
      <c r="I9" s="108" t="s">
        <v>303</v>
      </c>
      <c r="J9" s="108" t="s">
        <v>140</v>
      </c>
      <c r="K9" s="108" t="s">
        <v>142</v>
      </c>
      <c r="M9" s="108" t="s">
        <v>183</v>
      </c>
      <c r="N9" s="108" t="s">
        <v>276</v>
      </c>
    </row>
    <row r="10" spans="1:14" x14ac:dyDescent="0.3">
      <c r="A10" s="109" t="s">
        <v>223</v>
      </c>
      <c r="B10" s="74" t="s">
        <v>277</v>
      </c>
      <c r="C10" s="110" t="str">
        <f>Summary!C13</f>
        <v>12 Mo. 03/31/20</v>
      </c>
      <c r="D10" s="110" t="s">
        <v>126</v>
      </c>
      <c r="E10" s="110" t="s">
        <v>186</v>
      </c>
      <c r="F10" s="110" t="s">
        <v>130</v>
      </c>
      <c r="G10" s="110" t="s">
        <v>130</v>
      </c>
      <c r="H10" s="110" t="s">
        <v>130</v>
      </c>
      <c r="I10" s="110" t="s">
        <v>130</v>
      </c>
      <c r="J10" s="110" t="s">
        <v>141</v>
      </c>
      <c r="K10" s="110" t="s">
        <v>143</v>
      </c>
      <c r="M10" s="110" t="s">
        <v>130</v>
      </c>
      <c r="N10" s="110" t="s">
        <v>143</v>
      </c>
    </row>
    <row r="11" spans="1:14" ht="13.5" thickBot="1" x14ac:dyDescent="0.35"/>
    <row r="12" spans="1:14" ht="13.5" thickBot="1" x14ac:dyDescent="0.35">
      <c r="B12" s="111" t="s">
        <v>200</v>
      </c>
    </row>
    <row r="13" spans="1:14" x14ac:dyDescent="0.3">
      <c r="B13" s="112"/>
    </row>
    <row r="14" spans="1:14" x14ac:dyDescent="0.3">
      <c r="A14" s="69">
        <v>1</v>
      </c>
      <c r="B14" s="113" t="s">
        <v>214</v>
      </c>
      <c r="C14" s="10">
        <f>'CFIT Schedules'!C18</f>
        <v>46901904.079999998</v>
      </c>
      <c r="D14" s="10">
        <f>'CFIT Schedules'!D18</f>
        <v>-2882814</v>
      </c>
      <c r="E14" s="10">
        <f t="shared" ref="E14:E21" si="0">C14-D14</f>
        <v>49784718.079999998</v>
      </c>
      <c r="F14" s="10">
        <f>'CFIT Schedules'!F18</f>
        <v>0</v>
      </c>
      <c r="G14" s="10">
        <f>E14+F14</f>
        <v>49784718.079999998</v>
      </c>
      <c r="H14" s="10">
        <f>'CFIT Schedules'!H18</f>
        <v>0</v>
      </c>
      <c r="I14" s="10">
        <f t="shared" ref="I14:I21" si="1">G14+H14</f>
        <v>49784718.079999998</v>
      </c>
      <c r="J14" s="34" t="s">
        <v>146</v>
      </c>
      <c r="K14" s="10">
        <f>'CFIT Schedules'!K18</f>
        <v>48061702</v>
      </c>
      <c r="L14" s="34" t="s">
        <v>146</v>
      </c>
      <c r="M14" s="10">
        <f>'CFIT Schedules'!M18</f>
        <v>-46367008</v>
      </c>
      <c r="N14" s="10">
        <f>K14+M14</f>
        <v>1694694</v>
      </c>
    </row>
    <row r="15" spans="1:14" x14ac:dyDescent="0.3">
      <c r="A15" s="69">
        <f>A14+1</f>
        <v>2</v>
      </c>
      <c r="B15" s="10" t="s">
        <v>187</v>
      </c>
      <c r="C15" s="10">
        <f>'CFIT Schedules'!C276</f>
        <v>-66149164.039999992</v>
      </c>
      <c r="D15" s="10">
        <f>'CFIT Schedules'!D276</f>
        <v>-763605</v>
      </c>
      <c r="E15" s="10">
        <f t="shared" si="0"/>
        <v>-65385559.039999992</v>
      </c>
      <c r="F15" s="10">
        <f>'CFIT Schedules'!F276</f>
        <v>0</v>
      </c>
      <c r="G15" s="10">
        <f t="shared" ref="G15:G21" si="2">E15+F15</f>
        <v>-65385559.039999992</v>
      </c>
      <c r="H15" s="10">
        <f>'CFIT Schedules'!H276</f>
        <v>0</v>
      </c>
      <c r="I15" s="10">
        <f t="shared" si="1"/>
        <v>-65385559.039999992</v>
      </c>
      <c r="J15" s="34" t="s">
        <v>146</v>
      </c>
      <c r="K15" s="10">
        <f>'CFIT Schedules'!K276</f>
        <v>-64279712</v>
      </c>
      <c r="L15" s="34" t="s">
        <v>146</v>
      </c>
      <c r="M15" s="10">
        <f>'CFIT Schedules'!M276</f>
        <v>-86674</v>
      </c>
      <c r="N15" s="10">
        <f t="shared" ref="N15:N21" si="3">K15+M15</f>
        <v>-64366386</v>
      </c>
    </row>
    <row r="16" spans="1:14" x14ac:dyDescent="0.3">
      <c r="A16" s="69">
        <f t="shared" ref="A16:A79" si="4">A15+1</f>
        <v>3</v>
      </c>
      <c r="B16" s="10" t="s">
        <v>189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f t="shared" si="2"/>
        <v>0</v>
      </c>
      <c r="H16" s="10">
        <v>0</v>
      </c>
      <c r="I16" s="10">
        <f t="shared" si="1"/>
        <v>0</v>
      </c>
      <c r="J16" s="34" t="s">
        <v>146</v>
      </c>
      <c r="K16" s="10">
        <v>0</v>
      </c>
      <c r="L16" s="34" t="s">
        <v>146</v>
      </c>
      <c r="M16" s="10">
        <v>0</v>
      </c>
      <c r="N16" s="10">
        <f t="shared" si="3"/>
        <v>0</v>
      </c>
    </row>
    <row r="17" spans="1:14" x14ac:dyDescent="0.3">
      <c r="A17" s="69">
        <f t="shared" si="4"/>
        <v>4</v>
      </c>
      <c r="B17" s="10" t="s">
        <v>190</v>
      </c>
      <c r="C17" s="10">
        <v>-10558337</v>
      </c>
      <c r="D17" s="10">
        <v>0</v>
      </c>
      <c r="E17" s="10">
        <f t="shared" si="0"/>
        <v>-10558337</v>
      </c>
      <c r="F17" s="10">
        <v>0</v>
      </c>
      <c r="G17" s="10">
        <f t="shared" si="2"/>
        <v>-10558337</v>
      </c>
      <c r="H17" s="10">
        <v>0</v>
      </c>
      <c r="I17" s="10">
        <f t="shared" si="1"/>
        <v>-10558337</v>
      </c>
      <c r="J17" s="50">
        <f>VLOOKUP(L17,$C$142:$D$155,2,FALSE)</f>
        <v>0.98499999999999999</v>
      </c>
      <c r="K17" s="10">
        <f>ROUND(I17*J17,0)</f>
        <v>-10399962</v>
      </c>
      <c r="L17" s="34" t="s">
        <v>225</v>
      </c>
      <c r="M17" s="10">
        <v>0</v>
      </c>
      <c r="N17" s="10">
        <f t="shared" si="3"/>
        <v>-10399962</v>
      </c>
    </row>
    <row r="18" spans="1:14" x14ac:dyDescent="0.3">
      <c r="A18" s="69">
        <f t="shared" si="4"/>
        <v>5</v>
      </c>
      <c r="B18" s="128" t="s">
        <v>401</v>
      </c>
      <c r="C18" s="10">
        <v>-5173781</v>
      </c>
      <c r="D18" s="10">
        <v>0</v>
      </c>
      <c r="E18" s="10">
        <f t="shared" si="0"/>
        <v>-5173781</v>
      </c>
      <c r="F18" s="10">
        <v>0</v>
      </c>
      <c r="G18" s="10">
        <f t="shared" si="2"/>
        <v>-5173781</v>
      </c>
      <c r="H18" s="10">
        <v>0</v>
      </c>
      <c r="I18" s="10">
        <f t="shared" si="1"/>
        <v>-5173781</v>
      </c>
      <c r="J18" s="50">
        <f>VLOOKUP(L18,$C$142:$D$155,2,FALSE)</f>
        <v>0.98499999999999999</v>
      </c>
      <c r="K18" s="10">
        <f>ROUND(I18*J18,0)</f>
        <v>-5096174</v>
      </c>
      <c r="L18" s="34" t="s">
        <v>225</v>
      </c>
      <c r="M18" s="10">
        <v>0</v>
      </c>
      <c r="N18" s="10">
        <f t="shared" si="3"/>
        <v>-5096174</v>
      </c>
    </row>
    <row r="19" spans="1:14" x14ac:dyDescent="0.3">
      <c r="A19" s="69">
        <f t="shared" si="4"/>
        <v>6</v>
      </c>
      <c r="B19" s="10" t="s">
        <v>191</v>
      </c>
      <c r="C19" s="10">
        <f>-'CFIT Schedules'!C234</f>
        <v>0</v>
      </c>
      <c r="D19" s="10">
        <f>-'CFIT Schedules'!D234</f>
        <v>0</v>
      </c>
      <c r="E19" s="10">
        <f t="shared" si="0"/>
        <v>0</v>
      </c>
      <c r="F19" s="10">
        <f>-'CFIT Schedules'!F234</f>
        <v>0</v>
      </c>
      <c r="G19" s="10">
        <f t="shared" si="2"/>
        <v>0</v>
      </c>
      <c r="H19" s="10">
        <f>-'CFIT Schedules'!H234</f>
        <v>0</v>
      </c>
      <c r="I19" s="10">
        <f t="shared" si="1"/>
        <v>0</v>
      </c>
      <c r="J19" s="50">
        <f>VLOOKUP(L19,$C$142:$D$155,2,FALSE)</f>
        <v>0.98499999999999999</v>
      </c>
      <c r="K19" s="10">
        <f>ROUND(I19*J19,0)</f>
        <v>0</v>
      </c>
      <c r="L19" s="34" t="s">
        <v>149</v>
      </c>
      <c r="M19" s="10">
        <f>-'CFIT Schedules'!M234</f>
        <v>0</v>
      </c>
      <c r="N19" s="10">
        <f t="shared" si="3"/>
        <v>0</v>
      </c>
    </row>
    <row r="20" spans="1:14" x14ac:dyDescent="0.3">
      <c r="A20" s="69">
        <f t="shared" si="4"/>
        <v>7</v>
      </c>
      <c r="B20" s="10" t="s">
        <v>201</v>
      </c>
      <c r="C20" s="10">
        <v>0</v>
      </c>
      <c r="D20" s="10">
        <v>0</v>
      </c>
      <c r="E20" s="10">
        <f t="shared" si="0"/>
        <v>0</v>
      </c>
      <c r="F20" s="10">
        <v>0</v>
      </c>
      <c r="G20" s="10">
        <f t="shared" si="2"/>
        <v>0</v>
      </c>
      <c r="H20" s="10">
        <v>0</v>
      </c>
      <c r="I20" s="10">
        <f t="shared" si="1"/>
        <v>0</v>
      </c>
      <c r="J20" s="50">
        <f>VLOOKUP(L20,$C$142:$D$155,2,FALSE)</f>
        <v>0.98499999999999999</v>
      </c>
      <c r="K20" s="10">
        <f>ROUND(I20*J20,0)</f>
        <v>0</v>
      </c>
      <c r="L20" s="34" t="s">
        <v>225</v>
      </c>
      <c r="M20" s="10">
        <v>0</v>
      </c>
      <c r="N20" s="10">
        <f t="shared" si="3"/>
        <v>0</v>
      </c>
    </row>
    <row r="21" spans="1:14" x14ac:dyDescent="0.3">
      <c r="A21" s="69">
        <f t="shared" si="4"/>
        <v>8</v>
      </c>
      <c r="B21" s="10" t="s">
        <v>188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f t="shared" si="2"/>
        <v>0</v>
      </c>
      <c r="H21" s="11">
        <v>0</v>
      </c>
      <c r="I21" s="11">
        <f t="shared" si="1"/>
        <v>0</v>
      </c>
      <c r="J21" s="50">
        <f>VLOOKUP(L21,$C$142:$D$155,2,FALSE)</f>
        <v>0.98499999999999999</v>
      </c>
      <c r="K21" s="11">
        <f>ROUND(I21*J21,0)</f>
        <v>0</v>
      </c>
      <c r="L21" s="34" t="s">
        <v>225</v>
      </c>
      <c r="M21" s="11">
        <v>0</v>
      </c>
      <c r="N21" s="11">
        <f t="shared" si="3"/>
        <v>0</v>
      </c>
    </row>
    <row r="22" spans="1:14" x14ac:dyDescent="0.3">
      <c r="A22" s="69">
        <f t="shared" si="4"/>
        <v>9</v>
      </c>
      <c r="B22" s="10" t="s">
        <v>192</v>
      </c>
      <c r="C22" s="10">
        <f t="shared" ref="C22:I22" si="5">SUM(C14:C21)</f>
        <v>-34979377.959999993</v>
      </c>
      <c r="D22" s="10">
        <f t="shared" si="5"/>
        <v>-3646419</v>
      </c>
      <c r="E22" s="10">
        <f t="shared" si="5"/>
        <v>-31332958.959999993</v>
      </c>
      <c r="F22" s="10">
        <f t="shared" si="5"/>
        <v>0</v>
      </c>
      <c r="G22" s="10">
        <f t="shared" si="5"/>
        <v>-31332958.959999993</v>
      </c>
      <c r="H22" s="10">
        <f t="shared" si="5"/>
        <v>0</v>
      </c>
      <c r="I22" s="10">
        <f t="shared" si="5"/>
        <v>-31332958.959999993</v>
      </c>
      <c r="J22" s="35"/>
      <c r="K22" s="10">
        <f>SUM(K14:K21)</f>
        <v>-31714146</v>
      </c>
      <c r="M22" s="10">
        <f t="shared" ref="M22:N22" si="6">SUM(M14:M21)</f>
        <v>-46453682</v>
      </c>
      <c r="N22" s="10">
        <f t="shared" si="6"/>
        <v>-78167828</v>
      </c>
    </row>
    <row r="23" spans="1:14" x14ac:dyDescent="0.3">
      <c r="A23" s="69">
        <f t="shared" si="4"/>
        <v>10</v>
      </c>
      <c r="B23" s="10" t="s">
        <v>193</v>
      </c>
      <c r="C23" s="12">
        <v>0.87921800000000006</v>
      </c>
      <c r="D23" s="12"/>
      <c r="E23" s="12">
        <v>0.87921800000000006</v>
      </c>
      <c r="F23" s="12">
        <f>$E23</f>
        <v>0.87921800000000006</v>
      </c>
      <c r="G23" s="12">
        <f>$E23</f>
        <v>0.87921800000000006</v>
      </c>
      <c r="H23" s="12">
        <f>$E23</f>
        <v>0.87921800000000006</v>
      </c>
      <c r="I23" s="12">
        <f>$E23</f>
        <v>0.87921800000000006</v>
      </c>
      <c r="J23" s="31"/>
      <c r="K23" s="12">
        <f>$E23</f>
        <v>0.87921800000000006</v>
      </c>
      <c r="M23" s="12">
        <f>$E23</f>
        <v>0.87921800000000006</v>
      </c>
      <c r="N23" s="12">
        <f>$E23</f>
        <v>0.87921800000000006</v>
      </c>
    </row>
    <row r="24" spans="1:14" x14ac:dyDescent="0.3">
      <c r="A24" s="69">
        <f t="shared" si="4"/>
        <v>11</v>
      </c>
      <c r="B24" s="10" t="s">
        <v>194</v>
      </c>
      <c r="C24" s="10">
        <f t="shared" ref="C24:I24" si="7">ROUND(C22*C23,0)</f>
        <v>-30754499</v>
      </c>
      <c r="D24" s="10">
        <f>C24-E24</f>
        <v>-3205997</v>
      </c>
      <c r="E24" s="10">
        <f t="shared" si="7"/>
        <v>-27548502</v>
      </c>
      <c r="F24" s="10">
        <f t="shared" si="7"/>
        <v>0</v>
      </c>
      <c r="G24" s="10">
        <f t="shared" si="7"/>
        <v>-27548502</v>
      </c>
      <c r="H24" s="10">
        <f t="shared" si="7"/>
        <v>0</v>
      </c>
      <c r="I24" s="10">
        <f t="shared" si="7"/>
        <v>-27548502</v>
      </c>
      <c r="J24" s="33"/>
      <c r="K24" s="10">
        <f>ROUND(K22*K23,0)</f>
        <v>-27883648</v>
      </c>
      <c r="M24" s="10">
        <f t="shared" ref="M24:N24" si="8">ROUND(M22*M23,0)</f>
        <v>-40842913</v>
      </c>
      <c r="N24" s="10">
        <f t="shared" si="8"/>
        <v>-68726561</v>
      </c>
    </row>
    <row r="25" spans="1:14" x14ac:dyDescent="0.3">
      <c r="A25" s="69">
        <f t="shared" si="4"/>
        <v>12</v>
      </c>
      <c r="B25" s="10" t="s">
        <v>284</v>
      </c>
      <c r="C25" s="11">
        <v>0</v>
      </c>
      <c r="D25" s="11">
        <v>0</v>
      </c>
      <c r="E25" s="11">
        <f t="shared" ref="E25" si="9">C25-D25</f>
        <v>0</v>
      </c>
      <c r="F25" s="11">
        <v>0</v>
      </c>
      <c r="G25" s="11">
        <f>E25+F25</f>
        <v>0</v>
      </c>
      <c r="H25" s="11">
        <v>0</v>
      </c>
      <c r="I25" s="11">
        <f t="shared" ref="I25" si="10">G25+H25</f>
        <v>0</v>
      </c>
      <c r="J25" s="50">
        <f>VLOOKUP(L25,$C$142:$D$155,2,FALSE)</f>
        <v>0.98499999999999999</v>
      </c>
      <c r="K25" s="11">
        <f>ROUND(I25*J25,0)</f>
        <v>0</v>
      </c>
      <c r="L25" s="34" t="s">
        <v>225</v>
      </c>
      <c r="M25" s="11">
        <v>0</v>
      </c>
      <c r="N25" s="11">
        <f>K25+M25</f>
        <v>0</v>
      </c>
    </row>
    <row r="26" spans="1:14" x14ac:dyDescent="0.3">
      <c r="A26" s="69">
        <f t="shared" si="4"/>
        <v>13</v>
      </c>
      <c r="B26" s="10" t="s">
        <v>285</v>
      </c>
      <c r="C26" s="10">
        <f>C24+C25</f>
        <v>-30754499</v>
      </c>
      <c r="D26" s="10">
        <f t="shared" ref="D26:K26" si="11">D24+D25</f>
        <v>-3205997</v>
      </c>
      <c r="E26" s="10">
        <f t="shared" si="11"/>
        <v>-27548502</v>
      </c>
      <c r="F26" s="10">
        <f t="shared" si="11"/>
        <v>0</v>
      </c>
      <c r="G26" s="10">
        <f t="shared" si="11"/>
        <v>-27548502</v>
      </c>
      <c r="H26" s="10">
        <f t="shared" si="11"/>
        <v>0</v>
      </c>
      <c r="I26" s="10">
        <f t="shared" si="11"/>
        <v>-27548502</v>
      </c>
      <c r="J26" s="33"/>
      <c r="K26" s="10">
        <f t="shared" si="11"/>
        <v>-27883648</v>
      </c>
      <c r="M26" s="10">
        <f t="shared" ref="M26:N26" si="12">M24+M25</f>
        <v>-40842913</v>
      </c>
      <c r="N26" s="10">
        <f t="shared" si="12"/>
        <v>-68726561</v>
      </c>
    </row>
    <row r="27" spans="1:14" x14ac:dyDescent="0.3">
      <c r="A27" s="69">
        <f t="shared" si="4"/>
        <v>14</v>
      </c>
      <c r="B27" s="10" t="s">
        <v>195</v>
      </c>
      <c r="C27" s="114">
        <v>0.05</v>
      </c>
      <c r="D27" s="13">
        <f>$C27</f>
        <v>0.05</v>
      </c>
      <c r="E27" s="13">
        <f>$C27</f>
        <v>0.05</v>
      </c>
      <c r="F27" s="13">
        <f>$C27</f>
        <v>0.05</v>
      </c>
      <c r="G27" s="13">
        <f>$C27</f>
        <v>0.05</v>
      </c>
      <c r="H27" s="13"/>
      <c r="I27" s="13">
        <f>$C27</f>
        <v>0.05</v>
      </c>
      <c r="J27" s="32"/>
      <c r="K27" s="13">
        <f>$I27</f>
        <v>0.05</v>
      </c>
      <c r="M27" s="13">
        <f>$I27</f>
        <v>0.05</v>
      </c>
      <c r="N27" s="13">
        <f>$I27</f>
        <v>0.05</v>
      </c>
    </row>
    <row r="28" spans="1:14" x14ac:dyDescent="0.3">
      <c r="A28" s="69">
        <f t="shared" si="4"/>
        <v>15</v>
      </c>
      <c r="B28" s="10" t="s">
        <v>196</v>
      </c>
      <c r="C28" s="10">
        <f>ROUND(C26*C27,0)</f>
        <v>-1537725</v>
      </c>
      <c r="D28" s="10">
        <f>ROUND(D26*D27,0)</f>
        <v>-160300</v>
      </c>
      <c r="E28" s="10">
        <f>ROUND(E26*E27,0)</f>
        <v>-1377425</v>
      </c>
      <c r="F28" s="10">
        <f>ROUND(F26*F27,0)</f>
        <v>0</v>
      </c>
      <c r="G28" s="10">
        <f>ROUND(G26*G27,0)</f>
        <v>-1377425</v>
      </c>
      <c r="H28" s="10">
        <f>I28-G28</f>
        <v>0</v>
      </c>
      <c r="I28" s="10">
        <f>ROUND(I26*I27,0)</f>
        <v>-1377425</v>
      </c>
      <c r="J28" s="33"/>
      <c r="K28" s="10">
        <f>ROUND(K26*K27,0)</f>
        <v>-1394182</v>
      </c>
      <c r="M28" s="10">
        <f>ROUND(M26*M27,0)</f>
        <v>-2042146</v>
      </c>
      <c r="N28" s="10">
        <f t="shared" ref="N28:N32" si="13">K28+M28</f>
        <v>-3436328</v>
      </c>
    </row>
    <row r="29" spans="1:14" x14ac:dyDescent="0.3">
      <c r="A29" s="69">
        <f t="shared" si="4"/>
        <v>16</v>
      </c>
      <c r="B29" s="10" t="s">
        <v>197</v>
      </c>
      <c r="C29" s="10">
        <v>0</v>
      </c>
      <c r="D29" s="10">
        <f>C29</f>
        <v>0</v>
      </c>
      <c r="E29" s="10">
        <f>C29-D29</f>
        <v>0</v>
      </c>
      <c r="F29" s="10">
        <v>0</v>
      </c>
      <c r="G29" s="10">
        <f t="shared" ref="G29:G32" si="14">E29+F29</f>
        <v>0</v>
      </c>
      <c r="H29" s="10">
        <v>0</v>
      </c>
      <c r="I29" s="10">
        <f>G29+H29</f>
        <v>0</v>
      </c>
      <c r="J29" s="50">
        <f>VLOOKUP(L29,$C$142:$D$155,2,FALSE)</f>
        <v>0</v>
      </c>
      <c r="K29" s="10">
        <f>ROUND(I29*J29,0)</f>
        <v>0</v>
      </c>
      <c r="L29" s="69" t="s">
        <v>152</v>
      </c>
      <c r="M29" s="10">
        <v>0</v>
      </c>
      <c r="N29" s="10">
        <f t="shared" si="13"/>
        <v>0</v>
      </c>
    </row>
    <row r="30" spans="1:14" x14ac:dyDescent="0.3">
      <c r="A30" s="69">
        <f t="shared" si="4"/>
        <v>17</v>
      </c>
      <c r="B30" s="10" t="s">
        <v>272</v>
      </c>
      <c r="C30" s="10">
        <f>1877859+970</f>
        <v>1878829</v>
      </c>
      <c r="D30" s="10">
        <v>1878829</v>
      </c>
      <c r="E30" s="10">
        <f>C30-D30</f>
        <v>0</v>
      </c>
      <c r="F30" s="10">
        <v>0</v>
      </c>
      <c r="G30" s="10">
        <f t="shared" si="14"/>
        <v>0</v>
      </c>
      <c r="H30" s="10">
        <v>0</v>
      </c>
      <c r="I30" s="10">
        <f>G30+H30</f>
        <v>0</v>
      </c>
      <c r="J30" s="50">
        <f>VLOOKUP(L30,$C$142:$D$155,2,FALSE)</f>
        <v>0</v>
      </c>
      <c r="K30" s="10">
        <f>ROUND(I30*J30,0)</f>
        <v>0</v>
      </c>
      <c r="L30" s="69" t="s">
        <v>152</v>
      </c>
      <c r="M30" s="10">
        <v>0</v>
      </c>
      <c r="N30" s="10">
        <f t="shared" si="13"/>
        <v>0</v>
      </c>
    </row>
    <row r="31" spans="1:14" x14ac:dyDescent="0.3">
      <c r="A31" s="69">
        <f t="shared" si="4"/>
        <v>18</v>
      </c>
      <c r="B31" s="10" t="s">
        <v>197</v>
      </c>
      <c r="C31" s="10">
        <v>0</v>
      </c>
      <c r="D31" s="10">
        <f>C31</f>
        <v>0</v>
      </c>
      <c r="E31" s="10">
        <f>C31-D31</f>
        <v>0</v>
      </c>
      <c r="F31" s="10">
        <v>0</v>
      </c>
      <c r="G31" s="10">
        <f t="shared" ref="G31" si="15">E31+F31</f>
        <v>0</v>
      </c>
      <c r="H31" s="10">
        <v>0</v>
      </c>
      <c r="I31" s="10">
        <f>G31+H31</f>
        <v>0</v>
      </c>
      <c r="J31" s="50">
        <f>VLOOKUP(L31,$C$142:$D$155,2,FALSE)</f>
        <v>0</v>
      </c>
      <c r="K31" s="10">
        <f>ROUND(I31*J31,0)</f>
        <v>0</v>
      </c>
      <c r="L31" s="69" t="s">
        <v>152</v>
      </c>
      <c r="M31" s="10">
        <v>0</v>
      </c>
      <c r="N31" s="10">
        <f t="shared" ref="N31" si="16">K31+M31</f>
        <v>0</v>
      </c>
    </row>
    <row r="32" spans="1:14" x14ac:dyDescent="0.3">
      <c r="A32" s="69">
        <f t="shared" si="4"/>
        <v>19</v>
      </c>
      <c r="B32" s="10" t="s">
        <v>197</v>
      </c>
      <c r="C32" s="10">
        <v>0</v>
      </c>
      <c r="D32" s="10">
        <f>C32</f>
        <v>0</v>
      </c>
      <c r="E32" s="11">
        <f>C32-D32</f>
        <v>0</v>
      </c>
      <c r="F32" s="11">
        <v>0</v>
      </c>
      <c r="G32" s="10">
        <f t="shared" si="14"/>
        <v>0</v>
      </c>
      <c r="H32" s="11">
        <v>0</v>
      </c>
      <c r="I32" s="10">
        <f>G32+H32</f>
        <v>0</v>
      </c>
      <c r="J32" s="50">
        <f>VLOOKUP(L32,$C$142:$D$155,2,FALSE)</f>
        <v>0</v>
      </c>
      <c r="K32" s="11">
        <f>ROUND(I32*J32,0)</f>
        <v>0</v>
      </c>
      <c r="L32" s="69" t="s">
        <v>152</v>
      </c>
      <c r="M32" s="11">
        <v>0</v>
      </c>
      <c r="N32" s="10">
        <f t="shared" si="13"/>
        <v>0</v>
      </c>
    </row>
    <row r="33" spans="1:14" ht="13.5" thickBot="1" x14ac:dyDescent="0.35">
      <c r="A33" s="69">
        <f t="shared" si="4"/>
        <v>20</v>
      </c>
      <c r="B33" s="10" t="s">
        <v>202</v>
      </c>
      <c r="C33" s="15">
        <f t="shared" ref="C33:I33" si="17">SUM(C28:C32)</f>
        <v>341104</v>
      </c>
      <c r="D33" s="15">
        <f t="shared" si="17"/>
        <v>1718529</v>
      </c>
      <c r="E33" s="15">
        <f t="shared" si="17"/>
        <v>-1377425</v>
      </c>
      <c r="F33" s="15">
        <f t="shared" si="17"/>
        <v>0</v>
      </c>
      <c r="G33" s="15">
        <f t="shared" si="17"/>
        <v>-1377425</v>
      </c>
      <c r="H33" s="15">
        <f t="shared" si="17"/>
        <v>0</v>
      </c>
      <c r="I33" s="15">
        <f t="shared" si="17"/>
        <v>-1377425</v>
      </c>
      <c r="J33" s="33"/>
      <c r="K33" s="15">
        <f>SUM(K28:K32)</f>
        <v>-1394182</v>
      </c>
      <c r="M33" s="15">
        <f>SUM(M28:M32)</f>
        <v>-2042146</v>
      </c>
      <c r="N33" s="15">
        <f>SUM(N28:N32)</f>
        <v>-3436328</v>
      </c>
    </row>
    <row r="34" spans="1:14" ht="13.5" thickTop="1" x14ac:dyDescent="0.3">
      <c r="A34" s="69">
        <f t="shared" si="4"/>
        <v>21</v>
      </c>
      <c r="B34" s="10"/>
      <c r="C34" s="10"/>
      <c r="D34" s="10"/>
      <c r="E34" s="10"/>
      <c r="F34" s="10"/>
      <c r="G34" s="10"/>
      <c r="H34" s="10"/>
      <c r="I34" s="10"/>
      <c r="J34" s="35"/>
      <c r="K34" s="10"/>
      <c r="M34" s="10"/>
      <c r="N34" s="10"/>
    </row>
    <row r="35" spans="1:14" x14ac:dyDescent="0.3">
      <c r="A35" s="69">
        <f t="shared" si="4"/>
        <v>22</v>
      </c>
      <c r="B35" s="10"/>
      <c r="C35" s="10"/>
      <c r="D35" s="10"/>
      <c r="E35" s="10"/>
      <c r="F35" s="10"/>
      <c r="G35" s="10"/>
      <c r="H35" s="10"/>
      <c r="I35" s="10"/>
      <c r="J35" s="35"/>
      <c r="K35" s="10"/>
      <c r="M35" s="10"/>
      <c r="N35" s="10"/>
    </row>
    <row r="36" spans="1:14" x14ac:dyDescent="0.3">
      <c r="A36" s="69">
        <f t="shared" si="4"/>
        <v>23</v>
      </c>
      <c r="B36" s="10"/>
      <c r="C36" s="10"/>
      <c r="J36" s="69"/>
    </row>
    <row r="37" spans="1:14" ht="13.5" thickBot="1" x14ac:dyDescent="0.35">
      <c r="A37" s="69">
        <f t="shared" si="4"/>
        <v>24</v>
      </c>
      <c r="J37" s="69"/>
    </row>
    <row r="38" spans="1:14" ht="13.5" thickBot="1" x14ac:dyDescent="0.35">
      <c r="A38" s="69">
        <f t="shared" si="4"/>
        <v>25</v>
      </c>
      <c r="B38" s="111" t="s">
        <v>198</v>
      </c>
      <c r="J38" s="69"/>
    </row>
    <row r="39" spans="1:14" x14ac:dyDescent="0.3">
      <c r="A39" s="69">
        <f t="shared" si="4"/>
        <v>26</v>
      </c>
      <c r="B39" s="112"/>
      <c r="J39" s="69"/>
    </row>
    <row r="40" spans="1:14" x14ac:dyDescent="0.3">
      <c r="A40" s="69">
        <f t="shared" si="4"/>
        <v>27</v>
      </c>
      <c r="B40" s="113" t="s">
        <v>214</v>
      </c>
      <c r="C40" s="10">
        <f>C$14</f>
        <v>46901904.079999998</v>
      </c>
      <c r="D40" s="10">
        <f>D$14</f>
        <v>-2882814</v>
      </c>
      <c r="E40" s="10">
        <f t="shared" ref="E40:E47" si="18">C40-D40</f>
        <v>49784718.079999998</v>
      </c>
      <c r="F40" s="10">
        <f>F$14</f>
        <v>0</v>
      </c>
      <c r="G40" s="10">
        <f>E40+F40</f>
        <v>49784718.079999998</v>
      </c>
      <c r="H40" s="10">
        <f>H$14</f>
        <v>0</v>
      </c>
      <c r="I40" s="10">
        <f t="shared" ref="I40:I47" si="19">G40+H40</f>
        <v>49784718.079999998</v>
      </c>
      <c r="J40" s="34" t="s">
        <v>146</v>
      </c>
      <c r="K40" s="10">
        <f>K14</f>
        <v>48061702</v>
      </c>
      <c r="L40" s="34" t="s">
        <v>146</v>
      </c>
      <c r="M40" s="10">
        <f>M$14</f>
        <v>-46367008</v>
      </c>
      <c r="N40" s="10">
        <f t="shared" ref="N40:N47" si="20">K40+M40</f>
        <v>1694694</v>
      </c>
    </row>
    <row r="41" spans="1:14" x14ac:dyDescent="0.3">
      <c r="A41" s="69">
        <f t="shared" si="4"/>
        <v>28</v>
      </c>
      <c r="B41" s="10" t="s">
        <v>187</v>
      </c>
      <c r="C41" s="10">
        <f>C$15</f>
        <v>-66149164.039999992</v>
      </c>
      <c r="D41" s="10">
        <f>D$15</f>
        <v>-763605</v>
      </c>
      <c r="E41" s="10">
        <f t="shared" si="18"/>
        <v>-65385559.039999992</v>
      </c>
      <c r="F41" s="10">
        <f>F$15</f>
        <v>0</v>
      </c>
      <c r="G41" s="10">
        <f t="shared" ref="G41:G47" si="21">E41+F41</f>
        <v>-65385559.039999992</v>
      </c>
      <c r="H41" s="10">
        <f>H$15</f>
        <v>0</v>
      </c>
      <c r="I41" s="10">
        <f t="shared" si="19"/>
        <v>-65385559.039999992</v>
      </c>
      <c r="J41" s="34" t="s">
        <v>146</v>
      </c>
      <c r="K41" s="10">
        <f>K15</f>
        <v>-64279712</v>
      </c>
      <c r="L41" s="34" t="s">
        <v>146</v>
      </c>
      <c r="M41" s="10">
        <f>M$15</f>
        <v>-86674</v>
      </c>
      <c r="N41" s="10">
        <f t="shared" si="20"/>
        <v>-64366386</v>
      </c>
    </row>
    <row r="42" spans="1:14" x14ac:dyDescent="0.3">
      <c r="A42" s="69">
        <f t="shared" si="4"/>
        <v>29</v>
      </c>
      <c r="B42" s="10" t="s">
        <v>189</v>
      </c>
      <c r="C42" s="10">
        <f>C16</f>
        <v>0</v>
      </c>
      <c r="D42" s="10">
        <f>D16</f>
        <v>0</v>
      </c>
      <c r="E42" s="10">
        <f t="shared" si="18"/>
        <v>0</v>
      </c>
      <c r="F42" s="10">
        <f>F16</f>
        <v>0</v>
      </c>
      <c r="G42" s="10">
        <f t="shared" si="21"/>
        <v>0</v>
      </c>
      <c r="H42" s="10">
        <f>H16</f>
        <v>0</v>
      </c>
      <c r="I42" s="10">
        <f t="shared" si="19"/>
        <v>0</v>
      </c>
      <c r="J42" s="34" t="s">
        <v>146</v>
      </c>
      <c r="K42" s="10">
        <f>K16</f>
        <v>0</v>
      </c>
      <c r="L42" s="34" t="s">
        <v>146</v>
      </c>
      <c r="M42" s="10">
        <f>M16</f>
        <v>0</v>
      </c>
      <c r="N42" s="10">
        <f t="shared" si="20"/>
        <v>0</v>
      </c>
    </row>
    <row r="43" spans="1:14" x14ac:dyDescent="0.3">
      <c r="A43" s="69">
        <f t="shared" si="4"/>
        <v>30</v>
      </c>
      <c r="B43" s="10" t="s">
        <v>190</v>
      </c>
      <c r="C43" s="10">
        <v>-8416533</v>
      </c>
      <c r="D43" s="10">
        <v>0</v>
      </c>
      <c r="E43" s="10">
        <f t="shared" si="18"/>
        <v>-8416533</v>
      </c>
      <c r="F43" s="10">
        <v>0</v>
      </c>
      <c r="G43" s="10">
        <f t="shared" si="21"/>
        <v>-8416533</v>
      </c>
      <c r="H43" s="10">
        <v>0</v>
      </c>
      <c r="I43" s="10">
        <f t="shared" si="19"/>
        <v>-8416533</v>
      </c>
      <c r="J43" s="50">
        <f>VLOOKUP(L43,$C$142:$D$155,2,FALSE)</f>
        <v>0.98499999999999999</v>
      </c>
      <c r="K43" s="10">
        <f>ROUND(I43*J43,0)</f>
        <v>-8290285</v>
      </c>
      <c r="L43" s="34" t="s">
        <v>225</v>
      </c>
      <c r="M43" s="10">
        <v>0</v>
      </c>
      <c r="N43" s="10">
        <f t="shared" si="20"/>
        <v>-8290285</v>
      </c>
    </row>
    <row r="44" spans="1:14" x14ac:dyDescent="0.3">
      <c r="A44" s="69">
        <f t="shared" si="4"/>
        <v>31</v>
      </c>
      <c r="B44" s="10" t="str">
        <f>B18</f>
        <v>Add (Subtract): Tax Depreciation Lookback</v>
      </c>
      <c r="C44" s="10">
        <v>-5173781</v>
      </c>
      <c r="D44" s="10">
        <v>0</v>
      </c>
      <c r="E44" s="10">
        <f t="shared" si="18"/>
        <v>-5173781</v>
      </c>
      <c r="F44" s="10">
        <v>0</v>
      </c>
      <c r="G44" s="10">
        <f t="shared" si="21"/>
        <v>-5173781</v>
      </c>
      <c r="H44" s="10">
        <v>0</v>
      </c>
      <c r="I44" s="10">
        <f t="shared" si="19"/>
        <v>-5173781</v>
      </c>
      <c r="J44" s="50">
        <f>VLOOKUP(L44,$C$142:$D$155,2,FALSE)</f>
        <v>0.98499999999999999</v>
      </c>
      <c r="K44" s="10">
        <f>ROUND(I44*J44,0)</f>
        <v>-5096174</v>
      </c>
      <c r="L44" s="34" t="s">
        <v>149</v>
      </c>
      <c r="M44" s="10">
        <v>0</v>
      </c>
      <c r="N44" s="10">
        <f t="shared" si="20"/>
        <v>-5096174</v>
      </c>
    </row>
    <row r="45" spans="1:14" x14ac:dyDescent="0.3">
      <c r="A45" s="69">
        <f t="shared" si="4"/>
        <v>32</v>
      </c>
      <c r="B45" s="10" t="s">
        <v>191</v>
      </c>
      <c r="C45" s="10">
        <f>C$19</f>
        <v>0</v>
      </c>
      <c r="D45" s="10">
        <f>D$19</f>
        <v>0</v>
      </c>
      <c r="E45" s="10">
        <f t="shared" si="18"/>
        <v>0</v>
      </c>
      <c r="F45" s="10">
        <f>F$19</f>
        <v>0</v>
      </c>
      <c r="G45" s="10">
        <f t="shared" si="21"/>
        <v>0</v>
      </c>
      <c r="H45" s="10">
        <f>H$19</f>
        <v>0</v>
      </c>
      <c r="I45" s="10">
        <f t="shared" si="19"/>
        <v>0</v>
      </c>
      <c r="J45" s="50">
        <f>VLOOKUP(L45,$C$142:$D$155,2,FALSE)</f>
        <v>0.98499999999999999</v>
      </c>
      <c r="K45" s="10">
        <f>ROUND(I45*J45,0)</f>
        <v>0</v>
      </c>
      <c r="L45" s="34" t="s">
        <v>149</v>
      </c>
      <c r="M45" s="10">
        <f>M$19</f>
        <v>0</v>
      </c>
      <c r="N45" s="10">
        <f t="shared" si="20"/>
        <v>0</v>
      </c>
    </row>
    <row r="46" spans="1:14" x14ac:dyDescent="0.3">
      <c r="A46" s="69">
        <f t="shared" si="4"/>
        <v>33</v>
      </c>
      <c r="B46" s="10" t="s">
        <v>188</v>
      </c>
      <c r="C46" s="10">
        <v>0</v>
      </c>
      <c r="D46" s="10">
        <v>0</v>
      </c>
      <c r="E46" s="10">
        <f t="shared" si="18"/>
        <v>0</v>
      </c>
      <c r="F46" s="10">
        <v>0</v>
      </c>
      <c r="G46" s="10">
        <f t="shared" si="21"/>
        <v>0</v>
      </c>
      <c r="H46" s="10">
        <v>0</v>
      </c>
      <c r="I46" s="10">
        <f t="shared" si="19"/>
        <v>0</v>
      </c>
      <c r="J46" s="50">
        <f>VLOOKUP(L46,$C$142:$D$155,2,FALSE)</f>
        <v>0.98499999999999999</v>
      </c>
      <c r="K46" s="10">
        <f>ROUND(I46*J46,0)</f>
        <v>0</v>
      </c>
      <c r="L46" s="34" t="s">
        <v>225</v>
      </c>
      <c r="M46" s="10">
        <v>0</v>
      </c>
      <c r="N46" s="10">
        <f t="shared" si="20"/>
        <v>0</v>
      </c>
    </row>
    <row r="47" spans="1:14" x14ac:dyDescent="0.3">
      <c r="A47" s="69">
        <f t="shared" si="4"/>
        <v>34</v>
      </c>
      <c r="B47" s="10" t="s">
        <v>188</v>
      </c>
      <c r="C47" s="11">
        <v>0</v>
      </c>
      <c r="D47" s="11">
        <v>0</v>
      </c>
      <c r="E47" s="11">
        <f t="shared" si="18"/>
        <v>0</v>
      </c>
      <c r="F47" s="11">
        <v>0</v>
      </c>
      <c r="G47" s="11">
        <f t="shared" si="21"/>
        <v>0</v>
      </c>
      <c r="H47" s="11">
        <v>0</v>
      </c>
      <c r="I47" s="11">
        <f t="shared" si="19"/>
        <v>0</v>
      </c>
      <c r="J47" s="50">
        <f>VLOOKUP(L47,$C$142:$D$155,2,FALSE)</f>
        <v>0.98499999999999999</v>
      </c>
      <c r="K47" s="11">
        <f>ROUND(I47*J47,0)</f>
        <v>0</v>
      </c>
      <c r="L47" s="34" t="s">
        <v>225</v>
      </c>
      <c r="M47" s="11">
        <v>0</v>
      </c>
      <c r="N47" s="11">
        <f t="shared" si="20"/>
        <v>0</v>
      </c>
    </row>
    <row r="48" spans="1:14" x14ac:dyDescent="0.3">
      <c r="A48" s="69">
        <f t="shared" si="4"/>
        <v>35</v>
      </c>
      <c r="B48" s="10" t="s">
        <v>192</v>
      </c>
      <c r="C48" s="10">
        <f t="shared" ref="C48:I48" si="22">SUM(C40:C47)</f>
        <v>-32837573.959999993</v>
      </c>
      <c r="D48" s="10">
        <f t="shared" si="22"/>
        <v>-3646419</v>
      </c>
      <c r="E48" s="10">
        <f t="shared" si="22"/>
        <v>-29191154.959999993</v>
      </c>
      <c r="F48" s="10">
        <f t="shared" si="22"/>
        <v>0</v>
      </c>
      <c r="G48" s="10">
        <f t="shared" si="22"/>
        <v>-29191154.959999993</v>
      </c>
      <c r="H48" s="10">
        <f t="shared" si="22"/>
        <v>0</v>
      </c>
      <c r="I48" s="10">
        <f t="shared" si="22"/>
        <v>-29191154.959999993</v>
      </c>
      <c r="J48" s="35"/>
      <c r="K48" s="10">
        <f>SUM(K40:K47)</f>
        <v>-29604469</v>
      </c>
      <c r="M48" s="10">
        <f t="shared" ref="M48:N48" si="23">SUM(M40:M47)</f>
        <v>-46453682</v>
      </c>
      <c r="N48" s="10">
        <f t="shared" si="23"/>
        <v>-76058151</v>
      </c>
    </row>
    <row r="49" spans="1:14" x14ac:dyDescent="0.3">
      <c r="A49" s="69">
        <f t="shared" si="4"/>
        <v>36</v>
      </c>
      <c r="B49" s="10" t="s">
        <v>193</v>
      </c>
      <c r="C49" s="12">
        <v>9.3480000000000004E-3</v>
      </c>
      <c r="D49" s="12"/>
      <c r="E49" s="12">
        <v>9.3480000000000004E-3</v>
      </c>
      <c r="F49" s="12">
        <f>$E49</f>
        <v>9.3480000000000004E-3</v>
      </c>
      <c r="G49" s="12">
        <f>$E49</f>
        <v>9.3480000000000004E-3</v>
      </c>
      <c r="H49" s="12">
        <f>$E49</f>
        <v>9.3480000000000004E-3</v>
      </c>
      <c r="I49" s="12">
        <f>$E49</f>
        <v>9.3480000000000004E-3</v>
      </c>
      <c r="J49" s="31"/>
      <c r="K49" s="12">
        <f>$E49</f>
        <v>9.3480000000000004E-3</v>
      </c>
      <c r="M49" s="12">
        <f>$E49</f>
        <v>9.3480000000000004E-3</v>
      </c>
      <c r="N49" s="12">
        <f>$E49</f>
        <v>9.3480000000000004E-3</v>
      </c>
    </row>
    <row r="50" spans="1:14" x14ac:dyDescent="0.3">
      <c r="A50" s="69">
        <f t="shared" si="4"/>
        <v>37</v>
      </c>
      <c r="B50" s="10" t="s">
        <v>194</v>
      </c>
      <c r="C50" s="10">
        <f t="shared" ref="C50:I50" si="24">ROUND(C48*C49,0)</f>
        <v>-306966</v>
      </c>
      <c r="D50" s="10">
        <f>C50-E50</f>
        <v>-34087</v>
      </c>
      <c r="E50" s="10">
        <f t="shared" si="24"/>
        <v>-272879</v>
      </c>
      <c r="F50" s="10">
        <f t="shared" si="24"/>
        <v>0</v>
      </c>
      <c r="G50" s="10">
        <f t="shared" si="24"/>
        <v>-272879</v>
      </c>
      <c r="H50" s="10">
        <f t="shared" si="24"/>
        <v>0</v>
      </c>
      <c r="I50" s="10">
        <f t="shared" si="24"/>
        <v>-272879</v>
      </c>
      <c r="J50" s="33"/>
      <c r="K50" s="10">
        <f>ROUND(K48*K49,0)</f>
        <v>-276743</v>
      </c>
      <c r="M50" s="10">
        <f t="shared" ref="M50:N50" si="25">ROUND(M48*M49,0)</f>
        <v>-434249</v>
      </c>
      <c r="N50" s="10">
        <f t="shared" si="25"/>
        <v>-710992</v>
      </c>
    </row>
    <row r="51" spans="1:14" x14ac:dyDescent="0.3">
      <c r="A51" s="69">
        <f t="shared" si="4"/>
        <v>38</v>
      </c>
      <c r="B51" s="10" t="s">
        <v>284</v>
      </c>
      <c r="C51" s="11">
        <f>2553+52</f>
        <v>2605</v>
      </c>
      <c r="D51" s="11">
        <f>2380.83-143.72-193</f>
        <v>2044.1100000000001</v>
      </c>
      <c r="E51" s="11">
        <f t="shared" ref="E51" si="26">C51-D51</f>
        <v>560.88999999999987</v>
      </c>
      <c r="F51" s="11">
        <v>0</v>
      </c>
      <c r="G51" s="11">
        <f>E51+F51</f>
        <v>560.88999999999987</v>
      </c>
      <c r="H51" s="11">
        <v>0</v>
      </c>
      <c r="I51" s="11">
        <f t="shared" ref="I51" si="27">G51+H51</f>
        <v>560.88999999999987</v>
      </c>
      <c r="J51" s="50">
        <f>VLOOKUP(L51,$C$142:$D$155,2,FALSE)</f>
        <v>0.98499999999999999</v>
      </c>
      <c r="K51" s="11">
        <f>ROUND(I51*J51,0)</f>
        <v>552</v>
      </c>
      <c r="L51" s="34" t="s">
        <v>225</v>
      </c>
      <c r="M51" s="11">
        <v>0</v>
      </c>
      <c r="N51" s="11">
        <f>K51+M51</f>
        <v>552</v>
      </c>
    </row>
    <row r="52" spans="1:14" x14ac:dyDescent="0.3">
      <c r="A52" s="69">
        <f t="shared" si="4"/>
        <v>39</v>
      </c>
      <c r="B52" s="10" t="s">
        <v>285</v>
      </c>
      <c r="C52" s="10">
        <f>C50+C51</f>
        <v>-304361</v>
      </c>
      <c r="D52" s="10">
        <f t="shared" ref="D52" si="28">D50+D51</f>
        <v>-32042.89</v>
      </c>
      <c r="E52" s="10">
        <f t="shared" ref="E52" si="29">E50+E51</f>
        <v>-272318.11</v>
      </c>
      <c r="F52" s="10">
        <f t="shared" ref="F52" si="30">F50+F51</f>
        <v>0</v>
      </c>
      <c r="G52" s="10">
        <f t="shared" ref="G52" si="31">G50+G51</f>
        <v>-272318.11</v>
      </c>
      <c r="H52" s="10">
        <f t="shared" ref="H52" si="32">H50+H51</f>
        <v>0</v>
      </c>
      <c r="I52" s="10">
        <f t="shared" ref="I52:K52" si="33">I50+I51</f>
        <v>-272318.11</v>
      </c>
      <c r="J52" s="33"/>
      <c r="K52" s="10">
        <f t="shared" si="33"/>
        <v>-276191</v>
      </c>
      <c r="M52" s="10">
        <f t="shared" ref="M52:N52" si="34">M50+M51</f>
        <v>-434249</v>
      </c>
      <c r="N52" s="10">
        <f t="shared" si="34"/>
        <v>-710440</v>
      </c>
    </row>
    <row r="53" spans="1:14" x14ac:dyDescent="0.3">
      <c r="A53" s="69">
        <f t="shared" si="4"/>
        <v>40</v>
      </c>
      <c r="B53" s="10" t="s">
        <v>195</v>
      </c>
      <c r="C53" s="114">
        <v>9.5000000000000001E-2</v>
      </c>
      <c r="D53" s="13">
        <f t="shared" ref="D53:I53" si="35">$C53</f>
        <v>9.5000000000000001E-2</v>
      </c>
      <c r="E53" s="13">
        <f t="shared" si="35"/>
        <v>9.5000000000000001E-2</v>
      </c>
      <c r="F53" s="13">
        <f t="shared" si="35"/>
        <v>9.5000000000000001E-2</v>
      </c>
      <c r="G53" s="13">
        <f t="shared" si="35"/>
        <v>9.5000000000000001E-2</v>
      </c>
      <c r="H53" s="13"/>
      <c r="I53" s="13">
        <f t="shared" si="35"/>
        <v>9.5000000000000001E-2</v>
      </c>
      <c r="J53" s="32"/>
      <c r="K53" s="13">
        <f>$I53</f>
        <v>9.5000000000000001E-2</v>
      </c>
      <c r="M53" s="13">
        <f>$I53</f>
        <v>9.5000000000000001E-2</v>
      </c>
      <c r="N53" s="13">
        <f>$I53</f>
        <v>9.5000000000000001E-2</v>
      </c>
    </row>
    <row r="54" spans="1:14" x14ac:dyDescent="0.3">
      <c r="A54" s="69">
        <f t="shared" si="4"/>
        <v>41</v>
      </c>
      <c r="B54" s="10" t="s">
        <v>196</v>
      </c>
      <c r="C54" s="10">
        <f>ROUND(C52*C53,0)</f>
        <v>-28914</v>
      </c>
      <c r="D54" s="10">
        <f>ROUND(D52*D53,0)</f>
        <v>-3044</v>
      </c>
      <c r="E54" s="10">
        <f>ROUND(E52*E53,0)</f>
        <v>-25870</v>
      </c>
      <c r="F54" s="10">
        <f>ROUND(F52*F53,0)</f>
        <v>0</v>
      </c>
      <c r="G54" s="10">
        <f>ROUND(G52*G53,0)</f>
        <v>-25870</v>
      </c>
      <c r="H54" s="10">
        <f>I54-G54</f>
        <v>0</v>
      </c>
      <c r="I54" s="10">
        <f>ROUND(I52*I53,0)</f>
        <v>-25870</v>
      </c>
      <c r="J54" s="33"/>
      <c r="K54" s="10">
        <f>ROUND(K52*K53,0)</f>
        <v>-26238</v>
      </c>
      <c r="M54" s="10">
        <f>ROUND(M52*M53,0)</f>
        <v>-41254</v>
      </c>
      <c r="N54" s="10">
        <f>ROUND(N52*N53,0)</f>
        <v>-67492</v>
      </c>
    </row>
    <row r="55" spans="1:14" x14ac:dyDescent="0.3">
      <c r="A55" s="69">
        <f t="shared" si="4"/>
        <v>42</v>
      </c>
      <c r="B55" s="10" t="s">
        <v>197</v>
      </c>
      <c r="C55" s="10">
        <v>0</v>
      </c>
      <c r="D55" s="10">
        <f>C55</f>
        <v>0</v>
      </c>
      <c r="E55" s="10">
        <f>C55-D55</f>
        <v>0</v>
      </c>
      <c r="F55" s="10">
        <v>0</v>
      </c>
      <c r="G55" s="10">
        <f>E55+F55</f>
        <v>0</v>
      </c>
      <c r="H55" s="10">
        <v>0</v>
      </c>
      <c r="I55" s="10">
        <f>G55+H55</f>
        <v>0</v>
      </c>
      <c r="J55" s="50">
        <f>VLOOKUP(L55,$C$142:$D$155,2,FALSE)</f>
        <v>0</v>
      </c>
      <c r="K55" s="10">
        <f>ROUND(I55*J55,0)</f>
        <v>0</v>
      </c>
      <c r="L55" s="69" t="s">
        <v>238</v>
      </c>
      <c r="M55" s="10">
        <v>0</v>
      </c>
      <c r="N55" s="10">
        <f t="shared" ref="N55:N58" si="36">K55+M55</f>
        <v>0</v>
      </c>
    </row>
    <row r="56" spans="1:14" x14ac:dyDescent="0.3">
      <c r="A56" s="69">
        <f t="shared" si="4"/>
        <v>43</v>
      </c>
      <c r="B56" s="10" t="s">
        <v>272</v>
      </c>
      <c r="C56" s="10">
        <f>16772</f>
        <v>16772</v>
      </c>
      <c r="D56" s="10">
        <v>16772</v>
      </c>
      <c r="E56" s="10">
        <f>C56-D56</f>
        <v>0</v>
      </c>
      <c r="F56" s="10">
        <v>0</v>
      </c>
      <c r="G56" s="10">
        <f>E56+F56</f>
        <v>0</v>
      </c>
      <c r="H56" s="10">
        <v>0</v>
      </c>
      <c r="I56" s="10">
        <f>G56+H56</f>
        <v>0</v>
      </c>
      <c r="J56" s="50">
        <f>VLOOKUP(L56,$C$142:$D$155,2,FALSE)</f>
        <v>0</v>
      </c>
      <c r="K56" s="10">
        <f>ROUND(I56*J56,0)</f>
        <v>0</v>
      </c>
      <c r="L56" s="69" t="s">
        <v>152</v>
      </c>
      <c r="M56" s="10">
        <v>0</v>
      </c>
      <c r="N56" s="10">
        <f t="shared" si="36"/>
        <v>0</v>
      </c>
    </row>
    <row r="57" spans="1:14" x14ac:dyDescent="0.3">
      <c r="A57" s="69">
        <f t="shared" si="4"/>
        <v>44</v>
      </c>
      <c r="B57" s="10" t="s">
        <v>197</v>
      </c>
      <c r="C57" s="10">
        <v>1331</v>
      </c>
      <c r="D57" s="10">
        <v>1331</v>
      </c>
      <c r="E57" s="10">
        <f>C57-D57</f>
        <v>0</v>
      </c>
      <c r="F57" s="10">
        <v>0</v>
      </c>
      <c r="G57" s="10">
        <f>E57+F57</f>
        <v>0</v>
      </c>
      <c r="H57" s="10">
        <v>0</v>
      </c>
      <c r="I57" s="10">
        <f>G57+H57</f>
        <v>0</v>
      </c>
      <c r="J57" s="50">
        <f>VLOOKUP(L57,$C$142:$D$155,2,FALSE)</f>
        <v>0</v>
      </c>
      <c r="K57" s="10">
        <f>ROUND(I57*J57,0)</f>
        <v>0</v>
      </c>
      <c r="L57" s="69" t="s">
        <v>152</v>
      </c>
      <c r="M57" s="10">
        <v>0</v>
      </c>
      <c r="N57" s="10">
        <f t="shared" si="36"/>
        <v>0</v>
      </c>
    </row>
    <row r="58" spans="1:14" x14ac:dyDescent="0.3">
      <c r="A58" s="69">
        <f t="shared" si="4"/>
        <v>45</v>
      </c>
      <c r="B58" s="10" t="s">
        <v>197</v>
      </c>
      <c r="C58" s="10">
        <v>0</v>
      </c>
      <c r="D58" s="10">
        <f>C58</f>
        <v>0</v>
      </c>
      <c r="E58" s="11">
        <f>C58-D58</f>
        <v>0</v>
      </c>
      <c r="F58" s="11">
        <v>0</v>
      </c>
      <c r="G58" s="10">
        <f>E58+F58</f>
        <v>0</v>
      </c>
      <c r="H58" s="11">
        <v>0</v>
      </c>
      <c r="I58" s="10">
        <f>G58+H58</f>
        <v>0</v>
      </c>
      <c r="J58" s="50">
        <f>VLOOKUP(L58,$C$142:$D$155,2,FALSE)</f>
        <v>0</v>
      </c>
      <c r="K58" s="11">
        <f>ROUND(I58*J58,0)</f>
        <v>0</v>
      </c>
      <c r="L58" s="69" t="s">
        <v>152</v>
      </c>
      <c r="M58" s="11">
        <v>0</v>
      </c>
      <c r="N58" s="10">
        <f t="shared" si="36"/>
        <v>0</v>
      </c>
    </row>
    <row r="59" spans="1:14" ht="13.5" thickBot="1" x14ac:dyDescent="0.35">
      <c r="A59" s="69">
        <f t="shared" si="4"/>
        <v>46</v>
      </c>
      <c r="B59" s="10" t="s">
        <v>199</v>
      </c>
      <c r="C59" s="15">
        <f t="shared" ref="C59:I59" si="37">SUM(C54:C58)</f>
        <v>-10811</v>
      </c>
      <c r="D59" s="15">
        <f t="shared" si="37"/>
        <v>15059</v>
      </c>
      <c r="E59" s="15">
        <f t="shared" si="37"/>
        <v>-25870</v>
      </c>
      <c r="F59" s="15">
        <f t="shared" si="37"/>
        <v>0</v>
      </c>
      <c r="G59" s="15">
        <f t="shared" si="37"/>
        <v>-25870</v>
      </c>
      <c r="H59" s="15">
        <f t="shared" si="37"/>
        <v>0</v>
      </c>
      <c r="I59" s="15">
        <f t="shared" si="37"/>
        <v>-25870</v>
      </c>
      <c r="J59" s="33"/>
      <c r="K59" s="15">
        <f>SUM(K54:K58)</f>
        <v>-26238</v>
      </c>
      <c r="M59" s="15">
        <f t="shared" ref="M59:N59" si="38">SUM(M54:M58)</f>
        <v>-41254</v>
      </c>
      <c r="N59" s="15">
        <f t="shared" si="38"/>
        <v>-67492</v>
      </c>
    </row>
    <row r="60" spans="1:14" ht="13.5" thickTop="1" x14ac:dyDescent="0.3">
      <c r="A60" s="69">
        <f t="shared" si="4"/>
        <v>47</v>
      </c>
      <c r="B60" s="10"/>
      <c r="C60" s="10"/>
      <c r="D60" s="10"/>
      <c r="E60" s="10"/>
      <c r="F60" s="10"/>
      <c r="G60" s="10"/>
      <c r="H60" s="10"/>
      <c r="I60" s="10"/>
      <c r="J60" s="35"/>
      <c r="K60" s="10"/>
      <c r="M60" s="10"/>
      <c r="N60" s="10"/>
    </row>
    <row r="61" spans="1:14" x14ac:dyDescent="0.3">
      <c r="A61" s="69">
        <f t="shared" si="4"/>
        <v>48</v>
      </c>
      <c r="B61" s="10"/>
      <c r="C61" s="10"/>
      <c r="D61" s="10"/>
      <c r="E61" s="10"/>
      <c r="F61" s="10"/>
      <c r="G61" s="10"/>
      <c r="H61" s="10"/>
      <c r="I61" s="10"/>
      <c r="J61" s="35"/>
      <c r="K61" s="10"/>
      <c r="M61" s="10"/>
      <c r="N61" s="10"/>
    </row>
    <row r="62" spans="1:14" x14ac:dyDescent="0.3">
      <c r="A62" s="69">
        <f t="shared" si="4"/>
        <v>49</v>
      </c>
      <c r="J62" s="69"/>
    </row>
    <row r="63" spans="1:14" ht="13.5" thickBot="1" x14ac:dyDescent="0.35">
      <c r="A63" s="69">
        <f t="shared" si="4"/>
        <v>50</v>
      </c>
      <c r="J63" s="69"/>
    </row>
    <row r="64" spans="1:14" ht="13.5" thickBot="1" x14ac:dyDescent="0.35">
      <c r="A64" s="69">
        <f t="shared" si="4"/>
        <v>51</v>
      </c>
      <c r="B64" s="111" t="s">
        <v>203</v>
      </c>
      <c r="J64" s="69"/>
    </row>
    <row r="65" spans="1:14" x14ac:dyDescent="0.3">
      <c r="A65" s="69">
        <f t="shared" si="4"/>
        <v>52</v>
      </c>
      <c r="B65" s="112"/>
      <c r="J65" s="69"/>
    </row>
    <row r="66" spans="1:14" x14ac:dyDescent="0.3">
      <c r="A66" s="69">
        <f t="shared" si="4"/>
        <v>53</v>
      </c>
      <c r="B66" s="113" t="s">
        <v>214</v>
      </c>
      <c r="C66" s="10">
        <f>C$14</f>
        <v>46901904.079999998</v>
      </c>
      <c r="D66" s="10">
        <f>D$14</f>
        <v>-2882814</v>
      </c>
      <c r="E66" s="10">
        <f t="shared" ref="E66:E73" si="39">C66-D66</f>
        <v>49784718.079999998</v>
      </c>
      <c r="F66" s="10">
        <f>F$14</f>
        <v>0</v>
      </c>
      <c r="G66" s="10">
        <f t="shared" ref="G66:G73" si="40">E66+F66</f>
        <v>49784718.079999998</v>
      </c>
      <c r="H66" s="10">
        <f>H$14</f>
        <v>0</v>
      </c>
      <c r="I66" s="10">
        <f t="shared" ref="I66:I73" si="41">G66+H66</f>
        <v>49784718.079999998</v>
      </c>
      <c r="J66" s="34" t="s">
        <v>146</v>
      </c>
      <c r="K66" s="10">
        <f>K14</f>
        <v>48061702</v>
      </c>
      <c r="L66" s="34" t="s">
        <v>146</v>
      </c>
      <c r="M66" s="10">
        <f>M$14</f>
        <v>-46367008</v>
      </c>
      <c r="N66" s="10">
        <f t="shared" ref="N66:N73" si="42">K66+M66</f>
        <v>1694694</v>
      </c>
    </row>
    <row r="67" spans="1:14" x14ac:dyDescent="0.3">
      <c r="A67" s="69">
        <f t="shared" si="4"/>
        <v>54</v>
      </c>
      <c r="B67" s="10" t="s">
        <v>187</v>
      </c>
      <c r="C67" s="10">
        <f>C$15</f>
        <v>-66149164.039999992</v>
      </c>
      <c r="D67" s="10">
        <f>D$15</f>
        <v>-763605</v>
      </c>
      <c r="E67" s="10">
        <f t="shared" si="39"/>
        <v>-65385559.039999992</v>
      </c>
      <c r="F67" s="10">
        <f>F$15</f>
        <v>0</v>
      </c>
      <c r="G67" s="10">
        <f t="shared" si="40"/>
        <v>-65385559.039999992</v>
      </c>
      <c r="H67" s="10">
        <f>H$15</f>
        <v>0</v>
      </c>
      <c r="I67" s="10">
        <f t="shared" si="41"/>
        <v>-65385559.039999992</v>
      </c>
      <c r="J67" s="34" t="s">
        <v>146</v>
      </c>
      <c r="K67" s="10">
        <f>K15</f>
        <v>-64279712</v>
      </c>
      <c r="L67" s="34" t="s">
        <v>146</v>
      </c>
      <c r="M67" s="10">
        <f>M$15</f>
        <v>-86674</v>
      </c>
      <c r="N67" s="10">
        <f t="shared" si="42"/>
        <v>-64366386</v>
      </c>
    </row>
    <row r="68" spans="1:14" x14ac:dyDescent="0.3">
      <c r="A68" s="69">
        <f t="shared" si="4"/>
        <v>55</v>
      </c>
      <c r="B68" s="10" t="s">
        <v>189</v>
      </c>
      <c r="C68" s="10">
        <f>C42</f>
        <v>0</v>
      </c>
      <c r="D68" s="10">
        <v>0</v>
      </c>
      <c r="E68" s="10">
        <f t="shared" si="39"/>
        <v>0</v>
      </c>
      <c r="F68" s="10">
        <f>F16</f>
        <v>0</v>
      </c>
      <c r="G68" s="10">
        <f t="shared" si="40"/>
        <v>0</v>
      </c>
      <c r="H68" s="10">
        <f>I16</f>
        <v>0</v>
      </c>
      <c r="I68" s="10">
        <f t="shared" si="41"/>
        <v>0</v>
      </c>
      <c r="J68" s="34" t="s">
        <v>146</v>
      </c>
      <c r="K68" s="10">
        <f>K16</f>
        <v>0</v>
      </c>
      <c r="L68" s="34" t="s">
        <v>146</v>
      </c>
      <c r="M68" s="10">
        <f>N16</f>
        <v>0</v>
      </c>
      <c r="N68" s="10">
        <f t="shared" si="42"/>
        <v>0</v>
      </c>
    </row>
    <row r="69" spans="1:14" x14ac:dyDescent="0.3">
      <c r="A69" s="69">
        <f t="shared" si="4"/>
        <v>56</v>
      </c>
      <c r="B69" s="10" t="s">
        <v>190</v>
      </c>
      <c r="C69" s="10">
        <v>-9744125</v>
      </c>
      <c r="D69" s="10"/>
      <c r="E69" s="10">
        <f t="shared" si="39"/>
        <v>-9744125</v>
      </c>
      <c r="F69" s="10">
        <v>0</v>
      </c>
      <c r="G69" s="10">
        <f t="shared" si="40"/>
        <v>-9744125</v>
      </c>
      <c r="H69" s="10">
        <v>0</v>
      </c>
      <c r="I69" s="10">
        <f t="shared" si="41"/>
        <v>-9744125</v>
      </c>
      <c r="J69" s="50">
        <f>VLOOKUP(L69,$C$142:$D$155,2,FALSE)</f>
        <v>0.98499999999999999</v>
      </c>
      <c r="K69" s="10">
        <f>ROUND(I69*J69,0)</f>
        <v>-9597963</v>
      </c>
      <c r="L69" s="34" t="s">
        <v>225</v>
      </c>
      <c r="M69" s="10">
        <v>0</v>
      </c>
      <c r="N69" s="10">
        <f t="shared" si="42"/>
        <v>-9597963</v>
      </c>
    </row>
    <row r="70" spans="1:14" x14ac:dyDescent="0.3">
      <c r="A70" s="69">
        <f t="shared" si="4"/>
        <v>57</v>
      </c>
      <c r="B70" s="10" t="str">
        <f>B44</f>
        <v>Add (Subtract): Tax Depreciation Lookback</v>
      </c>
      <c r="C70" s="10">
        <v>-5173781</v>
      </c>
      <c r="D70" s="10">
        <v>0</v>
      </c>
      <c r="E70" s="10">
        <f t="shared" si="39"/>
        <v>-5173781</v>
      </c>
      <c r="F70" s="10">
        <f>F44</f>
        <v>0</v>
      </c>
      <c r="G70" s="10">
        <f t="shared" si="40"/>
        <v>-5173781</v>
      </c>
      <c r="H70" s="10">
        <v>0</v>
      </c>
      <c r="I70" s="10">
        <f t="shared" si="41"/>
        <v>-5173781</v>
      </c>
      <c r="J70" s="50">
        <f>VLOOKUP(L70,$C$142:$D$155,2,FALSE)</f>
        <v>0.98499999999999999</v>
      </c>
      <c r="K70" s="10">
        <f>ROUND(I70*J70,0)</f>
        <v>-5096174</v>
      </c>
      <c r="L70" s="34" t="s">
        <v>149</v>
      </c>
      <c r="M70" s="10">
        <v>0</v>
      </c>
      <c r="N70" s="10">
        <f t="shared" si="42"/>
        <v>-5096174</v>
      </c>
    </row>
    <row r="71" spans="1:14" x14ac:dyDescent="0.3">
      <c r="A71" s="69">
        <f t="shared" si="4"/>
        <v>58</v>
      </c>
      <c r="B71" s="10" t="s">
        <v>201</v>
      </c>
      <c r="C71" s="10">
        <v>0</v>
      </c>
      <c r="D71" s="10">
        <v>0</v>
      </c>
      <c r="E71" s="10">
        <f t="shared" si="39"/>
        <v>0</v>
      </c>
      <c r="F71" s="10">
        <f>F20</f>
        <v>0</v>
      </c>
      <c r="G71" s="10">
        <f t="shared" si="40"/>
        <v>0</v>
      </c>
      <c r="H71" s="10">
        <f>H20</f>
        <v>0</v>
      </c>
      <c r="I71" s="10">
        <f t="shared" si="41"/>
        <v>0</v>
      </c>
      <c r="J71" s="50">
        <f>VLOOKUP(L71,$C$142:$D$155,2,FALSE)</f>
        <v>0.98499999999999999</v>
      </c>
      <c r="K71" s="10">
        <f>ROUND(I71*J71,0)</f>
        <v>0</v>
      </c>
      <c r="L71" s="34" t="s">
        <v>149</v>
      </c>
      <c r="M71" s="10">
        <f>M20</f>
        <v>0</v>
      </c>
      <c r="N71" s="10">
        <f t="shared" si="42"/>
        <v>0</v>
      </c>
    </row>
    <row r="72" spans="1:14" x14ac:dyDescent="0.3">
      <c r="A72" s="69">
        <f t="shared" si="4"/>
        <v>59</v>
      </c>
      <c r="B72" s="10" t="s">
        <v>191</v>
      </c>
      <c r="C72" s="10">
        <f>C$19</f>
        <v>0</v>
      </c>
      <c r="D72" s="10">
        <f>D$19</f>
        <v>0</v>
      </c>
      <c r="E72" s="10">
        <f t="shared" si="39"/>
        <v>0</v>
      </c>
      <c r="F72" s="10">
        <f>F$19</f>
        <v>0</v>
      </c>
      <c r="G72" s="10">
        <f t="shared" si="40"/>
        <v>0</v>
      </c>
      <c r="H72" s="10">
        <f>H$19</f>
        <v>0</v>
      </c>
      <c r="I72" s="10">
        <f t="shared" si="41"/>
        <v>0</v>
      </c>
      <c r="J72" s="50">
        <f>VLOOKUP(L72,$C$142:$D$155,2,FALSE)</f>
        <v>0.98499999999999999</v>
      </c>
      <c r="K72" s="10">
        <f>ROUND(I72*J72,0)</f>
        <v>0</v>
      </c>
      <c r="L72" s="34" t="s">
        <v>149</v>
      </c>
      <c r="M72" s="10">
        <f>M$19</f>
        <v>0</v>
      </c>
      <c r="N72" s="10">
        <f t="shared" si="42"/>
        <v>0</v>
      </c>
    </row>
    <row r="73" spans="1:14" x14ac:dyDescent="0.3">
      <c r="A73" s="69">
        <f t="shared" si="4"/>
        <v>60</v>
      </c>
      <c r="B73" s="10" t="s">
        <v>188</v>
      </c>
      <c r="C73" s="11">
        <v>0</v>
      </c>
      <c r="D73" s="11">
        <v>0</v>
      </c>
      <c r="E73" s="11">
        <f t="shared" si="39"/>
        <v>0</v>
      </c>
      <c r="F73" s="11">
        <v>0</v>
      </c>
      <c r="G73" s="11">
        <f t="shared" si="40"/>
        <v>0</v>
      </c>
      <c r="H73" s="11">
        <v>0</v>
      </c>
      <c r="I73" s="11">
        <f t="shared" si="41"/>
        <v>0</v>
      </c>
      <c r="J73" s="50">
        <f>VLOOKUP(L73,$C$142:$D$155,2,FALSE)</f>
        <v>0.98499999999999999</v>
      </c>
      <c r="K73" s="11">
        <f>ROUND(I73*J73,0)</f>
        <v>0</v>
      </c>
      <c r="L73" s="34" t="s">
        <v>225</v>
      </c>
      <c r="M73" s="11">
        <v>0</v>
      </c>
      <c r="N73" s="11">
        <f t="shared" si="42"/>
        <v>0</v>
      </c>
    </row>
    <row r="74" spans="1:14" x14ac:dyDescent="0.3">
      <c r="A74" s="69">
        <f t="shared" si="4"/>
        <v>61</v>
      </c>
      <c r="B74" s="10" t="s">
        <v>192</v>
      </c>
      <c r="C74" s="10">
        <f t="shared" ref="C74:I74" si="43">SUM(C66:C73)</f>
        <v>-34165165.959999993</v>
      </c>
      <c r="D74" s="10">
        <f t="shared" si="43"/>
        <v>-3646419</v>
      </c>
      <c r="E74" s="10">
        <f t="shared" si="43"/>
        <v>-30518746.959999993</v>
      </c>
      <c r="F74" s="10">
        <f t="shared" si="43"/>
        <v>0</v>
      </c>
      <c r="G74" s="10">
        <f t="shared" si="43"/>
        <v>-30518746.959999993</v>
      </c>
      <c r="H74" s="10">
        <f t="shared" si="43"/>
        <v>0</v>
      </c>
      <c r="I74" s="10">
        <f t="shared" si="43"/>
        <v>-30518746.959999993</v>
      </c>
      <c r="J74" s="35"/>
      <c r="K74" s="10">
        <f>SUM(K66:K73)</f>
        <v>-30912147</v>
      </c>
      <c r="M74" s="10">
        <f t="shared" ref="M74:N74" si="44">SUM(M66:M73)</f>
        <v>-46453682</v>
      </c>
      <c r="N74" s="10">
        <f t="shared" si="44"/>
        <v>-77365829</v>
      </c>
    </row>
    <row r="75" spans="1:14" x14ac:dyDescent="0.3">
      <c r="A75" s="69">
        <f t="shared" si="4"/>
        <v>62</v>
      </c>
      <c r="B75" s="10" t="s">
        <v>193</v>
      </c>
      <c r="C75" s="12">
        <v>3.2299999999999999E-4</v>
      </c>
      <c r="D75" s="12"/>
      <c r="E75" s="12">
        <v>3.2299999999999999E-4</v>
      </c>
      <c r="F75" s="12">
        <f>$E75</f>
        <v>3.2299999999999999E-4</v>
      </c>
      <c r="G75" s="12">
        <f>$E75</f>
        <v>3.2299999999999999E-4</v>
      </c>
      <c r="H75" s="12">
        <f>$E75</f>
        <v>3.2299999999999999E-4</v>
      </c>
      <c r="I75" s="12">
        <f>$E75</f>
        <v>3.2299999999999999E-4</v>
      </c>
      <c r="J75" s="31"/>
      <c r="K75" s="12">
        <f>$E75</f>
        <v>3.2299999999999999E-4</v>
      </c>
      <c r="M75" s="12">
        <f>$E75</f>
        <v>3.2299999999999999E-4</v>
      </c>
      <c r="N75" s="12">
        <f>$E75</f>
        <v>3.2299999999999999E-4</v>
      </c>
    </row>
    <row r="76" spans="1:14" x14ac:dyDescent="0.3">
      <c r="A76" s="69">
        <f t="shared" si="4"/>
        <v>63</v>
      </c>
      <c r="B76" s="10" t="s">
        <v>194</v>
      </c>
      <c r="C76" s="10">
        <f t="shared" ref="C76:I76" si="45">ROUND(C74*C75,0)</f>
        <v>-11035</v>
      </c>
      <c r="D76" s="10">
        <f>C76-E76</f>
        <v>-1177</v>
      </c>
      <c r="E76" s="10">
        <f t="shared" si="45"/>
        <v>-9858</v>
      </c>
      <c r="F76" s="10">
        <f t="shared" si="45"/>
        <v>0</v>
      </c>
      <c r="G76" s="10">
        <f t="shared" si="45"/>
        <v>-9858</v>
      </c>
      <c r="H76" s="10">
        <f t="shared" si="45"/>
        <v>0</v>
      </c>
      <c r="I76" s="10">
        <f t="shared" si="45"/>
        <v>-9858</v>
      </c>
      <c r="J76" s="33"/>
      <c r="K76" s="10">
        <f>ROUND(K74*K75,0)</f>
        <v>-9985</v>
      </c>
      <c r="M76" s="10">
        <f t="shared" ref="M76:N76" si="46">ROUND(M74*M75,0)</f>
        <v>-15005</v>
      </c>
      <c r="N76" s="10">
        <f t="shared" si="46"/>
        <v>-24989</v>
      </c>
    </row>
    <row r="77" spans="1:14" x14ac:dyDescent="0.3">
      <c r="A77" s="69">
        <f t="shared" si="4"/>
        <v>64</v>
      </c>
      <c r="B77" s="10" t="s">
        <v>284</v>
      </c>
      <c r="C77" s="11">
        <v>0</v>
      </c>
      <c r="D77" s="11">
        <v>0</v>
      </c>
      <c r="E77" s="11">
        <f t="shared" ref="E77" si="47">C77-D77</f>
        <v>0</v>
      </c>
      <c r="F77" s="11">
        <v>0</v>
      </c>
      <c r="G77" s="11">
        <f>E77+F77</f>
        <v>0</v>
      </c>
      <c r="H77" s="11">
        <v>0</v>
      </c>
      <c r="I77" s="11">
        <f t="shared" ref="I77" si="48">G77+H77</f>
        <v>0</v>
      </c>
      <c r="J77" s="50">
        <f>VLOOKUP(L77,$C$142:$D$155,2,FALSE)</f>
        <v>0.98499999999999999</v>
      </c>
      <c r="K77" s="11">
        <f>ROUND(I77*J77,0)</f>
        <v>0</v>
      </c>
      <c r="L77" s="34" t="s">
        <v>225</v>
      </c>
      <c r="M77" s="11">
        <v>0</v>
      </c>
      <c r="N77" s="11">
        <f>K77+M77</f>
        <v>0</v>
      </c>
    </row>
    <row r="78" spans="1:14" x14ac:dyDescent="0.3">
      <c r="A78" s="69">
        <f t="shared" si="4"/>
        <v>65</v>
      </c>
      <c r="B78" s="10" t="s">
        <v>285</v>
      </c>
      <c r="C78" s="10">
        <f>C76+C77</f>
        <v>-11035</v>
      </c>
      <c r="D78" s="10">
        <f t="shared" ref="D78" si="49">D76+D77</f>
        <v>-1177</v>
      </c>
      <c r="E78" s="10">
        <f t="shared" ref="E78" si="50">E76+E77</f>
        <v>-9858</v>
      </c>
      <c r="F78" s="10">
        <f t="shared" ref="F78" si="51">F76+F77</f>
        <v>0</v>
      </c>
      <c r="G78" s="10">
        <f t="shared" ref="G78" si="52">G76+G77</f>
        <v>-9858</v>
      </c>
      <c r="H78" s="10">
        <f t="shared" ref="H78" si="53">H76+H77</f>
        <v>0</v>
      </c>
      <c r="I78" s="10">
        <f t="shared" ref="I78:K78" si="54">I76+I77</f>
        <v>-9858</v>
      </c>
      <c r="J78" s="33"/>
      <c r="K78" s="10">
        <f t="shared" si="54"/>
        <v>-9985</v>
      </c>
      <c r="M78" s="10">
        <f t="shared" ref="M78:N78" si="55">M76+M77</f>
        <v>-15005</v>
      </c>
      <c r="N78" s="10">
        <f t="shared" si="55"/>
        <v>-24989</v>
      </c>
    </row>
    <row r="79" spans="1:14" x14ac:dyDescent="0.3">
      <c r="A79" s="69">
        <f t="shared" si="4"/>
        <v>66</v>
      </c>
      <c r="B79" s="10" t="s">
        <v>195</v>
      </c>
      <c r="C79" s="114">
        <v>0.06</v>
      </c>
      <c r="D79" s="13">
        <f>$C79</f>
        <v>0.06</v>
      </c>
      <c r="E79" s="13">
        <f>$C79</f>
        <v>0.06</v>
      </c>
      <c r="F79" s="13">
        <f>$C79</f>
        <v>0.06</v>
      </c>
      <c r="G79" s="13">
        <f>$C79</f>
        <v>0.06</v>
      </c>
      <c r="H79" s="13"/>
      <c r="I79" s="13">
        <f>$C79</f>
        <v>0.06</v>
      </c>
      <c r="J79" s="32"/>
      <c r="K79" s="13">
        <f>$I79</f>
        <v>0.06</v>
      </c>
      <c r="M79" s="13">
        <f>$I79</f>
        <v>0.06</v>
      </c>
      <c r="N79" s="13">
        <f>$I79</f>
        <v>0.06</v>
      </c>
    </row>
    <row r="80" spans="1:14" x14ac:dyDescent="0.3">
      <c r="A80" s="69">
        <f t="shared" ref="A80:A135" si="56">A79+1</f>
        <v>67</v>
      </c>
      <c r="B80" s="10" t="s">
        <v>196</v>
      </c>
      <c r="C80" s="10">
        <f>ROUND(C78*C79,0)</f>
        <v>-662</v>
      </c>
      <c r="D80" s="10">
        <f>ROUND(D78*D79,0)</f>
        <v>-71</v>
      </c>
      <c r="E80" s="10">
        <f>ROUND(E78*E79,0)</f>
        <v>-591</v>
      </c>
      <c r="F80" s="10">
        <f>ROUND(F78*F79,0)</f>
        <v>0</v>
      </c>
      <c r="G80" s="10">
        <f>ROUND(G78*G79,0)</f>
        <v>-591</v>
      </c>
      <c r="H80" s="10">
        <f>I80-G80</f>
        <v>0</v>
      </c>
      <c r="I80" s="10">
        <f>ROUND(I78*I79,0)</f>
        <v>-591</v>
      </c>
      <c r="J80" s="33"/>
      <c r="K80" s="10">
        <f>ROUND(K78*K79,0)</f>
        <v>-599</v>
      </c>
      <c r="M80" s="10">
        <f>ROUND(M78*M79,0)</f>
        <v>-900</v>
      </c>
      <c r="N80" s="10">
        <f>ROUND(N78*N79,0)</f>
        <v>-1499</v>
      </c>
    </row>
    <row r="81" spans="1:14" x14ac:dyDescent="0.3">
      <c r="A81" s="69">
        <f t="shared" si="56"/>
        <v>68</v>
      </c>
      <c r="B81" s="10" t="s">
        <v>215</v>
      </c>
      <c r="C81" s="10">
        <v>0</v>
      </c>
      <c r="D81" s="10">
        <v>0</v>
      </c>
      <c r="E81" s="10">
        <f>C81-D81</f>
        <v>0</v>
      </c>
      <c r="F81" s="10">
        <v>0</v>
      </c>
      <c r="G81" s="10">
        <f t="shared" ref="G81:G85" si="57">E81+F81</f>
        <v>0</v>
      </c>
      <c r="H81" s="10">
        <f>I81-G81</f>
        <v>0</v>
      </c>
      <c r="I81" s="10">
        <v>0</v>
      </c>
      <c r="J81" s="43" t="s">
        <v>222</v>
      </c>
      <c r="K81" s="10">
        <v>0</v>
      </c>
      <c r="L81" s="69" t="s">
        <v>210</v>
      </c>
      <c r="M81" s="10">
        <v>0</v>
      </c>
      <c r="N81" s="10">
        <f t="shared" ref="N81:N85" si="58">K81+M81</f>
        <v>0</v>
      </c>
    </row>
    <row r="82" spans="1:14" x14ac:dyDescent="0.3">
      <c r="A82" s="69">
        <f t="shared" si="56"/>
        <v>69</v>
      </c>
      <c r="B82" s="10" t="s">
        <v>197</v>
      </c>
      <c r="C82" s="10">
        <v>0</v>
      </c>
      <c r="D82" s="10">
        <f>C82</f>
        <v>0</v>
      </c>
      <c r="E82" s="10">
        <f>C82-D82</f>
        <v>0</v>
      </c>
      <c r="F82" s="10">
        <v>0</v>
      </c>
      <c r="G82" s="10">
        <f t="shared" si="57"/>
        <v>0</v>
      </c>
      <c r="H82" s="10">
        <v>0</v>
      </c>
      <c r="I82" s="10">
        <f>G82+H82</f>
        <v>0</v>
      </c>
      <c r="J82" s="50">
        <f>VLOOKUP(L82,$C$142:$D$155,2,FALSE)</f>
        <v>0</v>
      </c>
      <c r="K82" s="10">
        <f>ROUND(I82*J82,0)</f>
        <v>0</v>
      </c>
      <c r="L82" s="69" t="s">
        <v>238</v>
      </c>
      <c r="M82" s="10">
        <v>0</v>
      </c>
      <c r="N82" s="10">
        <f t="shared" si="58"/>
        <v>0</v>
      </c>
    </row>
    <row r="83" spans="1:14" x14ac:dyDescent="0.3">
      <c r="A83" s="69">
        <f t="shared" si="56"/>
        <v>70</v>
      </c>
      <c r="B83" s="10" t="s">
        <v>272</v>
      </c>
      <c r="C83" s="10">
        <f>245+2</f>
        <v>247</v>
      </c>
      <c r="D83" s="10">
        <v>247</v>
      </c>
      <c r="E83" s="10">
        <f>C83-D83</f>
        <v>0</v>
      </c>
      <c r="F83" s="10">
        <v>0</v>
      </c>
      <c r="G83" s="10">
        <f t="shared" si="57"/>
        <v>0</v>
      </c>
      <c r="H83" s="10">
        <v>0</v>
      </c>
      <c r="I83" s="10">
        <f>G83+H83</f>
        <v>0</v>
      </c>
      <c r="J83" s="50">
        <f>VLOOKUP(L83,$C$142:$D$155,2,FALSE)</f>
        <v>0</v>
      </c>
      <c r="K83" s="10">
        <f>ROUND(I83*J83,0)</f>
        <v>0</v>
      </c>
      <c r="L83" s="69" t="s">
        <v>152</v>
      </c>
      <c r="M83" s="10">
        <v>0</v>
      </c>
      <c r="N83" s="10">
        <f t="shared" si="58"/>
        <v>0</v>
      </c>
    </row>
    <row r="84" spans="1:14" x14ac:dyDescent="0.3">
      <c r="A84" s="69">
        <f t="shared" si="56"/>
        <v>71</v>
      </c>
      <c r="B84" s="10" t="s">
        <v>197</v>
      </c>
      <c r="C84" s="10">
        <v>0</v>
      </c>
      <c r="D84" s="10">
        <f>C84</f>
        <v>0</v>
      </c>
      <c r="E84" s="10">
        <f>C84-D84</f>
        <v>0</v>
      </c>
      <c r="F84" s="10">
        <v>0</v>
      </c>
      <c r="G84" s="10">
        <f t="shared" si="57"/>
        <v>0</v>
      </c>
      <c r="H84" s="10">
        <f>I84-G84</f>
        <v>0</v>
      </c>
      <c r="I84" s="10">
        <v>0</v>
      </c>
      <c r="J84" s="43" t="s">
        <v>222</v>
      </c>
      <c r="K84" s="10">
        <v>0</v>
      </c>
      <c r="L84" s="69" t="s">
        <v>210</v>
      </c>
      <c r="M84" s="10">
        <v>0</v>
      </c>
      <c r="N84" s="10">
        <f t="shared" si="58"/>
        <v>0</v>
      </c>
    </row>
    <row r="85" spans="1:14" x14ac:dyDescent="0.3">
      <c r="A85" s="69">
        <f t="shared" si="56"/>
        <v>72</v>
      </c>
      <c r="B85" s="10" t="s">
        <v>197</v>
      </c>
      <c r="C85" s="10">
        <v>0</v>
      </c>
      <c r="D85" s="10">
        <f>C85</f>
        <v>0</v>
      </c>
      <c r="E85" s="11">
        <f>C85-D85</f>
        <v>0</v>
      </c>
      <c r="F85" s="11">
        <v>0</v>
      </c>
      <c r="G85" s="10">
        <f t="shared" si="57"/>
        <v>0</v>
      </c>
      <c r="H85" s="11">
        <v>0</v>
      </c>
      <c r="I85" s="10">
        <f>G85+H85</f>
        <v>0</v>
      </c>
      <c r="J85" s="50">
        <f>VLOOKUP(L85,$C$142:$D$155,2,FALSE)</f>
        <v>0</v>
      </c>
      <c r="K85" s="11">
        <f>ROUND(I85*J85,0)</f>
        <v>0</v>
      </c>
      <c r="L85" s="69" t="s">
        <v>152</v>
      </c>
      <c r="M85" s="11">
        <v>0</v>
      </c>
      <c r="N85" s="10">
        <f t="shared" si="58"/>
        <v>0</v>
      </c>
    </row>
    <row r="86" spans="1:14" ht="13.5" thickBot="1" x14ac:dyDescent="0.35">
      <c r="A86" s="69">
        <f t="shared" si="56"/>
        <v>73</v>
      </c>
      <c r="B86" s="10" t="s">
        <v>204</v>
      </c>
      <c r="C86" s="15">
        <f t="shared" ref="C86:I86" si="59">SUM(C80:C85)</f>
        <v>-415</v>
      </c>
      <c r="D86" s="15">
        <f t="shared" si="59"/>
        <v>176</v>
      </c>
      <c r="E86" s="15">
        <f t="shared" si="59"/>
        <v>-591</v>
      </c>
      <c r="F86" s="15">
        <f t="shared" si="59"/>
        <v>0</v>
      </c>
      <c r="G86" s="15">
        <f t="shared" si="59"/>
        <v>-591</v>
      </c>
      <c r="H86" s="15">
        <f t="shared" si="59"/>
        <v>0</v>
      </c>
      <c r="I86" s="15">
        <f t="shared" si="59"/>
        <v>-591</v>
      </c>
      <c r="J86" s="33"/>
      <c r="K86" s="15">
        <f>SUM(K80:K85)</f>
        <v>-599</v>
      </c>
      <c r="M86" s="15">
        <f t="shared" ref="M86:N86" si="60">SUM(M80:M85)</f>
        <v>-900</v>
      </c>
      <c r="N86" s="15">
        <f t="shared" si="60"/>
        <v>-1499</v>
      </c>
    </row>
    <row r="87" spans="1:14" ht="13.5" thickTop="1" x14ac:dyDescent="0.3">
      <c r="A87" s="69">
        <f t="shared" si="56"/>
        <v>74</v>
      </c>
      <c r="B87" s="10"/>
      <c r="C87" s="10"/>
      <c r="D87" s="10"/>
      <c r="E87" s="10"/>
      <c r="F87" s="10"/>
      <c r="G87" s="10"/>
      <c r="H87" s="10"/>
      <c r="I87" s="10"/>
      <c r="J87" s="35"/>
      <c r="K87" s="10"/>
      <c r="M87" s="10"/>
      <c r="N87" s="10"/>
    </row>
    <row r="88" spans="1:14" x14ac:dyDescent="0.3">
      <c r="A88" s="69">
        <f t="shared" si="56"/>
        <v>75</v>
      </c>
      <c r="C88" s="14" t="s">
        <v>403</v>
      </c>
      <c r="J88" s="69"/>
    </row>
    <row r="89" spans="1:14" ht="13.5" thickBot="1" x14ac:dyDescent="0.35">
      <c r="A89" s="69">
        <f t="shared" si="56"/>
        <v>76</v>
      </c>
      <c r="J89" s="69"/>
    </row>
    <row r="90" spans="1:14" ht="13.5" thickBot="1" x14ac:dyDescent="0.35">
      <c r="A90" s="69">
        <f t="shared" si="56"/>
        <v>77</v>
      </c>
      <c r="B90" s="111" t="s">
        <v>205</v>
      </c>
      <c r="J90" s="69"/>
    </row>
    <row r="91" spans="1:14" x14ac:dyDescent="0.3">
      <c r="A91" s="69">
        <f t="shared" si="56"/>
        <v>78</v>
      </c>
      <c r="B91" s="112"/>
      <c r="J91" s="69"/>
    </row>
    <row r="92" spans="1:14" x14ac:dyDescent="0.3">
      <c r="A92" s="69">
        <f t="shared" si="56"/>
        <v>79</v>
      </c>
      <c r="B92" s="113" t="s">
        <v>214</v>
      </c>
      <c r="C92" s="10">
        <f>C$14</f>
        <v>46901904.079999998</v>
      </c>
      <c r="D92" s="10">
        <f>D$14</f>
        <v>-2882814</v>
      </c>
      <c r="E92" s="10">
        <f t="shared" ref="E92:E99" si="61">C92-D92</f>
        <v>49784718.079999998</v>
      </c>
      <c r="F92" s="10">
        <f>F$14</f>
        <v>0</v>
      </c>
      <c r="G92" s="10">
        <f t="shared" ref="G92:G99" si="62">E92+F92</f>
        <v>49784718.079999998</v>
      </c>
      <c r="H92" s="10">
        <f>H$14</f>
        <v>0</v>
      </c>
      <c r="I92" s="10">
        <f t="shared" ref="I92:I99" si="63">G92+H92</f>
        <v>49784718.079999998</v>
      </c>
      <c r="J92" s="34" t="s">
        <v>146</v>
      </c>
      <c r="K92" s="10">
        <f>K14</f>
        <v>48061702</v>
      </c>
      <c r="L92" s="34" t="s">
        <v>146</v>
      </c>
      <c r="M92" s="10">
        <f>M$14</f>
        <v>-46367008</v>
      </c>
      <c r="N92" s="10">
        <f t="shared" ref="N92:N99" si="64">K92+M92</f>
        <v>1694694</v>
      </c>
    </row>
    <row r="93" spans="1:14" x14ac:dyDescent="0.3">
      <c r="A93" s="69">
        <f t="shared" si="56"/>
        <v>80</v>
      </c>
      <c r="B93" s="10" t="s">
        <v>187</v>
      </c>
      <c r="C93" s="10">
        <f>C$15</f>
        <v>-66149164.039999992</v>
      </c>
      <c r="D93" s="10">
        <f>D$15</f>
        <v>-763605</v>
      </c>
      <c r="E93" s="10">
        <f t="shared" si="61"/>
        <v>-65385559.039999992</v>
      </c>
      <c r="F93" s="10">
        <f>F$15</f>
        <v>0</v>
      </c>
      <c r="G93" s="10">
        <f t="shared" si="62"/>
        <v>-65385559.039999992</v>
      </c>
      <c r="H93" s="10">
        <f>H$15</f>
        <v>0</v>
      </c>
      <c r="I93" s="10">
        <f t="shared" si="63"/>
        <v>-65385559.039999992</v>
      </c>
      <c r="J93" s="34" t="s">
        <v>146</v>
      </c>
      <c r="K93" s="10">
        <f>K15</f>
        <v>-64279712</v>
      </c>
      <c r="L93" s="34" t="s">
        <v>146</v>
      </c>
      <c r="M93" s="10">
        <f>M$15</f>
        <v>-86674</v>
      </c>
      <c r="N93" s="10">
        <f t="shared" si="64"/>
        <v>-64366386</v>
      </c>
    </row>
    <row r="94" spans="1:14" x14ac:dyDescent="0.3">
      <c r="A94" s="69">
        <f t="shared" si="56"/>
        <v>81</v>
      </c>
      <c r="B94" s="10" t="s">
        <v>189</v>
      </c>
      <c r="C94" s="10">
        <f>C16</f>
        <v>0</v>
      </c>
      <c r="D94" s="10">
        <f>D16</f>
        <v>0</v>
      </c>
      <c r="E94" s="10">
        <f t="shared" si="61"/>
        <v>0</v>
      </c>
      <c r="F94" s="10">
        <f>F16</f>
        <v>0</v>
      </c>
      <c r="G94" s="10">
        <f t="shared" si="62"/>
        <v>0</v>
      </c>
      <c r="H94" s="10">
        <f>H16</f>
        <v>0</v>
      </c>
      <c r="I94" s="10">
        <f t="shared" si="63"/>
        <v>0</v>
      </c>
      <c r="J94" s="34" t="s">
        <v>146</v>
      </c>
      <c r="K94" s="10">
        <f>K16</f>
        <v>0</v>
      </c>
      <c r="L94" s="34" t="s">
        <v>146</v>
      </c>
      <c r="M94" s="10">
        <f>M16</f>
        <v>0</v>
      </c>
      <c r="N94" s="10">
        <f t="shared" si="64"/>
        <v>0</v>
      </c>
    </row>
    <row r="95" spans="1:14" x14ac:dyDescent="0.3">
      <c r="A95" s="69">
        <f t="shared" si="56"/>
        <v>82</v>
      </c>
      <c r="B95" s="10" t="s">
        <v>190</v>
      </c>
      <c r="C95" s="10">
        <v>0</v>
      </c>
      <c r="D95" s="10">
        <v>0</v>
      </c>
      <c r="E95" s="10">
        <f t="shared" si="61"/>
        <v>0</v>
      </c>
      <c r="F95" s="10">
        <v>0</v>
      </c>
      <c r="G95" s="10">
        <f t="shared" si="62"/>
        <v>0</v>
      </c>
      <c r="H95" s="10">
        <v>0</v>
      </c>
      <c r="I95" s="10">
        <f t="shared" si="63"/>
        <v>0</v>
      </c>
      <c r="J95" s="50">
        <f>VLOOKUP(L95,$C$142:$D$155,2,FALSE)</f>
        <v>0.98499999999999999</v>
      </c>
      <c r="K95" s="10">
        <f>ROUND(I95*J95,0)</f>
        <v>0</v>
      </c>
      <c r="L95" s="34" t="s">
        <v>225</v>
      </c>
      <c r="M95" s="10">
        <v>0</v>
      </c>
      <c r="N95" s="10">
        <f t="shared" si="64"/>
        <v>0</v>
      </c>
    </row>
    <row r="96" spans="1:14" x14ac:dyDescent="0.3">
      <c r="A96" s="69">
        <f t="shared" si="56"/>
        <v>83</v>
      </c>
      <c r="B96" s="10" t="str">
        <f>B70</f>
        <v>Add (Subtract): Tax Depreciation Lookback</v>
      </c>
      <c r="C96" s="10">
        <f>C44</f>
        <v>-5173781</v>
      </c>
      <c r="D96" s="10">
        <f>D44</f>
        <v>0</v>
      </c>
      <c r="E96" s="10">
        <f t="shared" si="61"/>
        <v>-5173781</v>
      </c>
      <c r="F96" s="10">
        <f>F44</f>
        <v>0</v>
      </c>
      <c r="G96" s="10">
        <f t="shared" si="62"/>
        <v>-5173781</v>
      </c>
      <c r="H96" s="10">
        <f>H44</f>
        <v>0</v>
      </c>
      <c r="I96" s="10">
        <f t="shared" si="63"/>
        <v>-5173781</v>
      </c>
      <c r="J96" s="50">
        <f>VLOOKUP(L96,$C$142:$D$155,2,FALSE)</f>
        <v>0.98499999999999999</v>
      </c>
      <c r="K96" s="10">
        <f>ROUND(I96*J96,0)</f>
        <v>-5096174</v>
      </c>
      <c r="L96" s="34" t="s">
        <v>149</v>
      </c>
      <c r="M96" s="10">
        <f>M44</f>
        <v>0</v>
      </c>
      <c r="N96" s="10">
        <f t="shared" si="64"/>
        <v>-5096174</v>
      </c>
    </row>
    <row r="97" spans="1:14" x14ac:dyDescent="0.3">
      <c r="A97" s="69">
        <f t="shared" si="56"/>
        <v>84</v>
      </c>
      <c r="B97" s="10" t="s">
        <v>191</v>
      </c>
      <c r="C97" s="10">
        <f>C$19</f>
        <v>0</v>
      </c>
      <c r="D97" s="10">
        <f>D$19</f>
        <v>0</v>
      </c>
      <c r="E97" s="10">
        <f t="shared" si="61"/>
        <v>0</v>
      </c>
      <c r="F97" s="10">
        <f>F$19</f>
        <v>0</v>
      </c>
      <c r="G97" s="10">
        <f t="shared" si="62"/>
        <v>0</v>
      </c>
      <c r="H97" s="10">
        <f>H$19</f>
        <v>0</v>
      </c>
      <c r="I97" s="10">
        <f t="shared" si="63"/>
        <v>0</v>
      </c>
      <c r="J97" s="50">
        <f>VLOOKUP(L97,$C$142:$D$155,2,FALSE)</f>
        <v>0.98499999999999999</v>
      </c>
      <c r="K97" s="10">
        <f>ROUND(I97*J97,0)</f>
        <v>0</v>
      </c>
      <c r="L97" s="34" t="s">
        <v>149</v>
      </c>
      <c r="M97" s="10">
        <f>M$19</f>
        <v>0</v>
      </c>
      <c r="N97" s="10">
        <f t="shared" si="64"/>
        <v>0</v>
      </c>
    </row>
    <row r="98" spans="1:14" x14ac:dyDescent="0.3">
      <c r="A98" s="69">
        <f t="shared" si="56"/>
        <v>85</v>
      </c>
      <c r="B98" s="10" t="s">
        <v>188</v>
      </c>
      <c r="C98" s="10">
        <v>0</v>
      </c>
      <c r="D98" s="10">
        <v>0</v>
      </c>
      <c r="E98" s="10">
        <f t="shared" si="61"/>
        <v>0</v>
      </c>
      <c r="F98" s="10">
        <v>0</v>
      </c>
      <c r="G98" s="10">
        <f t="shared" si="62"/>
        <v>0</v>
      </c>
      <c r="H98" s="10">
        <v>0</v>
      </c>
      <c r="I98" s="10">
        <f t="shared" si="63"/>
        <v>0</v>
      </c>
      <c r="J98" s="50">
        <f>VLOOKUP(L98,$C$142:$D$155,2,FALSE)</f>
        <v>0.98499999999999999</v>
      </c>
      <c r="K98" s="10">
        <f>ROUND(I98*J98,0)</f>
        <v>0</v>
      </c>
      <c r="L98" s="34" t="s">
        <v>225</v>
      </c>
      <c r="M98" s="10">
        <v>0</v>
      </c>
      <c r="N98" s="10">
        <f t="shared" si="64"/>
        <v>0</v>
      </c>
    </row>
    <row r="99" spans="1:14" x14ac:dyDescent="0.3">
      <c r="A99" s="69">
        <f t="shared" si="56"/>
        <v>86</v>
      </c>
      <c r="B99" s="10" t="s">
        <v>188</v>
      </c>
      <c r="C99" s="11">
        <v>0</v>
      </c>
      <c r="D99" s="11">
        <v>0</v>
      </c>
      <c r="E99" s="11">
        <f t="shared" si="61"/>
        <v>0</v>
      </c>
      <c r="F99" s="11">
        <v>0</v>
      </c>
      <c r="G99" s="11">
        <f t="shared" si="62"/>
        <v>0</v>
      </c>
      <c r="H99" s="11">
        <v>0</v>
      </c>
      <c r="I99" s="11">
        <f t="shared" si="63"/>
        <v>0</v>
      </c>
      <c r="J99" s="50">
        <f>VLOOKUP(L99,$C$142:$D$155,2,FALSE)</f>
        <v>0.98499999999999999</v>
      </c>
      <c r="K99" s="11">
        <f>ROUND(I99*J99,0)</f>
        <v>0</v>
      </c>
      <c r="L99" s="34" t="s">
        <v>225</v>
      </c>
      <c r="M99" s="11">
        <v>0</v>
      </c>
      <c r="N99" s="11">
        <f t="shared" si="64"/>
        <v>0</v>
      </c>
    </row>
    <row r="100" spans="1:14" x14ac:dyDescent="0.3">
      <c r="A100" s="69">
        <f t="shared" si="56"/>
        <v>87</v>
      </c>
      <c r="B100" s="10" t="s">
        <v>192</v>
      </c>
      <c r="C100" s="10">
        <f t="shared" ref="C100:I100" si="65">SUM(C92:C99)</f>
        <v>-24421040.959999993</v>
      </c>
      <c r="D100" s="10">
        <f t="shared" si="65"/>
        <v>-3646419</v>
      </c>
      <c r="E100" s="10">
        <f t="shared" si="65"/>
        <v>-20774621.959999993</v>
      </c>
      <c r="F100" s="10">
        <f t="shared" si="65"/>
        <v>0</v>
      </c>
      <c r="G100" s="10">
        <f t="shared" si="65"/>
        <v>-20774621.959999993</v>
      </c>
      <c r="H100" s="10">
        <f t="shared" si="65"/>
        <v>0</v>
      </c>
      <c r="I100" s="10">
        <f t="shared" si="65"/>
        <v>-20774621.959999993</v>
      </c>
      <c r="J100" s="35"/>
      <c r="K100" s="10">
        <f>SUM(K92:K99)</f>
        <v>-21314184</v>
      </c>
      <c r="M100" s="10">
        <f t="shared" ref="M100:N100" si="66">SUM(M92:M99)</f>
        <v>-46453682</v>
      </c>
      <c r="N100" s="10">
        <f t="shared" si="66"/>
        <v>-67767866</v>
      </c>
    </row>
    <row r="101" spans="1:14" x14ac:dyDescent="0.3">
      <c r="A101" s="69">
        <f t="shared" si="56"/>
        <v>88</v>
      </c>
      <c r="B101" s="10" t="s">
        <v>193</v>
      </c>
      <c r="C101" s="12">
        <v>0.21041399999999999</v>
      </c>
      <c r="D101" s="12">
        <f t="shared" ref="D101" si="67">$C101</f>
        <v>0.21041399999999999</v>
      </c>
      <c r="E101" s="12">
        <v>0.21041399999999999</v>
      </c>
      <c r="F101" s="12">
        <f>$E101</f>
        <v>0.21041399999999999</v>
      </c>
      <c r="G101" s="12">
        <f>$E101</f>
        <v>0.21041399999999999</v>
      </c>
      <c r="H101" s="12">
        <f>$E101</f>
        <v>0.21041399999999999</v>
      </c>
      <c r="I101" s="12">
        <f>$E101</f>
        <v>0.21041399999999999</v>
      </c>
      <c r="J101" s="31"/>
      <c r="K101" s="12">
        <f>$E101</f>
        <v>0.21041399999999999</v>
      </c>
      <c r="M101" s="12">
        <f>$E101</f>
        <v>0.21041399999999999</v>
      </c>
      <c r="N101" s="12">
        <f>$E101</f>
        <v>0.21041399999999999</v>
      </c>
    </row>
    <row r="102" spans="1:14" x14ac:dyDescent="0.3">
      <c r="A102" s="69">
        <f t="shared" si="56"/>
        <v>89</v>
      </c>
      <c r="B102" s="10" t="s">
        <v>194</v>
      </c>
      <c r="C102" s="10">
        <f t="shared" ref="C102:I102" si="68">ROUND(C100*C101,0)</f>
        <v>-5138529</v>
      </c>
      <c r="D102" s="10">
        <f>C102-E102</f>
        <v>-767258</v>
      </c>
      <c r="E102" s="10">
        <f t="shared" si="68"/>
        <v>-4371271</v>
      </c>
      <c r="F102" s="10">
        <f t="shared" si="68"/>
        <v>0</v>
      </c>
      <c r="G102" s="10">
        <f t="shared" si="68"/>
        <v>-4371271</v>
      </c>
      <c r="H102" s="10">
        <f t="shared" si="68"/>
        <v>0</v>
      </c>
      <c r="I102" s="10">
        <f t="shared" si="68"/>
        <v>-4371271</v>
      </c>
      <c r="J102" s="33"/>
      <c r="K102" s="10">
        <f>ROUND(K100*K101,0)</f>
        <v>-4484803</v>
      </c>
      <c r="M102" s="10">
        <f t="shared" ref="M102:N102" si="69">ROUND(M100*M101,0)</f>
        <v>-9774505</v>
      </c>
      <c r="N102" s="10">
        <f t="shared" si="69"/>
        <v>-14259308</v>
      </c>
    </row>
    <row r="103" spans="1:14" x14ac:dyDescent="0.3">
      <c r="A103" s="69">
        <f t="shared" si="56"/>
        <v>90</v>
      </c>
      <c r="B103" s="10" t="s">
        <v>284</v>
      </c>
      <c r="C103" s="11">
        <f>6964457-29067</f>
        <v>6935390</v>
      </c>
      <c r="D103" s="11">
        <v>0</v>
      </c>
      <c r="E103" s="11">
        <f t="shared" ref="E103" si="70">C103-D103</f>
        <v>6935390</v>
      </c>
      <c r="F103" s="11">
        <v>0</v>
      </c>
      <c r="G103" s="11">
        <f>E103+F103</f>
        <v>6935390</v>
      </c>
      <c r="H103" s="11">
        <v>0</v>
      </c>
      <c r="I103" s="11">
        <f t="shared" ref="I103" si="71">G103+H103</f>
        <v>6935390</v>
      </c>
      <c r="J103" s="50">
        <f>VLOOKUP(L103,$C$142:$D$155,2,FALSE)</f>
        <v>0.98499999999999999</v>
      </c>
      <c r="K103" s="11">
        <f>ROUND(I103*J103,0)</f>
        <v>6831359</v>
      </c>
      <c r="L103" s="34" t="s">
        <v>225</v>
      </c>
      <c r="M103" s="11">
        <v>0</v>
      </c>
      <c r="N103" s="11">
        <f>K103+M103</f>
        <v>6831359</v>
      </c>
    </row>
    <row r="104" spans="1:14" x14ac:dyDescent="0.3">
      <c r="A104" s="69">
        <f t="shared" si="56"/>
        <v>91</v>
      </c>
      <c r="B104" s="10" t="s">
        <v>285</v>
      </c>
      <c r="C104" s="10">
        <f>C102+C103</f>
        <v>1796861</v>
      </c>
      <c r="D104" s="10">
        <f t="shared" ref="D104" si="72">D102+D103</f>
        <v>-767258</v>
      </c>
      <c r="E104" s="10">
        <f t="shared" ref="E104" si="73">E102+E103</f>
        <v>2564119</v>
      </c>
      <c r="F104" s="10">
        <f t="shared" ref="F104" si="74">F102+F103</f>
        <v>0</v>
      </c>
      <c r="G104" s="10">
        <f t="shared" ref="G104" si="75">G102+G103</f>
        <v>2564119</v>
      </c>
      <c r="H104" s="10">
        <f t="shared" ref="H104" si="76">H102+H103</f>
        <v>0</v>
      </c>
      <c r="I104" s="10">
        <f t="shared" ref="I104:K104" si="77">I102+I103</f>
        <v>2564119</v>
      </c>
      <c r="J104" s="33"/>
      <c r="K104" s="10">
        <f t="shared" si="77"/>
        <v>2346556</v>
      </c>
      <c r="M104" s="10">
        <f t="shared" ref="M104:N104" si="78">M102+M103</f>
        <v>-9774505</v>
      </c>
      <c r="N104" s="10">
        <f t="shared" si="78"/>
        <v>-7427949</v>
      </c>
    </row>
    <row r="105" spans="1:14" x14ac:dyDescent="0.3">
      <c r="A105" s="69">
        <f t="shared" si="56"/>
        <v>92</v>
      </c>
      <c r="B105" s="10" t="s">
        <v>195</v>
      </c>
      <c r="C105" s="114">
        <v>6.5000000000000002E-2</v>
      </c>
      <c r="D105" s="13">
        <f>$C105</f>
        <v>6.5000000000000002E-2</v>
      </c>
      <c r="E105" s="13">
        <f>$C105</f>
        <v>6.5000000000000002E-2</v>
      </c>
      <c r="F105" s="13">
        <f>$C105</f>
        <v>6.5000000000000002E-2</v>
      </c>
      <c r="G105" s="13">
        <f>$C105</f>
        <v>6.5000000000000002E-2</v>
      </c>
      <c r="H105" s="13"/>
      <c r="I105" s="13">
        <f>$C105</f>
        <v>6.5000000000000002E-2</v>
      </c>
      <c r="J105" s="32"/>
      <c r="K105" s="13">
        <f>$I105</f>
        <v>6.5000000000000002E-2</v>
      </c>
      <c r="M105" s="13">
        <f>$I105</f>
        <v>6.5000000000000002E-2</v>
      </c>
      <c r="N105" s="13">
        <f>$I105</f>
        <v>6.5000000000000002E-2</v>
      </c>
    </row>
    <row r="106" spans="1:14" x14ac:dyDescent="0.3">
      <c r="A106" s="69">
        <f t="shared" si="56"/>
        <v>93</v>
      </c>
      <c r="B106" s="10" t="s">
        <v>196</v>
      </c>
      <c r="C106" s="10">
        <f>ROUND(C104*C105,0)</f>
        <v>116796</v>
      </c>
      <c r="D106" s="10">
        <f>ROUND(D104*D105,0)</f>
        <v>-49872</v>
      </c>
      <c r="E106" s="10">
        <f>ROUND(E104*E105,0)</f>
        <v>166668</v>
      </c>
      <c r="F106" s="10">
        <f>ROUND(F104*F105,0)</f>
        <v>0</v>
      </c>
      <c r="G106" s="10">
        <f>ROUND(G104*G105,0)</f>
        <v>166668</v>
      </c>
      <c r="H106" s="10">
        <f>I106-G106</f>
        <v>0</v>
      </c>
      <c r="I106" s="10">
        <f>ROUND(I104*I105,0)</f>
        <v>166668</v>
      </c>
      <c r="J106" s="33"/>
      <c r="K106" s="10">
        <f>ROUND(K104*K105,0)</f>
        <v>152526</v>
      </c>
      <c r="M106" s="10">
        <f>ROUND(M104*M105,0)</f>
        <v>-635343</v>
      </c>
      <c r="N106" s="10">
        <f>ROUND(N104*N105,0)</f>
        <v>-482817</v>
      </c>
    </row>
    <row r="107" spans="1:14" x14ac:dyDescent="0.3">
      <c r="A107" s="69">
        <f t="shared" si="56"/>
        <v>94</v>
      </c>
      <c r="B107" s="10" t="s">
        <v>317</v>
      </c>
      <c r="C107" s="10">
        <v>-452690</v>
      </c>
      <c r="D107" s="10">
        <f>ROUND(D103*D105*-1,0)</f>
        <v>0</v>
      </c>
      <c r="E107" s="10">
        <f>C107-D107</f>
        <v>-452690</v>
      </c>
      <c r="F107" s="10">
        <f>ROUND(F103*F105*-1,0)</f>
        <v>0</v>
      </c>
      <c r="G107" s="10">
        <f t="shared" ref="G107:G110" si="79">E107+F107</f>
        <v>-452690</v>
      </c>
      <c r="H107" s="10">
        <v>0</v>
      </c>
      <c r="I107" s="10">
        <f>G107+H107</f>
        <v>-452690</v>
      </c>
      <c r="J107" s="50">
        <f>VLOOKUP(L107,$C$142:$D$155,2,FALSE)</f>
        <v>0.98499999999999999</v>
      </c>
      <c r="K107" s="10">
        <f>ROUND(I107*J107,0)</f>
        <v>-445900</v>
      </c>
      <c r="L107" s="34" t="s">
        <v>225</v>
      </c>
      <c r="M107" s="10">
        <f>ROUND(M103*M105*-1,0)</f>
        <v>0</v>
      </c>
      <c r="N107" s="10">
        <f t="shared" ref="N107:N110" si="80">K107+M107</f>
        <v>-445900</v>
      </c>
    </row>
    <row r="108" spans="1:14" x14ac:dyDescent="0.3">
      <c r="A108" s="69">
        <f t="shared" si="56"/>
        <v>95</v>
      </c>
      <c r="B108" s="10" t="s">
        <v>272</v>
      </c>
      <c r="C108" s="10">
        <f>232103+590142</f>
        <v>822245</v>
      </c>
      <c r="D108" s="10">
        <v>822245</v>
      </c>
      <c r="E108" s="10">
        <f>C108-D108</f>
        <v>0</v>
      </c>
      <c r="F108" s="10">
        <v>0</v>
      </c>
      <c r="G108" s="10">
        <f t="shared" si="79"/>
        <v>0</v>
      </c>
      <c r="H108" s="10">
        <v>0</v>
      </c>
      <c r="I108" s="10">
        <f>G108+H108</f>
        <v>0</v>
      </c>
      <c r="J108" s="50">
        <f>VLOOKUP(L108,$C$142:$D$155,2,FALSE)</f>
        <v>0</v>
      </c>
      <c r="K108" s="10">
        <f>ROUND(I108*J108,0)</f>
        <v>0</v>
      </c>
      <c r="L108" s="69" t="s">
        <v>152</v>
      </c>
      <c r="M108" s="10">
        <v>0</v>
      </c>
      <c r="N108" s="10">
        <f t="shared" si="80"/>
        <v>0</v>
      </c>
    </row>
    <row r="109" spans="1:14" x14ac:dyDescent="0.3">
      <c r="A109" s="69">
        <f t="shared" si="56"/>
        <v>96</v>
      </c>
      <c r="B109" s="10" t="s">
        <v>197</v>
      </c>
      <c r="C109" s="10">
        <v>0</v>
      </c>
      <c r="D109" s="10">
        <v>0</v>
      </c>
      <c r="E109" s="10">
        <f>C109-D109</f>
        <v>0</v>
      </c>
      <c r="F109" s="10">
        <v>0</v>
      </c>
      <c r="G109" s="10">
        <f t="shared" si="79"/>
        <v>0</v>
      </c>
      <c r="H109" s="10">
        <v>0</v>
      </c>
      <c r="I109" s="10">
        <f>G109+H109</f>
        <v>0</v>
      </c>
      <c r="J109" s="50">
        <f>VLOOKUP(L109,$C$142:$D$155,2,FALSE)</f>
        <v>0</v>
      </c>
      <c r="K109" s="10">
        <f>ROUND(I109*J109,0)</f>
        <v>0</v>
      </c>
      <c r="L109" s="69" t="s">
        <v>152</v>
      </c>
      <c r="M109" s="10">
        <v>0</v>
      </c>
      <c r="N109" s="10">
        <f t="shared" si="80"/>
        <v>0</v>
      </c>
    </row>
    <row r="110" spans="1:14" x14ac:dyDescent="0.3">
      <c r="A110" s="69">
        <f t="shared" si="56"/>
        <v>97</v>
      </c>
      <c r="B110" s="10" t="s">
        <v>197</v>
      </c>
      <c r="C110" s="10">
        <v>0</v>
      </c>
      <c r="D110" s="10">
        <f>C110</f>
        <v>0</v>
      </c>
      <c r="E110" s="11">
        <f>C110-D110</f>
        <v>0</v>
      </c>
      <c r="F110" s="11">
        <v>0</v>
      </c>
      <c r="G110" s="10">
        <f t="shared" si="79"/>
        <v>0</v>
      </c>
      <c r="H110" s="11">
        <v>0</v>
      </c>
      <c r="I110" s="10">
        <f>G110+H110</f>
        <v>0</v>
      </c>
      <c r="J110" s="50">
        <f>VLOOKUP(L110,$C$142:$D$155,2,FALSE)</f>
        <v>0</v>
      </c>
      <c r="K110" s="11">
        <f>ROUND(I110*J110,0)</f>
        <v>0</v>
      </c>
      <c r="L110" s="69" t="s">
        <v>152</v>
      </c>
      <c r="M110" s="11">
        <v>0</v>
      </c>
      <c r="N110" s="10">
        <f t="shared" si="80"/>
        <v>0</v>
      </c>
    </row>
    <row r="111" spans="1:14" ht="13.5" thickBot="1" x14ac:dyDescent="0.35">
      <c r="A111" s="69">
        <f t="shared" si="56"/>
        <v>98</v>
      </c>
      <c r="B111" s="10" t="s">
        <v>206</v>
      </c>
      <c r="C111" s="15">
        <f t="shared" ref="C111:I111" si="81">SUM(C106:C110)</f>
        <v>486351</v>
      </c>
      <c r="D111" s="15">
        <f t="shared" si="81"/>
        <v>772373</v>
      </c>
      <c r="E111" s="15">
        <f t="shared" si="81"/>
        <v>-286022</v>
      </c>
      <c r="F111" s="15">
        <f t="shared" si="81"/>
        <v>0</v>
      </c>
      <c r="G111" s="15">
        <f t="shared" si="81"/>
        <v>-286022</v>
      </c>
      <c r="H111" s="15">
        <f t="shared" si="81"/>
        <v>0</v>
      </c>
      <c r="I111" s="15">
        <f t="shared" si="81"/>
        <v>-286022</v>
      </c>
      <c r="J111" s="33"/>
      <c r="K111" s="15">
        <f>SUM(K106:K110)</f>
        <v>-293374</v>
      </c>
      <c r="M111" s="15">
        <f t="shared" ref="M111:N111" si="82">SUM(M106:M110)</f>
        <v>-635343</v>
      </c>
      <c r="N111" s="15">
        <f t="shared" si="82"/>
        <v>-928717</v>
      </c>
    </row>
    <row r="112" spans="1:14" ht="13.5" thickTop="1" x14ac:dyDescent="0.3">
      <c r="A112" s="69">
        <f t="shared" si="56"/>
        <v>99</v>
      </c>
      <c r="B112" s="10"/>
      <c r="C112" s="10"/>
      <c r="D112" s="10"/>
      <c r="E112" s="10"/>
      <c r="F112" s="10"/>
      <c r="G112" s="10"/>
      <c r="H112" s="10"/>
      <c r="I112" s="10"/>
      <c r="J112" s="69"/>
      <c r="K112" s="10"/>
      <c r="M112" s="10"/>
      <c r="N112" s="10"/>
    </row>
    <row r="113" spans="1:14" x14ac:dyDescent="0.3">
      <c r="A113" s="69">
        <f t="shared" si="56"/>
        <v>100</v>
      </c>
      <c r="B113" s="10"/>
      <c r="C113" s="10"/>
      <c r="D113" s="10"/>
      <c r="E113" s="10"/>
      <c r="F113" s="10"/>
      <c r="G113" s="10"/>
      <c r="H113" s="10"/>
      <c r="I113" s="10"/>
      <c r="J113" s="69"/>
      <c r="K113" s="10"/>
      <c r="M113" s="10"/>
      <c r="N113" s="10"/>
    </row>
    <row r="114" spans="1:14" x14ac:dyDescent="0.3">
      <c r="A114" s="69">
        <f t="shared" si="56"/>
        <v>101</v>
      </c>
      <c r="B114" s="10"/>
      <c r="C114" s="10"/>
      <c r="D114" s="10"/>
      <c r="E114" s="10"/>
      <c r="F114" s="10"/>
      <c r="G114" s="10"/>
      <c r="H114" s="10"/>
      <c r="I114" s="10"/>
      <c r="J114" s="69"/>
      <c r="K114" s="10"/>
      <c r="M114" s="10"/>
      <c r="N114" s="10"/>
    </row>
    <row r="115" spans="1:14" ht="13.5" thickBot="1" x14ac:dyDescent="0.35">
      <c r="A115" s="69">
        <f t="shared" si="56"/>
        <v>102</v>
      </c>
      <c r="B115" s="10"/>
      <c r="C115" s="10"/>
      <c r="D115" s="10"/>
      <c r="E115" s="10"/>
      <c r="F115" s="10"/>
      <c r="G115" s="10"/>
      <c r="H115" s="10"/>
      <c r="I115" s="10"/>
      <c r="J115" s="69"/>
      <c r="K115" s="10"/>
      <c r="M115" s="10"/>
      <c r="N115" s="10"/>
    </row>
    <row r="116" spans="1:14" ht="13.5" thickBot="1" x14ac:dyDescent="0.35">
      <c r="A116" s="69">
        <f t="shared" si="56"/>
        <v>103</v>
      </c>
      <c r="B116" s="111" t="s">
        <v>207</v>
      </c>
      <c r="C116" s="10"/>
      <c r="J116" s="69"/>
    </row>
    <row r="117" spans="1:14" x14ac:dyDescent="0.3">
      <c r="A117" s="69">
        <f t="shared" si="56"/>
        <v>104</v>
      </c>
      <c r="B117" s="112"/>
      <c r="C117" s="10"/>
      <c r="J117" s="69"/>
    </row>
    <row r="118" spans="1:14" x14ac:dyDescent="0.3">
      <c r="A118" s="69">
        <f t="shared" si="56"/>
        <v>105</v>
      </c>
      <c r="B118" s="10"/>
      <c r="C118" s="10"/>
      <c r="J118" s="69"/>
    </row>
    <row r="119" spans="1:14" x14ac:dyDescent="0.3">
      <c r="A119" s="69">
        <f t="shared" si="56"/>
        <v>106</v>
      </c>
      <c r="B119" s="10"/>
      <c r="C119" s="10"/>
      <c r="J119" s="69"/>
    </row>
    <row r="120" spans="1:14" x14ac:dyDescent="0.3">
      <c r="A120" s="69">
        <f t="shared" si="56"/>
        <v>107</v>
      </c>
      <c r="B120" s="10" t="s">
        <v>270</v>
      </c>
      <c r="C120" s="53">
        <v>49346</v>
      </c>
      <c r="D120" s="53">
        <v>49346</v>
      </c>
      <c r="E120" s="53">
        <f>C120-D120</f>
        <v>0</v>
      </c>
      <c r="F120" s="53">
        <v>0</v>
      </c>
      <c r="G120" s="10">
        <f>E120+F120</f>
        <v>0</v>
      </c>
      <c r="H120" s="53">
        <v>0</v>
      </c>
      <c r="I120" s="53">
        <f>G120+H120</f>
        <v>0</v>
      </c>
      <c r="J120" s="43">
        <f>VLOOKUP(L120,$C$142:$D$155,2,FALSE)</f>
        <v>0</v>
      </c>
      <c r="K120" s="53">
        <f>ROUND(I120*J120,0)</f>
        <v>0</v>
      </c>
      <c r="L120" s="69" t="s">
        <v>152</v>
      </c>
      <c r="M120" s="53">
        <v>0</v>
      </c>
      <c r="N120" s="10">
        <f t="shared" ref="N120:N122" si="83">K120+M120</f>
        <v>0</v>
      </c>
    </row>
    <row r="121" spans="1:14" x14ac:dyDescent="0.3">
      <c r="A121" s="69">
        <f t="shared" si="56"/>
        <v>108</v>
      </c>
      <c r="B121" s="10" t="s">
        <v>405</v>
      </c>
      <c r="C121" s="53">
        <f>-1314065-C107</f>
        <v>-861375</v>
      </c>
      <c r="D121" s="53">
        <v>-861375</v>
      </c>
      <c r="E121" s="53">
        <f>C121-D121</f>
        <v>0</v>
      </c>
      <c r="F121" s="53">
        <v>0</v>
      </c>
      <c r="G121" s="10">
        <f>E121+F121</f>
        <v>0</v>
      </c>
      <c r="H121" s="53">
        <v>0</v>
      </c>
      <c r="I121" s="53">
        <f>G121+H121</f>
        <v>0</v>
      </c>
      <c r="J121" s="43">
        <f>VLOOKUP(L121,$C$142:$D$155,2,FALSE)</f>
        <v>0.98499999999999999</v>
      </c>
      <c r="K121" s="53">
        <f>ROUND(I121*J121,0)</f>
        <v>0</v>
      </c>
      <c r="L121" s="34" t="s">
        <v>225</v>
      </c>
      <c r="M121" s="10">
        <v>0</v>
      </c>
      <c r="N121" s="10">
        <f t="shared" si="83"/>
        <v>0</v>
      </c>
    </row>
    <row r="122" spans="1:14" x14ac:dyDescent="0.3">
      <c r="A122" s="69">
        <f t="shared" si="56"/>
        <v>109</v>
      </c>
      <c r="B122" s="10" t="s">
        <v>207</v>
      </c>
      <c r="C122" s="53">
        <v>0</v>
      </c>
      <c r="D122" s="53">
        <v>0</v>
      </c>
      <c r="E122" s="53">
        <f>C122-D122</f>
        <v>0</v>
      </c>
      <c r="F122" s="53">
        <v>0</v>
      </c>
      <c r="G122" s="10">
        <f>E122+F122</f>
        <v>0</v>
      </c>
      <c r="H122" s="53">
        <v>0</v>
      </c>
      <c r="I122" s="53">
        <f>G122+H122</f>
        <v>0</v>
      </c>
      <c r="J122" s="43">
        <f>VLOOKUP(L122,$C$142:$D$155,2,FALSE)</f>
        <v>0.98499999999999999</v>
      </c>
      <c r="K122" s="53">
        <f>ROUND(I122*J122,0)</f>
        <v>0</v>
      </c>
      <c r="L122" s="34" t="s">
        <v>225</v>
      </c>
      <c r="M122" s="53">
        <v>0</v>
      </c>
      <c r="N122" s="10">
        <f t="shared" si="83"/>
        <v>0</v>
      </c>
    </row>
    <row r="123" spans="1:14" ht="13.5" thickBot="1" x14ac:dyDescent="0.35">
      <c r="A123" s="69">
        <f t="shared" si="56"/>
        <v>110</v>
      </c>
      <c r="B123" s="10" t="s">
        <v>271</v>
      </c>
      <c r="C123" s="15">
        <f t="shared" ref="C123:I123" si="84">SUM(C120:C122)</f>
        <v>-812029</v>
      </c>
      <c r="D123" s="15">
        <f t="shared" si="84"/>
        <v>-812029</v>
      </c>
      <c r="E123" s="15">
        <f t="shared" si="84"/>
        <v>0</v>
      </c>
      <c r="F123" s="15">
        <f t="shared" si="84"/>
        <v>0</v>
      </c>
      <c r="G123" s="15">
        <f t="shared" si="84"/>
        <v>0</v>
      </c>
      <c r="H123" s="15">
        <f t="shared" si="84"/>
        <v>0</v>
      </c>
      <c r="I123" s="15">
        <f t="shared" si="84"/>
        <v>0</v>
      </c>
      <c r="J123" s="50"/>
      <c r="K123" s="15">
        <f>SUM(K120:K122)</f>
        <v>0</v>
      </c>
      <c r="L123" s="34"/>
      <c r="M123" s="15">
        <f t="shared" ref="M123:N123" si="85">SUM(M120:M122)</f>
        <v>0</v>
      </c>
      <c r="N123" s="15">
        <f t="shared" si="85"/>
        <v>0</v>
      </c>
    </row>
    <row r="124" spans="1:14" ht="13.5" thickTop="1" x14ac:dyDescent="0.3">
      <c r="A124" s="69">
        <f t="shared" si="56"/>
        <v>111</v>
      </c>
      <c r="B124" s="10"/>
      <c r="C124" s="10"/>
      <c r="J124" s="69"/>
    </row>
    <row r="125" spans="1:14" x14ac:dyDescent="0.3">
      <c r="A125" s="69">
        <f t="shared" si="56"/>
        <v>112</v>
      </c>
      <c r="B125" s="10"/>
      <c r="C125" s="10"/>
      <c r="J125" s="69"/>
    </row>
    <row r="126" spans="1:14" x14ac:dyDescent="0.3">
      <c r="A126" s="69">
        <f t="shared" si="56"/>
        <v>113</v>
      </c>
      <c r="B126" s="10"/>
      <c r="C126" s="10"/>
      <c r="J126" s="69"/>
    </row>
    <row r="127" spans="1:14" x14ac:dyDescent="0.3">
      <c r="A127" s="69">
        <f t="shared" si="56"/>
        <v>114</v>
      </c>
      <c r="J127" s="69"/>
    </row>
    <row r="128" spans="1:14" x14ac:dyDescent="0.3">
      <c r="A128" s="69">
        <f t="shared" si="56"/>
        <v>115</v>
      </c>
      <c r="J128" s="115"/>
    </row>
    <row r="129" spans="1:15" ht="13.5" thickBot="1" x14ac:dyDescent="0.35">
      <c r="A129" s="69">
        <f t="shared" si="56"/>
        <v>116</v>
      </c>
      <c r="B129" s="70" t="s">
        <v>208</v>
      </c>
      <c r="C129" s="16">
        <f>C33+C59+C86+C111+C123</f>
        <v>4200</v>
      </c>
      <c r="D129" s="16">
        <f>D33+D59+D86+D111+D123</f>
        <v>1694108</v>
      </c>
      <c r="E129" s="16">
        <f>E33+E59+E86+E111+E123</f>
        <v>-1689908</v>
      </c>
      <c r="F129" s="16">
        <f t="shared" ref="F129:I129" si="86">F33+F59+F86+F111+F123</f>
        <v>0</v>
      </c>
      <c r="G129" s="16">
        <f t="shared" si="86"/>
        <v>-1689908</v>
      </c>
      <c r="H129" s="16">
        <f t="shared" si="86"/>
        <v>0</v>
      </c>
      <c r="I129" s="16">
        <f t="shared" si="86"/>
        <v>-1689908</v>
      </c>
      <c r="J129" s="33"/>
      <c r="K129" s="16">
        <f>K33+K59+K86+K111+K123</f>
        <v>-1714393</v>
      </c>
      <c r="M129" s="16">
        <f>M33+M59+M86+M111+M123</f>
        <v>-2719643</v>
      </c>
      <c r="N129" s="16">
        <f>N33+N59+N86+N111+N123</f>
        <v>-4434036</v>
      </c>
    </row>
    <row r="130" spans="1:15" ht="14.5" thickTop="1" x14ac:dyDescent="0.3">
      <c r="A130" s="69">
        <f t="shared" si="56"/>
        <v>117</v>
      </c>
      <c r="C130" s="134">
        <v>4193.97</v>
      </c>
      <c r="D130" s="134"/>
      <c r="E130" s="132"/>
      <c r="G130" s="116"/>
      <c r="J130" s="71"/>
    </row>
    <row r="131" spans="1:15" ht="14" x14ac:dyDescent="0.3">
      <c r="A131" s="69">
        <f t="shared" si="56"/>
        <v>118</v>
      </c>
      <c r="B131" s="131"/>
      <c r="D131" s="134"/>
      <c r="G131" s="116"/>
      <c r="J131" s="71"/>
    </row>
    <row r="132" spans="1:15" ht="13.5" thickBot="1" x14ac:dyDescent="0.35">
      <c r="A132" s="69">
        <f t="shared" si="56"/>
        <v>119</v>
      </c>
      <c r="B132" s="70" t="s">
        <v>359</v>
      </c>
      <c r="C132" s="16">
        <f t="shared" ref="C132:I132" si="87">C129-C135</f>
        <v>1318264.6200000001</v>
      </c>
      <c r="D132" s="16">
        <f t="shared" si="87"/>
        <v>1694108</v>
      </c>
      <c r="E132" s="16">
        <f t="shared" si="87"/>
        <v>-1237218</v>
      </c>
      <c r="F132" s="16">
        <f t="shared" si="87"/>
        <v>0</v>
      </c>
      <c r="G132" s="16">
        <f t="shared" si="87"/>
        <v>-1237218</v>
      </c>
      <c r="H132" s="16">
        <f t="shared" si="87"/>
        <v>0</v>
      </c>
      <c r="I132" s="16">
        <f t="shared" si="87"/>
        <v>-1237218</v>
      </c>
      <c r="J132" s="71"/>
      <c r="K132" s="16">
        <f>K129-K135</f>
        <v>-1268493</v>
      </c>
      <c r="M132" s="16">
        <f t="shared" ref="M132:N132" si="88">M129-M135</f>
        <v>-2719643</v>
      </c>
      <c r="N132" s="16">
        <f t="shared" si="88"/>
        <v>-3988136</v>
      </c>
    </row>
    <row r="133" spans="1:15" ht="13.5" thickTop="1" x14ac:dyDescent="0.3">
      <c r="A133" s="69">
        <f t="shared" si="56"/>
        <v>120</v>
      </c>
      <c r="C133" s="133">
        <v>1318258.5900000001</v>
      </c>
      <c r="D133" s="133"/>
      <c r="E133" s="133"/>
      <c r="J133" s="71"/>
    </row>
    <row r="134" spans="1:15" x14ac:dyDescent="0.3">
      <c r="A134" s="69">
        <f t="shared" si="56"/>
        <v>121</v>
      </c>
      <c r="D134" s="134"/>
      <c r="J134" s="71"/>
    </row>
    <row r="135" spans="1:15" ht="13.5" thickBot="1" x14ac:dyDescent="0.35">
      <c r="A135" s="69">
        <f t="shared" si="56"/>
        <v>122</v>
      </c>
      <c r="B135" s="70" t="s">
        <v>360</v>
      </c>
      <c r="C135" s="16">
        <v>-1314064.6200000001</v>
      </c>
      <c r="D135" s="16">
        <v>0</v>
      </c>
      <c r="E135" s="16">
        <f>E107+E121</f>
        <v>-452690</v>
      </c>
      <c r="F135" s="16">
        <f>F107+F121</f>
        <v>0</v>
      </c>
      <c r="G135" s="16">
        <f>G107+G121</f>
        <v>-452690</v>
      </c>
      <c r="H135" s="16">
        <f>H107+H121</f>
        <v>0</v>
      </c>
      <c r="I135" s="16">
        <f>I107+I121</f>
        <v>-452690</v>
      </c>
      <c r="J135" s="71"/>
      <c r="K135" s="16">
        <f>K107+K121</f>
        <v>-445900</v>
      </c>
      <c r="M135" s="16">
        <f>M107+M121</f>
        <v>0</v>
      </c>
      <c r="N135" s="16">
        <f>N107+N121</f>
        <v>-445900</v>
      </c>
    </row>
    <row r="136" spans="1:15" ht="14.5" thickTop="1" x14ac:dyDescent="0.3">
      <c r="C136" s="133"/>
      <c r="D136" s="133"/>
      <c r="E136" s="133"/>
      <c r="G136" s="116"/>
      <c r="J136" s="71"/>
    </row>
    <row r="137" spans="1:15" ht="14" x14ac:dyDescent="0.3">
      <c r="C137" s="10"/>
      <c r="G137" s="116"/>
      <c r="J137" s="53"/>
      <c r="M137" s="133"/>
    </row>
    <row r="138" spans="1:15" x14ac:dyDescent="0.3">
      <c r="M138" s="10"/>
      <c r="O138" s="131"/>
    </row>
    <row r="139" spans="1:15" x14ac:dyDescent="0.3">
      <c r="E139" s="131"/>
      <c r="J139" s="10"/>
    </row>
    <row r="140" spans="1:15" x14ac:dyDescent="0.3">
      <c r="E140" s="140"/>
      <c r="F140" s="166"/>
      <c r="G140" s="53"/>
      <c r="H140" s="10"/>
      <c r="I140" s="10"/>
      <c r="K140" s="10"/>
      <c r="M140" s="10"/>
    </row>
    <row r="141" spans="1:15" x14ac:dyDescent="0.3">
      <c r="C141" s="117" t="s">
        <v>226</v>
      </c>
      <c r="D141" s="118"/>
      <c r="E141" s="141"/>
      <c r="F141" s="53"/>
      <c r="G141" s="53"/>
      <c r="H141" s="10"/>
      <c r="I141" s="10"/>
      <c r="K141" s="10"/>
    </row>
    <row r="142" spans="1:15" x14ac:dyDescent="0.3">
      <c r="A142" s="119"/>
      <c r="C142" s="48" t="str">
        <f>'CFIT Schedules'!C308</f>
        <v>GROSS PLT</v>
      </c>
      <c r="D142" s="45">
        <f>'CFIT Schedules'!D308</f>
        <v>0.98499999999999999</v>
      </c>
      <c r="E142" s="71"/>
      <c r="F142" s="53"/>
      <c r="G142" s="53"/>
      <c r="H142" s="10"/>
      <c r="I142" s="10"/>
      <c r="K142" s="10"/>
    </row>
    <row r="143" spans="1:15" x14ac:dyDescent="0.3">
      <c r="C143" s="48" t="str">
        <f>'CFIT Schedules'!C309</f>
        <v>NET PLANT</v>
      </c>
      <c r="D143" s="45">
        <f>'CFIT Schedules'!D309</f>
        <v>0.98499999999999999</v>
      </c>
      <c r="E143" s="71"/>
      <c r="F143" s="53"/>
      <c r="G143" s="53"/>
      <c r="H143" s="10"/>
      <c r="I143" s="10"/>
      <c r="K143" s="10"/>
    </row>
    <row r="144" spans="1:15" x14ac:dyDescent="0.3">
      <c r="C144" s="48" t="str">
        <f>'CFIT Schedules'!C310</f>
        <v>PROD PLT</v>
      </c>
      <c r="D144" s="45">
        <f>'CFIT Schedules'!D310</f>
        <v>0.98499999999999999</v>
      </c>
      <c r="E144" s="140"/>
      <c r="F144" s="166"/>
      <c r="G144" s="53"/>
      <c r="H144" s="10"/>
      <c r="I144" s="10"/>
      <c r="K144" s="10"/>
    </row>
    <row r="145" spans="2:13" x14ac:dyDescent="0.3">
      <c r="C145" s="48" t="str">
        <f>'CFIT Schedules'!C311</f>
        <v>TRAN PLT</v>
      </c>
      <c r="D145" s="45">
        <f>'CFIT Schedules'!D311</f>
        <v>0.98499999999999999</v>
      </c>
      <c r="E145" s="140"/>
      <c r="F145" s="166"/>
      <c r="G145" s="53"/>
      <c r="H145" s="10"/>
      <c r="I145" s="10"/>
      <c r="K145" s="10"/>
      <c r="M145" s="71"/>
    </row>
    <row r="146" spans="2:13" x14ac:dyDescent="0.3">
      <c r="C146" s="48" t="str">
        <f>'CFIT Schedules'!C312</f>
        <v>DIST PLT</v>
      </c>
      <c r="D146" s="45">
        <f>'CFIT Schedules'!D312</f>
        <v>0.999</v>
      </c>
      <c r="E146" s="140"/>
      <c r="F146" s="166"/>
      <c r="G146" s="53"/>
      <c r="H146" s="10"/>
      <c r="I146" s="10"/>
      <c r="K146" s="10"/>
      <c r="M146" s="71"/>
    </row>
    <row r="147" spans="2:13" x14ac:dyDescent="0.3">
      <c r="C147" s="48" t="str">
        <f>'CFIT Schedules'!C313</f>
        <v>T&amp;D PLT</v>
      </c>
      <c r="D147" s="45">
        <f>'CFIT Schedules'!D313</f>
        <v>0.99299999999999999</v>
      </c>
      <c r="E147" s="140"/>
      <c r="F147" s="166"/>
      <c r="G147" s="53"/>
      <c r="H147" s="10"/>
      <c r="I147" s="10"/>
      <c r="K147" s="10"/>
      <c r="M147" s="71"/>
    </row>
    <row r="148" spans="2:13" x14ac:dyDescent="0.3">
      <c r="C148" s="48" t="str">
        <f>'CFIT Schedules'!C314</f>
        <v>ENERGY</v>
      </c>
      <c r="D148" s="45">
        <f>'CFIT Schedules'!D314</f>
        <v>0.98599999999999999</v>
      </c>
      <c r="E148" s="141"/>
      <c r="F148" s="53"/>
      <c r="G148" s="53"/>
      <c r="H148" s="10"/>
      <c r="I148" s="10"/>
      <c r="K148" s="10"/>
      <c r="M148" s="131"/>
    </row>
    <row r="149" spans="2:13" x14ac:dyDescent="0.3">
      <c r="C149" s="48" t="str">
        <f>'CFIT Schedules'!C315</f>
        <v>LABOR</v>
      </c>
      <c r="D149" s="45">
        <f>'CFIT Schedules'!D315</f>
        <v>0.99</v>
      </c>
      <c r="E149" s="71"/>
      <c r="F149" s="53"/>
      <c r="G149" s="53"/>
      <c r="H149" s="10"/>
      <c r="I149" s="10"/>
      <c r="K149" s="10"/>
    </row>
    <row r="150" spans="2:13" x14ac:dyDescent="0.3">
      <c r="C150" s="48" t="str">
        <f>'CFIT Schedules'!C316</f>
        <v>O&amp;M EXP</v>
      </c>
      <c r="D150" s="45">
        <f>'CFIT Schedules'!D316</f>
        <v>0.98</v>
      </c>
    </row>
    <row r="151" spans="2:13" x14ac:dyDescent="0.3">
      <c r="C151" s="48" t="str">
        <f>'CFIT Schedules'!C317</f>
        <v>REVENUE</v>
      </c>
      <c r="D151" s="45">
        <f>'CFIT Schedules'!D317</f>
        <v>0.98299999999999998</v>
      </c>
    </row>
    <row r="152" spans="2:13" x14ac:dyDescent="0.3">
      <c r="C152" s="48" t="str">
        <f>'CFIT Schedules'!C318</f>
        <v>REVENUE-OTH</v>
      </c>
      <c r="D152" s="45">
        <f>'CFIT Schedules'!D318</f>
        <v>0</v>
      </c>
    </row>
    <row r="153" spans="2:13" x14ac:dyDescent="0.3">
      <c r="C153" s="48" t="str">
        <f>'CFIT Schedules'!C320</f>
        <v>SPECIFIC</v>
      </c>
      <c r="D153" s="45">
        <f>'CFIT Schedules'!D320</f>
        <v>1</v>
      </c>
    </row>
    <row r="154" spans="2:13" x14ac:dyDescent="0.3">
      <c r="C154" s="48" t="str">
        <f>'CFIT Schedules'!C321</f>
        <v>NON-APPLIC</v>
      </c>
      <c r="D154" s="45">
        <f>'CFIT Schedules'!D321</f>
        <v>0</v>
      </c>
    </row>
    <row r="155" spans="2:13" x14ac:dyDescent="0.3">
      <c r="C155" s="48" t="str">
        <f>'CFIT Schedules'!C322</f>
        <v>NON-UTILITY</v>
      </c>
      <c r="D155" s="45">
        <f>'CFIT Schedules'!D322</f>
        <v>0</v>
      </c>
    </row>
    <row r="156" spans="2:13" x14ac:dyDescent="0.3">
      <c r="C156" s="48"/>
      <c r="D156" s="45"/>
    </row>
    <row r="157" spans="2:13" x14ac:dyDescent="0.3">
      <c r="C157" s="48"/>
      <c r="D157" s="45"/>
    </row>
    <row r="158" spans="2:13" x14ac:dyDescent="0.3">
      <c r="C158" s="48"/>
      <c r="D158" s="45"/>
    </row>
    <row r="159" spans="2:13" x14ac:dyDescent="0.3">
      <c r="C159" s="95"/>
      <c r="D159" s="39"/>
    </row>
    <row r="160" spans="2:13" x14ac:dyDescent="0.3">
      <c r="B160" s="55" t="s">
        <v>275</v>
      </c>
      <c r="C160" s="95"/>
      <c r="D160" s="39"/>
    </row>
    <row r="161" spans="2:4" ht="63" x14ac:dyDescent="0.3">
      <c r="B161" s="120" t="s">
        <v>361</v>
      </c>
      <c r="C161" s="95"/>
      <c r="D161" s="39"/>
    </row>
    <row r="162" spans="2:4" x14ac:dyDescent="0.3">
      <c r="C162" s="95"/>
      <c r="D162" s="39"/>
    </row>
  </sheetData>
  <phoneticPr fontId="2" type="noConversion"/>
  <pageMargins left="0.25" right="0.25" top="1" bottom="0.75" header="0.5" footer="0.5"/>
  <pageSetup scale="52" orientation="landscape" r:id="rId1"/>
  <headerFooter alignWithMargins="0"/>
  <rowBreaks count="3" manualBreakCount="3">
    <brk id="62" max="13" man="1"/>
    <brk id="114" max="13" man="1"/>
    <brk id="161" max="13" man="1"/>
  </rowBreaks>
  <ignoredErrors>
    <ignoredError sqref="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B9E84B3B-A268-40B0-B13A-BBBC2E7E71A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CFIT Schedules</vt:lpstr>
      <vt:lpstr>DFIT-Per Books as Adjusted</vt:lpstr>
      <vt:lpstr>DFIT Computations</vt:lpstr>
      <vt:lpstr>SIT Schedules</vt:lpstr>
      <vt:lpstr>'CFIT Schedules'!Print_Area</vt:lpstr>
      <vt:lpstr>'DFIT Computations'!Print_Area</vt:lpstr>
      <vt:lpstr>'DFIT-Per Books as Adjusted'!Print_Area</vt:lpstr>
      <vt:lpstr>'SIT Schedules'!Print_Area</vt:lpstr>
      <vt:lpstr>Summary!Print_Area</vt:lpstr>
      <vt:lpstr>'CFIT Schedules'!Print_Titles</vt:lpstr>
      <vt:lpstr>'DFIT Computations'!Print_Titles</vt:lpstr>
      <vt:lpstr>'DFIT-Per Books as Adjusted'!Print_Titles</vt:lpstr>
      <vt:lpstr>'SIT Schedules'!Print_Titles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keywords/>
  <cp:lastModifiedBy>s175747</cp:lastModifiedBy>
  <cp:lastPrinted>2017-06-26T13:20:49Z</cp:lastPrinted>
  <dcterms:created xsi:type="dcterms:W3CDTF">2007-04-24T16:12:23Z</dcterms:created>
  <dcterms:modified xsi:type="dcterms:W3CDTF">2020-08-24T13:50:53Z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d19c91d4-9857-4766-b224-6ee4b783d408</vt:lpwstr>
  </property>
  <property fmtid="{D5CDD505-2E9C-101B-9397-08002B2CF9AE}" pid="3" name="bjSaver">
    <vt:lpwstr>+oNObCRuBlQbmshL+Jfw70Gv6AQAEokq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