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0" yWindow="0" windowWidth="28800" windowHeight="12000"/>
  </bookViews>
  <sheets>
    <sheet name="Rev Req" sheetId="21" r:id="rId1"/>
    <sheet name="Pre-Tax WACC" sheetId="23" r:id="rId2"/>
    <sheet name="Class Allocation and Rates" sheetId="22" r:id="rId3"/>
    <sheet name="Input" sheetId="15" r:id="rId4"/>
  </sheets>
  <definedNames>
    <definedName name="_xlnm.Print_Area" localSheetId="1">'Pre-Tax WACC'!$A$1:$O$31</definedName>
    <definedName name="_xlnm.Print_Area" localSheetId="0">'Rev Req'!$A$1:$U$50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2" l="1"/>
  <c r="E6" i="22"/>
  <c r="S49" i="21" l="1"/>
  <c r="M49" i="21"/>
  <c r="K49" i="21"/>
  <c r="T48" i="21"/>
  <c r="T49" i="21" s="1"/>
  <c r="S48" i="21"/>
  <c r="R48" i="21"/>
  <c r="R49" i="21" s="1"/>
  <c r="Q48" i="21"/>
  <c r="Q49" i="21" s="1"/>
  <c r="P48" i="21"/>
  <c r="P49" i="21" s="1"/>
  <c r="O48" i="21"/>
  <c r="O49" i="21" s="1"/>
  <c r="N48" i="21"/>
  <c r="N49" i="21" s="1"/>
  <c r="M48" i="21"/>
  <c r="L48" i="21"/>
  <c r="L49" i="21" s="1"/>
  <c r="K48" i="21"/>
  <c r="J48" i="21"/>
  <c r="I48" i="21"/>
  <c r="H48" i="21"/>
  <c r="H46" i="21"/>
  <c r="G46" i="21"/>
  <c r="F46" i="21"/>
  <c r="T35" i="21"/>
  <c r="S35" i="21"/>
  <c r="R35" i="21"/>
  <c r="P33" i="21"/>
  <c r="O33" i="21"/>
  <c r="N33" i="21"/>
  <c r="M33" i="21"/>
  <c r="L33" i="21"/>
  <c r="K33" i="21"/>
  <c r="J33" i="21"/>
  <c r="I33" i="21"/>
  <c r="H33" i="21"/>
  <c r="G33" i="21"/>
  <c r="F33" i="21"/>
  <c r="T17" i="21"/>
  <c r="S17" i="21"/>
  <c r="R17" i="21"/>
  <c r="Q17" i="21"/>
  <c r="P17" i="21"/>
  <c r="O17" i="21"/>
  <c r="N17" i="21"/>
  <c r="M17" i="21"/>
  <c r="L17" i="21"/>
  <c r="K17" i="21"/>
  <c r="K13" i="23" l="1"/>
  <c r="E19" i="23"/>
  <c r="K17" i="23" s="1"/>
  <c r="O17" i="23" s="1"/>
  <c r="K15" i="23" l="1"/>
  <c r="O15" i="23" s="1"/>
  <c r="K11" i="23" l="1"/>
  <c r="G19" i="23"/>
  <c r="K19" i="23" l="1"/>
  <c r="O11" i="23"/>
  <c r="O19" i="23" s="1"/>
  <c r="B13" i="21" s="1"/>
  <c r="C11" i="22" l="1"/>
  <c r="C10" i="22"/>
  <c r="E10" i="22"/>
  <c r="E7" i="22"/>
  <c r="C21" i="22"/>
  <c r="C3" i="21" l="1"/>
  <c r="D3" i="21"/>
  <c r="E3" i="21"/>
  <c r="C4" i="21"/>
  <c r="D4" i="21"/>
  <c r="E4" i="21"/>
  <c r="B4" i="21"/>
  <c r="B3" i="21"/>
  <c r="D41" i="21"/>
  <c r="C41" i="21"/>
  <c r="B41" i="21"/>
  <c r="B6" i="21"/>
  <c r="B5" i="21"/>
  <c r="F16" i="21" l="1"/>
  <c r="B16" i="21"/>
  <c r="F45" i="21"/>
  <c r="J17" i="21"/>
  <c r="J49" i="21" s="1"/>
  <c r="C16" i="21"/>
  <c r="G17" i="21"/>
  <c r="S16" i="21"/>
  <c r="T16" i="21"/>
  <c r="R16" i="21"/>
  <c r="R36" i="21" s="1"/>
  <c r="J31" i="21"/>
  <c r="M31" i="21"/>
  <c r="I31" i="21"/>
  <c r="H31" i="21"/>
  <c r="E31" i="21"/>
  <c r="K31" i="21"/>
  <c r="G31" i="21"/>
  <c r="N31" i="21"/>
  <c r="F31" i="21"/>
  <c r="L31" i="21"/>
  <c r="K30" i="21"/>
  <c r="H30" i="21"/>
  <c r="J30" i="21"/>
  <c r="E30" i="21"/>
  <c r="I30" i="21"/>
  <c r="F30" i="21"/>
  <c r="M30" i="21"/>
  <c r="D30" i="21"/>
  <c r="G30" i="21"/>
  <c r="L30" i="21"/>
  <c r="L29" i="21"/>
  <c r="D29" i="21"/>
  <c r="F29" i="21"/>
  <c r="K29" i="21"/>
  <c r="C29" i="21"/>
  <c r="J29" i="21"/>
  <c r="B29" i="21"/>
  <c r="I29" i="21"/>
  <c r="H29" i="21"/>
  <c r="G29" i="21"/>
  <c r="E29" i="21"/>
  <c r="C30" i="21"/>
  <c r="Q16" i="21"/>
  <c r="O32" i="21"/>
  <c r="H16" i="21"/>
  <c r="P16" i="21"/>
  <c r="I16" i="21"/>
  <c r="J16" i="21"/>
  <c r="K16" i="21"/>
  <c r="D16" i="21"/>
  <c r="L16" i="21"/>
  <c r="E16" i="21"/>
  <c r="M16" i="21"/>
  <c r="N16" i="21"/>
  <c r="G16" i="21"/>
  <c r="O16" i="21"/>
  <c r="B42" i="21"/>
  <c r="B48" i="21" s="1"/>
  <c r="B17" i="21"/>
  <c r="C17" i="21"/>
  <c r="D17" i="21"/>
  <c r="E17" i="21"/>
  <c r="F17" i="21"/>
  <c r="I17" i="21"/>
  <c r="I49" i="21" s="1"/>
  <c r="H17" i="21"/>
  <c r="H49" i="21" s="1"/>
  <c r="C5" i="21"/>
  <c r="D44" i="21"/>
  <c r="E43" i="21"/>
  <c r="F44" i="21"/>
  <c r="F48" i="21" s="1"/>
  <c r="F49" i="21" s="1"/>
  <c r="C6" i="21"/>
  <c r="D42" i="21"/>
  <c r="G45" i="21"/>
  <c r="G48" i="21" s="1"/>
  <c r="G49" i="21" s="1"/>
  <c r="E44" i="21"/>
  <c r="C42" i="21"/>
  <c r="E45" i="21"/>
  <c r="C43" i="21"/>
  <c r="D43" i="21"/>
  <c r="B7" i="21"/>
  <c r="F21" i="21"/>
  <c r="G21" i="21" s="1"/>
  <c r="H21" i="21" s="1"/>
  <c r="I21" i="21" s="1"/>
  <c r="J21" i="21" s="1"/>
  <c r="K21" i="21" s="1"/>
  <c r="L21" i="21" s="1"/>
  <c r="M21" i="21" s="1"/>
  <c r="N21" i="21" s="1"/>
  <c r="O21" i="21" s="1"/>
  <c r="P21" i="21" s="1"/>
  <c r="Q21" i="21" s="1"/>
  <c r="R21" i="21" s="1"/>
  <c r="S21" i="21" s="1"/>
  <c r="T21" i="21" s="1"/>
  <c r="Q35" i="21"/>
  <c r="P35" i="21"/>
  <c r="E48" i="21" l="1"/>
  <c r="E49" i="21" s="1"/>
  <c r="U49" i="21" s="1"/>
  <c r="D48" i="21"/>
  <c r="D49" i="21" s="1"/>
  <c r="F18" i="21"/>
  <c r="U17" i="21"/>
  <c r="P36" i="21"/>
  <c r="U16" i="21"/>
  <c r="T18" i="21"/>
  <c r="T36" i="21"/>
  <c r="Q36" i="21"/>
  <c r="S18" i="21"/>
  <c r="S36" i="21"/>
  <c r="B18" i="21"/>
  <c r="B10" i="21" s="1"/>
  <c r="B9" i="21" s="1"/>
  <c r="D6" i="21"/>
  <c r="C7" i="21"/>
  <c r="C48" i="21"/>
  <c r="C49" i="21" s="1"/>
  <c r="D5" i="21"/>
  <c r="E5" i="21" s="1"/>
  <c r="C18" i="21"/>
  <c r="B35" i="21"/>
  <c r="B49" i="21"/>
  <c r="B50" i="21" s="1"/>
  <c r="U48" i="21" l="1"/>
  <c r="B20" i="21"/>
  <c r="B36" i="21"/>
  <c r="U18" i="21"/>
  <c r="C10" i="21"/>
  <c r="D18" i="21"/>
  <c r="D7" i="21"/>
  <c r="E6" i="21"/>
  <c r="C50" i="21"/>
  <c r="D50" i="21" s="1"/>
  <c r="E50" i="21" s="1"/>
  <c r="F50" i="21" s="1"/>
  <c r="G50" i="21" s="1"/>
  <c r="H50" i="21" s="1"/>
  <c r="I50" i="21" s="1"/>
  <c r="J50" i="21" s="1"/>
  <c r="K50" i="21" s="1"/>
  <c r="L50" i="21" s="1"/>
  <c r="M50" i="21" s="1"/>
  <c r="N50" i="21" s="1"/>
  <c r="O50" i="21" s="1"/>
  <c r="P50" i="21" s="1"/>
  <c r="Q50" i="21" s="1"/>
  <c r="R50" i="21" s="1"/>
  <c r="S50" i="21" s="1"/>
  <c r="T50" i="21" s="1"/>
  <c r="B37" i="21" l="1"/>
  <c r="D10" i="21"/>
  <c r="D9" i="21" s="1"/>
  <c r="E7" i="21"/>
  <c r="E18" i="21"/>
  <c r="F5" i="21"/>
  <c r="F6" i="21"/>
  <c r="C9" i="21"/>
  <c r="D20" i="21" l="1"/>
  <c r="C20" i="21"/>
  <c r="E10" i="21"/>
  <c r="E9" i="21" s="1"/>
  <c r="G6" i="2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V48" i="21" s="1"/>
  <c r="F7" i="21"/>
  <c r="G5" i="21"/>
  <c r="E20" i="21" l="1"/>
  <c r="V6" i="21"/>
  <c r="V17" i="21"/>
  <c r="F10" i="21"/>
  <c r="F9" i="21" s="1"/>
  <c r="F20" i="21" s="1"/>
  <c r="H5" i="21"/>
  <c r="G7" i="21"/>
  <c r="G18" i="21"/>
  <c r="G10" i="21" l="1"/>
  <c r="G9" i="21" s="1"/>
  <c r="H7" i="21"/>
  <c r="H18" i="21"/>
  <c r="I5" i="21"/>
  <c r="E21" i="21"/>
  <c r="E25" i="21" s="1"/>
  <c r="D21" i="21"/>
  <c r="D25" i="21" s="1"/>
  <c r="C21" i="21"/>
  <c r="C25" i="21" s="1"/>
  <c r="G20" i="21" l="1"/>
  <c r="H10" i="21"/>
  <c r="H9" i="21" s="1"/>
  <c r="I18" i="21"/>
  <c r="I7" i="21"/>
  <c r="J5" i="21"/>
  <c r="H20" i="21" l="1"/>
  <c r="I10" i="21"/>
  <c r="I9" i="21" s="1"/>
  <c r="I20" i="21" s="1"/>
  <c r="J7" i="21"/>
  <c r="J18" i="21"/>
  <c r="H32" i="21"/>
  <c r="F32" i="21"/>
  <c r="M32" i="21"/>
  <c r="L32" i="21"/>
  <c r="O35" i="21"/>
  <c r="O36" i="21" s="1"/>
  <c r="N32" i="21"/>
  <c r="G32" i="21"/>
  <c r="K32" i="21"/>
  <c r="E32" i="21"/>
  <c r="I32" i="21"/>
  <c r="J32" i="21"/>
  <c r="B21" i="21"/>
  <c r="B25" i="21" s="1"/>
  <c r="J10" i="21" l="1"/>
  <c r="J9" i="21" s="1"/>
  <c r="D31" i="21"/>
  <c r="N35" i="21"/>
  <c r="N36" i="21" s="1"/>
  <c r="J20" i="21" l="1"/>
  <c r="M35" i="21"/>
  <c r="M36" i="21" s="1"/>
  <c r="D35" i="21" l="1"/>
  <c r="D36" i="21" s="1"/>
  <c r="K35" i="21"/>
  <c r="K36" i="21" s="1"/>
  <c r="J35" i="21"/>
  <c r="J36" i="21" s="1"/>
  <c r="F35" i="21"/>
  <c r="F36" i="21" s="1"/>
  <c r="E35" i="21"/>
  <c r="E36" i="21" s="1"/>
  <c r="C35" i="21"/>
  <c r="G35" i="21"/>
  <c r="G36" i="21" s="1"/>
  <c r="I35" i="21"/>
  <c r="I36" i="21" s="1"/>
  <c r="H35" i="21"/>
  <c r="H36" i="21" s="1"/>
  <c r="C36" i="21" l="1"/>
  <c r="L35" i="21"/>
  <c r="L36" i="21" s="1"/>
  <c r="B11" i="21"/>
  <c r="B12" i="21" s="1"/>
  <c r="B14" i="21" s="1"/>
  <c r="B23" i="21" l="1"/>
  <c r="C3" i="22" s="1"/>
  <c r="U35" i="21"/>
  <c r="U36" i="21"/>
  <c r="C37" i="21"/>
  <c r="C11" i="21" l="1"/>
  <c r="D37" i="21"/>
  <c r="E37" i="21" s="1"/>
  <c r="F37" i="21" s="1"/>
  <c r="G37" i="21" s="1"/>
  <c r="H37" i="21" s="1"/>
  <c r="I37" i="21" s="1"/>
  <c r="J37" i="21" s="1"/>
  <c r="K37" i="21" s="1"/>
  <c r="L37" i="21" s="1"/>
  <c r="M37" i="21" s="1"/>
  <c r="N37" i="21" s="1"/>
  <c r="O37" i="21" s="1"/>
  <c r="P37" i="21" s="1"/>
  <c r="Q37" i="21" s="1"/>
  <c r="R37" i="21" s="1"/>
  <c r="S37" i="21" s="1"/>
  <c r="D13" i="22"/>
  <c r="D9" i="22"/>
  <c r="D19" i="22"/>
  <c r="D18" i="22"/>
  <c r="F18" i="22" s="1"/>
  <c r="G18" i="22" s="1"/>
  <c r="D16" i="22"/>
  <c r="D17" i="22"/>
  <c r="D6" i="22"/>
  <c r="F6" i="22" s="1"/>
  <c r="G6" i="22" s="1"/>
  <c r="D11" i="22"/>
  <c r="D7" i="22"/>
  <c r="D10" i="22"/>
  <c r="F10" i="22" s="1"/>
  <c r="D12" i="22"/>
  <c r="D14" i="22"/>
  <c r="D15" i="22"/>
  <c r="D8" i="22"/>
  <c r="D20" i="22"/>
  <c r="C12" i="21"/>
  <c r="C14" i="21" l="1"/>
  <c r="C23" i="21" s="1"/>
  <c r="S11" i="21"/>
  <c r="T37" i="21"/>
  <c r="T11" i="21" s="1"/>
  <c r="U11" i="21" s="1"/>
  <c r="F14" i="22"/>
  <c r="F15" i="22" s="1"/>
  <c r="D21" i="22"/>
  <c r="F7" i="22"/>
  <c r="E11" i="21"/>
  <c r="E12" i="21" s="1"/>
  <c r="D11" i="21"/>
  <c r="D12" i="21" s="1"/>
  <c r="E14" i="21" s="1"/>
  <c r="D14" i="21" l="1"/>
  <c r="E23" i="21"/>
  <c r="D23" i="21"/>
  <c r="G14" i="22"/>
  <c r="F8" i="22"/>
  <c r="G7" i="22"/>
  <c r="G10" i="22"/>
  <c r="F11" i="22"/>
  <c r="F11" i="21"/>
  <c r="F12" i="21" s="1"/>
  <c r="F16" i="22"/>
  <c r="G15" i="22"/>
  <c r="K5" i="21"/>
  <c r="F14" i="21" l="1"/>
  <c r="F23" i="21" s="1"/>
  <c r="G11" i="22"/>
  <c r="F12" i="22"/>
  <c r="F9" i="22"/>
  <c r="G9" i="22" s="1"/>
  <c r="G8" i="22"/>
  <c r="K7" i="21"/>
  <c r="G11" i="21"/>
  <c r="G12" i="21" s="1"/>
  <c r="F17" i="22"/>
  <c r="G17" i="22" s="1"/>
  <c r="G16" i="22"/>
  <c r="L5" i="21"/>
  <c r="K18" i="21"/>
  <c r="K10" i="21" s="1"/>
  <c r="G14" i="21" l="1"/>
  <c r="G23" i="21" s="1"/>
  <c r="H11" i="21"/>
  <c r="H12" i="21" s="1"/>
  <c r="F13" i="22"/>
  <c r="G13" i="22" s="1"/>
  <c r="G12" i="22"/>
  <c r="L7" i="21"/>
  <c r="K9" i="21"/>
  <c r="M5" i="21"/>
  <c r="H14" i="21" l="1"/>
  <c r="H23" i="21" s="1"/>
  <c r="K20" i="21"/>
  <c r="G21" i="22"/>
  <c r="I11" i="21"/>
  <c r="I12" i="21" s="1"/>
  <c r="I14" i="21" s="1"/>
  <c r="M7" i="21"/>
  <c r="L18" i="21"/>
  <c r="L10" i="21" s="1"/>
  <c r="N5" i="21"/>
  <c r="J11" i="21" l="1"/>
  <c r="J12" i="21" s="1"/>
  <c r="N7" i="21"/>
  <c r="I23" i="21"/>
  <c r="M18" i="21"/>
  <c r="M10" i="21" s="1"/>
  <c r="M9" i="21" s="1"/>
  <c r="L9" i="21"/>
  <c r="O5" i="21"/>
  <c r="M20" i="21" l="1"/>
  <c r="L20" i="21"/>
  <c r="J14" i="21"/>
  <c r="J23" i="21" s="1"/>
  <c r="K11" i="21"/>
  <c r="K12" i="21" s="1"/>
  <c r="K14" i="21" s="1"/>
  <c r="O7" i="21"/>
  <c r="N18" i="21"/>
  <c r="N10" i="21"/>
  <c r="N9" i="21" s="1"/>
  <c r="P5" i="21"/>
  <c r="N20" i="21" l="1"/>
  <c r="L11" i="21"/>
  <c r="L12" i="21" s="1"/>
  <c r="P7" i="21"/>
  <c r="K23" i="21"/>
  <c r="O18" i="21"/>
  <c r="O10" i="21"/>
  <c r="O9" i="21" s="1"/>
  <c r="Q5" i="21"/>
  <c r="L14" i="21" l="1"/>
  <c r="L23" i="21" s="1"/>
  <c r="O20" i="21"/>
  <c r="M11" i="21"/>
  <c r="M12" i="21" s="1"/>
  <c r="Q7" i="21"/>
  <c r="P18" i="21"/>
  <c r="P10" i="21"/>
  <c r="P9" i="21" s="1"/>
  <c r="R5" i="21"/>
  <c r="S5" i="21" s="1"/>
  <c r="M14" i="21" l="1"/>
  <c r="M23" i="21" s="1"/>
  <c r="P20" i="21"/>
  <c r="S7" i="21"/>
  <c r="T5" i="21"/>
  <c r="N11" i="21"/>
  <c r="N12" i="21" s="1"/>
  <c r="R7" i="21"/>
  <c r="R18" i="21"/>
  <c r="Q18" i="21"/>
  <c r="Q10" i="21"/>
  <c r="Q9" i="21" s="1"/>
  <c r="Q20" i="21" l="1"/>
  <c r="N14" i="21"/>
  <c r="N23" i="21" s="1"/>
  <c r="T7" i="21"/>
  <c r="U5" i="21"/>
  <c r="O11" i="21"/>
  <c r="O12" i="21" s="1"/>
  <c r="R10" i="21"/>
  <c r="S10" i="21" s="1"/>
  <c r="T10" i="21" s="1"/>
  <c r="U10" i="21" s="1"/>
  <c r="O14" i="21" l="1"/>
  <c r="O23" i="21" s="1"/>
  <c r="T9" i="21"/>
  <c r="T12" i="21" s="1"/>
  <c r="S9" i="21"/>
  <c r="V5" i="21"/>
  <c r="V35" i="21"/>
  <c r="V16" i="21"/>
  <c r="U7" i="21"/>
  <c r="V18" i="21" s="1"/>
  <c r="P11" i="21"/>
  <c r="P12" i="21" s="1"/>
  <c r="R9" i="21"/>
  <c r="U9" i="21" l="1"/>
  <c r="T20" i="21"/>
  <c r="S20" i="21"/>
  <c r="R20" i="21"/>
  <c r="P14" i="21"/>
  <c r="P23" i="21" s="1"/>
  <c r="S12" i="21"/>
  <c r="V10" i="21"/>
  <c r="Q11" i="21"/>
  <c r="Q12" i="21" s="1"/>
  <c r="Q14" i="21" s="1"/>
  <c r="U12" i="21"/>
  <c r="T14" i="21" l="1"/>
  <c r="T23" i="21" s="1"/>
  <c r="Q23" i="21"/>
  <c r="R11" i="21"/>
  <c r="R12" i="21" s="1"/>
  <c r="S14" i="21" l="1"/>
  <c r="S23" i="21" s="1"/>
  <c r="R14" i="21"/>
  <c r="R23" i="21" s="1"/>
</calcChain>
</file>

<file path=xl/sharedStrings.xml><?xml version="1.0" encoding="utf-8"?>
<sst xmlns="http://schemas.openxmlformats.org/spreadsheetml/2006/main" count="151" uniqueCount="111">
  <si>
    <t>Sensus</t>
  </si>
  <si>
    <t>Capital</t>
  </si>
  <si>
    <t>Cost</t>
  </si>
  <si>
    <t>O&amp;M</t>
  </si>
  <si>
    <t>Total</t>
  </si>
  <si>
    <t>Year</t>
  </si>
  <si>
    <t>Yearly O&amp;M post deployment</t>
  </si>
  <si>
    <t>Project Category</t>
  </si>
  <si>
    <t>Grand Total</t>
  </si>
  <si>
    <t>Total Cost</t>
  </si>
  <si>
    <t>Number of Meters Planned</t>
  </si>
  <si>
    <t>Net Plant In Service</t>
  </si>
  <si>
    <t>Accumulated Depreciation</t>
  </si>
  <si>
    <t>ADFIT</t>
  </si>
  <si>
    <t>Rate Base</t>
  </si>
  <si>
    <t>Return on Rate Base</t>
  </si>
  <si>
    <t>Other O&amp;M</t>
  </si>
  <si>
    <t>Revenue Requirement</t>
  </si>
  <si>
    <t>Tax Depreciation Year</t>
  </si>
  <si>
    <t>Tax Depreciation Rates =</t>
  </si>
  <si>
    <t>Capital Year = 2021</t>
  </si>
  <si>
    <t>Capital Year = 2022</t>
  </si>
  <si>
    <t>Capital Year = 2023</t>
  </si>
  <si>
    <t>Capital Year = 2024</t>
  </si>
  <si>
    <t>Capital Year = 2025</t>
  </si>
  <si>
    <t>Annual Tax Depreciation Expense</t>
  </si>
  <si>
    <t>Annual Deferred Tax Expense</t>
  </si>
  <si>
    <t>Accumulated DIT</t>
  </si>
  <si>
    <t>Capital Plant</t>
  </si>
  <si>
    <t>Capital IT/Other</t>
  </si>
  <si>
    <t>Gross Meter Plant In Service</t>
  </si>
  <si>
    <t>Gross Intangible Plant In Service</t>
  </si>
  <si>
    <t>Meter Depreciation Exp @ 15 Years</t>
  </si>
  <si>
    <t>Total Gross Plant</t>
  </si>
  <si>
    <t>Total Depreciation Expense</t>
  </si>
  <si>
    <t>AMI Meter Capital Additions</t>
  </si>
  <si>
    <t>Intangible Plant - 3 Yr SL</t>
  </si>
  <si>
    <t>Meter Plant - 10 Yr MACRS half yr conv</t>
  </si>
  <si>
    <t>Check</t>
  </si>
  <si>
    <t>Pre-Tax WACC</t>
  </si>
  <si>
    <t>Year 1 Revenue Requirement</t>
  </si>
  <si>
    <t>RS</t>
  </si>
  <si>
    <t>GS-SEC</t>
  </si>
  <si>
    <t>GS-PRI</t>
  </si>
  <si>
    <t>GS-SUB</t>
  </si>
  <si>
    <t>LGS-SUB</t>
  </si>
  <si>
    <t>LGS-TRA</t>
  </si>
  <si>
    <t>IGS-SEC</t>
  </si>
  <si>
    <t>IGS-PRI</t>
  </si>
  <si>
    <t>IGS-SUB</t>
  </si>
  <si>
    <t>IGS-TRA</t>
  </si>
  <si>
    <t>MW</t>
  </si>
  <si>
    <t>OL</t>
  </si>
  <si>
    <t>SL</t>
  </si>
  <si>
    <t>Meter Plant Allocator</t>
  </si>
  <si>
    <t>Bills</t>
  </si>
  <si>
    <t>Rate</t>
  </si>
  <si>
    <t>Rev Proof</t>
  </si>
  <si>
    <t>LGS/PS-SEC</t>
  </si>
  <si>
    <t>LGS/PS-PRI</t>
  </si>
  <si>
    <t>Class Rev Req</t>
  </si>
  <si>
    <t>($/Customer/Month)</t>
  </si>
  <si>
    <t>KENTUCKY POWER COMPANY</t>
  </si>
  <si>
    <t>SECTION V</t>
  </si>
  <si>
    <t>COST OF CAPITAL</t>
  </si>
  <si>
    <t>WORKPAPER S-2</t>
  </si>
  <si>
    <t>TEST YEAR ENDED MARCH 31, 2020</t>
  </si>
  <si>
    <t>PAGE 1 OF 3</t>
  </si>
  <si>
    <t>Reapportioned</t>
  </si>
  <si>
    <t>Annual</t>
  </si>
  <si>
    <t>Weighted</t>
  </si>
  <si>
    <t>Kentucky</t>
  </si>
  <si>
    <t>Percentage</t>
  </si>
  <si>
    <t>Average</t>
  </si>
  <si>
    <t>Line</t>
  </si>
  <si>
    <t>Jurisdictional</t>
  </si>
  <si>
    <t>of</t>
  </si>
  <si>
    <t xml:space="preserve">Pre -Tax </t>
  </si>
  <si>
    <t>No.</t>
  </si>
  <si>
    <t>Description</t>
  </si>
  <si>
    <t>Capital   1/</t>
  </si>
  <si>
    <t>Percent</t>
  </si>
  <si>
    <t>WACC</t>
  </si>
  <si>
    <t>(6) = (4) X (5)</t>
  </si>
  <si>
    <t xml:space="preserve">GRCF 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</si>
  <si>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</si>
  <si>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</si>
  <si>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</si>
  <si>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</si>
  <si>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</si>
  <si>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</si>
  <si>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</si>
  <si>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</si>
  <si>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</si>
  <si>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</si>
  <si>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</si>
  <si>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Schedule 3, Column 14, Lines 1, 2, 3 &amp; 4</t>
  </si>
  <si>
    <t>Per workpaper S-3, Pg 1, Ln 15, Col 14</t>
  </si>
  <si>
    <t>Per workpaper S-3, Pg 2, Ln 16</t>
  </si>
  <si>
    <t>4/</t>
  </si>
  <si>
    <t>Per Commission Order March 31, 2003 Case No. 2002-00169</t>
  </si>
  <si>
    <t>13 Month Average Accounts Receivable Balance and 13 Month Average Annual Carrying Cost</t>
  </si>
  <si>
    <t>Per Recommendation of Company Witnesses McKenzie</t>
  </si>
  <si>
    <t>Full GRCF</t>
  </si>
  <si>
    <t>Maint Fee &amp; Uncollectible</t>
  </si>
  <si>
    <t>AMI Intangible Capital Additions</t>
  </si>
  <si>
    <t>Property Tax Expense</t>
  </si>
  <si>
    <t>Intangible Amortization @ 5 Years</t>
  </si>
  <si>
    <t>GMR AMI Rates</t>
  </si>
  <si>
    <t>GMR AMI - Class Allocation and Rate Design</t>
  </si>
  <si>
    <t>Exhibit AEV 8 - GMR AMI Revenue Requirement and Rate Design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</si>
</sst>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_);\(0\)"/>
    <numFmt numFmtId="170" formatCode="_(* #,##0.000000_);_(* \(#,##0.000000\);_(* &quot;-&quot;??_);_(@_)"/>
    <numFmt numFmtId="171" formatCode="#,##0.00000_);\(#,##0.00000\)"/>
    <numFmt numFmtId="172" formatCode="#,##0.000_);\(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horizontal="left" indent="3"/>
    </xf>
    <xf numFmtId="44" fontId="0" fillId="0" borderId="0" xfId="1" applyFont="1"/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44" fontId="0" fillId="2" borderId="1" xfId="1" applyFont="1" applyFill="1" applyBorder="1"/>
    <xf numFmtId="44" fontId="0" fillId="0" borderId="1" xfId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 wrapText="1"/>
    </xf>
    <xf numFmtId="6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6" fontId="4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indent="3"/>
    </xf>
    <xf numFmtId="44" fontId="2" fillId="0" borderId="1" xfId="1" applyFont="1" applyBorder="1"/>
    <xf numFmtId="44" fontId="2" fillId="0" borderId="1" xfId="0" applyNumberFormat="1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 wrapText="1"/>
    </xf>
    <xf numFmtId="6" fontId="4" fillId="0" borderId="0" xfId="0" applyNumberFormat="1" applyFont="1" applyBorder="1" applyAlignment="1">
      <alignment horizontal="center" vertical="center"/>
    </xf>
    <xf numFmtId="6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6" xfId="0" applyFill="1" applyBorder="1"/>
    <xf numFmtId="164" fontId="0" fillId="0" borderId="6" xfId="1" applyNumberFormat="1" applyFont="1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 vertical="center"/>
    </xf>
    <xf numFmtId="165" fontId="6" fillId="0" borderId="6" xfId="2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2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0" fontId="0" fillId="0" borderId="0" xfId="2" applyNumberFormat="1" applyFont="1" applyFill="1" applyBorder="1"/>
    <xf numFmtId="44" fontId="0" fillId="0" borderId="0" xfId="0" applyNumberFormat="1" applyFill="1"/>
    <xf numFmtId="0" fontId="2" fillId="0" borderId="0" xfId="0" applyFont="1" applyFill="1"/>
    <xf numFmtId="164" fontId="2" fillId="0" borderId="0" xfId="1" applyNumberFormat="1" applyFont="1" applyFill="1"/>
    <xf numFmtId="44" fontId="2" fillId="0" borderId="0" xfId="0" applyNumberFormat="1" applyFont="1" applyFill="1"/>
    <xf numFmtId="166" fontId="7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9" fillId="0" borderId="0" xfId="0" applyFont="1" applyFill="1" applyAlignment="1">
      <alignment horizontal="center"/>
    </xf>
    <xf numFmtId="166" fontId="0" fillId="4" borderId="0" xfId="3" applyNumberFormat="1" applyFont="1" applyFill="1"/>
    <xf numFmtId="0" fontId="0" fillId="4" borderId="0" xfId="0" applyFill="1"/>
    <xf numFmtId="164" fontId="0" fillId="4" borderId="0" xfId="1" applyNumberFormat="1" applyFont="1" applyFill="1"/>
    <xf numFmtId="0" fontId="0" fillId="4" borderId="0" xfId="0" applyFill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168" fontId="0" fillId="4" borderId="0" xfId="3" applyNumberFormat="1" applyFont="1" applyFill="1"/>
    <xf numFmtId="44" fontId="0" fillId="4" borderId="0" xfId="1" applyNumberFormat="1" applyFont="1" applyFill="1"/>
    <xf numFmtId="164" fontId="0" fillId="4" borderId="0" xfId="0" applyNumberFormat="1" applyFill="1"/>
    <xf numFmtId="168" fontId="0" fillId="4" borderId="6" xfId="3" applyNumberFormat="1" applyFont="1" applyFill="1" applyBorder="1"/>
    <xf numFmtId="164" fontId="0" fillId="4" borderId="6" xfId="1" applyNumberFormat="1" applyFont="1" applyFill="1" applyBorder="1"/>
    <xf numFmtId="166" fontId="0" fillId="4" borderId="6" xfId="3" applyNumberFormat="1" applyFont="1" applyFill="1" applyBorder="1"/>
    <xf numFmtId="43" fontId="0" fillId="4" borderId="0" xfId="0" applyNumberFormat="1" applyFill="1"/>
    <xf numFmtId="166" fontId="0" fillId="4" borderId="0" xfId="0" applyNumberFormat="1" applyFill="1"/>
    <xf numFmtId="44" fontId="0" fillId="4" borderId="0" xfId="1" applyFont="1" applyFill="1"/>
    <xf numFmtId="44" fontId="0" fillId="4" borderId="6" xfId="1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169" fontId="6" fillId="4" borderId="0" xfId="0" applyNumberFormat="1" applyFont="1" applyFill="1" applyAlignment="1">
      <alignment horizontal="center"/>
    </xf>
    <xf numFmtId="49" fontId="6" fillId="4" borderId="0" xfId="0" applyNumberFormat="1" applyFont="1" applyFill="1" applyAlignment="1">
      <alignment horizontal="center" wrapText="1"/>
    </xf>
    <xf numFmtId="169" fontId="6" fillId="4" borderId="0" xfId="0" applyNumberFormat="1" applyFont="1" applyFill="1"/>
    <xf numFmtId="5" fontId="6" fillId="4" borderId="0" xfId="0" applyNumberFormat="1" applyFont="1" applyFill="1"/>
    <xf numFmtId="10" fontId="6" fillId="4" borderId="0" xfId="0" applyNumberFormat="1" applyFont="1" applyFill="1"/>
    <xf numFmtId="165" fontId="6" fillId="4" borderId="0" xfId="0" applyNumberFormat="1" applyFont="1" applyFill="1" applyAlignment="1">
      <alignment horizontal="center"/>
    </xf>
    <xf numFmtId="49" fontId="6" fillId="4" borderId="0" xfId="0" applyNumberFormat="1" applyFont="1" applyFill="1" applyAlignment="1">
      <alignment horizontal="center"/>
    </xf>
    <xf numFmtId="170" fontId="6" fillId="4" borderId="0" xfId="3" applyNumberFormat="1" applyFont="1" applyFill="1"/>
    <xf numFmtId="167" fontId="6" fillId="4" borderId="0" xfId="3" applyNumberFormat="1" applyFont="1" applyFill="1"/>
    <xf numFmtId="5" fontId="6" fillId="4" borderId="0" xfId="0" applyNumberFormat="1" applyFont="1" applyFill="1" applyAlignment="1">
      <alignment horizontal="center"/>
    </xf>
    <xf numFmtId="37" fontId="6" fillId="4" borderId="0" xfId="0" applyNumberFormat="1" applyFont="1" applyFill="1"/>
    <xf numFmtId="37" fontId="6" fillId="4" borderId="0" xfId="0" applyNumberFormat="1" applyFont="1" applyFill="1" applyAlignment="1">
      <alignment horizontal="center"/>
    </xf>
    <xf numFmtId="171" fontId="6" fillId="4" borderId="0" xfId="0" applyNumberFormat="1" applyFont="1" applyFill="1"/>
    <xf numFmtId="10" fontId="7" fillId="4" borderId="0" xfId="0" applyNumberFormat="1" applyFont="1" applyFill="1" applyAlignment="1">
      <alignment horizontal="center"/>
    </xf>
    <xf numFmtId="49" fontId="6" fillId="4" borderId="0" xfId="0" applyNumberFormat="1" applyFont="1" applyFill="1" applyAlignment="1">
      <alignment horizontal="right"/>
    </xf>
    <xf numFmtId="10" fontId="7" fillId="4" borderId="0" xfId="0" applyNumberFormat="1" applyFont="1" applyFill="1"/>
    <xf numFmtId="43" fontId="6" fillId="4" borderId="0" xfId="3" applyFont="1" applyFill="1" applyAlignment="1">
      <alignment horizontal="center"/>
    </xf>
    <xf numFmtId="7" fontId="6" fillId="4" borderId="0" xfId="0" applyNumberFormat="1" applyFont="1" applyFill="1"/>
    <xf numFmtId="172" fontId="6" fillId="4" borderId="0" xfId="0" applyNumberFormat="1" applyFont="1" applyFill="1"/>
    <xf numFmtId="0" fontId="3" fillId="0" borderId="0" xfId="0" applyFont="1" applyFill="1"/>
    <xf numFmtId="0" fontId="0" fillId="0" borderId="0" xfId="0" applyFont="1" applyFill="1"/>
    <xf numFmtId="164" fontId="1" fillId="0" borderId="0" xfId="1" applyNumberFormat="1" applyFont="1" applyFill="1"/>
    <xf numFmtId="164" fontId="0" fillId="0" borderId="0" xfId="0" applyNumberFormat="1" applyFont="1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topLeftCell="A10" workbookViewId="0">
      <selection activeCell="C32" sqref="C32"/>
    </sheetView>
  </sheetViews>
  <sheetFormatPr defaultColWidth="8.6640625" defaultRowHeight="14.4" x14ac:dyDescent="0.3"/>
  <cols>
    <col min="1" max="1" width="36" style="32" bestFit="1" customWidth="1"/>
    <col min="2" max="2" width="18.88671875" style="32" bestFit="1" customWidth="1"/>
    <col min="3" max="3" width="14.88671875" style="32" bestFit="1" customWidth="1"/>
    <col min="4" max="6" width="14.6640625" style="32" bestFit="1" customWidth="1"/>
    <col min="7" max="9" width="14.33203125" style="32" bestFit="1" customWidth="1"/>
    <col min="10" max="10" width="14.44140625" style="32" bestFit="1" customWidth="1"/>
    <col min="11" max="11" width="14.33203125" style="32" bestFit="1" customWidth="1"/>
    <col min="12" max="21" width="13.5546875" style="32" hidden="1" customWidth="1"/>
    <col min="22" max="22" width="7.6640625" style="32" hidden="1" customWidth="1"/>
    <col min="23" max="23" width="10.33203125" style="32" bestFit="1" customWidth="1"/>
    <col min="24" max="16384" width="8.6640625" style="32"/>
  </cols>
  <sheetData>
    <row r="1" spans="1:23" ht="18" x14ac:dyDescent="0.35">
      <c r="A1" s="96" t="s">
        <v>110</v>
      </c>
    </row>
    <row r="2" spans="1:23" x14ac:dyDescent="0.3">
      <c r="B2" s="56">
        <v>2021</v>
      </c>
      <c r="C2" s="56">
        <v>2022</v>
      </c>
      <c r="D2" s="56">
        <v>2023</v>
      </c>
      <c r="E2" s="56">
        <v>2024</v>
      </c>
      <c r="F2" s="56">
        <v>2025</v>
      </c>
      <c r="G2" s="56">
        <v>2026</v>
      </c>
      <c r="H2" s="56">
        <v>2027</v>
      </c>
      <c r="I2" s="56">
        <v>2028</v>
      </c>
      <c r="J2" s="56">
        <v>2029</v>
      </c>
      <c r="K2" s="56">
        <v>2030</v>
      </c>
      <c r="L2" s="56">
        <v>2031</v>
      </c>
      <c r="M2" s="56">
        <v>2032</v>
      </c>
      <c r="N2" s="56">
        <v>2033</v>
      </c>
      <c r="O2" s="56">
        <v>2034</v>
      </c>
      <c r="P2" s="56">
        <v>2035</v>
      </c>
      <c r="Q2" s="56">
        <v>2036</v>
      </c>
      <c r="R2" s="56">
        <v>2037</v>
      </c>
      <c r="S2" s="56">
        <v>2038</v>
      </c>
      <c r="T2" s="56">
        <v>2039</v>
      </c>
      <c r="U2" s="56" t="s">
        <v>4</v>
      </c>
      <c r="V2" s="56" t="s">
        <v>38</v>
      </c>
    </row>
    <row r="3" spans="1:23" s="51" customFormat="1" x14ac:dyDescent="0.3">
      <c r="A3" s="51" t="s">
        <v>35</v>
      </c>
      <c r="B3" s="52">
        <f>Input!B19</f>
        <v>5640442</v>
      </c>
      <c r="C3" s="52">
        <f>Input!C19</f>
        <v>5603695</v>
      </c>
      <c r="D3" s="52">
        <f>Input!D19</f>
        <v>11687329</v>
      </c>
      <c r="E3" s="52">
        <f>Input!E19</f>
        <v>7595308.4000000004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/>
      <c r="V3" s="53"/>
    </row>
    <row r="4" spans="1:23" s="51" customFormat="1" x14ac:dyDescent="0.3">
      <c r="A4" s="51" t="s">
        <v>105</v>
      </c>
      <c r="B4" s="52">
        <f>Input!B20</f>
        <v>2877361.7</v>
      </c>
      <c r="C4" s="52">
        <f>Input!C20</f>
        <v>359842</v>
      </c>
      <c r="D4" s="52">
        <f>Input!D20</f>
        <v>395342</v>
      </c>
      <c r="E4" s="52">
        <f>Input!E20</f>
        <v>334525.16000000003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3" x14ac:dyDescent="0.3">
      <c r="A5" s="32" t="s">
        <v>30</v>
      </c>
      <c r="B5" s="33">
        <f>Input!B19</f>
        <v>5640442</v>
      </c>
      <c r="C5" s="33">
        <f>B5+Input!C19</f>
        <v>11244137</v>
      </c>
      <c r="D5" s="33">
        <f>C5+Input!D19</f>
        <v>22931466</v>
      </c>
      <c r="E5" s="33">
        <f>D5+Input!E19</f>
        <v>30526774.399999999</v>
      </c>
      <c r="F5" s="33">
        <f>E5</f>
        <v>30526774.399999999</v>
      </c>
      <c r="G5" s="33">
        <f t="shared" ref="G5:J5" si="0">F5</f>
        <v>30526774.399999999</v>
      </c>
      <c r="H5" s="33">
        <f t="shared" si="0"/>
        <v>30526774.399999999</v>
      </c>
      <c r="I5" s="33">
        <f t="shared" si="0"/>
        <v>30526774.399999999</v>
      </c>
      <c r="J5" s="33">
        <f t="shared" si="0"/>
        <v>30526774.399999999</v>
      </c>
      <c r="K5" s="33">
        <f t="shared" ref="K5:R5" si="1">J5+K3</f>
        <v>30526774.399999999</v>
      </c>
      <c r="L5" s="33">
        <f t="shared" si="1"/>
        <v>30526774.399999999</v>
      </c>
      <c r="M5" s="33">
        <f t="shared" si="1"/>
        <v>30526774.399999999</v>
      </c>
      <c r="N5" s="33">
        <f t="shared" si="1"/>
        <v>30526774.399999999</v>
      </c>
      <c r="O5" s="33">
        <f t="shared" si="1"/>
        <v>30526774.399999999</v>
      </c>
      <c r="P5" s="33">
        <f t="shared" si="1"/>
        <v>30526774.399999999</v>
      </c>
      <c r="Q5" s="33">
        <f t="shared" si="1"/>
        <v>30526774.399999999</v>
      </c>
      <c r="R5" s="33">
        <f t="shared" si="1"/>
        <v>30526774.399999999</v>
      </c>
      <c r="S5" s="33">
        <f t="shared" ref="S5:T5" si="2">R5+S3</f>
        <v>30526774.399999999</v>
      </c>
      <c r="T5" s="33">
        <f t="shared" si="2"/>
        <v>30526774.399999999</v>
      </c>
      <c r="U5" s="33">
        <f>T5</f>
        <v>30526774.399999999</v>
      </c>
      <c r="V5" s="33">
        <f>U5-SUM(B3:T3)</f>
        <v>0</v>
      </c>
    </row>
    <row r="6" spans="1:23" x14ac:dyDescent="0.3">
      <c r="A6" s="36" t="s">
        <v>31</v>
      </c>
      <c r="B6" s="37">
        <f>Input!B20</f>
        <v>2877361.7</v>
      </c>
      <c r="C6" s="37">
        <f>B6+Input!C20</f>
        <v>3237203.7</v>
      </c>
      <c r="D6" s="37">
        <f>C6+Input!D20</f>
        <v>3632545.7</v>
      </c>
      <c r="E6" s="37">
        <f>D6+Input!E20</f>
        <v>3967070.8600000003</v>
      </c>
      <c r="F6" s="37">
        <f>E6</f>
        <v>3967070.8600000003</v>
      </c>
      <c r="G6" s="37">
        <f t="shared" ref="G6:I6" si="3">F6</f>
        <v>3967070.8600000003</v>
      </c>
      <c r="H6" s="37">
        <f t="shared" si="3"/>
        <v>3967070.8600000003</v>
      </c>
      <c r="I6" s="37">
        <f t="shared" si="3"/>
        <v>3967070.8600000003</v>
      </c>
      <c r="J6" s="37">
        <f>I6</f>
        <v>3967070.8600000003</v>
      </c>
      <c r="K6" s="37">
        <f t="shared" ref="K6:T6" si="4">J6</f>
        <v>3967070.8600000003</v>
      </c>
      <c r="L6" s="37">
        <f t="shared" si="4"/>
        <v>3967070.8600000003</v>
      </c>
      <c r="M6" s="37">
        <f t="shared" si="4"/>
        <v>3967070.8600000003</v>
      </c>
      <c r="N6" s="37">
        <f t="shared" si="4"/>
        <v>3967070.8600000003</v>
      </c>
      <c r="O6" s="37">
        <f t="shared" si="4"/>
        <v>3967070.8600000003</v>
      </c>
      <c r="P6" s="37">
        <f t="shared" si="4"/>
        <v>3967070.8600000003</v>
      </c>
      <c r="Q6" s="37">
        <f t="shared" si="4"/>
        <v>3967070.8600000003</v>
      </c>
      <c r="R6" s="37">
        <f t="shared" si="4"/>
        <v>3967070.8600000003</v>
      </c>
      <c r="S6" s="37">
        <f t="shared" si="4"/>
        <v>3967070.8600000003</v>
      </c>
      <c r="T6" s="37">
        <f t="shared" si="4"/>
        <v>3967070.8600000003</v>
      </c>
      <c r="U6" s="37">
        <f>T6</f>
        <v>3967070.8600000003</v>
      </c>
      <c r="V6" s="37">
        <f>U6-SUM(B4:T4)</f>
        <v>0</v>
      </c>
    </row>
    <row r="7" spans="1:23" x14ac:dyDescent="0.3">
      <c r="A7" s="32" t="s">
        <v>33</v>
      </c>
      <c r="B7" s="33">
        <f>SUM(B5:B6)</f>
        <v>8517803.6999999993</v>
      </c>
      <c r="C7" s="33">
        <f t="shared" ref="C7:E7" si="5">SUM(C5:C6)</f>
        <v>14481340.699999999</v>
      </c>
      <c r="D7" s="33">
        <f t="shared" si="5"/>
        <v>26564011.699999999</v>
      </c>
      <c r="E7" s="33">
        <f t="shared" si="5"/>
        <v>34493845.259999998</v>
      </c>
      <c r="F7" s="33">
        <f t="shared" ref="F7" si="6">SUM(F5:F6)</f>
        <v>34493845.259999998</v>
      </c>
      <c r="G7" s="33">
        <f t="shared" ref="G7" si="7">SUM(G5:G6)</f>
        <v>34493845.259999998</v>
      </c>
      <c r="H7" s="33">
        <f t="shared" ref="H7" si="8">SUM(H5:H6)</f>
        <v>34493845.259999998</v>
      </c>
      <c r="I7" s="33">
        <f t="shared" ref="I7" si="9">SUM(I5:I6)</f>
        <v>34493845.259999998</v>
      </c>
      <c r="J7" s="33">
        <f t="shared" ref="J7:K7" si="10">SUM(J5:J6)</f>
        <v>34493845.259999998</v>
      </c>
      <c r="K7" s="33">
        <f t="shared" si="10"/>
        <v>34493845.259999998</v>
      </c>
      <c r="L7" s="33">
        <f t="shared" ref="L7" si="11">SUM(L5:L6)</f>
        <v>34493845.259999998</v>
      </c>
      <c r="M7" s="33">
        <f t="shared" ref="M7" si="12">SUM(M5:M6)</f>
        <v>34493845.259999998</v>
      </c>
      <c r="N7" s="33">
        <f t="shared" ref="N7" si="13">SUM(N5:N6)</f>
        <v>34493845.259999998</v>
      </c>
      <c r="O7" s="33">
        <f t="shared" ref="O7" si="14">SUM(O5:O6)</f>
        <v>34493845.259999998</v>
      </c>
      <c r="P7" s="33">
        <f t="shared" ref="P7" si="15">SUM(P5:P6)</f>
        <v>34493845.259999998</v>
      </c>
      <c r="Q7" s="33">
        <f t="shared" ref="Q7" si="16">SUM(Q5:Q6)</f>
        <v>34493845.259999998</v>
      </c>
      <c r="R7" s="33">
        <f t="shared" ref="R7:U7" si="17">SUM(R5:R6)</f>
        <v>34493845.259999998</v>
      </c>
      <c r="S7" s="33">
        <f t="shared" ref="S7:T7" si="18">SUM(S5:S6)</f>
        <v>34493845.259999998</v>
      </c>
      <c r="T7" s="33">
        <f t="shared" si="18"/>
        <v>34493845.259999998</v>
      </c>
      <c r="U7" s="33">
        <f t="shared" si="17"/>
        <v>34493845.259999998</v>
      </c>
      <c r="V7" s="33"/>
    </row>
    <row r="8" spans="1:23" x14ac:dyDescent="0.3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3" x14ac:dyDescent="0.3">
      <c r="A9" s="32" t="s">
        <v>11</v>
      </c>
      <c r="B9" s="33">
        <f>B7-B10</f>
        <v>8042052.7966666659</v>
      </c>
      <c r="C9" s="33">
        <f t="shared" ref="C9:D9" si="19">C7-C10</f>
        <v>12831313.956666665</v>
      </c>
      <c r="D9" s="33">
        <f t="shared" si="19"/>
        <v>23087823.25</v>
      </c>
      <c r="E9" s="33">
        <f>E7-E10</f>
        <v>28475753.807333332</v>
      </c>
      <c r="F9" s="33">
        <f t="shared" ref="F9:R9" si="20">F7-F10</f>
        <v>25647221.341999996</v>
      </c>
      <c r="G9" s="33">
        <f t="shared" si="20"/>
        <v>23106425.046666663</v>
      </c>
      <c r="H9" s="33">
        <f t="shared" si="20"/>
        <v>20889349.121333331</v>
      </c>
      <c r="I9" s="33">
        <f t="shared" si="20"/>
        <v>18747791.595999997</v>
      </c>
      <c r="J9" s="33">
        <f t="shared" si="20"/>
        <v>16679220.786666665</v>
      </c>
      <c r="K9" s="33">
        <f t="shared" si="20"/>
        <v>14644102.493333332</v>
      </c>
      <c r="L9" s="33">
        <f t="shared" si="20"/>
        <v>12608984.199999999</v>
      </c>
      <c r="M9" s="33">
        <f t="shared" si="20"/>
        <v>10573865.906666666</v>
      </c>
      <c r="N9" s="33">
        <f t="shared" si="20"/>
        <v>8538747.6133333333</v>
      </c>
      <c r="O9" s="33">
        <f t="shared" si="20"/>
        <v>6503629.3200000003</v>
      </c>
      <c r="P9" s="33">
        <f t="shared" si="20"/>
        <v>4468511.0266666673</v>
      </c>
      <c r="Q9" s="33">
        <f t="shared" si="20"/>
        <v>2621407.4666666687</v>
      </c>
      <c r="R9" s="33">
        <f t="shared" si="20"/>
        <v>1149108.4733333364</v>
      </c>
      <c r="S9" s="33">
        <f t="shared" ref="S9:T9" si="21">S7-S10</f>
        <v>253176.94666667283</v>
      </c>
      <c r="T9" s="33">
        <f t="shared" si="21"/>
        <v>0</v>
      </c>
      <c r="U9" s="33">
        <f>T9</f>
        <v>0</v>
      </c>
      <c r="V9" s="33"/>
    </row>
    <row r="10" spans="1:23" x14ac:dyDescent="0.3">
      <c r="A10" s="34" t="s">
        <v>12</v>
      </c>
      <c r="B10" s="35">
        <f>B18</f>
        <v>475750.90333333338</v>
      </c>
      <c r="C10" s="35">
        <f t="shared" ref="C10:M10" si="22">B10+C18</f>
        <v>1650026.7433333334</v>
      </c>
      <c r="D10" s="35">
        <f t="shared" si="22"/>
        <v>3476188.45</v>
      </c>
      <c r="E10" s="35">
        <f t="shared" si="22"/>
        <v>6018091.4526666673</v>
      </c>
      <c r="F10" s="35">
        <f t="shared" si="22"/>
        <v>8846623.9180000015</v>
      </c>
      <c r="G10" s="35">
        <f t="shared" si="22"/>
        <v>11387420.213333335</v>
      </c>
      <c r="H10" s="35">
        <f t="shared" si="22"/>
        <v>13604496.138666667</v>
      </c>
      <c r="I10" s="35">
        <f t="shared" si="22"/>
        <v>15746053.664000001</v>
      </c>
      <c r="J10" s="35">
        <f t="shared" si="22"/>
        <v>17814624.473333333</v>
      </c>
      <c r="K10" s="35">
        <f t="shared" si="22"/>
        <v>19849742.766666666</v>
      </c>
      <c r="L10" s="35">
        <f t="shared" si="22"/>
        <v>21884861.059999999</v>
      </c>
      <c r="M10" s="35">
        <f t="shared" si="22"/>
        <v>23919979.353333332</v>
      </c>
      <c r="N10" s="35">
        <f t="shared" ref="N10:R10" si="23">M10+N16</f>
        <v>25955097.646666665</v>
      </c>
      <c r="O10" s="35">
        <f t="shared" si="23"/>
        <v>27990215.939999998</v>
      </c>
      <c r="P10" s="35">
        <f t="shared" si="23"/>
        <v>30025334.233333331</v>
      </c>
      <c r="Q10" s="35">
        <f t="shared" si="23"/>
        <v>31872437.793333329</v>
      </c>
      <c r="R10" s="35">
        <f t="shared" si="23"/>
        <v>33344736.786666662</v>
      </c>
      <c r="S10" s="35">
        <f t="shared" ref="S10:T10" si="24">R10+S16</f>
        <v>34240668.313333325</v>
      </c>
      <c r="T10" s="35">
        <f t="shared" si="24"/>
        <v>34493845.25999999</v>
      </c>
      <c r="U10" s="35">
        <f>T10</f>
        <v>34493845.25999999</v>
      </c>
      <c r="V10" s="35">
        <f>U10-U7</f>
        <v>0</v>
      </c>
    </row>
    <row r="11" spans="1:23" x14ac:dyDescent="0.3">
      <c r="A11" s="36" t="s">
        <v>13</v>
      </c>
      <c r="B11" s="37">
        <f t="shared" ref="B11:T11" si="25">B37+B50</f>
        <v>219956.91129999998</v>
      </c>
      <c r="C11" s="37">
        <f t="shared" si="25"/>
        <v>530849.54649999994</v>
      </c>
      <c r="D11" s="37">
        <f t="shared" si="25"/>
        <v>1029454.3331799998</v>
      </c>
      <c r="E11" s="37">
        <f t="shared" si="25"/>
        <v>1479126.1660839999</v>
      </c>
      <c r="F11" s="37">
        <f t="shared" si="25"/>
        <v>1821527.3634879997</v>
      </c>
      <c r="G11" s="37">
        <f t="shared" si="25"/>
        <v>2019594.7552759997</v>
      </c>
      <c r="H11" s="37">
        <f t="shared" si="25"/>
        <v>2128357.2430917993</v>
      </c>
      <c r="I11" s="37">
        <f t="shared" si="25"/>
        <v>2161238.4193805996</v>
      </c>
      <c r="J11" s="37">
        <f t="shared" si="25"/>
        <v>2159931.9016393996</v>
      </c>
      <c r="K11" s="37">
        <f t="shared" si="25"/>
        <v>2152570.5195063995</v>
      </c>
      <c r="L11" s="37">
        <f t="shared" si="25"/>
        <v>2106603.9784733998</v>
      </c>
      <c r="M11" s="37">
        <f t="shared" si="25"/>
        <v>1983219.5669467996</v>
      </c>
      <c r="N11" s="37">
        <f t="shared" si="25"/>
        <v>1740820.5145407997</v>
      </c>
      <c r="O11" s="37">
        <f t="shared" si="25"/>
        <v>1365762.1571999998</v>
      </c>
      <c r="P11" s="37">
        <f t="shared" si="25"/>
        <v>938387.31559999986</v>
      </c>
      <c r="Q11" s="37">
        <f t="shared" si="25"/>
        <v>550495.56799999985</v>
      </c>
      <c r="R11" s="37">
        <f t="shared" si="25"/>
        <v>241312.77939999991</v>
      </c>
      <c r="S11" s="37">
        <f t="shared" si="25"/>
        <v>53167.158799999932</v>
      </c>
      <c r="T11" s="37">
        <f t="shared" si="25"/>
        <v>-7.6397554948925972E-11</v>
      </c>
      <c r="U11" s="37">
        <f>T11</f>
        <v>-7.6397554948925972E-11</v>
      </c>
      <c r="V11" s="37"/>
    </row>
    <row r="12" spans="1:23" s="36" customFormat="1" x14ac:dyDescent="0.3">
      <c r="A12" s="36" t="s">
        <v>14</v>
      </c>
      <c r="B12" s="37">
        <f>B9-B11</f>
        <v>7822095.8853666661</v>
      </c>
      <c r="C12" s="37">
        <f t="shared" ref="C12:R12" si="26">C9-C11</f>
        <v>12300464.410166666</v>
      </c>
      <c r="D12" s="37">
        <f t="shared" si="26"/>
        <v>22058368.916820001</v>
      </c>
      <c r="E12" s="37">
        <f t="shared" si="26"/>
        <v>26996627.641249333</v>
      </c>
      <c r="F12" s="37">
        <f t="shared" si="26"/>
        <v>23825693.978511997</v>
      </c>
      <c r="G12" s="37">
        <f t="shared" si="26"/>
        <v>21086830.291390665</v>
      </c>
      <c r="H12" s="37">
        <f t="shared" si="26"/>
        <v>18760991.878241532</v>
      </c>
      <c r="I12" s="37">
        <f t="shared" si="26"/>
        <v>16586553.176619397</v>
      </c>
      <c r="J12" s="37">
        <f t="shared" si="26"/>
        <v>14519288.885027265</v>
      </c>
      <c r="K12" s="37">
        <f t="shared" si="26"/>
        <v>12491531.973826934</v>
      </c>
      <c r="L12" s="37">
        <f t="shared" si="26"/>
        <v>10502380.2215266</v>
      </c>
      <c r="M12" s="37">
        <f t="shared" si="26"/>
        <v>8590646.3397198673</v>
      </c>
      <c r="N12" s="37">
        <f t="shared" si="26"/>
        <v>6797927.0987925334</v>
      </c>
      <c r="O12" s="37">
        <f t="shared" si="26"/>
        <v>5137867.162800001</v>
      </c>
      <c r="P12" s="37">
        <f t="shared" si="26"/>
        <v>3530123.7110666675</v>
      </c>
      <c r="Q12" s="37">
        <f t="shared" si="26"/>
        <v>2070911.8986666687</v>
      </c>
      <c r="R12" s="37">
        <f t="shared" si="26"/>
        <v>907795.69393333653</v>
      </c>
      <c r="S12" s="37">
        <f t="shared" ref="S12:T12" si="27">S9-S11</f>
        <v>200009.78786667291</v>
      </c>
      <c r="T12" s="37">
        <f t="shared" si="27"/>
        <v>7.6397554948925972E-11</v>
      </c>
      <c r="U12" s="37">
        <f t="shared" ref="U12" si="28">U9-U11</f>
        <v>7.6397554948925972E-11</v>
      </c>
      <c r="V12" s="37"/>
    </row>
    <row r="13" spans="1:23" s="34" customFormat="1" x14ac:dyDescent="0.3">
      <c r="A13" s="34" t="s">
        <v>39</v>
      </c>
      <c r="B13" s="49">
        <f>'Pre-Tax WACC'!O19</f>
        <v>8.1199999999999994E-2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3" x14ac:dyDescent="0.3">
      <c r="A14" s="32" t="s">
        <v>15</v>
      </c>
      <c r="B14" s="33">
        <f>$B$13*SUM(A12:B12)/2</f>
        <v>317577.0929458866</v>
      </c>
      <c r="C14" s="33">
        <f>$B$13*SUM(B12:C12)/2</f>
        <v>816975.94799865328</v>
      </c>
      <c r="D14" s="33">
        <f t="shared" ref="D14:T14" si="29">$B$13*SUM(C12:D12)/2</f>
        <v>1394968.6330756587</v>
      </c>
      <c r="E14" s="33">
        <f t="shared" si="29"/>
        <v>1991632.8602576149</v>
      </c>
      <c r="F14" s="33">
        <f t="shared" si="29"/>
        <v>2063386.2577623099</v>
      </c>
      <c r="G14" s="33">
        <f t="shared" si="29"/>
        <v>1823448.485358048</v>
      </c>
      <c r="H14" s="33">
        <f t="shared" si="29"/>
        <v>1617821.5800870671</v>
      </c>
      <c r="I14" s="33">
        <f t="shared" si="29"/>
        <v>1435110.3292273534</v>
      </c>
      <c r="J14" s="33">
        <f t="shared" si="29"/>
        <v>1262897.1877028544</v>
      </c>
      <c r="K14" s="33">
        <f t="shared" si="29"/>
        <v>1096639.3268694803</v>
      </c>
      <c r="L14" s="33">
        <f t="shared" si="29"/>
        <v>933552.83513135347</v>
      </c>
      <c r="M14" s="33">
        <f t="shared" si="29"/>
        <v>775176.87838660658</v>
      </c>
      <c r="N14" s="33">
        <f t="shared" si="29"/>
        <v>624776.08160360344</v>
      </c>
      <c r="O14" s="33">
        <f t="shared" si="29"/>
        <v>484593.24702065683</v>
      </c>
      <c r="P14" s="33">
        <f t="shared" si="29"/>
        <v>351920.42947898671</v>
      </c>
      <c r="Q14" s="33">
        <f t="shared" si="29"/>
        <v>227402.0457551734</v>
      </c>
      <c r="R14" s="33">
        <f t="shared" si="29"/>
        <v>120935.5282595602</v>
      </c>
      <c r="S14" s="33">
        <f t="shared" si="29"/>
        <v>44976.90256108038</v>
      </c>
      <c r="T14" s="33">
        <f t="shared" si="29"/>
        <v>8120.3973873869227</v>
      </c>
      <c r="U14" s="33"/>
      <c r="V14" s="33"/>
    </row>
    <row r="15" spans="1:23" x14ac:dyDescent="0.3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3" s="33" customFormat="1" x14ac:dyDescent="0.3">
      <c r="A16" s="33" t="s">
        <v>32</v>
      </c>
      <c r="B16" s="35">
        <f>((1/15)*SUM(0))+((1/15)*(B3)*(1/2))</f>
        <v>188014.73333333334</v>
      </c>
      <c r="C16" s="35">
        <f>((1/15)*SUM(B3:B3))+((1/15)*(C3)*(1/2))</f>
        <v>562819.30000000005</v>
      </c>
      <c r="D16" s="35">
        <f>((1/15)*SUM(B3:C3))+((1/15)*(D3)*(1/2))</f>
        <v>1139186.7666666666</v>
      </c>
      <c r="E16" s="35">
        <f>((1/15)*SUM(B3:D3))+((1/15)*(E3)*(1/2))</f>
        <v>1781941.3466666667</v>
      </c>
      <c r="F16" s="35">
        <f>((1/15)*SUM(B3:E3))+((1/15)*(F3)*(1/2))</f>
        <v>2035118.2933333332</v>
      </c>
      <c r="G16" s="35">
        <f>((1/15)*SUM(B3:F3))+((1/15)*(G3)*(1/2))</f>
        <v>2035118.2933333332</v>
      </c>
      <c r="H16" s="35">
        <f>((1/15)*SUM(B3:G3))+((1/15)*(H3)*(1/2))</f>
        <v>2035118.2933333332</v>
      </c>
      <c r="I16" s="35">
        <f>((1/15)*SUM(B3:H3))+((1/15)*(I3)*(1/2))</f>
        <v>2035118.2933333332</v>
      </c>
      <c r="J16" s="35">
        <f>((1/15)*SUM(B3:I3))+((1/15)*(J3)*(1/2))</f>
        <v>2035118.2933333332</v>
      </c>
      <c r="K16" s="35">
        <f>((1/15)*SUM(B3:J3))+((1/15)*(K3)*(1/2))</f>
        <v>2035118.2933333332</v>
      </c>
      <c r="L16" s="35">
        <f>((1/15)*SUM(B3:K3))+((1/15)*(L3)*(1/2))</f>
        <v>2035118.2933333332</v>
      </c>
      <c r="M16" s="35">
        <f>((1/15)*SUM(B3:L3))+((1/15)*(M3)*(1/2))</f>
        <v>2035118.2933333332</v>
      </c>
      <c r="N16" s="35">
        <f>((1/15)*SUM(B3:M3))+((1/15)*(N3)*(1/2))</f>
        <v>2035118.2933333332</v>
      </c>
      <c r="O16" s="35">
        <f>((1/15)*SUM(B3:N3))+((1/15)*(O3)*(1/2))</f>
        <v>2035118.2933333332</v>
      </c>
      <c r="P16" s="35">
        <f>((1/15)*SUM(B3:O3))+((1/15)*(P3)*(1/2))</f>
        <v>2035118.2933333332</v>
      </c>
      <c r="Q16" s="35">
        <f>((1/15)*SUM(C3:P3))+((1/15)*(B3+Q3)*(1/2))</f>
        <v>1847103.56</v>
      </c>
      <c r="R16" s="35">
        <f>((1/15)*SUM(D3:Q3))+((1/15)*(C3+R3)*(1/2))</f>
        <v>1472298.9933333332</v>
      </c>
      <c r="S16" s="35">
        <f>((1/15)*SUM(E3:R3))+((1/15)*(D3+S3)*(1/2))</f>
        <v>895931.52666666661</v>
      </c>
      <c r="T16" s="35">
        <f>((1/15)*SUM(F3:S3))+((1/15)*(E3+T3)*(1/2))</f>
        <v>253176.94666666668</v>
      </c>
      <c r="U16" s="35">
        <f>SUM(B16:T16)</f>
        <v>30526774.399999995</v>
      </c>
      <c r="V16" s="35">
        <f>U16-U5</f>
        <v>0</v>
      </c>
      <c r="W16" s="35"/>
    </row>
    <row r="17" spans="1:23" s="33" customFormat="1" x14ac:dyDescent="0.3">
      <c r="A17" s="37" t="s">
        <v>107</v>
      </c>
      <c r="B17" s="37">
        <f>((1/5)*SUM(0))+((1/5)*(B4)*(1/2))</f>
        <v>287736.17000000004</v>
      </c>
      <c r="C17" s="37">
        <f>((1/5)*SUM(B4:B4))+((1/5)*(C4)*(1/2))</f>
        <v>611456.54</v>
      </c>
      <c r="D17" s="37">
        <f>((1/5)*SUM(B4:C4))+((1/5)*(D4)*(1/2))</f>
        <v>686974.94000000006</v>
      </c>
      <c r="E17" s="37">
        <f>((1/5)*SUM(B4:D4))+((1/5)*(E4)*(1/2))</f>
        <v>759961.65600000019</v>
      </c>
      <c r="F17" s="37">
        <f>((1/5)*SUM(B4:E4))+((1/5)*(F4)*(1/2))</f>
        <v>793414.17200000014</v>
      </c>
      <c r="G17" s="37">
        <f t="shared" ref="G17:T17" si="30">((1/5)*SUM(C4:F4))+((1/5)*(B4+G4)*(1/2))</f>
        <v>505678.00200000009</v>
      </c>
      <c r="H17" s="37">
        <f t="shared" si="30"/>
        <v>181957.63200000001</v>
      </c>
      <c r="I17" s="37">
        <f t="shared" si="30"/>
        <v>106439.23200000002</v>
      </c>
      <c r="J17" s="37">
        <f>((1/5)*SUM(F4:I4))+((1/5)*(E4+J4)*(1/2))</f>
        <v>33452.516000000003</v>
      </c>
      <c r="K17" s="37">
        <f t="shared" si="30"/>
        <v>0</v>
      </c>
      <c r="L17" s="37">
        <f t="shared" si="30"/>
        <v>0</v>
      </c>
      <c r="M17" s="37">
        <f t="shared" si="30"/>
        <v>0</v>
      </c>
      <c r="N17" s="37">
        <f t="shared" si="30"/>
        <v>0</v>
      </c>
      <c r="O17" s="37">
        <f t="shared" si="30"/>
        <v>0</v>
      </c>
      <c r="P17" s="37">
        <f t="shared" si="30"/>
        <v>0</v>
      </c>
      <c r="Q17" s="37">
        <f t="shared" si="30"/>
        <v>0</v>
      </c>
      <c r="R17" s="37">
        <f t="shared" si="30"/>
        <v>0</v>
      </c>
      <c r="S17" s="37">
        <f t="shared" si="30"/>
        <v>0</v>
      </c>
      <c r="T17" s="37">
        <f t="shared" si="30"/>
        <v>0</v>
      </c>
      <c r="U17" s="37">
        <f>SUM(B17:T17)</f>
        <v>3967070.8600000003</v>
      </c>
      <c r="V17" s="37">
        <f t="shared" ref="V17:V18" si="31">U17-U6</f>
        <v>0</v>
      </c>
    </row>
    <row r="18" spans="1:23" s="33" customFormat="1" x14ac:dyDescent="0.3">
      <c r="A18" s="33" t="s">
        <v>34</v>
      </c>
      <c r="B18" s="33">
        <f t="shared" ref="B18:U18" si="32">SUM(B16:B17)</f>
        <v>475750.90333333338</v>
      </c>
      <c r="C18" s="33">
        <f t="shared" si="32"/>
        <v>1174275.8400000001</v>
      </c>
      <c r="D18" s="33">
        <f t="shared" si="32"/>
        <v>1826161.7066666665</v>
      </c>
      <c r="E18" s="33">
        <f t="shared" si="32"/>
        <v>2541903.0026666671</v>
      </c>
      <c r="F18" s="33">
        <f>SUM(F16:F17)</f>
        <v>2828532.4653333332</v>
      </c>
      <c r="G18" s="33">
        <f t="shared" si="32"/>
        <v>2540796.2953333333</v>
      </c>
      <c r="H18" s="33">
        <f t="shared" si="32"/>
        <v>2217075.9253333332</v>
      </c>
      <c r="I18" s="33">
        <f t="shared" si="32"/>
        <v>2141557.5253333333</v>
      </c>
      <c r="J18" s="33">
        <f t="shared" si="32"/>
        <v>2068570.8093333333</v>
      </c>
      <c r="K18" s="33">
        <f t="shared" si="32"/>
        <v>2035118.2933333332</v>
      </c>
      <c r="L18" s="33">
        <f t="shared" si="32"/>
        <v>2035118.2933333332</v>
      </c>
      <c r="M18" s="33">
        <f t="shared" si="32"/>
        <v>2035118.2933333332</v>
      </c>
      <c r="N18" s="33">
        <f t="shared" si="32"/>
        <v>2035118.2933333332</v>
      </c>
      <c r="O18" s="33">
        <f t="shared" si="32"/>
        <v>2035118.2933333332</v>
      </c>
      <c r="P18" s="33">
        <f t="shared" si="32"/>
        <v>2035118.2933333332</v>
      </c>
      <c r="Q18" s="33">
        <f t="shared" si="32"/>
        <v>1847103.56</v>
      </c>
      <c r="R18" s="33">
        <f t="shared" si="32"/>
        <v>1472298.9933333332</v>
      </c>
      <c r="S18" s="33">
        <f t="shared" si="32"/>
        <v>895931.52666666661</v>
      </c>
      <c r="T18" s="33">
        <f t="shared" si="32"/>
        <v>253176.94666666668</v>
      </c>
      <c r="U18" s="33">
        <f t="shared" si="32"/>
        <v>34493845.259999998</v>
      </c>
      <c r="V18" s="35">
        <f t="shared" si="31"/>
        <v>0</v>
      </c>
      <c r="W18" s="54"/>
    </row>
    <row r="19" spans="1:23" s="33" customFormat="1" x14ac:dyDescent="0.3"/>
    <row r="20" spans="1:23" s="33" customFormat="1" x14ac:dyDescent="0.3">
      <c r="A20" s="33" t="s">
        <v>106</v>
      </c>
      <c r="B20" s="33">
        <f>0.01345*SUM(B9:B9)/2</f>
        <v>54082.805057583326</v>
      </c>
      <c r="C20" s="33">
        <f>0.01345*SUM(B9:C9)/2</f>
        <v>140373.39141616665</v>
      </c>
      <c r="D20" s="33">
        <f t="shared" ref="D20:T20" si="33">0.01345*SUM(C9:D9)/2</f>
        <v>241556.19771483331</v>
      </c>
      <c r="E20" s="33">
        <f t="shared" si="33"/>
        <v>346765.0557105667</v>
      </c>
      <c r="F20" s="33">
        <f>0.01345*SUM(E9:F9)/2</f>
        <v>363977.00787926663</v>
      </c>
      <c r="G20" s="33">
        <f t="shared" si="33"/>
        <v>327868.27196378331</v>
      </c>
      <c r="H20" s="33">
        <f t="shared" si="33"/>
        <v>295871.58127979998</v>
      </c>
      <c r="I20" s="33">
        <f t="shared" si="33"/>
        <v>266559.77132406668</v>
      </c>
      <c r="J20" s="33">
        <f t="shared" si="33"/>
        <v>238246.65827343331</v>
      </c>
      <c r="K20" s="33">
        <f t="shared" si="33"/>
        <v>210649.34905799999</v>
      </c>
      <c r="L20" s="33">
        <f t="shared" si="33"/>
        <v>183277.00801266666</v>
      </c>
      <c r="M20" s="33">
        <f t="shared" si="33"/>
        <v>155904.66696733332</v>
      </c>
      <c r="N20" s="33">
        <f t="shared" si="33"/>
        <v>128532.325922</v>
      </c>
      <c r="O20" s="33">
        <f t="shared" si="33"/>
        <v>101159.98487666667</v>
      </c>
      <c r="P20" s="33">
        <f t="shared" si="33"/>
        <v>73787.643831333335</v>
      </c>
      <c r="Q20" s="33">
        <f t="shared" si="33"/>
        <v>47679.701867666685</v>
      </c>
      <c r="R20" s="33">
        <f t="shared" si="33"/>
        <v>25356.719696500033</v>
      </c>
      <c r="S20" s="33">
        <f t="shared" si="33"/>
        <v>9430.3694495000618</v>
      </c>
      <c r="T20" s="33">
        <f t="shared" si="33"/>
        <v>1702.6149663333747</v>
      </c>
    </row>
    <row r="21" spans="1:23" s="97" customFormat="1" x14ac:dyDescent="0.3">
      <c r="A21" s="97" t="s">
        <v>16</v>
      </c>
      <c r="B21" s="98">
        <f>Input!B4</f>
        <v>257635</v>
      </c>
      <c r="C21" s="98">
        <f>Input!C4</f>
        <v>615553.875</v>
      </c>
      <c r="D21" s="98">
        <f>Input!D4</f>
        <v>725503.875</v>
      </c>
      <c r="E21" s="98">
        <f>Input!E4</f>
        <v>867721.7</v>
      </c>
      <c r="F21" s="99">
        <f>Input!I2</f>
        <v>936282</v>
      </c>
      <c r="G21" s="99">
        <f t="shared" ref="G21:T21" si="34">F21</f>
        <v>936282</v>
      </c>
      <c r="H21" s="99">
        <f t="shared" si="34"/>
        <v>936282</v>
      </c>
      <c r="I21" s="99">
        <f t="shared" si="34"/>
        <v>936282</v>
      </c>
      <c r="J21" s="99">
        <f t="shared" si="34"/>
        <v>936282</v>
      </c>
      <c r="K21" s="99">
        <f t="shared" si="34"/>
        <v>936282</v>
      </c>
      <c r="L21" s="99">
        <f t="shared" si="34"/>
        <v>936282</v>
      </c>
      <c r="M21" s="99">
        <f t="shared" si="34"/>
        <v>936282</v>
      </c>
      <c r="N21" s="99">
        <f t="shared" si="34"/>
        <v>936282</v>
      </c>
      <c r="O21" s="99">
        <f t="shared" si="34"/>
        <v>936282</v>
      </c>
      <c r="P21" s="99">
        <f t="shared" si="34"/>
        <v>936282</v>
      </c>
      <c r="Q21" s="99">
        <f t="shared" si="34"/>
        <v>936282</v>
      </c>
      <c r="R21" s="99">
        <f t="shared" si="34"/>
        <v>936282</v>
      </c>
      <c r="S21" s="99">
        <f t="shared" si="34"/>
        <v>936282</v>
      </c>
      <c r="T21" s="99">
        <f t="shared" si="34"/>
        <v>936282</v>
      </c>
      <c r="U21" s="99"/>
      <c r="V21" s="99"/>
    </row>
    <row r="23" spans="1:23" s="51" customFormat="1" x14ac:dyDescent="0.3">
      <c r="A23" s="51" t="s">
        <v>17</v>
      </c>
      <c r="B23" s="55">
        <f>B14+B18+B21+B20</f>
        <v>1105045.8013368035</v>
      </c>
      <c r="C23" s="55">
        <f t="shared" ref="C23:R23" si="35">C14+C18+C21+C20</f>
        <v>2747179.0544148199</v>
      </c>
      <c r="D23" s="55">
        <f t="shared" si="35"/>
        <v>4188190.4124571588</v>
      </c>
      <c r="E23" s="55">
        <f t="shared" si="35"/>
        <v>5748022.6186348479</v>
      </c>
      <c r="F23" s="55">
        <f>F14+F18+F21+F20</f>
        <v>6192177.7309749098</v>
      </c>
      <c r="G23" s="55">
        <f t="shared" si="35"/>
        <v>5628395.0526551651</v>
      </c>
      <c r="H23" s="55">
        <f t="shared" si="35"/>
        <v>5067051.0867002001</v>
      </c>
      <c r="I23" s="55">
        <f t="shared" si="35"/>
        <v>4779509.6258847527</v>
      </c>
      <c r="J23" s="55">
        <f t="shared" si="35"/>
        <v>4505996.6553096212</v>
      </c>
      <c r="K23" s="55">
        <f t="shared" si="35"/>
        <v>4278688.9692608137</v>
      </c>
      <c r="L23" s="55">
        <f t="shared" si="35"/>
        <v>4088230.1364773535</v>
      </c>
      <c r="M23" s="55">
        <f t="shared" si="35"/>
        <v>3902481.8386872732</v>
      </c>
      <c r="N23" s="55">
        <f t="shared" si="35"/>
        <v>3724708.7008589366</v>
      </c>
      <c r="O23" s="55">
        <f t="shared" si="35"/>
        <v>3557153.5252306568</v>
      </c>
      <c r="P23" s="55">
        <f t="shared" si="35"/>
        <v>3397108.3666436533</v>
      </c>
      <c r="Q23" s="55">
        <f t="shared" si="35"/>
        <v>3058467.3076228402</v>
      </c>
      <c r="R23" s="55">
        <f t="shared" si="35"/>
        <v>2554873.2412893935</v>
      </c>
      <c r="S23" s="55">
        <f t="shared" ref="S23:T23" si="36">S14+S18+S21+S20</f>
        <v>1886620.798677247</v>
      </c>
      <c r="T23" s="55">
        <f t="shared" si="36"/>
        <v>1199281.9590203869</v>
      </c>
      <c r="U23" s="55"/>
    </row>
    <row r="24" spans="1:23" x14ac:dyDescent="0.3">
      <c r="B24" s="33">
        <v>1105045.8013368035</v>
      </c>
      <c r="C24" s="33">
        <v>2747179.0544148199</v>
      </c>
      <c r="D24" s="33">
        <v>4188190.4124571588</v>
      </c>
      <c r="E24" s="33">
        <v>5748022.6186348479</v>
      </c>
      <c r="F24" s="33">
        <v>6192177.7309749098</v>
      </c>
      <c r="G24" s="33">
        <v>5628395.0526551651</v>
      </c>
      <c r="H24" s="33">
        <v>5067051.0867002001</v>
      </c>
      <c r="I24" s="33">
        <v>4779509.6258847527</v>
      </c>
      <c r="J24" s="33">
        <v>4505996.6553096212</v>
      </c>
      <c r="K24" s="33">
        <v>4278688.9692608137</v>
      </c>
    </row>
    <row r="25" spans="1:23" x14ac:dyDescent="0.3">
      <c r="B25" s="50">
        <f>(B4++B3+B21)-Input!B5</f>
        <v>0</v>
      </c>
      <c r="C25" s="50">
        <f>(C4++C3+C21)-Input!C5</f>
        <v>0</v>
      </c>
      <c r="D25" s="50">
        <f>(D4++D3+D21)-Input!D5</f>
        <v>0</v>
      </c>
      <c r="E25" s="50">
        <f>(E4++E3+E21)-Input!E5</f>
        <v>0</v>
      </c>
    </row>
    <row r="26" spans="1:23" x14ac:dyDescent="0.3">
      <c r="A26" s="32" t="s">
        <v>37</v>
      </c>
    </row>
    <row r="27" spans="1:23" x14ac:dyDescent="0.3">
      <c r="A27" s="39" t="s">
        <v>18</v>
      </c>
      <c r="B27" s="39">
        <v>1</v>
      </c>
      <c r="C27" s="39">
        <v>2</v>
      </c>
      <c r="D27" s="39">
        <v>3</v>
      </c>
      <c r="E27" s="39">
        <v>4</v>
      </c>
      <c r="F27" s="39">
        <v>5</v>
      </c>
      <c r="G27" s="39">
        <v>6</v>
      </c>
      <c r="H27" s="39">
        <v>7</v>
      </c>
      <c r="I27" s="39">
        <v>8</v>
      </c>
      <c r="J27" s="39">
        <v>9</v>
      </c>
      <c r="K27" s="39">
        <v>10</v>
      </c>
      <c r="L27" s="39">
        <v>11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x14ac:dyDescent="0.3">
      <c r="A28" s="39" t="s">
        <v>19</v>
      </c>
      <c r="B28" s="40">
        <v>0.1</v>
      </c>
      <c r="C28" s="40">
        <v>0.18</v>
      </c>
      <c r="D28" s="40">
        <v>0.14399999999999999</v>
      </c>
      <c r="E28" s="40">
        <v>0.1152</v>
      </c>
      <c r="F28" s="40">
        <v>9.2200000000000004E-2</v>
      </c>
      <c r="G28" s="40">
        <v>7.3700000000000002E-2</v>
      </c>
      <c r="H28" s="40">
        <v>6.5500000000000003E-2</v>
      </c>
      <c r="I28" s="40">
        <v>6.5500000000000003E-2</v>
      </c>
      <c r="J28" s="40">
        <v>6.5600000000000006E-2</v>
      </c>
      <c r="K28" s="40">
        <v>6.5500000000000003E-2</v>
      </c>
      <c r="L28" s="40">
        <v>3.2800000000000003E-2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x14ac:dyDescent="0.3">
      <c r="A29" s="39" t="s">
        <v>20</v>
      </c>
      <c r="B29" s="41">
        <f>($B$3*B$28)</f>
        <v>564044.20000000007</v>
      </c>
      <c r="C29" s="41">
        <f t="shared" ref="C29:L29" si="37">($B$3*C$28)</f>
        <v>1015279.5599999999</v>
      </c>
      <c r="D29" s="41">
        <f t="shared" si="37"/>
        <v>812223.64799999993</v>
      </c>
      <c r="E29" s="41">
        <f t="shared" si="37"/>
        <v>649778.91839999997</v>
      </c>
      <c r="F29" s="41">
        <f t="shared" si="37"/>
        <v>520048.7524</v>
      </c>
      <c r="G29" s="41">
        <f t="shared" si="37"/>
        <v>415700.57540000003</v>
      </c>
      <c r="H29" s="41">
        <f t="shared" si="37"/>
        <v>369448.951</v>
      </c>
      <c r="I29" s="41">
        <f t="shared" si="37"/>
        <v>369448.951</v>
      </c>
      <c r="J29" s="41">
        <f t="shared" si="37"/>
        <v>370012.9952</v>
      </c>
      <c r="K29" s="41">
        <f t="shared" si="37"/>
        <v>369448.951</v>
      </c>
      <c r="L29" s="41">
        <f t="shared" si="37"/>
        <v>185006.4976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x14ac:dyDescent="0.3">
      <c r="A30" s="39" t="s">
        <v>21</v>
      </c>
      <c r="B30" s="42"/>
      <c r="C30" s="41">
        <f t="shared" ref="C30:M30" si="38">B$28*$C$3</f>
        <v>560369.5</v>
      </c>
      <c r="D30" s="41">
        <f t="shared" si="38"/>
        <v>1008665.1</v>
      </c>
      <c r="E30" s="41">
        <f t="shared" si="38"/>
        <v>806932.08</v>
      </c>
      <c r="F30" s="41">
        <f t="shared" si="38"/>
        <v>645545.66399999999</v>
      </c>
      <c r="G30" s="41">
        <f t="shared" si="38"/>
        <v>516660.679</v>
      </c>
      <c r="H30" s="41">
        <f t="shared" si="38"/>
        <v>412992.32150000002</v>
      </c>
      <c r="I30" s="41">
        <f t="shared" si="38"/>
        <v>367042.02250000002</v>
      </c>
      <c r="J30" s="41">
        <f t="shared" si="38"/>
        <v>367042.02250000002</v>
      </c>
      <c r="K30" s="41">
        <f t="shared" si="38"/>
        <v>367602.39200000005</v>
      </c>
      <c r="L30" s="41">
        <f t="shared" si="38"/>
        <v>367042.02250000002</v>
      </c>
      <c r="M30" s="41">
        <f t="shared" si="38"/>
        <v>183801.19600000003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x14ac:dyDescent="0.3">
      <c r="A31" s="39" t="s">
        <v>22</v>
      </c>
      <c r="B31" s="42"/>
      <c r="C31" s="43"/>
      <c r="D31" s="41">
        <f t="shared" ref="D31" si="39">B$28*$D$3</f>
        <v>1168732.9000000001</v>
      </c>
      <c r="E31" s="41">
        <f t="shared" ref="E31" si="40">C$28*$D$3</f>
        <v>2103719.2199999997</v>
      </c>
      <c r="F31" s="41">
        <f t="shared" ref="F31" si="41">D$28*$D$3</f>
        <v>1682975.3759999999</v>
      </c>
      <c r="G31" s="41">
        <f t="shared" ref="G31" si="42">E$28*$D$3</f>
        <v>1346380.3007999999</v>
      </c>
      <c r="H31" s="41">
        <f t="shared" ref="H31" si="43">F$28*$D$3</f>
        <v>1077571.7338</v>
      </c>
      <c r="I31" s="41">
        <f t="shared" ref="I31" si="44">G$28*$D$3</f>
        <v>861356.14730000007</v>
      </c>
      <c r="J31" s="41">
        <f t="shared" ref="J31" si="45">H$28*$D$3</f>
        <v>765520.04950000008</v>
      </c>
      <c r="K31" s="41">
        <f t="shared" ref="K31" si="46">I$28*$D$3</f>
        <v>765520.04950000008</v>
      </c>
      <c r="L31" s="41">
        <f t="shared" ref="L31" si="47">J$28*$D$3</f>
        <v>766688.78240000003</v>
      </c>
      <c r="M31" s="41">
        <f t="shared" ref="M31" si="48">K$28*$D$3</f>
        <v>765520.04950000008</v>
      </c>
      <c r="N31" s="41">
        <f t="shared" ref="N31" si="49">L$28*$D$3</f>
        <v>383344.39120000001</v>
      </c>
      <c r="O31" s="41"/>
      <c r="P31" s="41"/>
      <c r="Q31" s="41"/>
      <c r="R31" s="41"/>
      <c r="S31" s="41"/>
      <c r="T31" s="41"/>
      <c r="U31" s="54"/>
      <c r="V31" s="54"/>
      <c r="W31" s="41"/>
    </row>
    <row r="32" spans="1:23" x14ac:dyDescent="0.3">
      <c r="A32" s="39" t="s">
        <v>23</v>
      </c>
      <c r="B32" s="44"/>
      <c r="C32" s="45"/>
      <c r="D32" s="43"/>
      <c r="E32" s="41">
        <f t="shared" ref="E32:O32" si="50">B$28*$E$3</f>
        <v>759530.84000000008</v>
      </c>
      <c r="F32" s="41">
        <f t="shared" si="50"/>
        <v>1367155.5120000001</v>
      </c>
      <c r="G32" s="41">
        <f t="shared" si="50"/>
        <v>1093724.4095999999</v>
      </c>
      <c r="H32" s="41">
        <f t="shared" si="50"/>
        <v>874979.52768000006</v>
      </c>
      <c r="I32" s="41">
        <f t="shared" si="50"/>
        <v>700287.43448000005</v>
      </c>
      <c r="J32" s="41">
        <f t="shared" si="50"/>
        <v>559774.22908000008</v>
      </c>
      <c r="K32" s="41">
        <f t="shared" si="50"/>
        <v>497492.70020000002</v>
      </c>
      <c r="L32" s="41">
        <f t="shared" si="50"/>
        <v>497492.70020000002</v>
      </c>
      <c r="M32" s="41">
        <f t="shared" si="50"/>
        <v>498252.23104000004</v>
      </c>
      <c r="N32" s="41">
        <f t="shared" si="50"/>
        <v>497492.70020000002</v>
      </c>
      <c r="O32" s="41">
        <f t="shared" si="50"/>
        <v>249126.11552000002</v>
      </c>
      <c r="P32" s="41"/>
      <c r="Q32" s="41"/>
      <c r="R32" s="41"/>
      <c r="S32" s="41"/>
      <c r="T32" s="41"/>
      <c r="U32" s="41"/>
      <c r="V32" s="41"/>
      <c r="W32" s="41"/>
    </row>
    <row r="33" spans="1:25" x14ac:dyDescent="0.3">
      <c r="A33" s="39" t="s">
        <v>24</v>
      </c>
      <c r="B33" s="44"/>
      <c r="C33" s="43"/>
      <c r="D33" s="43"/>
      <c r="E33" s="43"/>
      <c r="F33" s="41">
        <f>B$28*$F$3</f>
        <v>0</v>
      </c>
      <c r="G33" s="41">
        <f t="shared" ref="G33:P33" si="51">C$28*$F$3</f>
        <v>0</v>
      </c>
      <c r="H33" s="41">
        <f t="shared" si="51"/>
        <v>0</v>
      </c>
      <c r="I33" s="41">
        <f t="shared" si="51"/>
        <v>0</v>
      </c>
      <c r="J33" s="41">
        <f t="shared" si="51"/>
        <v>0</v>
      </c>
      <c r="K33" s="41">
        <f t="shared" si="51"/>
        <v>0</v>
      </c>
      <c r="L33" s="41">
        <f t="shared" si="51"/>
        <v>0</v>
      </c>
      <c r="M33" s="41">
        <f t="shared" si="51"/>
        <v>0</v>
      </c>
      <c r="N33" s="41">
        <f t="shared" si="51"/>
        <v>0</v>
      </c>
      <c r="O33" s="41">
        <f t="shared" si="51"/>
        <v>0</v>
      </c>
      <c r="P33" s="41">
        <f t="shared" si="51"/>
        <v>0</v>
      </c>
      <c r="Q33" s="41"/>
      <c r="R33" s="41"/>
      <c r="S33" s="41"/>
      <c r="T33" s="41"/>
      <c r="U33" s="41"/>
      <c r="V33" s="41"/>
      <c r="W33" s="41"/>
    </row>
    <row r="34" spans="1:25" x14ac:dyDescent="0.3">
      <c r="A34" s="39"/>
      <c r="B34" s="39"/>
      <c r="C34" s="39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x14ac:dyDescent="0.3">
      <c r="A35" s="46" t="s">
        <v>25</v>
      </c>
      <c r="B35" s="47">
        <f t="shared" ref="B35:T35" si="52">SUM(B29:B33)</f>
        <v>564044.20000000007</v>
      </c>
      <c r="C35" s="47">
        <f t="shared" si="52"/>
        <v>1575649.06</v>
      </c>
      <c r="D35" s="47">
        <f t="shared" si="52"/>
        <v>2989621.648</v>
      </c>
      <c r="E35" s="47">
        <f t="shared" si="52"/>
        <v>4319961.0583999995</v>
      </c>
      <c r="F35" s="47">
        <f t="shared" si="52"/>
        <v>4215725.3043999998</v>
      </c>
      <c r="G35" s="47">
        <f t="shared" si="52"/>
        <v>3372465.9647999997</v>
      </c>
      <c r="H35" s="47">
        <f t="shared" si="52"/>
        <v>2734992.5339799998</v>
      </c>
      <c r="I35" s="47">
        <f t="shared" si="52"/>
        <v>2298134.55528</v>
      </c>
      <c r="J35" s="47">
        <f t="shared" si="52"/>
        <v>2062349.2962799999</v>
      </c>
      <c r="K35" s="47">
        <f t="shared" si="52"/>
        <v>2000064.0927000002</v>
      </c>
      <c r="L35" s="47">
        <f t="shared" si="52"/>
        <v>1816230.0027000003</v>
      </c>
      <c r="M35" s="47">
        <f t="shared" si="52"/>
        <v>1447573.4765400002</v>
      </c>
      <c r="N35" s="47">
        <f t="shared" si="52"/>
        <v>880837.09140000003</v>
      </c>
      <c r="O35" s="47">
        <f t="shared" si="52"/>
        <v>249126.11552000002</v>
      </c>
      <c r="P35" s="47">
        <f t="shared" si="52"/>
        <v>0</v>
      </c>
      <c r="Q35" s="47">
        <f t="shared" si="52"/>
        <v>0</v>
      </c>
      <c r="R35" s="47">
        <f t="shared" si="52"/>
        <v>0</v>
      </c>
      <c r="S35" s="47">
        <f t="shared" si="52"/>
        <v>0</v>
      </c>
      <c r="T35" s="47">
        <f t="shared" si="52"/>
        <v>0</v>
      </c>
      <c r="U35" s="47">
        <f>SUM(B35:T35)</f>
        <v>30526774.400000002</v>
      </c>
      <c r="V35" s="47">
        <f>U5-U35</f>
        <v>0</v>
      </c>
      <c r="W35" s="47"/>
      <c r="X35" s="41"/>
      <c r="Y35" s="41"/>
    </row>
    <row r="36" spans="1:25" x14ac:dyDescent="0.3">
      <c r="A36" s="46" t="s">
        <v>26</v>
      </c>
      <c r="B36" s="47">
        <f t="shared" ref="B36" si="53">(B35-B16)*0.21</f>
        <v>78966.188000000009</v>
      </c>
      <c r="C36" s="47">
        <f t="shared" ref="C36" si="54">(C35-C16)*0.21</f>
        <v>212694.24959999998</v>
      </c>
      <c r="D36" s="47">
        <f t="shared" ref="D36" si="55">(D35-D16)*0.21</f>
        <v>388591.32507999998</v>
      </c>
      <c r="E36" s="47">
        <f t="shared" ref="E36" si="56">(E35-E16)*0.21</f>
        <v>532984.13946399989</v>
      </c>
      <c r="F36" s="47">
        <f t="shared" ref="F36" si="57">(F35-F16)*0.21</f>
        <v>457927.47232400003</v>
      </c>
      <c r="G36" s="47">
        <f t="shared" ref="G36" si="58">(G35-G16)*0.21</f>
        <v>280843.01100799994</v>
      </c>
      <c r="H36" s="47">
        <f t="shared" ref="H36" si="59">(H35-H16)*0.21</f>
        <v>146973.59053579997</v>
      </c>
      <c r="I36" s="47">
        <f t="shared" ref="I36" si="60">(I35-I16)*0.21</f>
        <v>55233.415008800017</v>
      </c>
      <c r="J36" s="47">
        <f t="shared" ref="J36" si="61">(J35-J16)*0.21</f>
        <v>5718.5106188000018</v>
      </c>
      <c r="K36" s="47">
        <f t="shared" ref="K36" si="62">(K35-K16)*0.21</f>
        <v>-7361.3821329999437</v>
      </c>
      <c r="L36" s="47">
        <f t="shared" ref="L36" si="63">(L35-L16)*0.21</f>
        <v>-45966.541032999914</v>
      </c>
      <c r="M36" s="47">
        <f t="shared" ref="M36" si="64">(M35-M16)*0.21</f>
        <v>-123384.41152659993</v>
      </c>
      <c r="N36" s="47">
        <f t="shared" ref="N36" si="65">(N35-N16)*0.21</f>
        <v>-242399.05240599997</v>
      </c>
      <c r="O36" s="47">
        <f t="shared" ref="O36" si="66">(O35-O16)*0.21</f>
        <v>-375058.35734079994</v>
      </c>
      <c r="P36" s="47">
        <f t="shared" ref="P36" si="67">(P35-P16)*0.21</f>
        <v>-427374.84159999999</v>
      </c>
      <c r="Q36" s="47">
        <f t="shared" ref="Q36" si="68">(Q35-Q16)*0.21</f>
        <v>-387891.7476</v>
      </c>
      <c r="R36" s="47">
        <f t="shared" ref="R36" si="69">(R35-R16)*0.21</f>
        <v>-309182.78859999997</v>
      </c>
      <c r="S36" s="47">
        <f t="shared" ref="S36" si="70">(S35-S16)*0.21</f>
        <v>-188145.62059999999</v>
      </c>
      <c r="T36" s="47">
        <f t="shared" ref="T36" si="71">(T35-T16)*0.21</f>
        <v>-53167.158800000005</v>
      </c>
      <c r="U36" s="47">
        <f>SUM(B36:T36)</f>
        <v>1.1641532182693481E-10</v>
      </c>
      <c r="V36" s="47"/>
      <c r="W36" s="47"/>
      <c r="X36" s="41"/>
      <c r="Y36" s="41"/>
    </row>
    <row r="37" spans="1:25" x14ac:dyDescent="0.3">
      <c r="A37" s="39" t="s">
        <v>27</v>
      </c>
      <c r="B37" s="48">
        <f>B36</f>
        <v>78966.188000000009</v>
      </c>
      <c r="C37" s="48">
        <f>B37+C36</f>
        <v>291660.4376</v>
      </c>
      <c r="D37" s="48">
        <f t="shared" ref="D37:T37" si="72">C37+D36</f>
        <v>680251.76267999993</v>
      </c>
      <c r="E37" s="48">
        <f t="shared" si="72"/>
        <v>1213235.9021439999</v>
      </c>
      <c r="F37" s="48">
        <f t="shared" si="72"/>
        <v>1671163.3744679999</v>
      </c>
      <c r="G37" s="48">
        <f t="shared" si="72"/>
        <v>1952006.3854759999</v>
      </c>
      <c r="H37" s="48">
        <f t="shared" si="72"/>
        <v>2098979.9760117996</v>
      </c>
      <c r="I37" s="48">
        <f t="shared" si="72"/>
        <v>2154213.3910205998</v>
      </c>
      <c r="J37" s="48">
        <f t="shared" si="72"/>
        <v>2159931.9016393996</v>
      </c>
      <c r="K37" s="48">
        <f t="shared" si="72"/>
        <v>2152570.5195063995</v>
      </c>
      <c r="L37" s="48">
        <f t="shared" si="72"/>
        <v>2106603.9784733998</v>
      </c>
      <c r="M37" s="48">
        <f t="shared" si="72"/>
        <v>1983219.5669467999</v>
      </c>
      <c r="N37" s="48">
        <f t="shared" si="72"/>
        <v>1740820.5145407999</v>
      </c>
      <c r="O37" s="48">
        <f t="shared" si="72"/>
        <v>1365762.1572</v>
      </c>
      <c r="P37" s="48">
        <f t="shared" si="72"/>
        <v>938387.31560000009</v>
      </c>
      <c r="Q37" s="48">
        <f t="shared" si="72"/>
        <v>550495.56800000009</v>
      </c>
      <c r="R37" s="48">
        <f t="shared" si="72"/>
        <v>241312.77940000012</v>
      </c>
      <c r="S37" s="48">
        <f t="shared" si="72"/>
        <v>53167.158800000121</v>
      </c>
      <c r="T37" s="48">
        <f t="shared" si="72"/>
        <v>1.1641532182693481E-10</v>
      </c>
      <c r="U37" s="48"/>
      <c r="V37" s="48"/>
      <c r="W37" s="48"/>
      <c r="X37" s="41"/>
      <c r="Y37" s="41"/>
    </row>
    <row r="38" spans="1:25" x14ac:dyDescent="0.3">
      <c r="A38" s="39"/>
      <c r="B38" s="39"/>
      <c r="C38" s="39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x14ac:dyDescent="0.3">
      <c r="A39" s="32" t="s">
        <v>36</v>
      </c>
      <c r="L39" s="43"/>
      <c r="M39" s="43"/>
      <c r="N39" s="43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3">
      <c r="A40" s="39" t="s">
        <v>18</v>
      </c>
      <c r="B40" s="39">
        <v>1</v>
      </c>
      <c r="C40" s="39">
        <v>2</v>
      </c>
      <c r="D40" s="39">
        <v>3</v>
      </c>
      <c r="E40" s="39">
        <v>4</v>
      </c>
      <c r="F40" s="39">
        <v>5</v>
      </c>
      <c r="G40" s="39">
        <v>6</v>
      </c>
      <c r="H40" s="39">
        <v>7</v>
      </c>
      <c r="I40" s="39">
        <v>8</v>
      </c>
      <c r="J40" s="39">
        <v>9</v>
      </c>
      <c r="K40" s="39">
        <v>10</v>
      </c>
      <c r="L40" s="43"/>
      <c r="M40" s="43"/>
      <c r="N40" s="43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x14ac:dyDescent="0.3">
      <c r="A41" s="39" t="s">
        <v>19</v>
      </c>
      <c r="B41" s="40">
        <f>1/3</f>
        <v>0.33333333333333331</v>
      </c>
      <c r="C41" s="40">
        <f>1/3</f>
        <v>0.33333333333333331</v>
      </c>
      <c r="D41" s="40">
        <f>1/3</f>
        <v>0.33333333333333331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3"/>
      <c r="M41" s="43"/>
      <c r="N41" s="43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x14ac:dyDescent="0.3">
      <c r="A42" s="39" t="s">
        <v>20</v>
      </c>
      <c r="B42" s="41">
        <f>($B$4*B$41)</f>
        <v>959120.56666666665</v>
      </c>
      <c r="C42" s="41">
        <f>($B$4*C$41)</f>
        <v>959120.56666666665</v>
      </c>
      <c r="D42" s="41">
        <f>($B$4*D$41)</f>
        <v>959120.56666666665</v>
      </c>
      <c r="E42" s="41"/>
      <c r="F42" s="41"/>
      <c r="G42" s="41"/>
      <c r="H42" s="41"/>
      <c r="I42" s="41"/>
      <c r="J42" s="41"/>
      <c r="K42" s="41"/>
      <c r="L42" s="43"/>
      <c r="M42" s="43"/>
      <c r="N42" s="4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x14ac:dyDescent="0.3">
      <c r="A43" s="39" t="s">
        <v>21</v>
      </c>
      <c r="B43" s="42"/>
      <c r="C43" s="41">
        <f>C$4*$C$41</f>
        <v>119947.33333333333</v>
      </c>
      <c r="D43" s="41">
        <f>C$4*$C$41</f>
        <v>119947.33333333333</v>
      </c>
      <c r="E43" s="41">
        <f>C$4*$C$41</f>
        <v>119947.33333333333</v>
      </c>
      <c r="F43" s="41"/>
      <c r="G43" s="41"/>
      <c r="H43" s="41"/>
      <c r="I43" s="41"/>
      <c r="J43" s="41"/>
      <c r="K43" s="41"/>
    </row>
    <row r="44" spans="1:25" x14ac:dyDescent="0.3">
      <c r="A44" s="39" t="s">
        <v>22</v>
      </c>
      <c r="B44" s="42"/>
      <c r="C44" s="43"/>
      <c r="D44" s="41">
        <f>B$41*$D$4</f>
        <v>131780.66666666666</v>
      </c>
      <c r="E44" s="41">
        <f>C$41*$D$4</f>
        <v>131780.66666666666</v>
      </c>
      <c r="F44" s="41">
        <f>D$41*$D$4</f>
        <v>131780.66666666666</v>
      </c>
      <c r="G44" s="41"/>
      <c r="H44" s="41"/>
      <c r="I44" s="41"/>
      <c r="J44" s="41"/>
      <c r="K44" s="41"/>
    </row>
    <row r="45" spans="1:25" x14ac:dyDescent="0.3">
      <c r="A45" s="39" t="s">
        <v>23</v>
      </c>
      <c r="B45" s="44"/>
      <c r="C45" s="45"/>
      <c r="D45" s="43"/>
      <c r="E45" s="41">
        <f>B$41*$E$4</f>
        <v>111508.38666666667</v>
      </c>
      <c r="F45" s="41">
        <f>C$41*$E$4</f>
        <v>111508.38666666667</v>
      </c>
      <c r="G45" s="41">
        <f>D$41*$E$4</f>
        <v>111508.38666666667</v>
      </c>
      <c r="H45" s="41"/>
      <c r="I45" s="41"/>
      <c r="J45" s="41"/>
      <c r="K45" s="41"/>
    </row>
    <row r="46" spans="1:25" x14ac:dyDescent="0.3">
      <c r="A46" s="39" t="s">
        <v>24</v>
      </c>
      <c r="B46" s="44"/>
      <c r="C46" s="45"/>
      <c r="D46" s="43"/>
      <c r="E46" s="41"/>
      <c r="F46" s="41">
        <f>B$41*$F$4</f>
        <v>0</v>
      </c>
      <c r="G46" s="41">
        <f t="shared" ref="G46:H46" si="73">C$41*$F$4</f>
        <v>0</v>
      </c>
      <c r="H46" s="41">
        <f t="shared" si="73"/>
        <v>0</v>
      </c>
      <c r="I46" s="41"/>
      <c r="J46" s="41"/>
      <c r="K46" s="41"/>
    </row>
    <row r="47" spans="1:25" x14ac:dyDescent="0.3">
      <c r="A47" s="39"/>
      <c r="U47" s="54"/>
      <c r="V47" s="54"/>
    </row>
    <row r="48" spans="1:25" x14ac:dyDescent="0.3">
      <c r="A48" s="46" t="s">
        <v>25</v>
      </c>
      <c r="B48" s="47">
        <f>SUM(B42:B45)</f>
        <v>959120.56666666665</v>
      </c>
      <c r="C48" s="47">
        <f t="shared" ref="C48" si="74">SUM(C42:C45)</f>
        <v>1079067.8999999999</v>
      </c>
      <c r="D48" s="47">
        <f t="shared" ref="D48:T48" si="75">SUM(D42:D45)</f>
        <v>1210848.5666666667</v>
      </c>
      <c r="E48" s="47">
        <f t="shared" si="75"/>
        <v>363236.38666666666</v>
      </c>
      <c r="F48" s="47">
        <f t="shared" si="75"/>
        <v>243289.05333333334</v>
      </c>
      <c r="G48" s="47">
        <f t="shared" si="75"/>
        <v>111508.38666666667</v>
      </c>
      <c r="H48" s="47">
        <f t="shared" si="75"/>
        <v>0</v>
      </c>
      <c r="I48" s="47">
        <f t="shared" si="75"/>
        <v>0</v>
      </c>
      <c r="J48" s="47">
        <f t="shared" si="75"/>
        <v>0</v>
      </c>
      <c r="K48" s="47">
        <f t="shared" si="75"/>
        <v>0</v>
      </c>
      <c r="L48" s="47">
        <f t="shared" si="75"/>
        <v>0</v>
      </c>
      <c r="M48" s="47">
        <f t="shared" si="75"/>
        <v>0</v>
      </c>
      <c r="N48" s="47">
        <f t="shared" si="75"/>
        <v>0</v>
      </c>
      <c r="O48" s="47">
        <f t="shared" si="75"/>
        <v>0</v>
      </c>
      <c r="P48" s="47">
        <f t="shared" si="75"/>
        <v>0</v>
      </c>
      <c r="Q48" s="47">
        <f t="shared" si="75"/>
        <v>0</v>
      </c>
      <c r="R48" s="47">
        <f t="shared" si="75"/>
        <v>0</v>
      </c>
      <c r="S48" s="47">
        <f t="shared" si="75"/>
        <v>0</v>
      </c>
      <c r="T48" s="47">
        <f t="shared" si="75"/>
        <v>0</v>
      </c>
      <c r="U48" s="38">
        <f>SUM(B48:T48)</f>
        <v>3967070.86</v>
      </c>
      <c r="V48" s="38">
        <f>U6-U48</f>
        <v>0</v>
      </c>
    </row>
    <row r="49" spans="1:21" x14ac:dyDescent="0.3">
      <c r="A49" s="46" t="s">
        <v>26</v>
      </c>
      <c r="B49" s="47">
        <f>(B48-B17)*0.21</f>
        <v>140990.72329999998</v>
      </c>
      <c r="C49" s="47">
        <f>(C48-C17)*0.21</f>
        <v>98198.385599999965</v>
      </c>
      <c r="D49" s="47">
        <f t="shared" ref="D49:T49" si="76">(D48-D17)*0.21</f>
        <v>110013.46159999998</v>
      </c>
      <c r="E49" s="47">
        <f t="shared" si="76"/>
        <v>-83312.306560000041</v>
      </c>
      <c r="F49" s="47">
        <f t="shared" si="76"/>
        <v>-115526.27492000003</v>
      </c>
      <c r="G49" s="47">
        <f t="shared" si="76"/>
        <v>-82775.619220000022</v>
      </c>
      <c r="H49" s="47">
        <f t="shared" si="76"/>
        <v>-38211.102720000003</v>
      </c>
      <c r="I49" s="47">
        <f t="shared" si="76"/>
        <v>-22352.238720000001</v>
      </c>
      <c r="J49" s="47">
        <f t="shared" si="76"/>
        <v>-7025.0283600000002</v>
      </c>
      <c r="K49" s="47">
        <f t="shared" si="76"/>
        <v>0</v>
      </c>
      <c r="L49" s="47">
        <f t="shared" si="76"/>
        <v>0</v>
      </c>
      <c r="M49" s="47">
        <f t="shared" si="76"/>
        <v>0</v>
      </c>
      <c r="N49" s="47">
        <f t="shared" si="76"/>
        <v>0</v>
      </c>
      <c r="O49" s="47">
        <f t="shared" si="76"/>
        <v>0</v>
      </c>
      <c r="P49" s="47">
        <f t="shared" si="76"/>
        <v>0</v>
      </c>
      <c r="Q49" s="47">
        <f t="shared" si="76"/>
        <v>0</v>
      </c>
      <c r="R49" s="47">
        <f t="shared" si="76"/>
        <v>0</v>
      </c>
      <c r="S49" s="47">
        <f t="shared" si="76"/>
        <v>0</v>
      </c>
      <c r="T49" s="47">
        <f t="shared" si="76"/>
        <v>0</v>
      </c>
      <c r="U49" s="38">
        <f>SUM(B49:T49)</f>
        <v>-1.9281287677586079E-10</v>
      </c>
    </row>
    <row r="50" spans="1:21" x14ac:dyDescent="0.3">
      <c r="A50" s="39" t="s">
        <v>27</v>
      </c>
      <c r="B50" s="48">
        <f>B49</f>
        <v>140990.72329999998</v>
      </c>
      <c r="C50" s="48">
        <f>B50+C49</f>
        <v>239189.10889999993</v>
      </c>
      <c r="D50" s="48">
        <f t="shared" ref="D50:T50" si="77">C50+D49</f>
        <v>349202.57049999991</v>
      </c>
      <c r="E50" s="48">
        <f t="shared" si="77"/>
        <v>265890.26393999986</v>
      </c>
      <c r="F50" s="48">
        <f t="shared" si="77"/>
        <v>150363.98901999983</v>
      </c>
      <c r="G50" s="48">
        <f t="shared" si="77"/>
        <v>67588.369799999811</v>
      </c>
      <c r="H50" s="48">
        <f t="shared" si="77"/>
        <v>29377.267079999809</v>
      </c>
      <c r="I50" s="48">
        <f t="shared" si="77"/>
        <v>7025.0283599998074</v>
      </c>
      <c r="J50" s="48">
        <f t="shared" si="77"/>
        <v>-1.9281287677586079E-10</v>
      </c>
      <c r="K50" s="47">
        <f t="shared" si="77"/>
        <v>-1.9281287677586079E-10</v>
      </c>
      <c r="L50" s="47">
        <f t="shared" si="77"/>
        <v>-1.9281287677586079E-10</v>
      </c>
      <c r="M50" s="47">
        <f t="shared" si="77"/>
        <v>-1.9281287677586079E-10</v>
      </c>
      <c r="N50" s="47">
        <f t="shared" si="77"/>
        <v>-1.9281287677586079E-10</v>
      </c>
      <c r="O50" s="47">
        <f t="shared" si="77"/>
        <v>-1.9281287677586079E-10</v>
      </c>
      <c r="P50" s="47">
        <f t="shared" si="77"/>
        <v>-1.9281287677586079E-10</v>
      </c>
      <c r="Q50" s="47">
        <f t="shared" si="77"/>
        <v>-1.9281287677586079E-10</v>
      </c>
      <c r="R50" s="47">
        <f t="shared" si="77"/>
        <v>-1.9281287677586079E-10</v>
      </c>
      <c r="S50" s="47">
        <f t="shared" si="77"/>
        <v>-1.9281287677586079E-10</v>
      </c>
      <c r="T50" s="47">
        <f t="shared" si="77"/>
        <v>-1.9281287677586079E-10</v>
      </c>
    </row>
  </sheetData>
  <pageMargins left="0.7" right="0.7" top="0.75" bottom="0.75" header="0.3" footer="0.3"/>
  <pageSetup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workbookViewId="0">
      <selection activeCell="L31" sqref="L31"/>
    </sheetView>
  </sheetViews>
  <sheetFormatPr defaultColWidth="9.109375" defaultRowHeight="13.2" x14ac:dyDescent="0.25"/>
  <cols>
    <col min="1" max="1" width="4.6640625" style="73" customWidth="1"/>
    <col min="2" max="2" width="3.109375" style="74" customWidth="1"/>
    <col min="3" max="3" width="29.6640625" style="73" bestFit="1" customWidth="1"/>
    <col min="4" max="4" width="2.6640625" style="73" customWidth="1"/>
    <col min="5" max="5" width="15.5546875" style="73" bestFit="1" customWidth="1"/>
    <col min="6" max="6" width="2.6640625" style="73" customWidth="1"/>
    <col min="7" max="7" width="13.6640625" style="73" bestFit="1" customWidth="1"/>
    <col min="8" max="8" width="2.6640625" style="73" customWidth="1"/>
    <col min="9" max="9" width="13.88671875" style="74" bestFit="1" customWidth="1"/>
    <col min="10" max="10" width="4.109375" style="74" customWidth="1"/>
    <col min="11" max="11" width="13.6640625" style="73" bestFit="1" customWidth="1"/>
    <col min="12" max="12" width="2.6640625" style="73" customWidth="1"/>
    <col min="13" max="13" width="11.109375" style="73" bestFit="1" customWidth="1"/>
    <col min="14" max="14" width="23.88671875" style="73" bestFit="1" customWidth="1"/>
    <col min="15" max="15" width="12.6640625" style="73" bestFit="1" customWidth="1"/>
    <col min="16" max="16" width="2.6640625" style="73" customWidth="1"/>
    <col min="17" max="17" width="13.6640625" style="73" bestFit="1" customWidth="1"/>
    <col min="18" max="18" width="2.6640625" style="73" customWidth="1"/>
    <col min="19" max="19" width="19" style="73" bestFit="1" customWidth="1"/>
    <col min="20" max="16384" width="9.109375" style="73"/>
  </cols>
  <sheetData>
    <row r="1" spans="1:19" x14ac:dyDescent="0.25">
      <c r="F1" s="74" t="s">
        <v>62</v>
      </c>
      <c r="K1" s="75" t="s">
        <v>63</v>
      </c>
    </row>
    <row r="2" spans="1:19" x14ac:dyDescent="0.25">
      <c r="F2" s="74" t="s">
        <v>64</v>
      </c>
      <c r="K2" s="75" t="s">
        <v>65</v>
      </c>
    </row>
    <row r="3" spans="1:19" x14ac:dyDescent="0.25">
      <c r="F3" s="74" t="s">
        <v>66</v>
      </c>
      <c r="K3" s="75" t="s">
        <v>67</v>
      </c>
    </row>
    <row r="5" spans="1:19" x14ac:dyDescent="0.25">
      <c r="E5" s="74" t="s">
        <v>68</v>
      </c>
      <c r="I5" s="74" t="s">
        <v>69</v>
      </c>
      <c r="K5" s="74" t="s">
        <v>70</v>
      </c>
    </row>
    <row r="6" spans="1:19" x14ac:dyDescent="0.25">
      <c r="A6" s="74"/>
      <c r="C6" s="74"/>
      <c r="D6" s="74"/>
      <c r="E6" s="74" t="s">
        <v>71</v>
      </c>
      <c r="F6" s="74"/>
      <c r="G6" s="74" t="s">
        <v>72</v>
      </c>
      <c r="H6" s="74"/>
      <c r="I6" s="74" t="s">
        <v>2</v>
      </c>
      <c r="K6" s="74" t="s">
        <v>73</v>
      </c>
      <c r="L6" s="74"/>
      <c r="M6" s="74"/>
      <c r="N6" s="74"/>
      <c r="O6" s="74"/>
      <c r="P6" s="74"/>
      <c r="Q6" s="74"/>
      <c r="R6" s="74"/>
      <c r="S6" s="74"/>
    </row>
    <row r="7" spans="1:19" x14ac:dyDescent="0.25">
      <c r="A7" s="74" t="s">
        <v>74</v>
      </c>
      <c r="C7" s="74"/>
      <c r="D7" s="74"/>
      <c r="E7" s="74" t="s">
        <v>75</v>
      </c>
      <c r="F7" s="74"/>
      <c r="G7" s="74" t="s">
        <v>76</v>
      </c>
      <c r="H7" s="74"/>
      <c r="I7" s="74" t="s">
        <v>72</v>
      </c>
      <c r="K7" s="74" t="s">
        <v>2</v>
      </c>
      <c r="L7" s="74"/>
      <c r="M7" s="74"/>
      <c r="N7" s="74"/>
      <c r="O7" s="74" t="s">
        <v>77</v>
      </c>
      <c r="P7" s="74"/>
      <c r="Q7" s="74"/>
      <c r="R7" s="74"/>
      <c r="S7" s="74"/>
    </row>
    <row r="8" spans="1:19" x14ac:dyDescent="0.25">
      <c r="A8" s="76" t="s">
        <v>78</v>
      </c>
      <c r="B8" s="76"/>
      <c r="C8" s="76" t="s">
        <v>79</v>
      </c>
      <c r="D8" s="76"/>
      <c r="E8" s="76" t="s">
        <v>80</v>
      </c>
      <c r="F8" s="76"/>
      <c r="G8" s="76" t="s">
        <v>4</v>
      </c>
      <c r="H8" s="76"/>
      <c r="I8" s="76" t="s">
        <v>56</v>
      </c>
      <c r="J8" s="76"/>
      <c r="K8" s="76" t="s">
        <v>81</v>
      </c>
      <c r="L8" s="76"/>
      <c r="M8" s="76"/>
      <c r="N8" s="76"/>
      <c r="O8" s="76" t="s">
        <v>82</v>
      </c>
      <c r="P8" s="76"/>
      <c r="Q8" s="76"/>
      <c r="R8" s="76"/>
      <c r="S8" s="76"/>
    </row>
    <row r="9" spans="1:19" x14ac:dyDescent="0.25">
      <c r="A9" s="77">
        <v>-1</v>
      </c>
      <c r="B9" s="77"/>
      <c r="C9" s="77">
        <v>-2</v>
      </c>
      <c r="D9" s="77"/>
      <c r="E9" s="77">
        <v>-3</v>
      </c>
      <c r="F9" s="77"/>
      <c r="G9" s="77">
        <v>-4</v>
      </c>
      <c r="H9" s="77"/>
      <c r="I9" s="77">
        <v>-5</v>
      </c>
      <c r="J9" s="77"/>
      <c r="K9" s="78" t="s">
        <v>83</v>
      </c>
      <c r="L9" s="77"/>
      <c r="M9" s="77" t="s">
        <v>84</v>
      </c>
      <c r="N9" s="77"/>
      <c r="O9" s="77"/>
      <c r="P9" s="77"/>
      <c r="Q9" s="77"/>
      <c r="R9" s="77"/>
      <c r="S9" s="77"/>
    </row>
    <row r="10" spans="1:19" x14ac:dyDescent="0.25">
      <c r="A10" s="79"/>
      <c r="B10" s="77"/>
      <c r="C10" s="79"/>
      <c r="D10" s="79"/>
      <c r="E10" s="79"/>
      <c r="F10" s="79"/>
      <c r="G10" s="79"/>
      <c r="H10" s="79"/>
      <c r="I10" s="77"/>
      <c r="J10" s="77"/>
      <c r="K10" s="79"/>
      <c r="L10" s="79"/>
      <c r="M10" s="79"/>
      <c r="N10" s="79"/>
      <c r="O10" s="79"/>
      <c r="P10" s="79"/>
      <c r="Q10" s="79"/>
      <c r="R10" s="79"/>
      <c r="S10" s="79"/>
    </row>
    <row r="11" spans="1:19" x14ac:dyDescent="0.25">
      <c r="A11" s="74">
        <v>1</v>
      </c>
      <c r="C11" s="73" t="s">
        <v>85</v>
      </c>
      <c r="E11" s="80">
        <v>752127350.5093888</v>
      </c>
      <c r="F11" s="80"/>
      <c r="G11" s="81">
        <v>0.53727999999999998</v>
      </c>
      <c r="H11" s="80"/>
      <c r="I11" s="82">
        <v>4.0399999999999998E-2</v>
      </c>
      <c r="J11" s="83" t="s">
        <v>86</v>
      </c>
      <c r="K11" s="81">
        <f>ROUND(G11*I11,4)</f>
        <v>2.1700000000000001E-2</v>
      </c>
      <c r="L11" s="80"/>
      <c r="M11" s="84">
        <v>1.0060560000000001</v>
      </c>
      <c r="N11" s="85" t="s">
        <v>104</v>
      </c>
      <c r="O11" s="81">
        <f>ROUND(M11*K11,4)</f>
        <v>2.18E-2</v>
      </c>
      <c r="P11" s="80"/>
      <c r="Q11" s="80"/>
      <c r="R11" s="80"/>
      <c r="S11" s="80"/>
    </row>
    <row r="12" spans="1:19" x14ac:dyDescent="0.25">
      <c r="A12" s="74"/>
      <c r="E12" s="80"/>
      <c r="F12" s="80"/>
      <c r="G12" s="81"/>
      <c r="H12" s="80"/>
      <c r="I12" s="86"/>
      <c r="J12" s="83"/>
      <c r="K12" s="81"/>
      <c r="L12" s="80"/>
      <c r="M12" s="80"/>
      <c r="N12" s="80"/>
      <c r="O12" s="81"/>
      <c r="P12" s="80"/>
      <c r="Q12" s="80"/>
      <c r="R12" s="80"/>
      <c r="S12" s="80"/>
    </row>
    <row r="13" spans="1:19" x14ac:dyDescent="0.25">
      <c r="A13" s="74">
        <v>2</v>
      </c>
      <c r="C13" s="73" t="s">
        <v>87</v>
      </c>
      <c r="E13" s="87">
        <v>0</v>
      </c>
      <c r="F13" s="87"/>
      <c r="G13" s="81">
        <v>0</v>
      </c>
      <c r="H13" s="87"/>
      <c r="I13" s="82">
        <v>2.23E-2</v>
      </c>
      <c r="J13" s="83" t="s">
        <v>88</v>
      </c>
      <c r="K13" s="81">
        <f>ROUND(G13*I13,4)</f>
        <v>0</v>
      </c>
      <c r="L13" s="87"/>
      <c r="M13" s="87"/>
      <c r="N13" s="87"/>
      <c r="O13" s="81"/>
      <c r="P13" s="87"/>
      <c r="Q13" s="87"/>
      <c r="R13" s="87"/>
      <c r="S13" s="87"/>
    </row>
    <row r="14" spans="1:19" x14ac:dyDescent="0.25">
      <c r="A14" s="74"/>
      <c r="E14" s="87"/>
      <c r="F14" s="87"/>
      <c r="G14" s="81"/>
      <c r="H14" s="87"/>
      <c r="I14" s="88"/>
      <c r="J14" s="83"/>
      <c r="K14" s="81"/>
      <c r="L14" s="87"/>
      <c r="M14" s="87"/>
      <c r="N14" s="87"/>
      <c r="O14" s="81"/>
      <c r="P14" s="87"/>
      <c r="Q14" s="87"/>
      <c r="R14" s="87"/>
      <c r="S14" s="87"/>
    </row>
    <row r="15" spans="1:19" x14ac:dyDescent="0.25">
      <c r="A15" s="74">
        <v>3</v>
      </c>
      <c r="C15" s="73" t="s">
        <v>89</v>
      </c>
      <c r="E15" s="87">
        <v>42248931.663849995</v>
      </c>
      <c r="F15" s="87"/>
      <c r="G15" s="81">
        <v>3.0179999999999998E-2</v>
      </c>
      <c r="H15" s="87"/>
      <c r="I15" s="82">
        <v>2.802E-2</v>
      </c>
      <c r="J15" s="83" t="s">
        <v>90</v>
      </c>
      <c r="K15" s="81">
        <f>ROUND(G15*I15,4)</f>
        <v>8.0000000000000004E-4</v>
      </c>
      <c r="L15" s="87"/>
      <c r="M15" s="89">
        <v>1.0060560000000001</v>
      </c>
      <c r="N15" s="85" t="s">
        <v>104</v>
      </c>
      <c r="O15" s="81">
        <f>ROUND(M15*K15,4)</f>
        <v>8.0000000000000004E-4</v>
      </c>
      <c r="P15" s="87"/>
      <c r="Q15" s="87"/>
      <c r="R15" s="87"/>
      <c r="S15" s="87"/>
    </row>
    <row r="16" spans="1:19" x14ac:dyDescent="0.25">
      <c r="A16" s="74"/>
      <c r="E16" s="87"/>
      <c r="F16" s="87"/>
      <c r="G16" s="81"/>
      <c r="H16" s="87"/>
      <c r="I16" s="88"/>
      <c r="J16" s="83"/>
      <c r="K16" s="81"/>
      <c r="L16" s="87"/>
      <c r="M16" s="87"/>
      <c r="N16" s="87"/>
      <c r="O16" s="81"/>
      <c r="P16" s="87"/>
      <c r="Q16" s="87"/>
      <c r="R16" s="87"/>
      <c r="S16" s="87"/>
    </row>
    <row r="17" spans="1:19" x14ac:dyDescent="0.25">
      <c r="A17" s="74">
        <v>4</v>
      </c>
      <c r="C17" s="73" t="s">
        <v>91</v>
      </c>
      <c r="E17" s="87">
        <v>605509950.19085109</v>
      </c>
      <c r="F17" s="87"/>
      <c r="G17" s="81">
        <v>0.43253999999999998</v>
      </c>
      <c r="H17" s="87"/>
      <c r="I17" s="90">
        <v>0.1</v>
      </c>
      <c r="J17" s="83" t="s">
        <v>92</v>
      </c>
      <c r="K17" s="81">
        <f>ROUND(G17*I17,4)</f>
        <v>4.3299999999999998E-2</v>
      </c>
      <c r="L17" s="87"/>
      <c r="M17" s="85">
        <v>1.35272967</v>
      </c>
      <c r="N17" s="87" t="s">
        <v>103</v>
      </c>
      <c r="O17" s="81">
        <f>ROUND(M17*K17,4)</f>
        <v>5.8599999999999999E-2</v>
      </c>
      <c r="P17" s="87"/>
      <c r="Q17" s="87"/>
      <c r="R17" s="87"/>
      <c r="S17" s="87"/>
    </row>
    <row r="18" spans="1:19" x14ac:dyDescent="0.25">
      <c r="A18" s="74"/>
      <c r="E18" s="83" t="s">
        <v>93</v>
      </c>
      <c r="F18" s="86"/>
      <c r="G18" s="83" t="s">
        <v>93</v>
      </c>
      <c r="H18" s="86"/>
      <c r="I18" s="83"/>
      <c r="J18" s="83"/>
      <c r="K18" s="83" t="s">
        <v>93</v>
      </c>
      <c r="L18" s="86"/>
      <c r="M18" s="83"/>
      <c r="N18" s="86"/>
      <c r="O18" s="83"/>
      <c r="P18" s="86"/>
      <c r="Q18" s="83"/>
      <c r="R18" s="86"/>
      <c r="S18" s="91"/>
    </row>
    <row r="19" spans="1:19" x14ac:dyDescent="0.25">
      <c r="A19" s="74">
        <v>5</v>
      </c>
      <c r="C19" s="73" t="s">
        <v>4</v>
      </c>
      <c r="E19" s="80">
        <f>SUM(E11:E17)</f>
        <v>1399886232.36409</v>
      </c>
      <c r="F19" s="87"/>
      <c r="G19" s="81">
        <f>SUM(G11:G18)</f>
        <v>1</v>
      </c>
      <c r="H19" s="87"/>
      <c r="I19" s="88"/>
      <c r="J19" s="83"/>
      <c r="K19" s="92">
        <f>SUM(K11:K18)</f>
        <v>6.5799999999999997E-2</v>
      </c>
      <c r="L19" s="87"/>
      <c r="M19" s="87"/>
      <c r="N19" s="87"/>
      <c r="O19" s="92">
        <f>SUM(O11:O18)</f>
        <v>8.1199999999999994E-2</v>
      </c>
      <c r="P19" s="87"/>
      <c r="Q19" s="87"/>
      <c r="R19" s="87"/>
      <c r="S19" s="87"/>
    </row>
    <row r="20" spans="1:19" x14ac:dyDescent="0.25">
      <c r="A20" s="74"/>
      <c r="E20" s="83" t="s">
        <v>94</v>
      </c>
      <c r="F20" s="87"/>
      <c r="G20" s="83" t="s">
        <v>94</v>
      </c>
      <c r="H20" s="87"/>
      <c r="I20" s="88"/>
      <c r="J20" s="83"/>
      <c r="K20" s="83" t="s">
        <v>94</v>
      </c>
      <c r="L20" s="87"/>
      <c r="M20" s="87"/>
      <c r="N20" s="87"/>
      <c r="O20" s="83"/>
      <c r="P20" s="87"/>
      <c r="Q20" s="87"/>
      <c r="R20" s="87"/>
      <c r="S20" s="87"/>
    </row>
    <row r="21" spans="1:19" x14ac:dyDescent="0.25">
      <c r="A21" s="74"/>
      <c r="E21" s="87"/>
      <c r="F21" s="87"/>
      <c r="G21" s="81"/>
      <c r="H21" s="87"/>
      <c r="I21" s="88"/>
      <c r="J21" s="88"/>
      <c r="K21" s="87"/>
      <c r="L21" s="87"/>
      <c r="M21" s="87"/>
      <c r="N21" s="87"/>
      <c r="O21" s="87"/>
      <c r="P21" s="87"/>
      <c r="Q21" s="87"/>
      <c r="R21" s="87"/>
      <c r="S21" s="87"/>
    </row>
    <row r="22" spans="1:19" x14ac:dyDescent="0.25">
      <c r="A22" s="74"/>
      <c r="E22" s="83"/>
      <c r="F22" s="86"/>
      <c r="G22" s="93"/>
      <c r="H22" s="86"/>
      <c r="I22" s="83"/>
      <c r="J22" s="86"/>
      <c r="K22" s="83"/>
      <c r="L22" s="86"/>
      <c r="M22" s="83"/>
      <c r="N22" s="86"/>
      <c r="O22" s="83"/>
      <c r="P22" s="86"/>
      <c r="Q22" s="83"/>
      <c r="R22" s="86"/>
      <c r="S22" s="91"/>
    </row>
    <row r="23" spans="1:19" x14ac:dyDescent="0.25">
      <c r="A23" s="74"/>
      <c r="B23" s="83" t="s">
        <v>95</v>
      </c>
      <c r="C23" s="73" t="s">
        <v>96</v>
      </c>
      <c r="E23" s="80"/>
      <c r="F23" s="80"/>
      <c r="G23" s="94"/>
      <c r="H23" s="80"/>
      <c r="I23" s="86"/>
      <c r="J23" s="86"/>
      <c r="K23" s="80"/>
      <c r="L23" s="80"/>
      <c r="M23" s="80"/>
      <c r="N23" s="80"/>
      <c r="O23" s="80"/>
      <c r="P23" s="80"/>
      <c r="Q23" s="80"/>
      <c r="R23" s="80"/>
      <c r="S23" s="80"/>
    </row>
    <row r="24" spans="1:19" x14ac:dyDescent="0.25">
      <c r="A24" s="74"/>
      <c r="B24" s="83" t="s">
        <v>86</v>
      </c>
      <c r="C24" s="73" t="s">
        <v>97</v>
      </c>
      <c r="E24" s="83"/>
      <c r="F24" s="74"/>
      <c r="G24" s="83"/>
      <c r="H24" s="74"/>
      <c r="I24" s="83"/>
      <c r="K24" s="83"/>
      <c r="L24" s="74"/>
      <c r="M24" s="83"/>
      <c r="N24" s="74"/>
      <c r="O24" s="83"/>
      <c r="P24" s="74"/>
      <c r="Q24" s="83"/>
      <c r="R24" s="74"/>
      <c r="S24" s="91"/>
    </row>
    <row r="25" spans="1:19" x14ac:dyDescent="0.25">
      <c r="A25" s="74"/>
      <c r="B25" s="83" t="s">
        <v>88</v>
      </c>
      <c r="C25" s="73" t="s">
        <v>98</v>
      </c>
      <c r="E25" s="83"/>
      <c r="F25" s="74"/>
      <c r="G25" s="83"/>
      <c r="H25" s="74"/>
      <c r="I25" s="83"/>
      <c r="K25" s="83"/>
      <c r="L25" s="74"/>
      <c r="M25" s="83"/>
      <c r="N25" s="74"/>
      <c r="O25" s="83"/>
      <c r="P25" s="74"/>
      <c r="Q25" s="83"/>
      <c r="R25" s="74"/>
      <c r="S25" s="91"/>
    </row>
    <row r="26" spans="1:19" x14ac:dyDescent="0.25">
      <c r="A26" s="74"/>
      <c r="B26" s="83" t="s">
        <v>99</v>
      </c>
      <c r="C26" s="73" t="s">
        <v>100</v>
      </c>
      <c r="E26" s="95"/>
    </row>
    <row r="27" spans="1:19" x14ac:dyDescent="0.25">
      <c r="A27" s="74"/>
      <c r="B27" s="83" t="s">
        <v>90</v>
      </c>
      <c r="C27" s="73" t="s">
        <v>101</v>
      </c>
    </row>
    <row r="28" spans="1:19" x14ac:dyDescent="0.25">
      <c r="A28" s="74"/>
      <c r="B28" s="83" t="s">
        <v>92</v>
      </c>
      <c r="C28" s="73" t="s">
        <v>102</v>
      </c>
    </row>
    <row r="29" spans="1:19" x14ac:dyDescent="0.25">
      <c r="B29" s="83"/>
    </row>
    <row r="30" spans="1:19" x14ac:dyDescent="0.25">
      <c r="B30" s="83"/>
    </row>
    <row r="31" spans="1:19" x14ac:dyDescent="0.25">
      <c r="B31" s="83"/>
    </row>
    <row r="32" spans="1:19" x14ac:dyDescent="0.25">
      <c r="B32" s="83"/>
    </row>
    <row r="33" spans="2:2" x14ac:dyDescent="0.25">
      <c r="B33" s="83"/>
    </row>
  </sheetData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27" sqref="G27"/>
    </sheetView>
  </sheetViews>
  <sheetFormatPr defaultColWidth="9.109375" defaultRowHeight="14.4" x14ac:dyDescent="0.3"/>
  <cols>
    <col min="1" max="1" width="6.88671875" style="58" customWidth="1"/>
    <col min="2" max="2" width="27.33203125" style="58" bestFit="1" customWidth="1"/>
    <col min="3" max="3" width="20.109375" style="58" customWidth="1"/>
    <col min="4" max="4" width="14.5546875" style="58" customWidth="1"/>
    <col min="5" max="5" width="18.44140625" style="58" customWidth="1"/>
    <col min="6" max="6" width="19.88671875" style="58" bestFit="1" customWidth="1"/>
    <col min="7" max="7" width="16.5546875" style="58" customWidth="1"/>
    <col min="8" max="8" width="9.109375" style="58" customWidth="1"/>
    <col min="9" max="9" width="10" style="58" customWidth="1"/>
    <col min="10" max="16384" width="9.109375" style="58"/>
  </cols>
  <sheetData>
    <row r="1" spans="1:9" x14ac:dyDescent="0.3">
      <c r="A1" s="58" t="s">
        <v>109</v>
      </c>
    </row>
    <row r="3" spans="1:9" x14ac:dyDescent="0.3">
      <c r="B3" s="58" t="s">
        <v>40</v>
      </c>
      <c r="C3" s="59">
        <f>'Rev Req'!B23</f>
        <v>1105045.8013368035</v>
      </c>
    </row>
    <row r="4" spans="1:9" x14ac:dyDescent="0.3">
      <c r="F4" s="60" t="s">
        <v>108</v>
      </c>
    </row>
    <row r="5" spans="1:9" x14ac:dyDescent="0.3">
      <c r="B5" s="61"/>
      <c r="C5" s="61" t="s">
        <v>54</v>
      </c>
      <c r="D5" s="62" t="s">
        <v>60</v>
      </c>
      <c r="E5" s="62" t="s">
        <v>55</v>
      </c>
      <c r="F5" s="62" t="s">
        <v>61</v>
      </c>
      <c r="G5" s="62" t="s">
        <v>57</v>
      </c>
    </row>
    <row r="6" spans="1:9" x14ac:dyDescent="0.3">
      <c r="B6" s="58" t="s">
        <v>41</v>
      </c>
      <c r="C6" s="63">
        <v>0.44737254999999998</v>
      </c>
      <c r="D6" s="59">
        <f>C6*$C$3</f>
        <v>494367.15801083914</v>
      </c>
      <c r="E6" s="57">
        <f>1603152+1824+95+72</f>
        <v>1605143</v>
      </c>
      <c r="F6" s="64">
        <f>ROUND(D6/E6,2)</f>
        <v>0.31</v>
      </c>
      <c r="G6" s="59">
        <f>F6*E6</f>
        <v>497594.33</v>
      </c>
    </row>
    <row r="7" spans="1:9" x14ac:dyDescent="0.3">
      <c r="B7" s="58" t="s">
        <v>42</v>
      </c>
      <c r="C7" s="63">
        <v>0.33729681</v>
      </c>
      <c r="D7" s="59">
        <f t="shared" ref="D7:D20" si="0">C7*$C$3</f>
        <v>372728.42369479756</v>
      </c>
      <c r="E7" s="57">
        <f>351492</f>
        <v>351492</v>
      </c>
      <c r="F7" s="64">
        <f>ROUND(SUM(D7:D9)/SUM(E7:E9),2)</f>
        <v>1.24</v>
      </c>
      <c r="G7" s="59">
        <f>F7*E7</f>
        <v>435850.08</v>
      </c>
    </row>
    <row r="8" spans="1:9" x14ac:dyDescent="0.3">
      <c r="B8" s="58" t="s">
        <v>43</v>
      </c>
      <c r="C8" s="63">
        <v>4.8476770000000002E-2</v>
      </c>
      <c r="D8" s="59">
        <f t="shared" si="0"/>
        <v>53569.05115086992</v>
      </c>
      <c r="E8" s="57">
        <v>900</v>
      </c>
      <c r="F8" s="64">
        <f>F7</f>
        <v>1.24</v>
      </c>
      <c r="G8" s="59">
        <f t="shared" ref="G8:G18" si="1">F8*E8</f>
        <v>1116</v>
      </c>
    </row>
    <row r="9" spans="1:9" x14ac:dyDescent="0.3">
      <c r="B9" s="58" t="s">
        <v>44</v>
      </c>
      <c r="C9" s="63">
        <v>8.1657599999999993E-3</v>
      </c>
      <c r="D9" s="59">
        <f t="shared" si="0"/>
        <v>9023.5388027240151</v>
      </c>
      <c r="E9" s="57">
        <v>72</v>
      </c>
      <c r="F9" s="64">
        <f>F8</f>
        <v>1.24</v>
      </c>
      <c r="G9" s="59">
        <f t="shared" si="1"/>
        <v>89.28</v>
      </c>
      <c r="I9" s="65"/>
    </row>
    <row r="10" spans="1:9" x14ac:dyDescent="0.3">
      <c r="B10" s="58" t="s">
        <v>58</v>
      </c>
      <c r="C10" s="63">
        <f>0.05171824+0.00985304</f>
        <v>6.1571279999999999E-2</v>
      </c>
      <c r="D10" s="59">
        <f t="shared" si="0"/>
        <v>68039.084446932698</v>
      </c>
      <c r="E10" s="57">
        <f>84+84+8184</f>
        <v>8352</v>
      </c>
      <c r="F10" s="64">
        <f>ROUND(SUM(D10:D13)/SUM(E10:E13),2)</f>
        <v>12.21</v>
      </c>
      <c r="G10" s="59">
        <f t="shared" si="1"/>
        <v>101977.92000000001</v>
      </c>
    </row>
    <row r="11" spans="1:9" x14ac:dyDescent="0.3">
      <c r="B11" s="58" t="s">
        <v>59</v>
      </c>
      <c r="C11" s="63">
        <f>0.01705246+0.0002228</f>
        <v>1.7275259999999997E-2</v>
      </c>
      <c r="D11" s="59">
        <f t="shared" si="0"/>
        <v>19089.953530001625</v>
      </c>
      <c r="E11" s="57">
        <f>641+18+12</f>
        <v>671</v>
      </c>
      <c r="F11" s="64">
        <f>F10</f>
        <v>12.21</v>
      </c>
      <c r="G11" s="59">
        <f t="shared" si="1"/>
        <v>8192.91</v>
      </c>
    </row>
    <row r="12" spans="1:9" x14ac:dyDescent="0.3">
      <c r="B12" s="58" t="s">
        <v>45</v>
      </c>
      <c r="C12" s="63">
        <v>2.0082840000000001E-2</v>
      </c>
      <c r="D12" s="59">
        <f t="shared" si="0"/>
        <v>22192.45802091881</v>
      </c>
      <c r="E12" s="57">
        <v>143</v>
      </c>
      <c r="F12" s="64">
        <f>F11</f>
        <v>12.21</v>
      </c>
      <c r="G12" s="59">
        <f t="shared" si="1"/>
        <v>1746.0300000000002</v>
      </c>
      <c r="I12" s="65"/>
    </row>
    <row r="13" spans="1:9" x14ac:dyDescent="0.3">
      <c r="B13" s="58" t="s">
        <v>46</v>
      </c>
      <c r="C13" s="63">
        <v>2.5103199999999999E-3</v>
      </c>
      <c r="D13" s="59">
        <f t="shared" si="0"/>
        <v>2774.0185760118043</v>
      </c>
      <c r="E13" s="57">
        <v>12</v>
      </c>
      <c r="F13" s="64">
        <f>F12</f>
        <v>12.21</v>
      </c>
      <c r="G13" s="59">
        <f t="shared" si="1"/>
        <v>146.52000000000001</v>
      </c>
    </row>
    <row r="14" spans="1:9" x14ac:dyDescent="0.3">
      <c r="B14" s="58" t="s">
        <v>47</v>
      </c>
      <c r="C14" s="63">
        <v>3.2201000000000002E-4</v>
      </c>
      <c r="D14" s="59">
        <f t="shared" si="0"/>
        <v>355.83579848846409</v>
      </c>
      <c r="E14" s="57">
        <v>60</v>
      </c>
      <c r="F14" s="64">
        <f>ROUND(SUM(D14:D17)/SUM(E14:E17),2)</f>
        <v>78.430000000000007</v>
      </c>
      <c r="G14" s="59">
        <f t="shared" si="1"/>
        <v>4705.8</v>
      </c>
    </row>
    <row r="15" spans="1:9" x14ac:dyDescent="0.3">
      <c r="B15" s="58" t="s">
        <v>48</v>
      </c>
      <c r="C15" s="63">
        <v>1.209125E-2</v>
      </c>
      <c r="D15" s="59">
        <f t="shared" si="0"/>
        <v>13361.385045413625</v>
      </c>
      <c r="E15" s="57">
        <v>486</v>
      </c>
      <c r="F15" s="64">
        <f>F14</f>
        <v>78.430000000000007</v>
      </c>
      <c r="G15" s="59">
        <f t="shared" si="1"/>
        <v>38116.980000000003</v>
      </c>
      <c r="I15" s="65"/>
    </row>
    <row r="16" spans="1:9" x14ac:dyDescent="0.3">
      <c r="B16" s="58" t="s">
        <v>49</v>
      </c>
      <c r="C16" s="63">
        <v>3.3758249999999997E-2</v>
      </c>
      <c r="D16" s="59">
        <f t="shared" si="0"/>
        <v>37304.412422978145</v>
      </c>
      <c r="E16" s="57">
        <v>204</v>
      </c>
      <c r="F16" s="64">
        <f>F15</f>
        <v>78.430000000000007</v>
      </c>
      <c r="G16" s="59">
        <f t="shared" si="1"/>
        <v>15999.720000000001</v>
      </c>
    </row>
    <row r="17" spans="2:7" x14ac:dyDescent="0.3">
      <c r="B17" s="58" t="s">
        <v>50</v>
      </c>
      <c r="C17" s="63">
        <v>1.004125E-2</v>
      </c>
      <c r="D17" s="59">
        <f t="shared" si="0"/>
        <v>11096.041152673177</v>
      </c>
      <c r="E17" s="57">
        <v>42</v>
      </c>
      <c r="F17" s="64">
        <f>F16</f>
        <v>78.430000000000007</v>
      </c>
      <c r="G17" s="59">
        <f t="shared" si="1"/>
        <v>3294.0600000000004</v>
      </c>
    </row>
    <row r="18" spans="2:7" x14ac:dyDescent="0.3">
      <c r="B18" s="58" t="s">
        <v>51</v>
      </c>
      <c r="C18" s="63">
        <v>1.0356499999999999E-3</v>
      </c>
      <c r="D18" s="59">
        <f t="shared" si="0"/>
        <v>1144.4406841544605</v>
      </c>
      <c r="E18" s="57">
        <v>108</v>
      </c>
      <c r="F18" s="64">
        <f>ROUND(D18/E18,2)</f>
        <v>10.6</v>
      </c>
      <c r="G18" s="59">
        <f t="shared" si="1"/>
        <v>1144.8</v>
      </c>
    </row>
    <row r="19" spans="2:7" x14ac:dyDescent="0.3">
      <c r="B19" s="58" t="s">
        <v>52</v>
      </c>
      <c r="C19" s="63">
        <v>0</v>
      </c>
      <c r="D19" s="59">
        <f>C19*$C$3</f>
        <v>0</v>
      </c>
      <c r="E19" s="57"/>
      <c r="F19" s="71">
        <v>0</v>
      </c>
    </row>
    <row r="20" spans="2:7" x14ac:dyDescent="0.3">
      <c r="B20" s="61" t="s">
        <v>53</v>
      </c>
      <c r="C20" s="66">
        <v>0</v>
      </c>
      <c r="D20" s="67">
        <f t="shared" si="0"/>
        <v>0</v>
      </c>
      <c r="E20" s="68"/>
      <c r="F20" s="72">
        <v>0</v>
      </c>
      <c r="G20" s="61"/>
    </row>
    <row r="21" spans="2:7" x14ac:dyDescent="0.3">
      <c r="C21" s="58">
        <f>SUM(C6:C18)</f>
        <v>1</v>
      </c>
      <c r="D21" s="65">
        <f>SUM(D6:D20)</f>
        <v>1105045.801336803</v>
      </c>
      <c r="E21" s="57"/>
      <c r="G21" s="65">
        <f>SUM(G6:G20)</f>
        <v>1109974.4300000002</v>
      </c>
    </row>
    <row r="23" spans="2:7" x14ac:dyDescent="0.3">
      <c r="E23" s="69"/>
    </row>
    <row r="26" spans="2:7" x14ac:dyDescent="0.3">
      <c r="E26" s="70"/>
    </row>
  </sheetData>
  <pageMargins left="0.7" right="0.7" top="0.75" bottom="0.75" header="0.3" footer="0.3"/>
  <ignoredErrors>
    <ignoredError sqref="F10" formula="1"/>
    <ignoredError sqref="F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J20" sqref="J20"/>
    </sheetView>
  </sheetViews>
  <sheetFormatPr defaultRowHeight="14.4" x14ac:dyDescent="0.3"/>
  <cols>
    <col min="1" max="1" width="20.5546875" customWidth="1"/>
    <col min="2" max="2" width="14.33203125" bestFit="1" customWidth="1"/>
    <col min="3" max="3" width="17.5546875" bestFit="1" customWidth="1"/>
    <col min="4" max="4" width="15.33203125" bestFit="1" customWidth="1"/>
    <col min="5" max="5" width="14.33203125" bestFit="1" customWidth="1"/>
    <col min="6" max="6" width="15.33203125" bestFit="1" customWidth="1"/>
    <col min="7" max="7" width="9.109375" customWidth="1"/>
    <col min="8" max="8" width="28.88671875" bestFit="1" customWidth="1"/>
    <col min="9" max="9" width="14.6640625" customWidth="1"/>
    <col min="10" max="10" width="13.6640625" customWidth="1"/>
    <col min="11" max="11" width="11.5546875" customWidth="1"/>
    <col min="12" max="12" width="12.33203125" customWidth="1"/>
  </cols>
  <sheetData>
    <row r="1" spans="1:12" x14ac:dyDescent="0.3">
      <c r="A1" s="7" t="s">
        <v>5</v>
      </c>
      <c r="B1" s="7">
        <v>2021</v>
      </c>
      <c r="C1" s="7">
        <v>2022</v>
      </c>
      <c r="D1" s="7">
        <v>2023</v>
      </c>
      <c r="E1" s="7">
        <v>2024</v>
      </c>
      <c r="F1" s="8" t="s">
        <v>8</v>
      </c>
      <c r="H1" s="8"/>
      <c r="I1" s="9" t="s">
        <v>0</v>
      </c>
    </row>
    <row r="2" spans="1:12" x14ac:dyDescent="0.3">
      <c r="A2" s="3" t="s">
        <v>0</v>
      </c>
      <c r="B2" s="4"/>
      <c r="C2" s="5"/>
      <c r="D2" s="5"/>
      <c r="E2" s="4"/>
      <c r="F2" s="4"/>
      <c r="H2" s="3" t="s">
        <v>6</v>
      </c>
      <c r="I2" s="6">
        <v>936282</v>
      </c>
    </row>
    <row r="3" spans="1:12" x14ac:dyDescent="0.3">
      <c r="A3" s="1" t="s">
        <v>1</v>
      </c>
      <c r="B3" s="6">
        <v>8517803.6999999993</v>
      </c>
      <c r="C3" s="6">
        <v>5963537</v>
      </c>
      <c r="D3" s="6">
        <v>12082671</v>
      </c>
      <c r="E3" s="6">
        <v>7929833.5600000005</v>
      </c>
      <c r="F3" s="22">
        <v>34493845.259999998</v>
      </c>
      <c r="H3" s="24"/>
      <c r="I3" s="26"/>
      <c r="J3" s="26"/>
      <c r="K3" s="27"/>
      <c r="L3" s="28"/>
    </row>
    <row r="4" spans="1:12" x14ac:dyDescent="0.3">
      <c r="A4" s="1" t="s">
        <v>3</v>
      </c>
      <c r="B4" s="6">
        <v>257635</v>
      </c>
      <c r="C4" s="6">
        <v>615553.875</v>
      </c>
      <c r="D4" s="6">
        <v>725503.875</v>
      </c>
      <c r="E4" s="6">
        <v>867721.7</v>
      </c>
      <c r="F4" s="22">
        <v>2466414.4500000002</v>
      </c>
      <c r="H4" s="24"/>
      <c r="I4" s="26"/>
      <c r="J4" s="26"/>
      <c r="K4" s="27"/>
      <c r="L4" s="28"/>
    </row>
    <row r="5" spans="1:12" x14ac:dyDescent="0.3">
      <c r="A5" s="21" t="s">
        <v>4</v>
      </c>
      <c r="B5" s="23">
        <v>8775438.6999999993</v>
      </c>
      <c r="C5" s="23">
        <v>6579090.875</v>
      </c>
      <c r="D5" s="23">
        <v>12808174.875</v>
      </c>
      <c r="E5" s="23">
        <v>8797555.2599999998</v>
      </c>
      <c r="F5" s="23">
        <v>36960259.710000001</v>
      </c>
      <c r="H5" s="25"/>
      <c r="I5" s="28"/>
      <c r="J5" s="28"/>
      <c r="K5" s="29"/>
      <c r="L5" s="28"/>
    </row>
    <row r="6" spans="1:12" x14ac:dyDescent="0.3">
      <c r="C6" s="2"/>
      <c r="D6" s="2"/>
      <c r="H6" s="24"/>
      <c r="I6" s="30"/>
      <c r="J6" s="30"/>
      <c r="K6" s="31"/>
      <c r="L6" s="30"/>
    </row>
    <row r="7" spans="1:12" ht="15" thickBot="1" x14ac:dyDescent="0.35">
      <c r="C7" s="2"/>
      <c r="D7" s="2"/>
    </row>
    <row r="8" spans="1:12" ht="15" thickBot="1" x14ac:dyDescent="0.35">
      <c r="A8" s="10" t="s">
        <v>7</v>
      </c>
      <c r="B8" s="11">
        <v>2021</v>
      </c>
      <c r="C8" s="11">
        <v>2022</v>
      </c>
      <c r="D8" s="11">
        <v>2023</v>
      </c>
      <c r="E8" s="12">
        <v>2024</v>
      </c>
      <c r="F8" s="11" t="s">
        <v>8</v>
      </c>
    </row>
    <row r="9" spans="1:12" ht="15" thickBot="1" x14ac:dyDescent="0.35">
      <c r="A9" s="13" t="s">
        <v>1</v>
      </c>
      <c r="B9" s="14">
        <v>8517803.6999999993</v>
      </c>
      <c r="C9" s="14">
        <v>5963537</v>
      </c>
      <c r="D9" s="14">
        <v>12082671</v>
      </c>
      <c r="E9" s="15">
        <v>7929833.5600000005</v>
      </c>
      <c r="F9" s="16">
        <v>34493845.259999998</v>
      </c>
    </row>
    <row r="10" spans="1:12" ht="15" thickBot="1" x14ac:dyDescent="0.35">
      <c r="A10" s="13" t="s">
        <v>3</v>
      </c>
      <c r="B10" s="14">
        <v>257635</v>
      </c>
      <c r="C10" s="14">
        <v>615553.875</v>
      </c>
      <c r="D10" s="14">
        <v>725503.875</v>
      </c>
      <c r="E10" s="15">
        <v>867721.7</v>
      </c>
      <c r="F10" s="16">
        <v>2466414.4500000002</v>
      </c>
    </row>
    <row r="11" spans="1:12" ht="15" thickBot="1" x14ac:dyDescent="0.35">
      <c r="A11" s="17" t="s">
        <v>9</v>
      </c>
      <c r="B11" s="16">
        <v>8775438.6999999993</v>
      </c>
      <c r="C11" s="16">
        <v>6579090.875</v>
      </c>
      <c r="D11" s="16">
        <v>12808174.875</v>
      </c>
      <c r="E11" s="18">
        <v>8797555.2599999998</v>
      </c>
      <c r="F11" s="16">
        <v>36960259.710000001</v>
      </c>
    </row>
    <row r="12" spans="1:12" ht="15" thickBot="1" x14ac:dyDescent="0.35">
      <c r="A12" s="13" t="s">
        <v>10</v>
      </c>
      <c r="B12" s="19">
        <v>38635</v>
      </c>
      <c r="C12" s="19">
        <v>35100</v>
      </c>
      <c r="D12" s="19">
        <v>60100</v>
      </c>
      <c r="E12" s="20">
        <v>38398</v>
      </c>
      <c r="F12" s="19">
        <v>172233</v>
      </c>
    </row>
    <row r="17" spans="1:6" x14ac:dyDescent="0.3">
      <c r="A17" s="7" t="s">
        <v>5</v>
      </c>
      <c r="B17" s="7">
        <v>2021</v>
      </c>
      <c r="C17" s="7">
        <v>2022</v>
      </c>
      <c r="D17" s="7">
        <v>2023</v>
      </c>
      <c r="E17" s="7">
        <v>2024</v>
      </c>
      <c r="F17" s="8" t="s">
        <v>8</v>
      </c>
    </row>
    <row r="18" spans="1:6" x14ac:dyDescent="0.3">
      <c r="A18" s="3" t="s">
        <v>0</v>
      </c>
      <c r="B18" s="4"/>
      <c r="C18" s="5"/>
      <c r="D18" s="5"/>
      <c r="E18" s="4"/>
      <c r="F18" s="4"/>
    </row>
    <row r="19" spans="1:6" x14ac:dyDescent="0.3">
      <c r="A19" s="1" t="s">
        <v>28</v>
      </c>
      <c r="B19" s="6">
        <v>5640442</v>
      </c>
      <c r="C19" s="6">
        <v>5603695</v>
      </c>
      <c r="D19" s="6">
        <v>11687329</v>
      </c>
      <c r="E19" s="6">
        <v>7595308.4000000004</v>
      </c>
      <c r="F19" s="22">
        <v>30526774.399999999</v>
      </c>
    </row>
    <row r="20" spans="1:6" x14ac:dyDescent="0.3">
      <c r="A20" s="1" t="s">
        <v>29</v>
      </c>
      <c r="B20" s="6">
        <v>2877361.7</v>
      </c>
      <c r="C20" s="6">
        <v>359842</v>
      </c>
      <c r="D20" s="6">
        <v>395342</v>
      </c>
      <c r="E20" s="6">
        <v>334525.16000000003</v>
      </c>
      <c r="F20" s="22">
        <v>3967070.8600000003</v>
      </c>
    </row>
    <row r="21" spans="1:6" x14ac:dyDescent="0.3">
      <c r="A21" s="1" t="s">
        <v>3</v>
      </c>
      <c r="B21" s="6">
        <v>257635</v>
      </c>
      <c r="C21" s="6">
        <v>615553.875</v>
      </c>
      <c r="D21" s="6">
        <v>725503.875</v>
      </c>
      <c r="E21" s="6">
        <v>867721.7</v>
      </c>
      <c r="F21" s="22">
        <v>2466414.4500000002</v>
      </c>
    </row>
    <row r="22" spans="1:6" x14ac:dyDescent="0.3">
      <c r="A22" s="21" t="s">
        <v>4</v>
      </c>
      <c r="B22" s="23">
        <v>8775438.6999999993</v>
      </c>
      <c r="C22" s="23">
        <v>6579090.875</v>
      </c>
      <c r="D22" s="23">
        <v>12808174.875</v>
      </c>
      <c r="E22" s="23">
        <v>8797555.2599999998</v>
      </c>
      <c r="F22" s="23">
        <v>36960259.710000001</v>
      </c>
    </row>
    <row r="23" spans="1:6" x14ac:dyDescent="0.3">
      <c r="C23" s="2"/>
      <c r="D23" s="2"/>
    </row>
    <row r="24" spans="1:6" ht="15" thickBot="1" x14ac:dyDescent="0.35">
      <c r="C24" s="2"/>
      <c r="D24" s="2"/>
    </row>
    <row r="25" spans="1:6" ht="15" thickBot="1" x14ac:dyDescent="0.35">
      <c r="A25" s="10" t="s">
        <v>7</v>
      </c>
      <c r="B25" s="11">
        <v>2021</v>
      </c>
      <c r="C25" s="11">
        <v>2022</v>
      </c>
      <c r="D25" s="11">
        <v>2023</v>
      </c>
      <c r="E25" s="12">
        <v>2024</v>
      </c>
      <c r="F25" s="11" t="s">
        <v>8</v>
      </c>
    </row>
    <row r="26" spans="1:6" ht="15" thickBot="1" x14ac:dyDescent="0.35">
      <c r="A26" s="13" t="s">
        <v>28</v>
      </c>
      <c r="B26" s="14">
        <v>5640442</v>
      </c>
      <c r="C26" s="14">
        <v>5603695</v>
      </c>
      <c r="D26" s="14">
        <v>11687329</v>
      </c>
      <c r="E26" s="15">
        <v>7595308.4000000004</v>
      </c>
      <c r="F26" s="16">
        <v>30526774.399999999</v>
      </c>
    </row>
    <row r="27" spans="1:6" ht="15" thickBot="1" x14ac:dyDescent="0.35">
      <c r="A27" s="13" t="s">
        <v>29</v>
      </c>
      <c r="B27" s="14">
        <v>2877361.7</v>
      </c>
      <c r="C27" s="14">
        <v>359842</v>
      </c>
      <c r="D27" s="14">
        <v>395342</v>
      </c>
      <c r="E27" s="15">
        <v>334525.16000000003</v>
      </c>
      <c r="F27" s="16">
        <v>3967070.8600000003</v>
      </c>
    </row>
    <row r="28" spans="1:6" ht="15" thickBot="1" x14ac:dyDescent="0.35">
      <c r="A28" s="13" t="s">
        <v>3</v>
      </c>
      <c r="B28" s="14">
        <v>257635</v>
      </c>
      <c r="C28" s="14">
        <v>615553.875</v>
      </c>
      <c r="D28" s="14">
        <v>725503.875</v>
      </c>
      <c r="E28" s="15">
        <v>867721.7</v>
      </c>
      <c r="F28" s="16">
        <v>2466414.4500000002</v>
      </c>
    </row>
    <row r="29" spans="1:6" ht="15" thickBot="1" x14ac:dyDescent="0.35">
      <c r="A29" s="17" t="s">
        <v>9</v>
      </c>
      <c r="B29" s="16">
        <v>8775438.6999999993</v>
      </c>
      <c r="C29" s="16">
        <v>6579090.875</v>
      </c>
      <c r="D29" s="16">
        <v>12808174.875</v>
      </c>
      <c r="E29" s="18">
        <v>8797555.2599999998</v>
      </c>
      <c r="F29" s="16">
        <v>36960259.710000001</v>
      </c>
    </row>
    <row r="30" spans="1:6" ht="15" thickBot="1" x14ac:dyDescent="0.35">
      <c r="A30" s="13" t="s">
        <v>10</v>
      </c>
      <c r="B30" s="19">
        <v>38635</v>
      </c>
      <c r="C30" s="19">
        <v>35100</v>
      </c>
      <c r="D30" s="19">
        <v>60100</v>
      </c>
      <c r="E30" s="20">
        <v>38398</v>
      </c>
      <c r="F30" s="19">
        <v>172233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2B2BB886-5827-4302-82B0-1E7BB1C80B8A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01D4F0A8-3A6B-43C1-B2A7-3CCF0314EAA1}"/>
</file>

<file path=customXml/itemProps3.xml><?xml version="1.0" encoding="utf-8"?>
<ds:datastoreItem xmlns:ds="http://schemas.openxmlformats.org/officeDocument/2006/customXml" ds:itemID="{FD9B5325-86E6-496E-8B60-E9EEAE9C9A1D}"/>
</file>

<file path=customXml/itemProps4.xml><?xml version="1.0" encoding="utf-8"?>
<ds:datastoreItem xmlns:ds="http://schemas.openxmlformats.org/officeDocument/2006/customXml" ds:itemID="{850B57B2-D80B-4D07-8AAD-40A83ABED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 Req</vt:lpstr>
      <vt:lpstr>Pre-Tax WACC</vt:lpstr>
      <vt:lpstr>Class Allocation and Rates</vt:lpstr>
      <vt:lpstr>Input</vt:lpstr>
      <vt:lpstr>'Pre-Tax WACC'!Print_Area</vt:lpstr>
      <vt:lpstr>'Rev Req'!Print_Area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s265762</dc:creator>
  <cp:keywords/>
  <cp:lastModifiedBy>s012197</cp:lastModifiedBy>
  <cp:lastPrinted>2020-06-18T16:06:29Z</cp:lastPrinted>
  <dcterms:created xsi:type="dcterms:W3CDTF">2019-08-15T11:27:13Z</dcterms:created>
  <dcterms:modified xsi:type="dcterms:W3CDTF">2020-07-26T20:41:31Z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3d049ae6-168f-4563-9233-e09f76837ca0</vt:lpwstr>
  </property>
  <property fmtid="{D5CDD505-2E9C-101B-9397-08002B2CF9AE}" pid="3" name="bjSaver">
    <vt:lpwstr>NFTqhSsaBIw7YLsWBUsOql49H5MGk+cK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ContentTypeId">
    <vt:lpwstr>0x0101002135A8D66889804D93A541DC7FCD6740</vt:lpwstr>
  </property>
</Properties>
</file>