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pivotTables/pivotTable2.xml" ContentType="application/vnd.openxmlformats-officedocument.spreadsheetml.pivotTable+xml"/>
  <Override PartName="/xl/pivotTables/pivotTable1.xml" ContentType="application/vnd.openxmlformats-officedocument.spreadsheetml.pivotTable+xml"/>
  <Override PartName="/xl/drawings/drawing2.xml" ContentType="application/vnd.openxmlformats-officedocument.drawing+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59.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3.xml" ContentType="application/vnd.openxmlformats-officedocument.spreadsheetml.worksheet+xml"/>
  <Override PartName="/xl/worksheets/sheet52.xml" ContentType="application/vnd.openxmlformats-officedocument.spreadsheetml.worksheet+xml"/>
  <Override PartName="/xl/worksheets/sheet51.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60.xml" ContentType="application/vnd.openxmlformats-officedocument.spreadsheetml.worksheet+xml"/>
  <Override PartName="/xl/worksheets/sheet23.xml" ContentType="application/vnd.openxmlformats-officedocument.spreadsheetml.worksheet+xml"/>
  <Override PartName="/xl/worksheets/sheet21.xml" ContentType="application/vnd.openxmlformats-officedocument.spreadsheetml.worksheet+xml"/>
  <Override PartName="/xl/worksheets/sheet17.xml" ContentType="application/vnd.openxmlformats-officedocument.spreadsheetml.worksheet+xml"/>
  <Override PartName="/xl/worksheets/sheet22.xml" ContentType="application/vnd.openxmlformats-officedocument.spreadsheetml.worksheet+xml"/>
  <Override PartName="/xl/worksheets/sheet18.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defaultThemeVersion="164011"/>
  <mc:AlternateContent xmlns:mc="http://schemas.openxmlformats.org/markup-compatibility/2006">
    <mc:Choice Requires="x15">
      <x15ac:absPath xmlns:x15ac="http://schemas.microsoft.com/office/spreadsheetml/2010/11/ac" url="U:\Rob\Regulatory\KY 2020 Base Case\Discovery\Staff Set 3\"/>
    </mc:Choice>
  </mc:AlternateContent>
  <bookViews>
    <workbookView xWindow="0" yWindow="0" windowWidth="28800" windowHeight="13500" tabRatio="866"/>
  </bookViews>
  <sheets>
    <sheet name="Index" sheetId="1" r:id="rId1"/>
    <sheet name="W02_PG_1_of_4" sheetId="2" r:id="rId2"/>
    <sheet name="W02_PG_2_of_4" sheetId="3" r:id="rId3"/>
    <sheet name="W02_PG_3_of_4" sheetId="4" r:id="rId4"/>
    <sheet name="W02_PG_4_of_4" sheetId="5" r:id="rId5"/>
    <sheet name="W08_PG_1_of_2" sheetId="6" r:id="rId6"/>
    <sheet name="W08_PG_2_of_2" sheetId="7" r:id="rId7"/>
    <sheet name="W09_PG_1_of_2" sheetId="8" r:id="rId8"/>
    <sheet name="W09_PG_2_of_2" sheetId="9" r:id="rId9"/>
    <sheet name="W10_PG_1_of_1" sheetId="10" r:id="rId10"/>
    <sheet name="WP11_PG_1_of_1" sheetId="11" r:id="rId11"/>
    <sheet name="W15_PG_1_of_2" sheetId="12" r:id="rId12"/>
    <sheet name="W15_PG_2_of_2" sheetId="13" r:id="rId13"/>
    <sheet name="W17_PG_1_of_1" sheetId="14" r:id="rId14"/>
    <sheet name="W20_PG_1_of_3" sheetId="15" r:id="rId15"/>
    <sheet name="W20_PG_2_of_3" sheetId="16" r:id="rId16"/>
    <sheet name="W20_PG_3_of_3" sheetId="17" r:id="rId17"/>
    <sheet name="W21_PG_1_of_2" sheetId="18" r:id="rId18"/>
    <sheet name="W21_PG_2_of_2" sheetId="19" r:id="rId19"/>
    <sheet name="W22_PG_1_of_6" sheetId="20" r:id="rId20"/>
    <sheet name="W22_PG_2_of_6" sheetId="38" r:id="rId21"/>
    <sheet name="W22_PG_3_of_6" sheetId="39" r:id="rId22"/>
    <sheet name="W22_PG_4_of_6" sheetId="40" r:id="rId23"/>
    <sheet name="W22_PG_5_of_6" sheetId="41" r:id="rId24"/>
    <sheet name="W22_PG_6_of_6" sheetId="42" r:id="rId25"/>
    <sheet name="W25_PG_1_of_3" sheetId="21" r:id="rId26"/>
    <sheet name="W25_PG_2_of_3" sheetId="22" r:id="rId27"/>
    <sheet name="W25_PG_3_of_3" sheetId="23" r:id="rId28"/>
    <sheet name="W26_PG_1_of_1" sheetId="24" r:id="rId29"/>
    <sheet name="W27_W33_PG_1_of_1" sheetId="43" r:id="rId30"/>
    <sheet name="W27_PG_1_of_3" sheetId="44" r:id="rId31"/>
    <sheet name="W27_PG_2_of_3" sheetId="45" r:id="rId32"/>
    <sheet name="W27_PG_3_of_3" sheetId="46" r:id="rId33"/>
    <sheet name="W28_PG_1_of_4" sheetId="50" r:id="rId34"/>
    <sheet name="W28_PG_2_of_4" sheetId="51" r:id="rId35"/>
    <sheet name="W28_PG_3_of_4" sheetId="52" r:id="rId36"/>
    <sheet name="W28_PG_4_of_4" sheetId="53" r:id="rId37"/>
    <sheet name="W29_PG_1_of_2" sheetId="49" r:id="rId38"/>
    <sheet name="W29_PG_2_of_2" sheetId="54" r:id="rId39"/>
    <sheet name="W32_PG_1_of_3" sheetId="55" r:id="rId40"/>
    <sheet name="W32_PG_2_of_3" sheetId="57" r:id="rId41"/>
    <sheet name="W32_PG_3_of_3" sheetId="59" r:id="rId42"/>
    <sheet name="W33_PG_1_of_2" sheetId="56" r:id="rId43"/>
    <sheet name="W33_PG_2_of_2" sheetId="60" r:id="rId44"/>
    <sheet name="W35_PG_1_of_3" sheetId="61" r:id="rId45"/>
    <sheet name="W35_PG_2_of_3" sheetId="62" r:id="rId46"/>
    <sheet name="W35_PG_3_of_3" sheetId="63" r:id="rId47"/>
    <sheet name="W36_PG_1_of_2" sheetId="25" r:id="rId48"/>
    <sheet name="W36_PG_2_of_2" sheetId="26" r:id="rId49"/>
    <sheet name="W37_PG_1_of_2" sheetId="27" r:id="rId50"/>
    <sheet name="W37_PG_2_of_2" sheetId="28" r:id="rId51"/>
    <sheet name="W39_PG_1_of_1" sheetId="29" r:id="rId52"/>
    <sheet name="W49_PG_1_of_2" sheetId="30" r:id="rId53"/>
    <sheet name="W49_PG_2_of_2" sheetId="31" r:id="rId54"/>
    <sheet name="W50_PG_1_of_1" sheetId="32" r:id="rId55"/>
    <sheet name="W51_PG_1_of_1" sheetId="33" r:id="rId56"/>
    <sheet name="W52_PG_1_of_1" sheetId="34" r:id="rId57"/>
    <sheet name="W53_PG_1_of_1" sheetId="35" r:id="rId58"/>
    <sheet name="W54_PG_1_of_1" sheetId="36" r:id="rId59"/>
    <sheet name="W64_PG_1_of_1" sheetId="37" r:id="rId60"/>
  </sheets>
  <definedNames>
    <definedName name="_xlnm._FilterDatabase" localSheetId="40" hidden="1">W32_PG_2_of_3!$A$6:$J$6</definedName>
    <definedName name="_xlnm.Print_Area" localSheetId="22">W22_PG_4_of_6!$A$1:$F$53</definedName>
    <definedName name="_xlnm.Print_Area" localSheetId="23">W22_PG_5_of_6!$A$1:$N$38</definedName>
    <definedName name="_xlnm.Print_Titles" localSheetId="8">W09_PG_2_of_2!$1:$4</definedName>
    <definedName name="_xlnm.Print_Titles" localSheetId="16">W20_PG_3_of_3!$1:$6</definedName>
    <definedName name="_xlnm.Print_Titles" localSheetId="31">W27_PG_2_of_3!$2:$5</definedName>
    <definedName name="_xlnm.Print_Titles" localSheetId="32">W27_PG_3_of_3!$2:$5</definedName>
    <definedName name="Z_84ADAC68_0B9A_4C5D_9EB6_75866437195D_.wvu.FilterData" localSheetId="40" hidden="1">W32_PG_2_of_3!$A$6:$J$6</definedName>
    <definedName name="Z_E9A95073_CC85_43FF_8954_6BA03BCE080C_.wvu.FilterData" localSheetId="40" hidden="1">W32_PG_2_of_3!$A$6:$J$6</definedName>
  </definedNames>
  <calcPr calcId="162913"/>
  <pivotCaches>
    <pivotCache cacheId="0" r:id="rId61"/>
  </pivotCaches>
</workbook>
</file>

<file path=xl/calcChain.xml><?xml version="1.0" encoding="utf-8"?>
<calcChain xmlns="http://schemas.openxmlformats.org/spreadsheetml/2006/main">
  <c r="E34" i="61" l="1"/>
  <c r="E37" i="61"/>
  <c r="J47" i="61"/>
  <c r="E36" i="61"/>
  <c r="J46" i="61"/>
  <c r="E38" i="61" l="1"/>
  <c r="J44" i="61"/>
  <c r="C12" i="63"/>
  <c r="B19" i="62"/>
  <c r="B20" i="62"/>
  <c r="B21" i="62"/>
  <c r="B22" i="62"/>
  <c r="B23" i="62"/>
  <c r="B18" i="62"/>
  <c r="B24" i="62" s="1"/>
  <c r="B15" i="62"/>
  <c r="J48" i="61" l="1"/>
  <c r="D3" i="60" l="1"/>
  <c r="E19" i="60"/>
  <c r="E18" i="60"/>
  <c r="E17" i="60"/>
  <c r="E16" i="60"/>
  <c r="E15" i="60"/>
  <c r="E14" i="60"/>
  <c r="E13" i="60"/>
  <c r="D12" i="60"/>
  <c r="E12" i="60" s="1"/>
  <c r="D11" i="60"/>
  <c r="E11" i="60" s="1"/>
  <c r="D10" i="60"/>
  <c r="E10" i="60" s="1"/>
  <c r="E9" i="60"/>
  <c r="D4" i="60"/>
  <c r="D7" i="60" l="1"/>
  <c r="E7" i="60" s="1"/>
  <c r="D51" i="60"/>
  <c r="E51" i="60" s="1"/>
  <c r="D32" i="60"/>
  <c r="E32" i="60" s="1"/>
  <c r="D35" i="60"/>
  <c r="E35" i="60" s="1"/>
  <c r="D20" i="60"/>
  <c r="E20" i="60" s="1"/>
  <c r="D23" i="60"/>
  <c r="E23" i="60" s="1"/>
  <c r="D24" i="60"/>
  <c r="E24" i="60" s="1"/>
  <c r="D40" i="60"/>
  <c r="E40" i="60" s="1"/>
  <c r="D56" i="60"/>
  <c r="E56" i="60" s="1"/>
  <c r="D48" i="60"/>
  <c r="E48" i="60" s="1"/>
  <c r="D37" i="60"/>
  <c r="E37" i="60" s="1"/>
  <c r="D62" i="60"/>
  <c r="E62" i="60" s="1"/>
  <c r="D39" i="60"/>
  <c r="E39" i="60" s="1"/>
  <c r="D55" i="60"/>
  <c r="E55" i="60" s="1"/>
  <c r="D8" i="60"/>
  <c r="E8" i="60" s="1"/>
  <c r="D27" i="60"/>
  <c r="E27" i="60" s="1"/>
  <c r="D43" i="60"/>
  <c r="E43" i="60" s="1"/>
  <c r="D59" i="60"/>
  <c r="E59" i="60" s="1"/>
  <c r="D36" i="60"/>
  <c r="E36" i="60" s="1"/>
  <c r="D52" i="60"/>
  <c r="E52" i="60" s="1"/>
  <c r="D28" i="60"/>
  <c r="E28" i="60" s="1"/>
  <c r="D44" i="60"/>
  <c r="E44" i="60" s="1"/>
  <c r="D60" i="60"/>
  <c r="E60" i="60" s="1"/>
  <c r="D31" i="60"/>
  <c r="E31" i="60" s="1"/>
  <c r="D47" i="60"/>
  <c r="E47" i="60" s="1"/>
  <c r="D21" i="60"/>
  <c r="E21" i="60" s="1"/>
  <c r="D29" i="60"/>
  <c r="E29" i="60" s="1"/>
  <c r="D33" i="60"/>
  <c r="E33" i="60" s="1"/>
  <c r="D41" i="60"/>
  <c r="E41" i="60" s="1"/>
  <c r="D45" i="60"/>
  <c r="E45" i="60" s="1"/>
  <c r="D49" i="60"/>
  <c r="E49" i="60" s="1"/>
  <c r="D53" i="60"/>
  <c r="E53" i="60" s="1"/>
  <c r="D57" i="60"/>
  <c r="E57" i="60" s="1"/>
  <c r="D61" i="60"/>
  <c r="E61" i="60" s="1"/>
  <c r="D22" i="60"/>
  <c r="E22" i="60" s="1"/>
  <c r="D26" i="60"/>
  <c r="E26" i="60" s="1"/>
  <c r="D30" i="60"/>
  <c r="E30" i="60" s="1"/>
  <c r="D34" i="60"/>
  <c r="E34" i="60" s="1"/>
  <c r="D38" i="60"/>
  <c r="E38" i="60" s="1"/>
  <c r="D42" i="60"/>
  <c r="E42" i="60" s="1"/>
  <c r="D46" i="60"/>
  <c r="E46" i="60" s="1"/>
  <c r="D50" i="60"/>
  <c r="E50" i="60" s="1"/>
  <c r="D54" i="60"/>
  <c r="E54" i="60" s="1"/>
  <c r="D58" i="60"/>
  <c r="E58" i="60" s="1"/>
  <c r="D25" i="60"/>
  <c r="E25" i="60" s="1"/>
  <c r="E63" i="60" l="1"/>
  <c r="E64" i="60" s="1"/>
  <c r="K20" i="56" s="1"/>
  <c r="H16" i="55" l="1"/>
  <c r="B16" i="59"/>
  <c r="B12" i="59"/>
  <c r="K19" i="43" l="1"/>
  <c r="K33" i="43"/>
  <c r="D19" i="43"/>
  <c r="D33" i="43"/>
  <c r="J49" i="43"/>
  <c r="J47" i="43"/>
  <c r="J45" i="43"/>
  <c r="J44" i="43"/>
  <c r="J40" i="43"/>
  <c r="J32" i="43"/>
  <c r="J24" i="43"/>
  <c r="J23" i="43"/>
  <c r="J22" i="43"/>
  <c r="J21" i="43"/>
  <c r="J20" i="43"/>
  <c r="J12" i="43"/>
  <c r="C12" i="43"/>
  <c r="C20" i="43"/>
  <c r="C21" i="43"/>
  <c r="C22" i="43"/>
  <c r="C23" i="43"/>
  <c r="C24" i="43"/>
  <c r="C32" i="43"/>
  <c r="C40" i="43"/>
  <c r="C44" i="43"/>
  <c r="C45" i="43"/>
  <c r="C47" i="43"/>
  <c r="C49" i="43"/>
  <c r="I47" i="43"/>
  <c r="B47" i="43"/>
  <c r="J81" i="57"/>
  <c r="P33" i="57"/>
  <c r="P34" i="57" s="1"/>
  <c r="I15" i="56"/>
  <c r="I12" i="56"/>
  <c r="G12" i="56"/>
  <c r="A10" i="56"/>
  <c r="A11" i="56" s="1"/>
  <c r="A12" i="56" s="1"/>
  <c r="A14" i="56" s="1"/>
  <c r="A15" i="56" s="1"/>
  <c r="A16" i="56" s="1"/>
  <c r="A17" i="56" s="1"/>
  <c r="A18" i="56" s="1"/>
  <c r="A20" i="56" s="1"/>
  <c r="A21" i="56" s="1"/>
  <c r="A22" i="56" s="1"/>
  <c r="A23" i="56" s="1"/>
  <c r="I8" i="56"/>
  <c r="I14" i="56" s="1"/>
  <c r="I16" i="56" s="1"/>
  <c r="G8" i="56"/>
  <c r="G14" i="56" s="1"/>
  <c r="G16" i="56" s="1"/>
  <c r="G18" i="56" s="1"/>
  <c r="A9" i="55"/>
  <c r="A10" i="55" s="1"/>
  <c r="A11" i="55" s="1"/>
  <c r="A12" i="55" s="1"/>
  <c r="A13" i="55" s="1"/>
  <c r="A15" i="55" s="1"/>
  <c r="A16" i="55" s="1"/>
  <c r="A17" i="55" s="1"/>
  <c r="A18" i="55" s="1"/>
  <c r="A20" i="55" s="1"/>
  <c r="A21" i="55" s="1"/>
  <c r="A22" i="55" s="1"/>
  <c r="A24" i="55" s="1"/>
  <c r="A25" i="55" s="1"/>
  <c r="B51" i="54"/>
  <c r="C39" i="53"/>
  <c r="G34" i="53"/>
  <c r="G36" i="53" s="1"/>
  <c r="G33" i="53"/>
  <c r="G21" i="53"/>
  <c r="G20" i="53"/>
  <c r="G19" i="53"/>
  <c r="G17" i="53"/>
  <c r="G16" i="53"/>
  <c r="G15" i="53"/>
  <c r="G14" i="53"/>
  <c r="G13" i="53"/>
  <c r="G12" i="53"/>
  <c r="G11" i="53"/>
  <c r="G10" i="53"/>
  <c r="G9" i="53"/>
  <c r="B62" i="51"/>
  <c r="C49" i="50" s="1"/>
  <c r="B61" i="51"/>
  <c r="B60" i="51"/>
  <c r="C47" i="50" s="1"/>
  <c r="B59" i="51"/>
  <c r="C46" i="50" s="1"/>
  <c r="B58" i="51"/>
  <c r="C45" i="50" s="1"/>
  <c r="B57" i="51"/>
  <c r="C44" i="50" s="1"/>
  <c r="B56" i="51"/>
  <c r="B55" i="51"/>
  <c r="C42" i="50" s="1"/>
  <c r="B54" i="51"/>
  <c r="C41" i="50" s="1"/>
  <c r="B53" i="51"/>
  <c r="B52" i="51"/>
  <c r="C39" i="50" s="1"/>
  <c r="B51" i="51"/>
  <c r="C38" i="50" s="1"/>
  <c r="B50" i="51"/>
  <c r="C37" i="50" s="1"/>
  <c r="B49" i="51"/>
  <c r="C36" i="50" s="1"/>
  <c r="B48" i="51"/>
  <c r="B47" i="51"/>
  <c r="C34" i="50" s="1"/>
  <c r="B46" i="51"/>
  <c r="C33" i="50" s="1"/>
  <c r="B45" i="51"/>
  <c r="B44" i="51"/>
  <c r="C31" i="50" s="1"/>
  <c r="B43" i="51"/>
  <c r="C30" i="50" s="1"/>
  <c r="B42" i="51"/>
  <c r="C29" i="50" s="1"/>
  <c r="B41" i="51"/>
  <c r="C28" i="50" s="1"/>
  <c r="B40" i="51"/>
  <c r="B39" i="51"/>
  <c r="C26" i="50" s="1"/>
  <c r="B38" i="51"/>
  <c r="C25" i="50" s="1"/>
  <c r="B37" i="51"/>
  <c r="B36" i="51"/>
  <c r="C23" i="50" s="1"/>
  <c r="B35" i="51"/>
  <c r="C22" i="50" s="1"/>
  <c r="B34" i="51"/>
  <c r="C21" i="50" s="1"/>
  <c r="B33" i="51"/>
  <c r="C20" i="50" s="1"/>
  <c r="B32" i="51"/>
  <c r="B31" i="51"/>
  <c r="C18" i="50" s="1"/>
  <c r="B30" i="51"/>
  <c r="C17" i="50" s="1"/>
  <c r="B29" i="51"/>
  <c r="B28" i="51"/>
  <c r="C15" i="50" s="1"/>
  <c r="B27" i="51"/>
  <c r="C14" i="50" s="1"/>
  <c r="B26" i="51"/>
  <c r="C13" i="50" s="1"/>
  <c r="B25" i="51"/>
  <c r="C12" i="50" s="1"/>
  <c r="B24" i="51"/>
  <c r="B23" i="51"/>
  <c r="C10" i="50" s="1"/>
  <c r="B22" i="51"/>
  <c r="B21" i="51"/>
  <c r="B20" i="51"/>
  <c r="B19" i="51"/>
  <c r="B18" i="51"/>
  <c r="B17" i="51"/>
  <c r="B16" i="51"/>
  <c r="B15" i="51"/>
  <c r="B14" i="51"/>
  <c r="B13" i="51"/>
  <c r="B12" i="51"/>
  <c r="B11" i="51"/>
  <c r="B10" i="51"/>
  <c r="B9" i="51"/>
  <c r="B8" i="51"/>
  <c r="C48" i="50"/>
  <c r="C43" i="50"/>
  <c r="C40" i="50"/>
  <c r="C35" i="50"/>
  <c r="C32" i="50"/>
  <c r="C27" i="50"/>
  <c r="C24" i="50"/>
  <c r="C19" i="50"/>
  <c r="C16" i="50"/>
  <c r="C11" i="50"/>
  <c r="A10" i="50"/>
  <c r="A11" i="50" s="1"/>
  <c r="A12" i="50" s="1"/>
  <c r="A13" i="50" s="1"/>
  <c r="A14" i="50" s="1"/>
  <c r="A15" i="50" s="1"/>
  <c r="A16" i="50" s="1"/>
  <c r="A17" i="50" s="1"/>
  <c r="A18" i="50" s="1"/>
  <c r="A19" i="50" s="1"/>
  <c r="A20" i="50" s="1"/>
  <c r="A21" i="50" s="1"/>
  <c r="A22" i="50" s="1"/>
  <c r="A23" i="50" s="1"/>
  <c r="A24" i="50" s="1"/>
  <c r="A25" i="50" s="1"/>
  <c r="A26" i="50" s="1"/>
  <c r="A27" i="50" s="1"/>
  <c r="A28" i="50" s="1"/>
  <c r="A29" i="50" s="1"/>
  <c r="A30" i="50" s="1"/>
  <c r="A31" i="50" s="1"/>
  <c r="A32" i="50" s="1"/>
  <c r="A33" i="50" s="1"/>
  <c r="A34" i="50" s="1"/>
  <c r="A35" i="50" s="1"/>
  <c r="A36" i="50" s="1"/>
  <c r="A37" i="50" s="1"/>
  <c r="A38" i="50" s="1"/>
  <c r="A39" i="50" s="1"/>
  <c r="A40" i="50" s="1"/>
  <c r="A41" i="50" s="1"/>
  <c r="A42" i="50" s="1"/>
  <c r="A43" i="50" s="1"/>
  <c r="A44" i="50" s="1"/>
  <c r="A45" i="50" s="1"/>
  <c r="A46" i="50" s="1"/>
  <c r="A47" i="50" s="1"/>
  <c r="A48" i="50" s="1"/>
  <c r="A49" i="50" s="1"/>
  <c r="A50" i="50" s="1"/>
  <c r="A52" i="50" s="1"/>
  <c r="A53" i="50" s="1"/>
  <c r="C9" i="50"/>
  <c r="C40" i="49"/>
  <c r="C39" i="49"/>
  <c r="C38" i="49"/>
  <c r="C37" i="49"/>
  <c r="C36" i="49"/>
  <c r="C35" i="49"/>
  <c r="C34" i="49"/>
  <c r="C33" i="49"/>
  <c r="C32" i="49"/>
  <c r="C31" i="49"/>
  <c r="C30" i="49"/>
  <c r="C29" i="49"/>
  <c r="C28" i="49"/>
  <c r="C27" i="49"/>
  <c r="C26" i="49"/>
  <c r="C25" i="49"/>
  <c r="C24" i="49"/>
  <c r="C23" i="49"/>
  <c r="C22" i="49"/>
  <c r="C21" i="49"/>
  <c r="C20" i="49"/>
  <c r="C19" i="49"/>
  <c r="C18" i="49"/>
  <c r="C17" i="49"/>
  <c r="C16" i="49"/>
  <c r="C15" i="49"/>
  <c r="C14" i="49"/>
  <c r="C13" i="49"/>
  <c r="C12" i="49"/>
  <c r="C11" i="49"/>
  <c r="A11" i="49"/>
  <c r="A12" i="49" s="1"/>
  <c r="A13" i="49" s="1"/>
  <c r="A14" i="49" s="1"/>
  <c r="A15" i="49" s="1"/>
  <c r="A16" i="49" s="1"/>
  <c r="A17" i="49" s="1"/>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C10" i="49"/>
  <c r="B120" i="45"/>
  <c r="B178" i="45" s="1"/>
  <c r="C62" i="46"/>
  <c r="F65" i="45"/>
  <c r="G50" i="44"/>
  <c r="C50" i="44"/>
  <c r="G49" i="44"/>
  <c r="C49" i="44"/>
  <c r="G48" i="44"/>
  <c r="C48" i="44"/>
  <c r="G47" i="44"/>
  <c r="C47" i="44"/>
  <c r="G46" i="44"/>
  <c r="C46" i="44"/>
  <c r="G45" i="44"/>
  <c r="C45" i="44"/>
  <c r="G44" i="44"/>
  <c r="C44" i="44"/>
  <c r="G43" i="44"/>
  <c r="C43" i="44"/>
  <c r="G42" i="44"/>
  <c r="C42" i="44"/>
  <c r="G41" i="44"/>
  <c r="C41" i="44"/>
  <c r="G40" i="44"/>
  <c r="C40" i="44"/>
  <c r="G39" i="44"/>
  <c r="C39" i="44"/>
  <c r="G38" i="44"/>
  <c r="C38" i="44"/>
  <c r="G37" i="44"/>
  <c r="C37" i="44"/>
  <c r="G36" i="44"/>
  <c r="C36" i="44"/>
  <c r="G35" i="44"/>
  <c r="C35" i="44"/>
  <c r="G34" i="44"/>
  <c r="C34" i="44"/>
  <c r="G33" i="44"/>
  <c r="C33" i="44"/>
  <c r="G32" i="44"/>
  <c r="C32" i="44"/>
  <c r="G31" i="44"/>
  <c r="C31" i="44"/>
  <c r="G30" i="44"/>
  <c r="C30" i="44"/>
  <c r="G29" i="44"/>
  <c r="C29" i="44"/>
  <c r="G28" i="44"/>
  <c r="C28" i="44"/>
  <c r="G27" i="44"/>
  <c r="C27" i="44"/>
  <c r="G26" i="44"/>
  <c r="C26" i="44"/>
  <c r="G25" i="44"/>
  <c r="C25" i="44"/>
  <c r="G24" i="44"/>
  <c r="C24" i="44"/>
  <c r="G23" i="44"/>
  <c r="C23" i="44"/>
  <c r="H22" i="44"/>
  <c r="G22" i="44"/>
  <c r="C22" i="44"/>
  <c r="H21" i="44"/>
  <c r="G21" i="44"/>
  <c r="C21" i="44"/>
  <c r="G20" i="44"/>
  <c r="C20" i="44"/>
  <c r="G19" i="44"/>
  <c r="C19" i="44"/>
  <c r="G18" i="44"/>
  <c r="C18" i="44"/>
  <c r="G17" i="44"/>
  <c r="C17" i="44"/>
  <c r="G16" i="44"/>
  <c r="C16" i="44"/>
  <c r="G15" i="44"/>
  <c r="C15" i="44"/>
  <c r="G14" i="44"/>
  <c r="C14" i="44"/>
  <c r="G13" i="44"/>
  <c r="C13" i="44"/>
  <c r="G12" i="44"/>
  <c r="C12" i="44"/>
  <c r="G11" i="44"/>
  <c r="C11" i="44"/>
  <c r="A11" i="44"/>
  <c r="A12" i="44" s="1"/>
  <c r="A13" i="44" s="1"/>
  <c r="A14" i="44" s="1"/>
  <c r="A15" i="44" s="1"/>
  <c r="A16" i="44" s="1"/>
  <c r="A17" i="44" s="1"/>
  <c r="A18" i="44" s="1"/>
  <c r="A19" i="44" s="1"/>
  <c r="A20" i="44" s="1"/>
  <c r="A21" i="44" s="1"/>
  <c r="A22" i="44" s="1"/>
  <c r="A23" i="44" s="1"/>
  <c r="A24" i="44" s="1"/>
  <c r="A25" i="44" s="1"/>
  <c r="A26" i="44" s="1"/>
  <c r="A27" i="44" s="1"/>
  <c r="A28" i="44" s="1"/>
  <c r="A29" i="44" s="1"/>
  <c r="A30" i="44" s="1"/>
  <c r="A31" i="44" s="1"/>
  <c r="A32" i="44" s="1"/>
  <c r="A33" i="44" s="1"/>
  <c r="A34" i="44" s="1"/>
  <c r="A35" i="44" s="1"/>
  <c r="A36" i="44" s="1"/>
  <c r="A37" i="44" s="1"/>
  <c r="A38" i="44" s="1"/>
  <c r="A39" i="44" s="1"/>
  <c r="A40" i="44" s="1"/>
  <c r="A41" i="44" s="1"/>
  <c r="A42" i="44" s="1"/>
  <c r="A43" i="44" s="1"/>
  <c r="A44" i="44" s="1"/>
  <c r="A45" i="44" s="1"/>
  <c r="A46" i="44" s="1"/>
  <c r="A47" i="44" s="1"/>
  <c r="A48" i="44" s="1"/>
  <c r="A49" i="44" s="1"/>
  <c r="A50" i="44" s="1"/>
  <c r="A51" i="44" s="1"/>
  <c r="A53" i="44" s="1"/>
  <c r="G10" i="44"/>
  <c r="C10" i="44"/>
  <c r="A10" i="44"/>
  <c r="G9" i="44"/>
  <c r="C9" i="44"/>
  <c r="H15" i="55" l="1"/>
  <c r="H17" i="55" s="1"/>
  <c r="H18" i="55" s="1"/>
  <c r="G23" i="53"/>
  <c r="B63" i="51"/>
  <c r="D52" i="51" s="1"/>
  <c r="C50" i="50"/>
  <c r="I22" i="44"/>
  <c r="I21" i="44"/>
  <c r="B96" i="45"/>
  <c r="B154" i="45" s="1"/>
  <c r="B80" i="45"/>
  <c r="B138" i="45" s="1"/>
  <c r="B100" i="45"/>
  <c r="B158" i="45" s="1"/>
  <c r="B118" i="45"/>
  <c r="B176" i="45" s="1"/>
  <c r="B122" i="45"/>
  <c r="B180" i="45" s="1"/>
  <c r="B78" i="45"/>
  <c r="B136" i="45" s="1"/>
  <c r="B82" i="45"/>
  <c r="B140" i="45" s="1"/>
  <c r="B102" i="45"/>
  <c r="B160" i="45" s="1"/>
  <c r="B70" i="45"/>
  <c r="B128" i="45" s="1"/>
  <c r="B86" i="45"/>
  <c r="B144" i="45" s="1"/>
  <c r="B108" i="45"/>
  <c r="B166" i="45" s="1"/>
  <c r="B84" i="45"/>
  <c r="B142" i="45" s="1"/>
  <c r="B106" i="45"/>
  <c r="B164" i="45" s="1"/>
  <c r="B72" i="45"/>
  <c r="B130" i="45" s="1"/>
  <c r="B90" i="45"/>
  <c r="B148" i="45" s="1"/>
  <c r="B110" i="45"/>
  <c r="B168" i="45" s="1"/>
  <c r="B74" i="45"/>
  <c r="B132" i="45" s="1"/>
  <c r="B92" i="45"/>
  <c r="B150" i="45" s="1"/>
  <c r="B112" i="45"/>
  <c r="B170" i="45" s="1"/>
  <c r="B76" i="45"/>
  <c r="B134" i="45" s="1"/>
  <c r="B94" i="45"/>
  <c r="B152" i="45" s="1"/>
  <c r="B116" i="45"/>
  <c r="B174" i="45" s="1"/>
  <c r="B98" i="45"/>
  <c r="B156" i="45" s="1"/>
  <c r="B114" i="45"/>
  <c r="B172" i="45" s="1"/>
  <c r="B88" i="45"/>
  <c r="B146" i="45" s="1"/>
  <c r="B104" i="45"/>
  <c r="B162" i="45" s="1"/>
  <c r="C51" i="44"/>
  <c r="G51" i="44"/>
  <c r="B123" i="45"/>
  <c r="B121" i="45"/>
  <c r="B119" i="45"/>
  <c r="B117" i="45"/>
  <c r="B115" i="45"/>
  <c r="B113" i="45"/>
  <c r="B111" i="45"/>
  <c r="B109" i="45"/>
  <c r="B107" i="45"/>
  <c r="B105" i="45"/>
  <c r="B103" i="45"/>
  <c r="B101" i="45"/>
  <c r="B99" i="45"/>
  <c r="B97" i="45"/>
  <c r="B95" i="45"/>
  <c r="B93" i="45"/>
  <c r="B91" i="45"/>
  <c r="B89" i="45"/>
  <c r="B87" i="45"/>
  <c r="B85" i="45"/>
  <c r="B83" i="45"/>
  <c r="B81" i="45"/>
  <c r="B79" i="45"/>
  <c r="B77" i="45"/>
  <c r="B75" i="45"/>
  <c r="B73" i="45"/>
  <c r="B71" i="45"/>
  <c r="C41" i="49"/>
  <c r="G39" i="53"/>
  <c r="G49" i="51"/>
  <c r="G45" i="51"/>
  <c r="G37" i="51"/>
  <c r="G33" i="51"/>
  <c r="G17" i="51"/>
  <c r="G13" i="51"/>
  <c r="G60" i="51"/>
  <c r="G56" i="51"/>
  <c r="G40" i="51"/>
  <c r="G36" i="51"/>
  <c r="G28" i="51"/>
  <c r="G24" i="51"/>
  <c r="G55" i="51"/>
  <c r="G51" i="51"/>
  <c r="G43" i="51"/>
  <c r="G39" i="51"/>
  <c r="G23" i="51"/>
  <c r="G19" i="51"/>
  <c r="G11" i="51"/>
  <c r="I23" i="53"/>
  <c r="D8" i="54" s="1"/>
  <c r="G54" i="51"/>
  <c r="G26" i="51"/>
  <c r="G10" i="51"/>
  <c r="G8" i="51"/>
  <c r="G46" i="51"/>
  <c r="G14" i="51"/>
  <c r="G12" i="51"/>
  <c r="G50" i="51"/>
  <c r="G62" i="51"/>
  <c r="G34" i="51"/>
  <c r="D17" i="51"/>
  <c r="C21" i="51"/>
  <c r="D23" i="51"/>
  <c r="D32" i="51"/>
  <c r="C36" i="51"/>
  <c r="C40" i="51"/>
  <c r="H42" i="51"/>
  <c r="D45" i="51"/>
  <c r="D50" i="51"/>
  <c r="C55" i="51"/>
  <c r="D51" i="51"/>
  <c r="D47" i="51"/>
  <c r="D43" i="51"/>
  <c r="D31" i="51"/>
  <c r="C35" i="51"/>
  <c r="D21" i="51"/>
  <c r="C25" i="51"/>
  <c r="D27" i="51"/>
  <c r="D36" i="51"/>
  <c r="D40" i="51"/>
  <c r="H62" i="51"/>
  <c r="H61" i="51"/>
  <c r="H57" i="51"/>
  <c r="H49" i="51"/>
  <c r="H45" i="51"/>
  <c r="H33" i="51"/>
  <c r="H29" i="51"/>
  <c r="H25" i="51"/>
  <c r="H17" i="51"/>
  <c r="H13" i="51"/>
  <c r="H56" i="51"/>
  <c r="H52" i="51"/>
  <c r="H48" i="51"/>
  <c r="H40" i="51"/>
  <c r="H36" i="51"/>
  <c r="H24" i="51"/>
  <c r="H20" i="51"/>
  <c r="H16" i="51"/>
  <c r="H8" i="51"/>
  <c r="H59" i="51"/>
  <c r="H47" i="51"/>
  <c r="H43" i="51"/>
  <c r="H39" i="51"/>
  <c r="D11" i="51"/>
  <c r="D14" i="51"/>
  <c r="D25" i="51"/>
  <c r="C29" i="51"/>
  <c r="C31" i="51"/>
  <c r="C48" i="51"/>
  <c r="H50" i="51"/>
  <c r="D58" i="51"/>
  <c r="D60" i="51"/>
  <c r="I17" i="56"/>
  <c r="I18" i="56" s="1"/>
  <c r="K18" i="56" s="1"/>
  <c r="K21" i="56" s="1"/>
  <c r="D8" i="51"/>
  <c r="C16" i="51"/>
  <c r="H23" i="51"/>
  <c r="D29" i="51"/>
  <c r="C33" i="51"/>
  <c r="C41" i="51"/>
  <c r="D46" i="51"/>
  <c r="D10" i="51"/>
  <c r="H14" i="51"/>
  <c r="D16" i="51"/>
  <c r="B65" i="51"/>
  <c r="D22" i="51"/>
  <c r="D33" i="51"/>
  <c r="C37" i="51"/>
  <c r="D39" i="51"/>
  <c r="H58" i="51"/>
  <c r="D61" i="51"/>
  <c r="H11" i="51"/>
  <c r="C13" i="51"/>
  <c r="H18" i="51"/>
  <c r="C24" i="51"/>
  <c r="D26" i="51"/>
  <c r="D37" i="51"/>
  <c r="C44" i="51"/>
  <c r="H46" i="51"/>
  <c r="C49" i="51"/>
  <c r="D54" i="51"/>
  <c r="D13" i="51"/>
  <c r="D15" i="51"/>
  <c r="H22" i="51"/>
  <c r="C28" i="51"/>
  <c r="D30" i="51"/>
  <c r="D42" i="51"/>
  <c r="D44" i="51"/>
  <c r="C47" i="51"/>
  <c r="E47" i="51" s="1"/>
  <c r="H10" i="51"/>
  <c r="C17" i="51"/>
  <c r="E17" i="51" s="1"/>
  <c r="F17" i="51" s="1"/>
  <c r="D28" i="51"/>
  <c r="C32" i="51"/>
  <c r="E32" i="51" s="1"/>
  <c r="D34" i="51"/>
  <c r="C52" i="51"/>
  <c r="E52" i="51" s="1"/>
  <c r="H54" i="51"/>
  <c r="D62" i="51"/>
  <c r="C42" i="51"/>
  <c r="C46" i="51"/>
  <c r="E46" i="51" s="1"/>
  <c r="C54" i="51"/>
  <c r="C58" i="51"/>
  <c r="C15" i="51"/>
  <c r="C19" i="51"/>
  <c r="C23" i="51"/>
  <c r="E23" i="51" s="1"/>
  <c r="C39" i="51"/>
  <c r="K23" i="56" l="1"/>
  <c r="R18" i="43" s="1"/>
  <c r="Q18" i="43"/>
  <c r="E37" i="51"/>
  <c r="E42" i="51"/>
  <c r="E13" i="51"/>
  <c r="F13" i="51" s="1"/>
  <c r="E31" i="51"/>
  <c r="I34" i="51"/>
  <c r="K34" i="51" s="1"/>
  <c r="E39" i="51"/>
  <c r="E54" i="51"/>
  <c r="E24" i="51"/>
  <c r="F24" i="51" s="1"/>
  <c r="C27" i="51"/>
  <c r="E27" i="51" s="1"/>
  <c r="F27" i="51" s="1"/>
  <c r="C50" i="51"/>
  <c r="E50" i="51" s="1"/>
  <c r="F50" i="51" s="1"/>
  <c r="C34" i="51"/>
  <c r="C9" i="51"/>
  <c r="D24" i="51"/>
  <c r="D49" i="51"/>
  <c r="E49" i="51" s="1"/>
  <c r="D20" i="51"/>
  <c r="E20" i="51" s="1"/>
  <c r="F20" i="51" s="1"/>
  <c r="C56" i="51"/>
  <c r="C20" i="51"/>
  <c r="D41" i="51"/>
  <c r="E41" i="51" s="1"/>
  <c r="H38" i="51"/>
  <c r="C8" i="51"/>
  <c r="H12" i="51"/>
  <c r="I12" i="51" s="1"/>
  <c r="H44" i="51"/>
  <c r="H21" i="51"/>
  <c r="H53" i="51"/>
  <c r="H34" i="51"/>
  <c r="D35" i="51"/>
  <c r="E35" i="51" s="1"/>
  <c r="C45" i="51"/>
  <c r="H30" i="51"/>
  <c r="G38" i="51"/>
  <c r="I38" i="51" s="1"/>
  <c r="K38" i="51" s="1"/>
  <c r="G22" i="51"/>
  <c r="I22" i="51" s="1"/>
  <c r="G15" i="51"/>
  <c r="I15" i="51" s="1"/>
  <c r="G47" i="51"/>
  <c r="G32" i="51"/>
  <c r="G9" i="51"/>
  <c r="G41" i="51"/>
  <c r="E40" i="51"/>
  <c r="F40" i="51" s="1"/>
  <c r="G27" i="51"/>
  <c r="G44" i="51"/>
  <c r="I44" i="51" s="1"/>
  <c r="G53" i="51"/>
  <c r="I53" i="51" s="1"/>
  <c r="C11" i="51"/>
  <c r="E11" i="51" s="1"/>
  <c r="F11" i="51" s="1"/>
  <c r="C57" i="51"/>
  <c r="H26" i="51"/>
  <c r="H35" i="51"/>
  <c r="C59" i="51"/>
  <c r="H31" i="51"/>
  <c r="C10" i="51"/>
  <c r="E10" i="51" s="1"/>
  <c r="F10" i="51" s="1"/>
  <c r="H27" i="51"/>
  <c r="C51" i="51"/>
  <c r="C18" i="51"/>
  <c r="C53" i="51"/>
  <c r="H19" i="51"/>
  <c r="H51" i="51"/>
  <c r="I51" i="51" s="1"/>
  <c r="H28" i="51"/>
  <c r="H60" i="51"/>
  <c r="I60" i="51" s="1"/>
  <c r="H37" i="51"/>
  <c r="I37" i="51" s="1"/>
  <c r="C60" i="51"/>
  <c r="E60" i="51" s="1"/>
  <c r="H15" i="51"/>
  <c r="D55" i="51"/>
  <c r="C38" i="51"/>
  <c r="C12" i="51"/>
  <c r="G58" i="51"/>
  <c r="G30" i="51"/>
  <c r="I30" i="51" s="1"/>
  <c r="K30" i="51" s="1"/>
  <c r="G31" i="51"/>
  <c r="G16" i="51"/>
  <c r="I16" i="51" s="1"/>
  <c r="G48" i="51"/>
  <c r="I48" i="51" s="1"/>
  <c r="G25" i="51"/>
  <c r="G57" i="51"/>
  <c r="E19" i="51"/>
  <c r="F19" i="51" s="1"/>
  <c r="I55" i="51"/>
  <c r="K55" i="51" s="1"/>
  <c r="G59" i="51"/>
  <c r="I59" i="51" s="1"/>
  <c r="G21" i="51"/>
  <c r="C62" i="51"/>
  <c r="D57" i="51"/>
  <c r="D19" i="51"/>
  <c r="C30" i="51"/>
  <c r="D56" i="51"/>
  <c r="E56" i="51" s="1"/>
  <c r="C26" i="51"/>
  <c r="C61" i="51"/>
  <c r="E61" i="51" s="1"/>
  <c r="C22" i="51"/>
  <c r="E22" i="51" s="1"/>
  <c r="D48" i="51"/>
  <c r="E48" i="51" s="1"/>
  <c r="D18" i="51"/>
  <c r="D53" i="51"/>
  <c r="C14" i="51"/>
  <c r="H55" i="51"/>
  <c r="H32" i="51"/>
  <c r="H9" i="51"/>
  <c r="H41" i="51"/>
  <c r="I41" i="51" s="1"/>
  <c r="C43" i="51"/>
  <c r="D12" i="51"/>
  <c r="D59" i="51"/>
  <c r="D38" i="51"/>
  <c r="D9" i="51"/>
  <c r="G18" i="51"/>
  <c r="G42" i="51"/>
  <c r="I42" i="51" s="1"/>
  <c r="G35" i="51"/>
  <c r="I35" i="51" s="1"/>
  <c r="G20" i="51"/>
  <c r="G52" i="51"/>
  <c r="G29" i="51"/>
  <c r="G61" i="51"/>
  <c r="C118" i="45"/>
  <c r="D19" i="50"/>
  <c r="E19" i="50" s="1"/>
  <c r="F32" i="51"/>
  <c r="F39" i="51"/>
  <c r="D26" i="50"/>
  <c r="E26" i="50" s="1"/>
  <c r="F23" i="51"/>
  <c r="D10" i="50"/>
  <c r="E10" i="50" s="1"/>
  <c r="F46" i="51"/>
  <c r="D33" i="50"/>
  <c r="E33" i="50" s="1"/>
  <c r="D34" i="50"/>
  <c r="E34" i="50" s="1"/>
  <c r="F47" i="51"/>
  <c r="E33" i="51"/>
  <c r="F31" i="51"/>
  <c r="D18" i="50"/>
  <c r="E18" i="50" s="1"/>
  <c r="G25" i="50"/>
  <c r="I47" i="51"/>
  <c r="B141" i="45"/>
  <c r="B157" i="45"/>
  <c r="B173" i="45"/>
  <c r="F37" i="51"/>
  <c r="D24" i="50"/>
  <c r="E24" i="50" s="1"/>
  <c r="E29" i="51"/>
  <c r="E25" i="51"/>
  <c r="E21" i="51"/>
  <c r="F21" i="51" s="1"/>
  <c r="I50" i="51"/>
  <c r="I10" i="51"/>
  <c r="I19" i="51"/>
  <c r="I36" i="51"/>
  <c r="I13" i="51"/>
  <c r="I45" i="51"/>
  <c r="B143" i="45"/>
  <c r="B159" i="45"/>
  <c r="B175" i="45"/>
  <c r="D27" i="50"/>
  <c r="E27" i="50" s="1"/>
  <c r="I26" i="51"/>
  <c r="I23" i="51"/>
  <c r="G42" i="50"/>
  <c r="I40" i="51"/>
  <c r="I17" i="51"/>
  <c r="I49" i="51"/>
  <c r="B124" i="45"/>
  <c r="B182" i="45" s="1"/>
  <c r="B129" i="45"/>
  <c r="B145" i="45"/>
  <c r="B161" i="45"/>
  <c r="B177" i="45"/>
  <c r="E51" i="51"/>
  <c r="I14" i="51"/>
  <c r="I54" i="51"/>
  <c r="B131" i="45"/>
  <c r="B147" i="45"/>
  <c r="B163" i="45"/>
  <c r="B179" i="45"/>
  <c r="E15" i="51"/>
  <c r="F15" i="51" s="1"/>
  <c r="E62" i="51"/>
  <c r="E30" i="51"/>
  <c r="E14" i="51"/>
  <c r="F14" i="51" s="1"/>
  <c r="E43" i="51"/>
  <c r="I58" i="51"/>
  <c r="I25" i="51"/>
  <c r="I57" i="51"/>
  <c r="B133" i="45"/>
  <c r="B149" i="45"/>
  <c r="B165" i="45"/>
  <c r="B181" i="45"/>
  <c r="D123" i="45"/>
  <c r="D181" i="45" s="1"/>
  <c r="D121" i="45"/>
  <c r="D179" i="45" s="1"/>
  <c r="D119" i="45"/>
  <c r="D177" i="45" s="1"/>
  <c r="D117" i="45"/>
  <c r="D175" i="45" s="1"/>
  <c r="D115" i="45"/>
  <c r="D173" i="45" s="1"/>
  <c r="D113" i="45"/>
  <c r="D171" i="45" s="1"/>
  <c r="D111" i="45"/>
  <c r="D169" i="45" s="1"/>
  <c r="D109" i="45"/>
  <c r="D167" i="45" s="1"/>
  <c r="D107" i="45"/>
  <c r="D165" i="45" s="1"/>
  <c r="D105" i="45"/>
  <c r="D163" i="45" s="1"/>
  <c r="D103" i="45"/>
  <c r="D161" i="45" s="1"/>
  <c r="D101" i="45"/>
  <c r="D159" i="45" s="1"/>
  <c r="D99" i="45"/>
  <c r="D157" i="45" s="1"/>
  <c r="D97" i="45"/>
  <c r="D155" i="45" s="1"/>
  <c r="D95" i="45"/>
  <c r="D153" i="45" s="1"/>
  <c r="D93" i="45"/>
  <c r="D151" i="45" s="1"/>
  <c r="D91" i="45"/>
  <c r="D149" i="45" s="1"/>
  <c r="D89" i="45"/>
  <c r="D147" i="45" s="1"/>
  <c r="D87" i="45"/>
  <c r="D145" i="45" s="1"/>
  <c r="D85" i="45"/>
  <c r="D143" i="45" s="1"/>
  <c r="D83" i="45"/>
  <c r="D141" i="45" s="1"/>
  <c r="D81" i="45"/>
  <c r="D139" i="45" s="1"/>
  <c r="D79" i="45"/>
  <c r="D137" i="45" s="1"/>
  <c r="D77" i="45"/>
  <c r="D135" i="45" s="1"/>
  <c r="D75" i="45"/>
  <c r="D133" i="45" s="1"/>
  <c r="D73" i="45"/>
  <c r="D131" i="45" s="1"/>
  <c r="D71" i="45"/>
  <c r="D129" i="45" s="1"/>
  <c r="D122" i="45"/>
  <c r="D180" i="45" s="1"/>
  <c r="D120" i="45"/>
  <c r="D178" i="45" s="1"/>
  <c r="D118" i="45"/>
  <c r="D176" i="45" s="1"/>
  <c r="D116" i="45"/>
  <c r="D174" i="45" s="1"/>
  <c r="D114" i="45"/>
  <c r="D172" i="45" s="1"/>
  <c r="D112" i="45"/>
  <c r="D170" i="45" s="1"/>
  <c r="D110" i="45"/>
  <c r="D168" i="45" s="1"/>
  <c r="D108" i="45"/>
  <c r="D166" i="45" s="1"/>
  <c r="D106" i="45"/>
  <c r="D164" i="45" s="1"/>
  <c r="D104" i="45"/>
  <c r="D162" i="45" s="1"/>
  <c r="D102" i="45"/>
  <c r="D160" i="45" s="1"/>
  <c r="D100" i="45"/>
  <c r="D158" i="45" s="1"/>
  <c r="D98" i="45"/>
  <c r="D156" i="45" s="1"/>
  <c r="D96" i="45"/>
  <c r="D154" i="45" s="1"/>
  <c r="D94" i="45"/>
  <c r="D152" i="45" s="1"/>
  <c r="D92" i="45"/>
  <c r="D150" i="45" s="1"/>
  <c r="D90" i="45"/>
  <c r="D148" i="45" s="1"/>
  <c r="D88" i="45"/>
  <c r="D146" i="45" s="1"/>
  <c r="D86" i="45"/>
  <c r="D144" i="45" s="1"/>
  <c r="D84" i="45"/>
  <c r="D142" i="45" s="1"/>
  <c r="D82" i="45"/>
  <c r="D140" i="45" s="1"/>
  <c r="D80" i="45"/>
  <c r="D138" i="45" s="1"/>
  <c r="D78" i="45"/>
  <c r="D136" i="45" s="1"/>
  <c r="D76" i="45"/>
  <c r="D134" i="45" s="1"/>
  <c r="D74" i="45"/>
  <c r="D132" i="45" s="1"/>
  <c r="D72" i="45"/>
  <c r="D130" i="45" s="1"/>
  <c r="D70" i="45"/>
  <c r="E44" i="51"/>
  <c r="E58" i="51"/>
  <c r="E16" i="51"/>
  <c r="F16" i="51" s="1"/>
  <c r="E55" i="51"/>
  <c r="E36" i="51"/>
  <c r="I18" i="51"/>
  <c r="I20" i="51"/>
  <c r="I52" i="51"/>
  <c r="I29" i="51"/>
  <c r="I61" i="51"/>
  <c r="B135" i="45"/>
  <c r="B151" i="45"/>
  <c r="B167" i="45"/>
  <c r="B113" i="46"/>
  <c r="B105" i="46"/>
  <c r="B97" i="46"/>
  <c r="B89" i="46"/>
  <c r="B81" i="46"/>
  <c r="B73" i="46"/>
  <c r="B129" i="46" s="1"/>
  <c r="B111" i="46"/>
  <c r="B103" i="46"/>
  <c r="B95" i="46"/>
  <c r="B87" i="46"/>
  <c r="B79" i="46"/>
  <c r="B71" i="46"/>
  <c r="B127" i="46" s="1"/>
  <c r="B117" i="46"/>
  <c r="B109" i="46"/>
  <c r="B101" i="46"/>
  <c r="B93" i="46"/>
  <c r="B85" i="46"/>
  <c r="B77" i="46"/>
  <c r="B133" i="46" s="1"/>
  <c r="B69" i="46"/>
  <c r="B125" i="46" s="1"/>
  <c r="B116" i="46"/>
  <c r="B104" i="46"/>
  <c r="B91" i="46"/>
  <c r="B78" i="46"/>
  <c r="B66" i="46"/>
  <c r="B115" i="46"/>
  <c r="B102" i="46"/>
  <c r="B90" i="46"/>
  <c r="B76" i="46"/>
  <c r="B132" i="46" s="1"/>
  <c r="B114" i="46"/>
  <c r="B100" i="46"/>
  <c r="B88" i="46"/>
  <c r="B75" i="46"/>
  <c r="B131" i="46" s="1"/>
  <c r="B112" i="46"/>
  <c r="B99" i="46"/>
  <c r="B86" i="46"/>
  <c r="B74" i="46"/>
  <c r="B130" i="46" s="1"/>
  <c r="B110" i="46"/>
  <c r="B98" i="46"/>
  <c r="B84" i="46"/>
  <c r="B72" i="46"/>
  <c r="B128" i="46" s="1"/>
  <c r="B108" i="46"/>
  <c r="B96" i="46"/>
  <c r="B83" i="46"/>
  <c r="B70" i="46"/>
  <c r="B126" i="46" s="1"/>
  <c r="B107" i="46"/>
  <c r="B94" i="46"/>
  <c r="B82" i="46"/>
  <c r="B68" i="46"/>
  <c r="B124" i="46" s="1"/>
  <c r="B106" i="46"/>
  <c r="B92" i="46"/>
  <c r="B80" i="46"/>
  <c r="B67" i="46"/>
  <c r="B123" i="46" s="1"/>
  <c r="F42" i="51"/>
  <c r="D29" i="50"/>
  <c r="E29" i="50" s="1"/>
  <c r="F54" i="51"/>
  <c r="D41" i="50"/>
  <c r="E41" i="50" s="1"/>
  <c r="E28" i="51"/>
  <c r="I46" i="51"/>
  <c r="C45" i="54"/>
  <c r="D37" i="49" s="1"/>
  <c r="C46" i="43" s="1"/>
  <c r="C37" i="54"/>
  <c r="D29" i="49" s="1"/>
  <c r="C35" i="43" s="1"/>
  <c r="C29" i="54"/>
  <c r="D21" i="49" s="1"/>
  <c r="C26" i="43" s="1"/>
  <c r="C21" i="54"/>
  <c r="D14" i="49" s="1"/>
  <c r="C14" i="43" s="1"/>
  <c r="C13" i="54"/>
  <c r="C44" i="54"/>
  <c r="D36" i="49" s="1"/>
  <c r="C43" i="43" s="1"/>
  <c r="C36" i="54"/>
  <c r="D28" i="49" s="1"/>
  <c r="C34" i="43" s="1"/>
  <c r="C28" i="54"/>
  <c r="D20" i="49" s="1"/>
  <c r="C25" i="43" s="1"/>
  <c r="C20" i="54"/>
  <c r="D13" i="49" s="1"/>
  <c r="C13" i="43" s="1"/>
  <c r="C12" i="54"/>
  <c r="C43" i="54"/>
  <c r="D35" i="49" s="1"/>
  <c r="C42" i="43" s="1"/>
  <c r="C35" i="54"/>
  <c r="D27" i="49" s="1"/>
  <c r="C33" i="43" s="1"/>
  <c r="C27" i="54"/>
  <c r="C19" i="54"/>
  <c r="D12" i="49" s="1"/>
  <c r="C11" i="43" s="1"/>
  <c r="C11" i="54"/>
  <c r="C42" i="54"/>
  <c r="D34" i="49" s="1"/>
  <c r="C41" i="43" s="1"/>
  <c r="C34" i="54"/>
  <c r="D26" i="49" s="1"/>
  <c r="C31" i="43" s="1"/>
  <c r="C26" i="54"/>
  <c r="D19" i="49" s="1"/>
  <c r="C19" i="43" s="1"/>
  <c r="C18" i="54"/>
  <c r="D11" i="49" s="1"/>
  <c r="C10" i="43" s="1"/>
  <c r="C10" i="54"/>
  <c r="C41" i="54"/>
  <c r="D33" i="49" s="1"/>
  <c r="C39" i="43" s="1"/>
  <c r="C33" i="54"/>
  <c r="D25" i="49" s="1"/>
  <c r="C30" i="43" s="1"/>
  <c r="C25" i="54"/>
  <c r="D18" i="49" s="1"/>
  <c r="C18" i="43" s="1"/>
  <c r="C17" i="54"/>
  <c r="C9" i="54"/>
  <c r="C48" i="54"/>
  <c r="D40" i="49" s="1"/>
  <c r="C51" i="43" s="1"/>
  <c r="C40" i="54"/>
  <c r="D32" i="49" s="1"/>
  <c r="C38" i="43" s="1"/>
  <c r="C32" i="54"/>
  <c r="D24" i="49" s="1"/>
  <c r="C29" i="43" s="1"/>
  <c r="C24" i="54"/>
  <c r="D17" i="49" s="1"/>
  <c r="C17" i="43" s="1"/>
  <c r="C16" i="54"/>
  <c r="C22" i="54"/>
  <c r="D15" i="49" s="1"/>
  <c r="C15" i="43" s="1"/>
  <c r="C47" i="54"/>
  <c r="D39" i="49" s="1"/>
  <c r="C50" i="43" s="1"/>
  <c r="C15" i="54"/>
  <c r="C46" i="54"/>
  <c r="D38" i="49" s="1"/>
  <c r="C48" i="43" s="1"/>
  <c r="C14" i="54"/>
  <c r="C39" i="54"/>
  <c r="D31" i="49" s="1"/>
  <c r="C37" i="43" s="1"/>
  <c r="C38" i="54"/>
  <c r="D30" i="49" s="1"/>
  <c r="C36" i="43" s="1"/>
  <c r="C31" i="54"/>
  <c r="D23" i="49" s="1"/>
  <c r="C28" i="43" s="1"/>
  <c r="C30" i="54"/>
  <c r="D22" i="49" s="1"/>
  <c r="C27" i="43" s="1"/>
  <c r="C23" i="54"/>
  <c r="D16" i="49" s="1"/>
  <c r="C16" i="43" s="1"/>
  <c r="I39" i="51"/>
  <c r="I24" i="51"/>
  <c r="I56" i="51"/>
  <c r="I33" i="51"/>
  <c r="B137" i="45"/>
  <c r="B153" i="45"/>
  <c r="B169" i="45"/>
  <c r="F52" i="51"/>
  <c r="D39" i="50"/>
  <c r="E39" i="50" s="1"/>
  <c r="D37" i="50"/>
  <c r="E37" i="50" s="1"/>
  <c r="E34" i="51"/>
  <c r="J34" i="51" s="1"/>
  <c r="E8" i="51"/>
  <c r="E45" i="51"/>
  <c r="I62" i="51"/>
  <c r="I8" i="51"/>
  <c r="I11" i="51"/>
  <c r="I43" i="51"/>
  <c r="I28" i="51"/>
  <c r="C111" i="45"/>
  <c r="C169" i="45" s="1"/>
  <c r="B139" i="45"/>
  <c r="B155" i="45"/>
  <c r="B171" i="45"/>
  <c r="F41" i="51" l="1"/>
  <c r="D28" i="50"/>
  <c r="E28" i="50" s="1"/>
  <c r="C65" i="51"/>
  <c r="H65" i="51"/>
  <c r="I31" i="51"/>
  <c r="I27" i="51"/>
  <c r="D65" i="51"/>
  <c r="H63" i="51"/>
  <c r="E59" i="51"/>
  <c r="I21" i="51"/>
  <c r="G65" i="51"/>
  <c r="D63" i="51"/>
  <c r="I9" i="51"/>
  <c r="G63" i="51"/>
  <c r="D11" i="50"/>
  <c r="E11" i="50" s="1"/>
  <c r="I32" i="51"/>
  <c r="J32" i="51" s="1"/>
  <c r="C63" i="51"/>
  <c r="K12" i="51"/>
  <c r="F35" i="51"/>
  <c r="D22" i="50"/>
  <c r="E22" i="50" s="1"/>
  <c r="F48" i="51"/>
  <c r="D35" i="50"/>
  <c r="E35" i="50" s="1"/>
  <c r="D36" i="50"/>
  <c r="E36" i="50" s="1"/>
  <c r="F49" i="51"/>
  <c r="G17" i="50"/>
  <c r="E18" i="51"/>
  <c r="F18" i="51" s="1"/>
  <c r="E57" i="51"/>
  <c r="J30" i="51"/>
  <c r="E26" i="51"/>
  <c r="E65" i="51" s="1"/>
  <c r="E12" i="51"/>
  <c r="F12" i="51" s="1"/>
  <c r="G21" i="50"/>
  <c r="E38" i="51"/>
  <c r="E9" i="51"/>
  <c r="F9" i="51" s="1"/>
  <c r="D14" i="50"/>
  <c r="E14" i="50" s="1"/>
  <c r="E53" i="51"/>
  <c r="C74" i="45"/>
  <c r="C121" i="45"/>
  <c r="C179" i="45" s="1"/>
  <c r="C84" i="45"/>
  <c r="C142" i="45" s="1"/>
  <c r="E142" i="45" s="1"/>
  <c r="C94" i="45"/>
  <c r="C152" i="45" s="1"/>
  <c r="E152" i="45" s="1"/>
  <c r="C104" i="45"/>
  <c r="C162" i="45" s="1"/>
  <c r="E162" i="45" s="1"/>
  <c r="C93" i="45"/>
  <c r="C151" i="45" s="1"/>
  <c r="C97" i="45"/>
  <c r="C155" i="45" s="1"/>
  <c r="E155" i="45" s="1"/>
  <c r="C114" i="45"/>
  <c r="C172" i="45" s="1"/>
  <c r="E172" i="45" s="1"/>
  <c r="C96" i="45"/>
  <c r="C154" i="45" s="1"/>
  <c r="E154" i="45" s="1"/>
  <c r="C90" i="45"/>
  <c r="E90" i="45" s="1"/>
  <c r="D17" i="44" s="1"/>
  <c r="E17" i="44" s="1"/>
  <c r="C100" i="45"/>
  <c r="C158" i="45" s="1"/>
  <c r="E158" i="45" s="1"/>
  <c r="C110" i="45"/>
  <c r="E110" i="45" s="1"/>
  <c r="D37" i="44" s="1"/>
  <c r="E37" i="44" s="1"/>
  <c r="C120" i="45"/>
  <c r="C178" i="45" s="1"/>
  <c r="E178" i="45" s="1"/>
  <c r="C73" i="45"/>
  <c r="C131" i="45" s="1"/>
  <c r="E131" i="45" s="1"/>
  <c r="C83" i="45"/>
  <c r="C141" i="45" s="1"/>
  <c r="C77" i="45"/>
  <c r="C135" i="45" s="1"/>
  <c r="E135" i="45" s="1"/>
  <c r="C103" i="45"/>
  <c r="C161" i="45" s="1"/>
  <c r="E161" i="45" s="1"/>
  <c r="C113" i="45"/>
  <c r="C171" i="45" s="1"/>
  <c r="E171" i="45" s="1"/>
  <c r="C123" i="45"/>
  <c r="C181" i="45" s="1"/>
  <c r="E181" i="45" s="1"/>
  <c r="E69" i="45"/>
  <c r="C76" i="45"/>
  <c r="C86" i="45"/>
  <c r="C87" i="45"/>
  <c r="C145" i="45" s="1"/>
  <c r="E145" i="45" s="1"/>
  <c r="C107" i="45"/>
  <c r="C165" i="45" s="1"/>
  <c r="E165" i="45" s="1"/>
  <c r="C70" i="45"/>
  <c r="E70" i="45" s="1"/>
  <c r="C109" i="45"/>
  <c r="C167" i="45" s="1"/>
  <c r="E167" i="45" s="1"/>
  <c r="C106" i="45"/>
  <c r="E106" i="45" s="1"/>
  <c r="D33" i="44" s="1"/>
  <c r="E33" i="44" s="1"/>
  <c r="C72" i="45"/>
  <c r="E72" i="45" s="1"/>
  <c r="C79" i="45"/>
  <c r="C137" i="45" s="1"/>
  <c r="E137" i="45" s="1"/>
  <c r="C99" i="45"/>
  <c r="C157" i="45" s="1"/>
  <c r="C80" i="45"/>
  <c r="C75" i="45"/>
  <c r="C133" i="45" s="1"/>
  <c r="E133" i="45" s="1"/>
  <c r="C85" i="45"/>
  <c r="C143" i="45" s="1"/>
  <c r="E143" i="45" s="1"/>
  <c r="C82" i="45"/>
  <c r="C140" i="45" s="1"/>
  <c r="E140" i="45" s="1"/>
  <c r="C92" i="45"/>
  <c r="C150" i="45" s="1"/>
  <c r="E150" i="45" s="1"/>
  <c r="C102" i="45"/>
  <c r="C160" i="45" s="1"/>
  <c r="E160" i="45" s="1"/>
  <c r="C112" i="45"/>
  <c r="C170" i="45" s="1"/>
  <c r="E170" i="45" s="1"/>
  <c r="C122" i="45"/>
  <c r="C78" i="45"/>
  <c r="C136" i="45" s="1"/>
  <c r="E136" i="45" s="1"/>
  <c r="C88" i="45"/>
  <c r="E88" i="45" s="1"/>
  <c r="D15" i="44" s="1"/>
  <c r="E15" i="44" s="1"/>
  <c r="C95" i="45"/>
  <c r="C153" i="45" s="1"/>
  <c r="E153" i="45" s="1"/>
  <c r="C105" i="45"/>
  <c r="C163" i="45" s="1"/>
  <c r="E163" i="45" s="1"/>
  <c r="C115" i="45"/>
  <c r="C173" i="45" s="1"/>
  <c r="E173" i="45" s="1"/>
  <c r="C117" i="45"/>
  <c r="C175" i="45" s="1"/>
  <c r="E175" i="45" s="1"/>
  <c r="C116" i="45"/>
  <c r="E116" i="45" s="1"/>
  <c r="D43" i="44" s="1"/>
  <c r="E43" i="44" s="1"/>
  <c r="C89" i="45"/>
  <c r="C147" i="45" s="1"/>
  <c r="C119" i="45"/>
  <c r="C177" i="45" s="1"/>
  <c r="E177" i="45" s="1"/>
  <c r="C71" i="45"/>
  <c r="C81" i="45"/>
  <c r="C139" i="45" s="1"/>
  <c r="E139" i="45" s="1"/>
  <c r="C91" i="45"/>
  <c r="C149" i="45" s="1"/>
  <c r="E149" i="45" s="1"/>
  <c r="C101" i="45"/>
  <c r="C159" i="45" s="1"/>
  <c r="E159" i="45" s="1"/>
  <c r="C98" i="45"/>
  <c r="C156" i="45" s="1"/>
  <c r="E156" i="45" s="1"/>
  <c r="C108" i="45"/>
  <c r="C166" i="45" s="1"/>
  <c r="E166" i="45" s="1"/>
  <c r="E97" i="45"/>
  <c r="D24" i="44" s="1"/>
  <c r="E24" i="44" s="1"/>
  <c r="F23" i="49"/>
  <c r="J28" i="43" s="1"/>
  <c r="E23" i="49"/>
  <c r="D15" i="50"/>
  <c r="E15" i="50" s="1"/>
  <c r="F28" i="51"/>
  <c r="B141" i="46"/>
  <c r="H16" i="44"/>
  <c r="I16" i="44" s="1"/>
  <c r="K51" i="51"/>
  <c r="J51" i="51"/>
  <c r="G38" i="50"/>
  <c r="F30" i="49"/>
  <c r="J36" i="43" s="1"/>
  <c r="E30" i="49"/>
  <c r="F17" i="49"/>
  <c r="J17" i="43" s="1"/>
  <c r="E17" i="49"/>
  <c r="F33" i="49"/>
  <c r="J39" i="43" s="1"/>
  <c r="E33" i="49"/>
  <c r="B122" i="46"/>
  <c r="B118" i="46"/>
  <c r="B174" i="46" s="1"/>
  <c r="H26" i="44"/>
  <c r="I26" i="44" s="1"/>
  <c r="B149" i="46"/>
  <c r="B159" i="46"/>
  <c r="H36" i="44"/>
  <c r="I36" i="44" s="1"/>
  <c r="J52" i="51"/>
  <c r="K52" i="51"/>
  <c r="G39" i="50"/>
  <c r="H39" i="50" s="1"/>
  <c r="I39" i="50" s="1"/>
  <c r="K31" i="51"/>
  <c r="J31" i="51"/>
  <c r="G18" i="50"/>
  <c r="H18" i="50" s="1"/>
  <c r="I18" i="50" s="1"/>
  <c r="F22" i="51"/>
  <c r="D9" i="50"/>
  <c r="J44" i="51"/>
  <c r="K44" i="51"/>
  <c r="G31" i="50"/>
  <c r="K23" i="51"/>
  <c r="J23" i="51"/>
  <c r="G10" i="50"/>
  <c r="H10" i="50" s="1"/>
  <c r="I10" i="50" s="1"/>
  <c r="K19" i="51"/>
  <c r="J19" i="51"/>
  <c r="K9" i="51"/>
  <c r="F25" i="49"/>
  <c r="J30" i="43" s="1"/>
  <c r="E25" i="49"/>
  <c r="B171" i="46"/>
  <c r="H48" i="44"/>
  <c r="I48" i="44" s="1"/>
  <c r="K29" i="51"/>
  <c r="J29" i="51"/>
  <c r="G16" i="50"/>
  <c r="F60" i="51"/>
  <c r="D47" i="50"/>
  <c r="E47" i="50" s="1"/>
  <c r="F24" i="49"/>
  <c r="J29" i="43" s="1"/>
  <c r="E24" i="49"/>
  <c r="F14" i="49"/>
  <c r="J14" i="43" s="1"/>
  <c r="E14" i="49"/>
  <c r="B140" i="46"/>
  <c r="H15" i="44"/>
  <c r="I15" i="44" s="1"/>
  <c r="B144" i="46"/>
  <c r="H19" i="44"/>
  <c r="I19" i="44" s="1"/>
  <c r="C118" i="46"/>
  <c r="B134" i="46"/>
  <c r="H9" i="44"/>
  <c r="B157" i="46"/>
  <c r="H34" i="44"/>
  <c r="I34" i="44" s="1"/>
  <c r="B167" i="46"/>
  <c r="H44" i="44"/>
  <c r="I44" i="44" s="1"/>
  <c r="J20" i="51"/>
  <c r="K20" i="51"/>
  <c r="F61" i="51"/>
  <c r="D48" i="50"/>
  <c r="E48" i="50" s="1"/>
  <c r="K59" i="51"/>
  <c r="J59" i="51"/>
  <c r="G46" i="50"/>
  <c r="K26" i="51"/>
  <c r="J26" i="51"/>
  <c r="G13" i="50"/>
  <c r="K10" i="51"/>
  <c r="J10" i="51"/>
  <c r="B162" i="46"/>
  <c r="H39" i="44"/>
  <c r="I39" i="44" s="1"/>
  <c r="B151" i="46"/>
  <c r="H28" i="44"/>
  <c r="I28" i="44" s="1"/>
  <c r="J16" i="51"/>
  <c r="K16" i="51"/>
  <c r="K41" i="51"/>
  <c r="J41" i="51"/>
  <c r="G28" i="50"/>
  <c r="H28" i="50" s="1"/>
  <c r="C180" i="45"/>
  <c r="E180" i="45" s="1"/>
  <c r="E122" i="45"/>
  <c r="D49" i="44" s="1"/>
  <c r="E49" i="44" s="1"/>
  <c r="K62" i="51"/>
  <c r="J62" i="51"/>
  <c r="G49" i="50"/>
  <c r="F31" i="49"/>
  <c r="J37" i="43" s="1"/>
  <c r="E31" i="49"/>
  <c r="H13" i="44"/>
  <c r="I13" i="44" s="1"/>
  <c r="B138" i="46"/>
  <c r="C132" i="45"/>
  <c r="E132" i="45" s="1"/>
  <c r="E74" i="45"/>
  <c r="K37" i="51"/>
  <c r="J37" i="51"/>
  <c r="G24" i="50"/>
  <c r="H24" i="50" s="1"/>
  <c r="I24" i="50" s="1"/>
  <c r="F45" i="51"/>
  <c r="D32" i="50"/>
  <c r="E32" i="50" s="1"/>
  <c r="J56" i="51"/>
  <c r="K56" i="51"/>
  <c r="G43" i="50"/>
  <c r="F32" i="49"/>
  <c r="J38" i="43" s="1"/>
  <c r="E32" i="49"/>
  <c r="E11" i="49"/>
  <c r="F11" i="49"/>
  <c r="J10" i="43" s="1"/>
  <c r="F35" i="49"/>
  <c r="J42" i="43" s="1"/>
  <c r="E35" i="49"/>
  <c r="F21" i="49"/>
  <c r="J26" i="43" s="1"/>
  <c r="E21" i="49"/>
  <c r="H27" i="44"/>
  <c r="I27" i="44" s="1"/>
  <c r="B150" i="46"/>
  <c r="B154" i="46"/>
  <c r="H31" i="44"/>
  <c r="I31" i="44" s="1"/>
  <c r="B156" i="46"/>
  <c r="H33" i="44"/>
  <c r="I33" i="44" s="1"/>
  <c r="B147" i="46"/>
  <c r="H24" i="44"/>
  <c r="I24" i="44" s="1"/>
  <c r="B165" i="46"/>
  <c r="H42" i="44"/>
  <c r="I42" i="44" s="1"/>
  <c r="K35" i="51"/>
  <c r="J35" i="51"/>
  <c r="G22" i="50"/>
  <c r="H22" i="50" s="1"/>
  <c r="F26" i="51"/>
  <c r="D13" i="50"/>
  <c r="E13" i="50" s="1"/>
  <c r="E147" i="45"/>
  <c r="K27" i="51"/>
  <c r="J27" i="51"/>
  <c r="G14" i="50"/>
  <c r="F51" i="51"/>
  <c r="D38" i="50"/>
  <c r="E38" i="50" s="1"/>
  <c r="K49" i="51"/>
  <c r="J49" i="51"/>
  <c r="G36" i="50"/>
  <c r="K50" i="51"/>
  <c r="J50" i="51"/>
  <c r="G37" i="50"/>
  <c r="H37" i="50" s="1"/>
  <c r="I37" i="50" s="1"/>
  <c r="K47" i="51"/>
  <c r="J47" i="51"/>
  <c r="G34" i="50"/>
  <c r="H34" i="50" s="1"/>
  <c r="I34" i="50" s="1"/>
  <c r="F36" i="49"/>
  <c r="J43" i="43" s="1"/>
  <c r="E36" i="49"/>
  <c r="B168" i="46"/>
  <c r="H45" i="44"/>
  <c r="I45" i="44" s="1"/>
  <c r="I22" i="50"/>
  <c r="K21" i="51"/>
  <c r="J21" i="51"/>
  <c r="E78" i="45"/>
  <c r="J8" i="51"/>
  <c r="K8" i="51"/>
  <c r="C176" i="45"/>
  <c r="E176" i="45" s="1"/>
  <c r="E118" i="45"/>
  <c r="D45" i="44" s="1"/>
  <c r="E45" i="44" s="1"/>
  <c r="K33" i="51"/>
  <c r="J33" i="51"/>
  <c r="G20" i="50"/>
  <c r="J60" i="51"/>
  <c r="K60" i="51"/>
  <c r="G47" i="50"/>
  <c r="F8" i="51"/>
  <c r="E111" i="45"/>
  <c r="D38" i="44" s="1"/>
  <c r="E38" i="44" s="1"/>
  <c r="J24" i="51"/>
  <c r="K24" i="51"/>
  <c r="G11" i="50"/>
  <c r="F38" i="49"/>
  <c r="J48" i="43" s="1"/>
  <c r="E38" i="49"/>
  <c r="F40" i="49"/>
  <c r="J51" i="43" s="1"/>
  <c r="E40" i="49"/>
  <c r="F19" i="49"/>
  <c r="J19" i="43" s="1"/>
  <c r="E19" i="49"/>
  <c r="F29" i="49"/>
  <c r="J35" i="43" s="1"/>
  <c r="E29" i="49"/>
  <c r="B163" i="46"/>
  <c r="H40" i="44"/>
  <c r="I40" i="44" s="1"/>
  <c r="B166" i="46"/>
  <c r="H43" i="44"/>
  <c r="I43" i="44" s="1"/>
  <c r="B170" i="46"/>
  <c r="H47" i="44"/>
  <c r="I47" i="44" s="1"/>
  <c r="H37" i="44"/>
  <c r="I37" i="44" s="1"/>
  <c r="B160" i="46"/>
  <c r="H50" i="44"/>
  <c r="I50" i="44" s="1"/>
  <c r="B173" i="46"/>
  <c r="B137" i="46"/>
  <c r="H12" i="44"/>
  <c r="I12" i="44" s="1"/>
  <c r="E151" i="45"/>
  <c r="K42" i="51"/>
  <c r="J42" i="51"/>
  <c r="G29" i="50"/>
  <c r="H29" i="50" s="1"/>
  <c r="I29" i="50" s="1"/>
  <c r="F58" i="51"/>
  <c r="D45" i="50"/>
  <c r="E45" i="50" s="1"/>
  <c r="F30" i="51"/>
  <c r="D17" i="50"/>
  <c r="E17" i="50" s="1"/>
  <c r="E89" i="45"/>
  <c r="D16" i="44" s="1"/>
  <c r="E16" i="44" s="1"/>
  <c r="K54" i="51"/>
  <c r="J54" i="51"/>
  <c r="G41" i="50"/>
  <c r="H41" i="50" s="1"/>
  <c r="I41" i="50" s="1"/>
  <c r="K17" i="51"/>
  <c r="J17" i="51"/>
  <c r="E99" i="45"/>
  <c r="D26" i="44" s="1"/>
  <c r="E26" i="44" s="1"/>
  <c r="K15" i="51"/>
  <c r="J15" i="51"/>
  <c r="F33" i="51"/>
  <c r="D20" i="50"/>
  <c r="E20" i="50" s="1"/>
  <c r="F27" i="49"/>
  <c r="J33" i="43" s="1"/>
  <c r="E27" i="49"/>
  <c r="J28" i="51"/>
  <c r="K28" i="51"/>
  <c r="G15" i="50"/>
  <c r="I28" i="50"/>
  <c r="E169" i="45"/>
  <c r="K39" i="51"/>
  <c r="J39" i="51"/>
  <c r="G26" i="50"/>
  <c r="H26" i="50" s="1"/>
  <c r="I26" i="50" s="1"/>
  <c r="C49" i="54"/>
  <c r="F26" i="49"/>
  <c r="J31" i="43" s="1"/>
  <c r="E26" i="49"/>
  <c r="F13" i="49"/>
  <c r="J13" i="43" s="1"/>
  <c r="E13" i="49"/>
  <c r="F37" i="49"/>
  <c r="J46" i="43" s="1"/>
  <c r="E37" i="49"/>
  <c r="H49" i="44"/>
  <c r="I49" i="44" s="1"/>
  <c r="B172" i="46"/>
  <c r="B145" i="46"/>
  <c r="H20" i="44"/>
  <c r="I20" i="44" s="1"/>
  <c r="E77" i="45"/>
  <c r="K18" i="51"/>
  <c r="J18" i="51"/>
  <c r="F44" i="51"/>
  <c r="D31" i="50"/>
  <c r="E31" i="50" s="1"/>
  <c r="K57" i="51"/>
  <c r="J57" i="51"/>
  <c r="G44" i="50"/>
  <c r="K58" i="51"/>
  <c r="J58" i="51"/>
  <c r="G45" i="50"/>
  <c r="H45" i="50" s="1"/>
  <c r="F62" i="51"/>
  <c r="D49" i="50"/>
  <c r="E49" i="50" s="1"/>
  <c r="K14" i="51"/>
  <c r="J14" i="51"/>
  <c r="J40" i="51"/>
  <c r="K40" i="51"/>
  <c r="G27" i="50"/>
  <c r="H27" i="50" s="1"/>
  <c r="I27" i="50" s="1"/>
  <c r="K45" i="51"/>
  <c r="J45" i="51"/>
  <c r="G32" i="50"/>
  <c r="H32" i="50" s="1"/>
  <c r="F25" i="51"/>
  <c r="D12" i="50"/>
  <c r="E12" i="50" s="1"/>
  <c r="E157" i="45"/>
  <c r="K22" i="51"/>
  <c r="J22" i="51"/>
  <c r="G9" i="50"/>
  <c r="K43" i="51"/>
  <c r="J43" i="51"/>
  <c r="G30" i="50"/>
  <c r="F16" i="49"/>
  <c r="J16" i="43" s="1"/>
  <c r="E16" i="49"/>
  <c r="F39" i="49"/>
  <c r="J50" i="43" s="1"/>
  <c r="E39" i="49"/>
  <c r="C51" i="54"/>
  <c r="D10" i="49"/>
  <c r="C9" i="43" s="1"/>
  <c r="F34" i="49"/>
  <c r="J41" i="43" s="1"/>
  <c r="E34" i="49"/>
  <c r="E20" i="49"/>
  <c r="F20" i="49"/>
  <c r="J25" i="43" s="1"/>
  <c r="K46" i="51"/>
  <c r="J46" i="51"/>
  <c r="G33" i="50"/>
  <c r="H33" i="50" s="1"/>
  <c r="I33" i="50" s="1"/>
  <c r="B136" i="46"/>
  <c r="H11" i="44"/>
  <c r="I11" i="44" s="1"/>
  <c r="B139" i="46"/>
  <c r="H14" i="44"/>
  <c r="I14" i="44" s="1"/>
  <c r="B142" i="46"/>
  <c r="H17" i="44"/>
  <c r="I17" i="44" s="1"/>
  <c r="B146" i="46"/>
  <c r="H23" i="44"/>
  <c r="I23" i="44" s="1"/>
  <c r="B135" i="46"/>
  <c r="H10" i="44"/>
  <c r="I10" i="44" s="1"/>
  <c r="B153" i="46"/>
  <c r="H30" i="44"/>
  <c r="I30" i="44" s="1"/>
  <c r="F36" i="51"/>
  <c r="D23" i="50"/>
  <c r="E23" i="50" s="1"/>
  <c r="K25" i="51"/>
  <c r="J25" i="51"/>
  <c r="G12" i="50"/>
  <c r="F43" i="51"/>
  <c r="D30" i="50"/>
  <c r="E30" i="50" s="1"/>
  <c r="E73" i="45"/>
  <c r="E87" i="45"/>
  <c r="D14" i="44" s="1"/>
  <c r="E14" i="44" s="1"/>
  <c r="K13" i="51"/>
  <c r="J13" i="51"/>
  <c r="F29" i="51"/>
  <c r="D16" i="50"/>
  <c r="E16" i="50" s="1"/>
  <c r="C138" i="45"/>
  <c r="E138" i="45" s="1"/>
  <c r="E80" i="45"/>
  <c r="F34" i="51"/>
  <c r="D21" i="50"/>
  <c r="E21" i="50" s="1"/>
  <c r="F12" i="49"/>
  <c r="J11" i="43" s="1"/>
  <c r="E12" i="49"/>
  <c r="B164" i="46"/>
  <c r="H41" i="44"/>
  <c r="I41" i="44" s="1"/>
  <c r="B169" i="46"/>
  <c r="H46" i="44"/>
  <c r="I46" i="44" s="1"/>
  <c r="C144" i="45"/>
  <c r="E144" i="45" s="1"/>
  <c r="E86" i="45"/>
  <c r="D13" i="44" s="1"/>
  <c r="E13" i="44" s="1"/>
  <c r="K11" i="51"/>
  <c r="J11" i="51"/>
  <c r="F56" i="51"/>
  <c r="D43" i="50"/>
  <c r="E43" i="50" s="1"/>
  <c r="F22" i="49"/>
  <c r="J27" i="43" s="1"/>
  <c r="E22" i="49"/>
  <c r="F15" i="49"/>
  <c r="J15" i="43" s="1"/>
  <c r="E15" i="49"/>
  <c r="F18" i="49"/>
  <c r="J18" i="43" s="1"/>
  <c r="E18" i="49"/>
  <c r="F28" i="49"/>
  <c r="J34" i="43" s="1"/>
  <c r="E28" i="49"/>
  <c r="H25" i="44"/>
  <c r="I25" i="44" s="1"/>
  <c r="B148" i="46"/>
  <c r="H29" i="44"/>
  <c r="I29" i="44" s="1"/>
  <c r="B152" i="46"/>
  <c r="B155" i="46"/>
  <c r="H32" i="44"/>
  <c r="I32" i="44" s="1"/>
  <c r="H35" i="44"/>
  <c r="I35" i="44" s="1"/>
  <c r="B158" i="46"/>
  <c r="B143" i="46"/>
  <c r="H18" i="44"/>
  <c r="I18" i="44" s="1"/>
  <c r="B161" i="46"/>
  <c r="H38" i="44"/>
  <c r="I38" i="44" s="1"/>
  <c r="K61" i="51"/>
  <c r="J61" i="51"/>
  <c r="G48" i="50"/>
  <c r="F55" i="51"/>
  <c r="D42" i="50"/>
  <c r="E42" i="50" s="1"/>
  <c r="D124" i="45"/>
  <c r="D182" i="45" s="1"/>
  <c r="D128" i="45"/>
  <c r="J48" i="51"/>
  <c r="K48" i="51"/>
  <c r="G35" i="50"/>
  <c r="E179" i="45"/>
  <c r="K53" i="51"/>
  <c r="J53" i="51"/>
  <c r="G40" i="50"/>
  <c r="J55" i="51"/>
  <c r="J36" i="51"/>
  <c r="K36" i="51"/>
  <c r="G23" i="50"/>
  <c r="E141" i="45"/>
  <c r="K16" i="44" l="1"/>
  <c r="E75" i="45"/>
  <c r="E85" i="45"/>
  <c r="D12" i="44" s="1"/>
  <c r="E12" i="44" s="1"/>
  <c r="E94" i="45"/>
  <c r="D21" i="44" s="1"/>
  <c r="E21" i="44" s="1"/>
  <c r="K21" i="44" s="1"/>
  <c r="L21" i="44" s="1"/>
  <c r="I21" i="43" s="1"/>
  <c r="E121" i="45"/>
  <c r="D48" i="44" s="1"/>
  <c r="E48" i="44" s="1"/>
  <c r="C164" i="45"/>
  <c r="E164" i="45" s="1"/>
  <c r="E115" i="45"/>
  <c r="D42" i="44" s="1"/>
  <c r="E42" i="44" s="1"/>
  <c r="K42" i="44" s="1"/>
  <c r="L42" i="44" s="1"/>
  <c r="I42" i="43" s="1"/>
  <c r="E84" i="45"/>
  <c r="D11" i="44" s="1"/>
  <c r="E11" i="44" s="1"/>
  <c r="E123" i="45"/>
  <c r="D50" i="44" s="1"/>
  <c r="E50" i="44" s="1"/>
  <c r="K50" i="44" s="1"/>
  <c r="E100" i="45"/>
  <c r="D27" i="44" s="1"/>
  <c r="E27" i="44" s="1"/>
  <c r="I65" i="51"/>
  <c r="H11" i="50"/>
  <c r="I11" i="50" s="1"/>
  <c r="I63" i="51"/>
  <c r="G19" i="50"/>
  <c r="H19" i="50" s="1"/>
  <c r="I19" i="50" s="1"/>
  <c r="H15" i="50"/>
  <c r="K32" i="51"/>
  <c r="K63" i="51" s="1"/>
  <c r="J12" i="51"/>
  <c r="H23" i="50"/>
  <c r="E63" i="51"/>
  <c r="D46" i="50"/>
  <c r="E46" i="50" s="1"/>
  <c r="F59" i="51"/>
  <c r="H47" i="50"/>
  <c r="H14" i="50"/>
  <c r="I14" i="50" s="1"/>
  <c r="J14" i="50" s="1"/>
  <c r="K14" i="43" s="1"/>
  <c r="J38" i="51"/>
  <c r="F38" i="51"/>
  <c r="D25" i="50"/>
  <c r="H48" i="50"/>
  <c r="H35" i="50"/>
  <c r="I35" i="50" s="1"/>
  <c r="H36" i="50"/>
  <c r="I36" i="50" s="1"/>
  <c r="D38" i="43" s="1"/>
  <c r="J9" i="51"/>
  <c r="F53" i="51"/>
  <c r="D40" i="50"/>
  <c r="E40" i="50" s="1"/>
  <c r="F57" i="51"/>
  <c r="D44" i="50"/>
  <c r="E44" i="50" s="1"/>
  <c r="H42" i="50"/>
  <c r="J39" i="50"/>
  <c r="K41" i="43" s="1"/>
  <c r="D41" i="43"/>
  <c r="J10" i="50"/>
  <c r="K10" i="43" s="1"/>
  <c r="D10" i="43"/>
  <c r="J34" i="50"/>
  <c r="K36" i="43" s="1"/>
  <c r="D36" i="43"/>
  <c r="J18" i="50"/>
  <c r="K18" i="43" s="1"/>
  <c r="D18" i="43"/>
  <c r="J27" i="50"/>
  <c r="K28" i="43" s="1"/>
  <c r="D28" i="43"/>
  <c r="J41" i="50"/>
  <c r="K43" i="43" s="1"/>
  <c r="D43" i="43"/>
  <c r="J29" i="50"/>
  <c r="K30" i="43" s="1"/>
  <c r="D30" i="43"/>
  <c r="J35" i="50"/>
  <c r="K37" i="43" s="1"/>
  <c r="D37" i="43"/>
  <c r="H30" i="50"/>
  <c r="I30" i="50" s="1"/>
  <c r="J28" i="50"/>
  <c r="K29" i="43" s="1"/>
  <c r="D29" i="43"/>
  <c r="J19" i="50"/>
  <c r="K20" i="43" s="1"/>
  <c r="D20" i="43"/>
  <c r="J36" i="50"/>
  <c r="K38" i="43" s="1"/>
  <c r="J22" i="50"/>
  <c r="K23" i="43" s="1"/>
  <c r="D23" i="43"/>
  <c r="J24" i="50"/>
  <c r="K25" i="43" s="1"/>
  <c r="D25" i="43"/>
  <c r="J33" i="50"/>
  <c r="K35" i="43" s="1"/>
  <c r="D35" i="43"/>
  <c r="J26" i="50"/>
  <c r="K27" i="43" s="1"/>
  <c r="D27" i="43"/>
  <c r="J37" i="50"/>
  <c r="K39" i="43" s="1"/>
  <c r="D39" i="43"/>
  <c r="E114" i="45"/>
  <c r="D41" i="44" s="1"/>
  <c r="E41" i="44" s="1"/>
  <c r="E119" i="45"/>
  <c r="D46" i="44" s="1"/>
  <c r="E46" i="44" s="1"/>
  <c r="C146" i="45"/>
  <c r="E146" i="45" s="1"/>
  <c r="E107" i="45"/>
  <c r="D34" i="44" s="1"/>
  <c r="E34" i="44" s="1"/>
  <c r="K34" i="44" s="1"/>
  <c r="E83" i="45"/>
  <c r="D10" i="44" s="1"/>
  <c r="E10" i="44" s="1"/>
  <c r="K10" i="44" s="1"/>
  <c r="L10" i="44" s="1"/>
  <c r="I10" i="43" s="1"/>
  <c r="E104" i="45"/>
  <c r="D31" i="44" s="1"/>
  <c r="E31" i="44" s="1"/>
  <c r="K31" i="44" s="1"/>
  <c r="B31" i="43" s="1"/>
  <c r="E103" i="45"/>
  <c r="D30" i="44" s="1"/>
  <c r="E30" i="44" s="1"/>
  <c r="K30" i="44" s="1"/>
  <c r="E96" i="45"/>
  <c r="D23" i="44" s="1"/>
  <c r="E23" i="44" s="1"/>
  <c r="K23" i="44" s="1"/>
  <c r="C128" i="45"/>
  <c r="E95" i="45"/>
  <c r="D22" i="44" s="1"/>
  <c r="E22" i="44" s="1"/>
  <c r="K22" i="44" s="1"/>
  <c r="B22" i="43" s="1"/>
  <c r="E91" i="45"/>
  <c r="D18" i="44" s="1"/>
  <c r="E18" i="44" s="1"/>
  <c r="K18" i="44" s="1"/>
  <c r="E101" i="45"/>
  <c r="D28" i="44" s="1"/>
  <c r="E28" i="44" s="1"/>
  <c r="K28" i="44" s="1"/>
  <c r="E102" i="45"/>
  <c r="D29" i="44" s="1"/>
  <c r="E29" i="44" s="1"/>
  <c r="K29" i="44" s="1"/>
  <c r="C130" i="45"/>
  <c r="E130" i="45" s="1"/>
  <c r="K27" i="44"/>
  <c r="L27" i="44" s="1"/>
  <c r="I27" i="43" s="1"/>
  <c r="E120" i="45"/>
  <c r="D47" i="44" s="1"/>
  <c r="E47" i="44" s="1"/>
  <c r="K47" i="44" s="1"/>
  <c r="L47" i="44" s="1"/>
  <c r="I48" i="43" s="1"/>
  <c r="C168" i="45"/>
  <c r="E168" i="45" s="1"/>
  <c r="K48" i="44"/>
  <c r="B49" i="43" s="1"/>
  <c r="C174" i="45"/>
  <c r="E174" i="45" s="1"/>
  <c r="C124" i="45"/>
  <c r="C182" i="45" s="1"/>
  <c r="E182" i="45" s="1"/>
  <c r="E117" i="45"/>
  <c r="D44" i="44" s="1"/>
  <c r="E44" i="44" s="1"/>
  <c r="K44" i="44" s="1"/>
  <c r="L44" i="44" s="1"/>
  <c r="I44" i="43" s="1"/>
  <c r="C148" i="45"/>
  <c r="E148" i="45" s="1"/>
  <c r="E82" i="45"/>
  <c r="D9" i="44" s="1"/>
  <c r="E81" i="45"/>
  <c r="E76" i="45"/>
  <c r="C134" i="45"/>
  <c r="E134" i="45" s="1"/>
  <c r="E93" i="45"/>
  <c r="D20" i="44" s="1"/>
  <c r="E20" i="44" s="1"/>
  <c r="K20" i="44" s="1"/>
  <c r="E105" i="45"/>
  <c r="D32" i="44" s="1"/>
  <c r="E32" i="44" s="1"/>
  <c r="K32" i="44" s="1"/>
  <c r="E112" i="45"/>
  <c r="D39" i="44" s="1"/>
  <c r="E39" i="44" s="1"/>
  <c r="K39" i="44" s="1"/>
  <c r="E109" i="45"/>
  <c r="D36" i="44" s="1"/>
  <c r="E36" i="44" s="1"/>
  <c r="K36" i="44" s="1"/>
  <c r="K33" i="44"/>
  <c r="B33" i="43" s="1"/>
  <c r="E108" i="45"/>
  <c r="D35" i="44" s="1"/>
  <c r="E35" i="44" s="1"/>
  <c r="K35" i="44" s="1"/>
  <c r="E98" i="45"/>
  <c r="D25" i="44" s="1"/>
  <c r="E25" i="44" s="1"/>
  <c r="K25" i="44" s="1"/>
  <c r="L25" i="44" s="1"/>
  <c r="I25" i="43" s="1"/>
  <c r="E92" i="45"/>
  <c r="D19" i="44" s="1"/>
  <c r="E19" i="44" s="1"/>
  <c r="K19" i="44" s="1"/>
  <c r="C129" i="45"/>
  <c r="E129" i="45" s="1"/>
  <c r="E71" i="45"/>
  <c r="E113" i="45"/>
  <c r="D40" i="44" s="1"/>
  <c r="E40" i="44" s="1"/>
  <c r="K40" i="44" s="1"/>
  <c r="E79" i="45"/>
  <c r="K14" i="44"/>
  <c r="L14" i="44" s="1"/>
  <c r="I14" i="43" s="1"/>
  <c r="K26" i="44"/>
  <c r="L26" i="44" s="1"/>
  <c r="I26" i="43" s="1"/>
  <c r="K24" i="44"/>
  <c r="B24" i="43" s="1"/>
  <c r="K13" i="44"/>
  <c r="L13" i="44" s="1"/>
  <c r="I13" i="43" s="1"/>
  <c r="L16" i="44"/>
  <c r="I16" i="43" s="1"/>
  <c r="B16" i="43"/>
  <c r="L48" i="44"/>
  <c r="I49" i="43" s="1"/>
  <c r="B21" i="43"/>
  <c r="L22" i="44"/>
  <c r="I22" i="43" s="1"/>
  <c r="K43" i="44"/>
  <c r="K45" i="44"/>
  <c r="E9" i="50"/>
  <c r="I23" i="50"/>
  <c r="K37" i="44"/>
  <c r="K12" i="44"/>
  <c r="H17" i="50"/>
  <c r="I17" i="50" s="1"/>
  <c r="H16" i="50"/>
  <c r="I16" i="50" s="1"/>
  <c r="K49" i="44"/>
  <c r="K46" i="44"/>
  <c r="H51" i="44"/>
  <c r="I9" i="44"/>
  <c r="I51" i="44" s="1"/>
  <c r="H9" i="55" s="1"/>
  <c r="I15" i="50"/>
  <c r="I32" i="50"/>
  <c r="C174" i="46"/>
  <c r="H9" i="50"/>
  <c r="G50" i="50"/>
  <c r="I42" i="50"/>
  <c r="J65" i="51"/>
  <c r="K38" i="44"/>
  <c r="E128" i="45"/>
  <c r="K11" i="44"/>
  <c r="H31" i="50"/>
  <c r="I31" i="50" s="1"/>
  <c r="H38" i="50"/>
  <c r="I38" i="50" s="1"/>
  <c r="D41" i="49"/>
  <c r="H12" i="55" s="1"/>
  <c r="F10" i="49"/>
  <c r="E10" i="49"/>
  <c r="E41" i="49" s="1"/>
  <c r="H21" i="50"/>
  <c r="I21" i="50" s="1"/>
  <c r="H12" i="50"/>
  <c r="I12" i="50" s="1"/>
  <c r="K17" i="44"/>
  <c r="K41" i="44"/>
  <c r="H49" i="50"/>
  <c r="I49" i="50" s="1"/>
  <c r="K15" i="44"/>
  <c r="H13" i="50"/>
  <c r="I13" i="50" s="1"/>
  <c r="I45" i="50"/>
  <c r="H20" i="50"/>
  <c r="I20" i="50" s="1"/>
  <c r="H43" i="50"/>
  <c r="I43" i="50" s="1"/>
  <c r="I48" i="50"/>
  <c r="I47" i="50"/>
  <c r="F182" i="45" l="1"/>
  <c r="J11" i="50"/>
  <c r="K11" i="43" s="1"/>
  <c r="D11" i="43"/>
  <c r="J63" i="51"/>
  <c r="K65" i="51"/>
  <c r="H40" i="50"/>
  <c r="I40" i="50" s="1"/>
  <c r="H46" i="50"/>
  <c r="I46" i="50" s="1"/>
  <c r="F65" i="51"/>
  <c r="F63" i="51"/>
  <c r="H44" i="50"/>
  <c r="I44" i="50" s="1"/>
  <c r="E25" i="50"/>
  <c r="H25" i="50"/>
  <c r="D50" i="50"/>
  <c r="D14" i="43"/>
  <c r="J21" i="50"/>
  <c r="K22" i="43" s="1"/>
  <c r="D22" i="43"/>
  <c r="J20" i="50"/>
  <c r="K21" i="43" s="1"/>
  <c r="D21" i="43"/>
  <c r="J49" i="50"/>
  <c r="K51" i="43" s="1"/>
  <c r="D51" i="43"/>
  <c r="J47" i="50"/>
  <c r="K49" i="43" s="1"/>
  <c r="D49" i="43"/>
  <c r="J13" i="50"/>
  <c r="K13" i="43" s="1"/>
  <c r="D13" i="43"/>
  <c r="J42" i="50"/>
  <c r="K44" i="43" s="1"/>
  <c r="D44" i="43"/>
  <c r="J23" i="50"/>
  <c r="K24" i="43" s="1"/>
  <c r="D24" i="43"/>
  <c r="J15" i="50"/>
  <c r="K15" i="43" s="1"/>
  <c r="D15" i="43"/>
  <c r="J31" i="50"/>
  <c r="K32" i="43" s="1"/>
  <c r="D32" i="43"/>
  <c r="J48" i="50"/>
  <c r="K50" i="43" s="1"/>
  <c r="D50" i="43"/>
  <c r="J12" i="50"/>
  <c r="K12" i="43" s="1"/>
  <c r="D12" i="43"/>
  <c r="J30" i="50"/>
  <c r="K31" i="43" s="1"/>
  <c r="D31" i="43"/>
  <c r="J38" i="50"/>
  <c r="K40" i="43" s="1"/>
  <c r="D40" i="43"/>
  <c r="J43" i="50"/>
  <c r="K45" i="43" s="1"/>
  <c r="D45" i="43"/>
  <c r="J45" i="50"/>
  <c r="K47" i="43" s="1"/>
  <c r="D47" i="43"/>
  <c r="J16" i="50"/>
  <c r="K16" i="43" s="1"/>
  <c r="D16" i="43"/>
  <c r="J17" i="50"/>
  <c r="K17" i="43" s="1"/>
  <c r="D17" i="43"/>
  <c r="J32" i="50"/>
  <c r="K34" i="43" s="1"/>
  <c r="D34" i="43"/>
  <c r="F41" i="49"/>
  <c r="J9" i="43"/>
  <c r="B48" i="43"/>
  <c r="L33" i="44"/>
  <c r="I33" i="43" s="1"/>
  <c r="B27" i="43"/>
  <c r="B10" i="43"/>
  <c r="L31" i="44"/>
  <c r="I31" i="43" s="1"/>
  <c r="L24" i="44"/>
  <c r="I24" i="43" s="1"/>
  <c r="F124" i="45"/>
  <c r="E124" i="45"/>
  <c r="L36" i="44"/>
  <c r="I36" i="43" s="1"/>
  <c r="B36" i="43"/>
  <c r="L40" i="44"/>
  <c r="I40" i="43" s="1"/>
  <c r="B40" i="43"/>
  <c r="B14" i="43"/>
  <c r="B44" i="43"/>
  <c r="B25" i="43"/>
  <c r="B26" i="43"/>
  <c r="B42" i="43"/>
  <c r="B13" i="43"/>
  <c r="L18" i="44"/>
  <c r="I18" i="43" s="1"/>
  <c r="B18" i="43"/>
  <c r="L19" i="44"/>
  <c r="I19" i="43" s="1"/>
  <c r="B19" i="43"/>
  <c r="L38" i="44"/>
  <c r="I38" i="43" s="1"/>
  <c r="B38" i="43"/>
  <c r="L49" i="44"/>
  <c r="I50" i="43" s="1"/>
  <c r="B50" i="43"/>
  <c r="L34" i="44"/>
  <c r="I34" i="43" s="1"/>
  <c r="B34" i="43"/>
  <c r="L46" i="44"/>
  <c r="I46" i="43" s="1"/>
  <c r="B46" i="43"/>
  <c r="L28" i="44"/>
  <c r="I28" i="43" s="1"/>
  <c r="B28" i="43"/>
  <c r="L32" i="44"/>
  <c r="I32" i="43" s="1"/>
  <c r="B32" i="43"/>
  <c r="L15" i="44"/>
  <c r="I15" i="43" s="1"/>
  <c r="B15" i="43"/>
  <c r="L35" i="44"/>
  <c r="I35" i="43" s="1"/>
  <c r="B35" i="43"/>
  <c r="L43" i="44"/>
  <c r="I43" i="43" s="1"/>
  <c r="B43" i="43"/>
  <c r="L29" i="44"/>
  <c r="I29" i="43" s="1"/>
  <c r="B29" i="43"/>
  <c r="L30" i="44"/>
  <c r="I30" i="43" s="1"/>
  <c r="B30" i="43"/>
  <c r="L41" i="44"/>
  <c r="I41" i="43" s="1"/>
  <c r="B41" i="43"/>
  <c r="L39" i="44"/>
  <c r="I39" i="43" s="1"/>
  <c r="B39" i="43"/>
  <c r="L50" i="44"/>
  <c r="I51" i="43" s="1"/>
  <c r="B51" i="43"/>
  <c r="L45" i="44"/>
  <c r="I45" i="43" s="1"/>
  <c r="B45" i="43"/>
  <c r="L17" i="44"/>
  <c r="I17" i="43" s="1"/>
  <c r="B17" i="43"/>
  <c r="L37" i="44"/>
  <c r="I37" i="43" s="1"/>
  <c r="B37" i="43"/>
  <c r="L23" i="44"/>
  <c r="I23" i="43" s="1"/>
  <c r="B23" i="43"/>
  <c r="L11" i="44"/>
  <c r="I11" i="43" s="1"/>
  <c r="B11" i="43"/>
  <c r="L12" i="44"/>
  <c r="I12" i="43" s="1"/>
  <c r="B12" i="43"/>
  <c r="L20" i="44"/>
  <c r="I20" i="43" s="1"/>
  <c r="B20" i="43"/>
  <c r="I9" i="50"/>
  <c r="D9" i="43" s="1"/>
  <c r="E50" i="50"/>
  <c r="H10" i="55" s="1"/>
  <c r="D51" i="44"/>
  <c r="E9" i="44"/>
  <c r="J46" i="50" l="1"/>
  <c r="K48" i="43" s="1"/>
  <c r="D48" i="43"/>
  <c r="D42" i="43"/>
  <c r="J40" i="50"/>
  <c r="K42" i="43" s="1"/>
  <c r="J44" i="50"/>
  <c r="K46" i="43" s="1"/>
  <c r="D46" i="43"/>
  <c r="H50" i="50"/>
  <c r="H11" i="55" s="1"/>
  <c r="I25" i="50"/>
  <c r="I50" i="50" s="1"/>
  <c r="E51" i="44"/>
  <c r="H8" i="55" s="1"/>
  <c r="K9" i="44"/>
  <c r="B9" i="43" s="1"/>
  <c r="J9" i="50"/>
  <c r="H13" i="55" l="1"/>
  <c r="H20" i="55" s="1"/>
  <c r="H22" i="55" s="1"/>
  <c r="H25" i="55" s="1"/>
  <c r="R17" i="43" s="1"/>
  <c r="J25" i="50"/>
  <c r="K26" i="43" s="1"/>
  <c r="D26" i="43"/>
  <c r="K9" i="43"/>
  <c r="K51" i="44"/>
  <c r="L9" i="44"/>
  <c r="Q17" i="43" l="1"/>
  <c r="J50" i="50"/>
  <c r="L51" i="44"/>
  <c r="I9" i="43"/>
  <c r="L52" i="43" l="1"/>
  <c r="E52" i="43"/>
  <c r="R19" i="43"/>
  <c r="M12" i="43" l="1"/>
  <c r="M16" i="43"/>
  <c r="M17" i="43"/>
  <c r="M18" i="43"/>
  <c r="M23" i="43"/>
  <c r="M27" i="43"/>
  <c r="M31" i="43"/>
  <c r="M35" i="43"/>
  <c r="M39" i="43"/>
  <c r="M43" i="43"/>
  <c r="M47" i="43"/>
  <c r="F50" i="43"/>
  <c r="F49" i="43"/>
  <c r="M20" i="43"/>
  <c r="M28" i="43"/>
  <c r="M36" i="43"/>
  <c r="M40" i="43"/>
  <c r="M44" i="43"/>
  <c r="M13" i="43"/>
  <c r="M24" i="43"/>
  <c r="M32" i="43"/>
  <c r="M48" i="43"/>
  <c r="F10" i="43"/>
  <c r="F14" i="43"/>
  <c r="F21" i="43"/>
  <c r="F25" i="43"/>
  <c r="F29" i="43"/>
  <c r="F48" i="43"/>
  <c r="C52" i="43"/>
  <c r="M10" i="43"/>
  <c r="M14" i="43"/>
  <c r="J52" i="43"/>
  <c r="F11" i="43"/>
  <c r="F15" i="43"/>
  <c r="F17" i="43"/>
  <c r="F22" i="43"/>
  <c r="F26" i="43"/>
  <c r="F30" i="43"/>
  <c r="F34" i="43"/>
  <c r="F38" i="43"/>
  <c r="F42" i="43"/>
  <c r="F46" i="43"/>
  <c r="M49" i="43"/>
  <c r="I52" i="43"/>
  <c r="F33" i="43"/>
  <c r="F37" i="43"/>
  <c r="F41" i="43"/>
  <c r="F45" i="43"/>
  <c r="K52" i="43"/>
  <c r="M11" i="43"/>
  <c r="M15" i="43"/>
  <c r="M19" i="43"/>
  <c r="M22" i="43"/>
  <c r="M26" i="43"/>
  <c r="M30" i="43"/>
  <c r="M34" i="43"/>
  <c r="M38" i="43"/>
  <c r="M42" i="43"/>
  <c r="M46" i="43"/>
  <c r="F51" i="43"/>
  <c r="F9" i="43"/>
  <c r="F13" i="43"/>
  <c r="Q19" i="43"/>
  <c r="F20" i="43"/>
  <c r="F24" i="43"/>
  <c r="F28" i="43"/>
  <c r="F32" i="43"/>
  <c r="F36" i="43"/>
  <c r="F40" i="43"/>
  <c r="F44" i="43"/>
  <c r="M51" i="43"/>
  <c r="M21" i="43"/>
  <c r="M25" i="43"/>
  <c r="M29" i="43"/>
  <c r="M41" i="43"/>
  <c r="M45" i="43"/>
  <c r="M33" i="43"/>
  <c r="M37" i="43"/>
  <c r="F12" i="43"/>
  <c r="F16" i="43"/>
  <c r="F18" i="43"/>
  <c r="F19" i="43"/>
  <c r="F23" i="43"/>
  <c r="F27" i="43"/>
  <c r="F31" i="43"/>
  <c r="F35" i="43"/>
  <c r="F39" i="43"/>
  <c r="F43" i="43"/>
  <c r="F47" i="43"/>
  <c r="M50" i="43"/>
  <c r="M9" i="43"/>
  <c r="D52" i="43"/>
  <c r="B52" i="43"/>
  <c r="F52" i="43" l="1"/>
  <c r="M52" i="43"/>
  <c r="D85" i="42" l="1"/>
  <c r="D72" i="42"/>
  <c r="I61" i="42"/>
  <c r="D59" i="42"/>
  <c r="I52" i="42"/>
  <c r="D46" i="42"/>
  <c r="I43" i="42"/>
  <c r="I34" i="42"/>
  <c r="D33" i="42"/>
  <c r="I25" i="42"/>
  <c r="D20" i="42"/>
  <c r="I16" i="42"/>
  <c r="G48" i="39"/>
  <c r="I48" i="39" s="1"/>
  <c r="G47" i="39"/>
  <c r="I47" i="39" s="1"/>
  <c r="G46" i="39"/>
  <c r="I46" i="39" s="1"/>
  <c r="E43" i="39"/>
  <c r="G43" i="39" s="1"/>
  <c r="I43" i="39" s="1"/>
  <c r="H38" i="39"/>
  <c r="E38" i="39"/>
  <c r="G38" i="39" s="1"/>
  <c r="E37" i="39"/>
  <c r="G37" i="39" s="1"/>
  <c r="I37" i="39" s="1"/>
  <c r="H35" i="39"/>
  <c r="E35" i="39"/>
  <c r="G35" i="39" s="1"/>
  <c r="H34" i="39"/>
  <c r="E34" i="39"/>
  <c r="G34" i="39" s="1"/>
  <c r="H33" i="39"/>
  <c r="E33" i="39"/>
  <c r="G33" i="39" s="1"/>
  <c r="H32" i="39"/>
  <c r="E32" i="39"/>
  <c r="G32" i="39" s="1"/>
  <c r="H30" i="39"/>
  <c r="F30" i="39"/>
  <c r="H29" i="39"/>
  <c r="F29" i="39"/>
  <c r="H28" i="39"/>
  <c r="F28" i="39"/>
  <c r="H27" i="39"/>
  <c r="F27" i="39"/>
  <c r="E27" i="39"/>
  <c r="H25" i="39"/>
  <c r="F25" i="39"/>
  <c r="H24" i="39"/>
  <c r="F24" i="39"/>
  <c r="H23" i="39"/>
  <c r="F23" i="39"/>
  <c r="H22" i="39"/>
  <c r="F22" i="39"/>
  <c r="E22" i="39"/>
  <c r="E23" i="39" s="1"/>
  <c r="H20" i="39"/>
  <c r="F20" i="39"/>
  <c r="H19" i="39"/>
  <c r="F19" i="39"/>
  <c r="H18" i="39"/>
  <c r="F18" i="39"/>
  <c r="H17" i="39"/>
  <c r="F17" i="39"/>
  <c r="E17" i="39"/>
  <c r="E18" i="39" s="1"/>
  <c r="E19" i="39" s="1"/>
  <c r="H15" i="39"/>
  <c r="F15" i="39"/>
  <c r="H14" i="39"/>
  <c r="F14" i="39"/>
  <c r="H13" i="39"/>
  <c r="F13" i="39"/>
  <c r="H12" i="39"/>
  <c r="F12" i="39"/>
  <c r="E12" i="39"/>
  <c r="A11" i="39"/>
  <c r="A12" i="39" s="1"/>
  <c r="A13" i="39" s="1"/>
  <c r="A14" i="39" s="1"/>
  <c r="A15" i="39" s="1"/>
  <c r="A16" i="39" s="1"/>
  <c r="A17" i="39" s="1"/>
  <c r="A18" i="39" s="1"/>
  <c r="A19" i="39" s="1"/>
  <c r="A20" i="39" s="1"/>
  <c r="A21" i="39" s="1"/>
  <c r="A22" i="39" s="1"/>
  <c r="A23" i="39" s="1"/>
  <c r="A24" i="39" s="1"/>
  <c r="A25" i="39" s="1"/>
  <c r="A26" i="39" s="1"/>
  <c r="A27" i="39" s="1"/>
  <c r="A28" i="39" s="1"/>
  <c r="A29" i="39" s="1"/>
  <c r="A30" i="39" s="1"/>
  <c r="A31" i="39" s="1"/>
  <c r="A32" i="39" s="1"/>
  <c r="A33" i="39" s="1"/>
  <c r="A34" i="39" s="1"/>
  <c r="A35" i="39" s="1"/>
  <c r="A37" i="39" s="1"/>
  <c r="A38" i="39" s="1"/>
  <c r="A40" i="39" s="1"/>
  <c r="A43" i="39" s="1"/>
  <c r="A45" i="39" s="1"/>
  <c r="A46" i="39" s="1"/>
  <c r="A47" i="39" s="1"/>
  <c r="A48" i="39" s="1"/>
  <c r="A50" i="39" s="1"/>
  <c r="A52" i="39" s="1"/>
  <c r="I48" i="38"/>
  <c r="I47" i="38"/>
  <c r="I46" i="38"/>
  <c r="G43" i="38"/>
  <c r="I43" i="38" s="1"/>
  <c r="G38" i="38"/>
  <c r="I38" i="38" s="1"/>
  <c r="G37" i="38"/>
  <c r="I37" i="38" s="1"/>
  <c r="H35" i="38"/>
  <c r="G35" i="38"/>
  <c r="H34" i="38"/>
  <c r="G34" i="38"/>
  <c r="I34" i="38" s="1"/>
  <c r="H33" i="38"/>
  <c r="I33" i="38" s="1"/>
  <c r="G33" i="38"/>
  <c r="H32" i="38"/>
  <c r="G32" i="38"/>
  <c r="H30" i="38"/>
  <c r="H29" i="38"/>
  <c r="E29" i="38"/>
  <c r="E30" i="38" s="1"/>
  <c r="G30" i="38" s="1"/>
  <c r="H28" i="38"/>
  <c r="E28" i="38"/>
  <c r="G28" i="38" s="1"/>
  <c r="H27" i="38"/>
  <c r="G27" i="38"/>
  <c r="H25" i="38"/>
  <c r="H24" i="38"/>
  <c r="H23" i="38"/>
  <c r="E23" i="38"/>
  <c r="E24" i="38" s="1"/>
  <c r="H22" i="38"/>
  <c r="G22" i="38"/>
  <c r="H20" i="38"/>
  <c r="H19" i="38"/>
  <c r="H18" i="38"/>
  <c r="E18" i="38"/>
  <c r="G18" i="38" s="1"/>
  <c r="I18" i="38" s="1"/>
  <c r="H17" i="38"/>
  <c r="G17" i="38"/>
  <c r="H15" i="38"/>
  <c r="H14" i="38"/>
  <c r="H13" i="38"/>
  <c r="E13" i="38"/>
  <c r="E14" i="38" s="1"/>
  <c r="H12" i="38"/>
  <c r="I12" i="38" s="1"/>
  <c r="G12" i="38"/>
  <c r="A11" i="38"/>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A38" i="38" s="1"/>
  <c r="A40" i="38" s="1"/>
  <c r="A43" i="38" s="1"/>
  <c r="A45" i="38" s="1"/>
  <c r="A46" i="38" s="1"/>
  <c r="A47" i="38" s="1"/>
  <c r="A48" i="38" s="1"/>
  <c r="A50" i="38" s="1"/>
  <c r="F53" i="19"/>
  <c r="E53" i="19"/>
  <c r="D53" i="19"/>
  <c r="F51" i="19"/>
  <c r="E51" i="19"/>
  <c r="D51" i="19"/>
  <c r="F46" i="19"/>
  <c r="E46" i="19"/>
  <c r="D46" i="19"/>
  <c r="F38" i="19"/>
  <c r="E38" i="19"/>
  <c r="D38" i="19"/>
  <c r="F36" i="19"/>
  <c r="E36" i="19"/>
  <c r="D36" i="19"/>
  <c r="F22" i="19"/>
  <c r="E22" i="19"/>
  <c r="D22" i="19"/>
  <c r="R36" i="36"/>
  <c r="T36" i="36" s="1"/>
  <c r="P36" i="36"/>
  <c r="T35" i="36"/>
  <c r="R35" i="36"/>
  <c r="P35" i="36"/>
  <c r="T34" i="36"/>
  <c r="R34" i="36"/>
  <c r="P34" i="36"/>
  <c r="T32" i="36"/>
  <c r="R32" i="36"/>
  <c r="P32" i="36"/>
  <c r="P31" i="36"/>
  <c r="R31" i="36" s="1"/>
  <c r="T31" i="36" s="1"/>
  <c r="R30" i="36"/>
  <c r="T30" i="36" s="1"/>
  <c r="P30" i="36"/>
  <c r="T29" i="36"/>
  <c r="R29" i="36"/>
  <c r="P29" i="36"/>
  <c r="R28" i="36"/>
  <c r="T28" i="36" s="1"/>
  <c r="P28" i="36"/>
  <c r="T27" i="36"/>
  <c r="R27" i="36"/>
  <c r="P27" i="36"/>
  <c r="T26" i="36"/>
  <c r="R26" i="36"/>
  <c r="P26" i="36"/>
  <c r="P25" i="36"/>
  <c r="R25" i="36" s="1"/>
  <c r="T25" i="36" s="1"/>
  <c r="T24" i="36"/>
  <c r="R24" i="36"/>
  <c r="P24" i="36"/>
  <c r="P23" i="36"/>
  <c r="R23" i="36" s="1"/>
  <c r="T23" i="36" s="1"/>
  <c r="R22" i="36"/>
  <c r="T22" i="36" s="1"/>
  <c r="P22" i="36"/>
  <c r="T21" i="36"/>
  <c r="R21" i="36"/>
  <c r="P21" i="36"/>
  <c r="T19" i="36"/>
  <c r="R19" i="36"/>
  <c r="P19" i="36"/>
  <c r="T18" i="36"/>
  <c r="R18" i="36"/>
  <c r="P18" i="36"/>
  <c r="P17" i="36"/>
  <c r="R17" i="36" s="1"/>
  <c r="T17" i="36" s="1"/>
  <c r="T16" i="36"/>
  <c r="R16" i="36"/>
  <c r="P16" i="36"/>
  <c r="P15" i="36"/>
  <c r="R15" i="36" s="1"/>
  <c r="T15" i="36" s="1"/>
  <c r="R14" i="36"/>
  <c r="T14" i="36" s="1"/>
  <c r="P14" i="36"/>
  <c r="T13" i="36"/>
  <c r="R13" i="36"/>
  <c r="P13" i="36"/>
  <c r="R12" i="36"/>
  <c r="T12" i="36" s="1"/>
  <c r="P12" i="36"/>
  <c r="T11" i="36"/>
  <c r="R11" i="36"/>
  <c r="P11" i="36"/>
  <c r="T10" i="36"/>
  <c r="R10" i="36"/>
  <c r="P10" i="36"/>
  <c r="P9" i="36"/>
  <c r="R9" i="36" s="1"/>
  <c r="T9" i="36" s="1"/>
  <c r="T8" i="36"/>
  <c r="R8" i="36"/>
  <c r="R20" i="36" s="1"/>
  <c r="P8" i="36"/>
  <c r="P20" i="36" s="1"/>
  <c r="N8" i="36"/>
  <c r="B17" i="34"/>
  <c r="B19" i="33"/>
  <c r="B18" i="33"/>
  <c r="B45" i="31"/>
  <c r="E53" i="30"/>
  <c r="B53" i="30"/>
  <c r="E52" i="30"/>
  <c r="B52" i="30"/>
  <c r="E51" i="30"/>
  <c r="B51" i="30"/>
  <c r="E50" i="30"/>
  <c r="B50" i="30"/>
  <c r="E49" i="30"/>
  <c r="B49" i="30"/>
  <c r="E48" i="30"/>
  <c r="B48" i="30"/>
  <c r="E47" i="30"/>
  <c r="B47" i="30"/>
  <c r="E46" i="30"/>
  <c r="E54" i="30" s="1"/>
  <c r="E56" i="30" s="1"/>
  <c r="B46" i="30"/>
  <c r="E45" i="30"/>
  <c r="B45" i="30"/>
  <c r="E41" i="30"/>
  <c r="D41" i="30"/>
  <c r="C41" i="30"/>
  <c r="E8" i="30"/>
  <c r="D8" i="30"/>
  <c r="C8" i="30"/>
  <c r="E15" i="29"/>
  <c r="N20" i="28"/>
  <c r="M20" i="28"/>
  <c r="L20" i="28"/>
  <c r="K20" i="28"/>
  <c r="J20" i="28"/>
  <c r="I20" i="28"/>
  <c r="H20" i="28"/>
  <c r="G20" i="28"/>
  <c r="F20" i="28"/>
  <c r="E20" i="28"/>
  <c r="D20" i="28"/>
  <c r="C20" i="28"/>
  <c r="O19" i="28"/>
  <c r="O18" i="28"/>
  <c r="O17" i="28"/>
  <c r="E16" i="27" s="1"/>
  <c r="O16" i="28"/>
  <c r="O15" i="28"/>
  <c r="E14" i="27" s="1"/>
  <c r="O14" i="28"/>
  <c r="E12" i="27" s="1"/>
  <c r="O13" i="28"/>
  <c r="O12" i="28"/>
  <c r="O24" i="28" s="1"/>
  <c r="O11" i="28"/>
  <c r="O10" i="28"/>
  <c r="O9" i="28"/>
  <c r="O23" i="28" s="1"/>
  <c r="O25" i="28" s="1"/>
  <c r="O8" i="28"/>
  <c r="O20" i="28" s="1"/>
  <c r="F17" i="27"/>
  <c r="D17" i="27"/>
  <c r="E15" i="27"/>
  <c r="E13" i="27"/>
  <c r="E11" i="27"/>
  <c r="E10" i="27"/>
  <c r="N21" i="26"/>
  <c r="D23" i="26" s="1"/>
  <c r="D25" i="26" s="1"/>
  <c r="D29" i="26" s="1"/>
  <c r="N20" i="26"/>
  <c r="N22" i="26" s="1"/>
  <c r="N18" i="26"/>
  <c r="O17" i="26"/>
  <c r="O16" i="26"/>
  <c r="O15" i="26"/>
  <c r="O21" i="26" s="1"/>
  <c r="D27" i="26" s="1"/>
  <c r="O14" i="26"/>
  <c r="O13" i="26"/>
  <c r="E14" i="25" s="1"/>
  <c r="O12" i="26"/>
  <c r="E12" i="25" s="1"/>
  <c r="O11" i="26"/>
  <c r="O10" i="26"/>
  <c r="O9" i="26"/>
  <c r="O18" i="26" s="1"/>
  <c r="O8" i="26"/>
  <c r="F17" i="25"/>
  <c r="D17" i="25"/>
  <c r="E15" i="25"/>
  <c r="E13" i="25"/>
  <c r="E11" i="25"/>
  <c r="E10" i="25"/>
  <c r="C13" i="24"/>
  <c r="D22" i="22"/>
  <c r="C22" i="22"/>
  <c r="E21" i="22"/>
  <c r="E20" i="22"/>
  <c r="E19" i="22"/>
  <c r="E18" i="22"/>
  <c r="E17" i="22"/>
  <c r="E16" i="22"/>
  <c r="E15" i="22"/>
  <c r="E14" i="22"/>
  <c r="E13" i="22"/>
  <c r="E12" i="22"/>
  <c r="E11" i="22"/>
  <c r="E10" i="22"/>
  <c r="E22" i="22" s="1"/>
  <c r="G17" i="21"/>
  <c r="H15" i="21"/>
  <c r="G15" i="21"/>
  <c r="F15" i="21"/>
  <c r="G13" i="21"/>
  <c r="H11" i="21"/>
  <c r="G11" i="21"/>
  <c r="F11" i="21"/>
  <c r="G9" i="21"/>
  <c r="H9" i="21" s="1"/>
  <c r="F9" i="21"/>
  <c r="F13" i="21" s="1"/>
  <c r="E22" i="20"/>
  <c r="E18" i="20"/>
  <c r="E14" i="20"/>
  <c r="E24" i="20" s="1"/>
  <c r="E10" i="20"/>
  <c r="A9" i="20"/>
  <c r="A10" i="20" s="1"/>
  <c r="A12" i="20" s="1"/>
  <c r="A13" i="20" s="1"/>
  <c r="A14" i="20" s="1"/>
  <c r="A16" i="20" s="1"/>
  <c r="A17" i="20" s="1"/>
  <c r="A18" i="20" s="1"/>
  <c r="A20" i="20" s="1"/>
  <c r="A21" i="20" s="1"/>
  <c r="A22" i="20" s="1"/>
  <c r="A24" i="20" s="1"/>
  <c r="G31" i="18"/>
  <c r="G29" i="18"/>
  <c r="E29" i="18"/>
  <c r="C29" i="18"/>
  <c r="H28" i="18"/>
  <c r="F28" i="18"/>
  <c r="D28" i="18"/>
  <c r="H27" i="18"/>
  <c r="H29" i="18" s="1"/>
  <c r="M12" i="18" s="1"/>
  <c r="F27" i="18"/>
  <c r="F29" i="18" s="1"/>
  <c r="L12" i="18" s="1"/>
  <c r="D27" i="18"/>
  <c r="D29" i="18" s="1"/>
  <c r="K12" i="18" s="1"/>
  <c r="G25" i="18"/>
  <c r="E25" i="18"/>
  <c r="C25" i="18"/>
  <c r="H24" i="18"/>
  <c r="F24" i="18"/>
  <c r="F25" i="18" s="1"/>
  <c r="L11" i="18" s="1"/>
  <c r="D24" i="18"/>
  <c r="M23" i="18"/>
  <c r="L23" i="18"/>
  <c r="K23" i="18"/>
  <c r="H23" i="18"/>
  <c r="H25" i="18" s="1"/>
  <c r="M11" i="18" s="1"/>
  <c r="F23" i="18"/>
  <c r="D23" i="18"/>
  <c r="D25" i="18" s="1"/>
  <c r="K11" i="18" s="1"/>
  <c r="M22" i="18"/>
  <c r="L22" i="18"/>
  <c r="K22" i="18"/>
  <c r="M21" i="18"/>
  <c r="L21" i="18"/>
  <c r="K21" i="18"/>
  <c r="G21" i="18"/>
  <c r="E21" i="18"/>
  <c r="C21" i="18"/>
  <c r="M20" i="18"/>
  <c r="L20" i="18"/>
  <c r="L24" i="18" s="1"/>
  <c r="K20" i="18"/>
  <c r="H20" i="18"/>
  <c r="F20" i="18"/>
  <c r="F21" i="18" s="1"/>
  <c r="L10" i="18" s="1"/>
  <c r="D20" i="18"/>
  <c r="M19" i="18"/>
  <c r="L19" i="18"/>
  <c r="K19" i="18"/>
  <c r="H19" i="18"/>
  <c r="H21" i="18" s="1"/>
  <c r="M10" i="18" s="1"/>
  <c r="F19" i="18"/>
  <c r="D19" i="18"/>
  <c r="D21" i="18" s="1"/>
  <c r="K10" i="18" s="1"/>
  <c r="M18" i="18"/>
  <c r="M24" i="18" s="1"/>
  <c r="L18" i="18"/>
  <c r="K18" i="18"/>
  <c r="K24" i="18" s="1"/>
  <c r="H17" i="18"/>
  <c r="G17" i="18"/>
  <c r="E17" i="18"/>
  <c r="D17" i="18"/>
  <c r="K9" i="18" s="1"/>
  <c r="C17" i="18"/>
  <c r="H16" i="18"/>
  <c r="F16" i="18"/>
  <c r="D16" i="18"/>
  <c r="H15" i="18"/>
  <c r="F15" i="18"/>
  <c r="F17" i="18" s="1"/>
  <c r="L9" i="18" s="1"/>
  <c r="D15" i="18"/>
  <c r="G13" i="18"/>
  <c r="E13" i="18"/>
  <c r="C13" i="18"/>
  <c r="H12" i="18"/>
  <c r="F12" i="18"/>
  <c r="D12" i="18"/>
  <c r="H11" i="18"/>
  <c r="H13" i="18" s="1"/>
  <c r="M8" i="18" s="1"/>
  <c r="F11" i="18"/>
  <c r="F13" i="18" s="1"/>
  <c r="L8" i="18" s="1"/>
  <c r="D11" i="18"/>
  <c r="D13" i="18" s="1"/>
  <c r="K8" i="18" s="1"/>
  <c r="M9" i="18"/>
  <c r="G9" i="18"/>
  <c r="E9" i="18"/>
  <c r="E31" i="18" s="1"/>
  <c r="C9" i="18"/>
  <c r="C31" i="18" s="1"/>
  <c r="H8" i="18"/>
  <c r="F8" i="18"/>
  <c r="D8" i="18"/>
  <c r="H7" i="18"/>
  <c r="H9" i="18" s="1"/>
  <c r="F7" i="18"/>
  <c r="F9" i="18" s="1"/>
  <c r="D7" i="18"/>
  <c r="D9" i="18" s="1"/>
  <c r="M85" i="17"/>
  <c r="L85" i="17"/>
  <c r="K85" i="17"/>
  <c r="J85" i="17"/>
  <c r="I85" i="17"/>
  <c r="H85" i="17"/>
  <c r="G85" i="17"/>
  <c r="F85" i="17"/>
  <c r="E85" i="17"/>
  <c r="D85" i="17"/>
  <c r="C85" i="17"/>
  <c r="B85" i="17"/>
  <c r="N83" i="17"/>
  <c r="N82" i="17"/>
  <c r="N81" i="17"/>
  <c r="N80" i="17"/>
  <c r="N79" i="17"/>
  <c r="N78" i="17"/>
  <c r="N77" i="17"/>
  <c r="N76" i="17"/>
  <c r="N75" i="17"/>
  <c r="N74" i="17"/>
  <c r="N73" i="17"/>
  <c r="N72" i="17"/>
  <c r="N71" i="17"/>
  <c r="N70" i="17"/>
  <c r="N69" i="17"/>
  <c r="N68" i="17"/>
  <c r="N67" i="17"/>
  <c r="N66" i="17"/>
  <c r="N65" i="17"/>
  <c r="N64" i="17"/>
  <c r="N63" i="17"/>
  <c r="N62" i="17"/>
  <c r="N61" i="17"/>
  <c r="N60" i="17"/>
  <c r="N59" i="17"/>
  <c r="N58" i="17"/>
  <c r="N57" i="17"/>
  <c r="N56" i="17"/>
  <c r="N55" i="17"/>
  <c r="N54" i="17"/>
  <c r="N53" i="17"/>
  <c r="N52" i="17"/>
  <c r="N51" i="17"/>
  <c r="N50" i="17"/>
  <c r="N49" i="17"/>
  <c r="N48" i="17"/>
  <c r="N47" i="17"/>
  <c r="N46" i="17"/>
  <c r="N45" i="17"/>
  <c r="N44" i="17"/>
  <c r="N43" i="17"/>
  <c r="N42" i="17"/>
  <c r="N41" i="17"/>
  <c r="N40" i="17"/>
  <c r="N39" i="17"/>
  <c r="N38" i="17"/>
  <c r="N37" i="17"/>
  <c r="N36" i="17"/>
  <c r="N35" i="17"/>
  <c r="N34" i="17"/>
  <c r="N33" i="17"/>
  <c r="N32" i="17"/>
  <c r="N31" i="17"/>
  <c r="N30" i="17"/>
  <c r="N29" i="17"/>
  <c r="N28" i="17"/>
  <c r="N27" i="17"/>
  <c r="N26" i="17"/>
  <c r="N25" i="17"/>
  <c r="N24" i="17"/>
  <c r="N23" i="17"/>
  <c r="N22" i="17"/>
  <c r="N21" i="17"/>
  <c r="N20" i="17"/>
  <c r="N19" i="17"/>
  <c r="N18" i="17"/>
  <c r="N17" i="17"/>
  <c r="N16" i="17"/>
  <c r="N15" i="17"/>
  <c r="N14" i="17"/>
  <c r="N13" i="17"/>
  <c r="N85" i="17" s="1"/>
  <c r="P20" i="16"/>
  <c r="P19" i="16"/>
  <c r="P18" i="16"/>
  <c r="P17" i="16"/>
  <c r="P16" i="16"/>
  <c r="P15" i="16"/>
  <c r="P14" i="16"/>
  <c r="P13" i="16"/>
  <c r="C44" i="15"/>
  <c r="B44" i="15"/>
  <c r="C43" i="15"/>
  <c r="B43" i="15"/>
  <c r="C42" i="15"/>
  <c r="B42" i="15"/>
  <c r="C41" i="15"/>
  <c r="B41" i="15"/>
  <c r="C40" i="15"/>
  <c r="B40" i="15"/>
  <c r="C39" i="15"/>
  <c r="B39" i="15"/>
  <c r="C38" i="15"/>
  <c r="B38" i="15"/>
  <c r="C37" i="15"/>
  <c r="B37" i="15"/>
  <c r="C36" i="15"/>
  <c r="B36" i="15"/>
  <c r="C35" i="15"/>
  <c r="B35" i="15"/>
  <c r="C34" i="15"/>
  <c r="B34" i="15"/>
  <c r="C33" i="15"/>
  <c r="B33" i="15"/>
  <c r="C32" i="15"/>
  <c r="B32" i="15"/>
  <c r="C31" i="15"/>
  <c r="B31" i="15"/>
  <c r="C30" i="15"/>
  <c r="B30" i="15"/>
  <c r="C29" i="15"/>
  <c r="B29" i="15"/>
  <c r="C28" i="15"/>
  <c r="B28" i="15"/>
  <c r="C27" i="15"/>
  <c r="B27" i="15"/>
  <c r="C26" i="15"/>
  <c r="B26" i="15"/>
  <c r="C25" i="15"/>
  <c r="B25" i="15"/>
  <c r="C24" i="15"/>
  <c r="B24" i="15"/>
  <c r="C23" i="15"/>
  <c r="B23" i="15"/>
  <c r="C22" i="15"/>
  <c r="B22" i="15"/>
  <c r="C21" i="15"/>
  <c r="B21" i="15"/>
  <c r="C20" i="15"/>
  <c r="B20" i="15"/>
  <c r="C19" i="15"/>
  <c r="B19" i="15"/>
  <c r="C18" i="15"/>
  <c r="B18" i="15"/>
  <c r="C17" i="15"/>
  <c r="B17" i="15"/>
  <c r="C16" i="15"/>
  <c r="B16" i="15"/>
  <c r="C15" i="15"/>
  <c r="B15" i="15"/>
  <c r="C14" i="15"/>
  <c r="B14" i="15"/>
  <c r="C13" i="15"/>
  <c r="B13" i="15"/>
  <c r="C12" i="15"/>
  <c r="B12" i="15"/>
  <c r="C11" i="15"/>
  <c r="B11" i="15"/>
  <c r="C10" i="15"/>
  <c r="B10" i="15"/>
  <c r="C9" i="15"/>
  <c r="B9" i="15"/>
  <c r="C8" i="15"/>
  <c r="B8" i="15"/>
  <c r="C7" i="15"/>
  <c r="C46" i="15" s="1"/>
  <c r="B7" i="15"/>
  <c r="B46" i="15" s="1"/>
  <c r="C13" i="14"/>
  <c r="E20" i="11"/>
  <c r="D20" i="11"/>
  <c r="B24" i="11" s="1"/>
  <c r="C20" i="11"/>
  <c r="B24" i="10"/>
  <c r="D20" i="10"/>
  <c r="B25" i="10" s="1"/>
  <c r="C20" i="10"/>
  <c r="G36" i="9"/>
  <c r="F36" i="9"/>
  <c r="E36" i="9"/>
  <c r="D36" i="9"/>
  <c r="B10" i="9" s="1"/>
  <c r="C10" i="8" s="1"/>
  <c r="C36" i="9"/>
  <c r="B36" i="9"/>
  <c r="B19" i="9"/>
  <c r="B18" i="9"/>
  <c r="B17" i="9"/>
  <c r="B16" i="9"/>
  <c r="B11" i="9"/>
  <c r="C11" i="8" s="1"/>
  <c r="B9" i="9"/>
  <c r="C10" i="9" s="1"/>
  <c r="B8" i="9"/>
  <c r="C17" i="8"/>
  <c r="C16" i="8"/>
  <c r="C15" i="8"/>
  <c r="C18" i="8" s="1"/>
  <c r="C8" i="8"/>
  <c r="Q50" i="7"/>
  <c r="Q58" i="7" s="1"/>
  <c r="O50" i="7"/>
  <c r="Q48" i="7"/>
  <c r="Q43" i="7"/>
  <c r="Q40" i="7"/>
  <c r="Q39" i="7"/>
  <c r="Q38" i="7"/>
  <c r="Q41" i="7" s="1"/>
  <c r="Q36" i="7"/>
  <c r="Q34" i="7"/>
  <c r="Q30" i="7"/>
  <c r="Q24" i="7"/>
  <c r="Q23" i="7"/>
  <c r="Q22" i="7"/>
  <c r="Q21" i="7"/>
  <c r="Q20" i="7"/>
  <c r="Q19" i="7"/>
  <c r="Q18" i="7"/>
  <c r="Q17" i="7"/>
  <c r="Q16" i="7"/>
  <c r="Q15" i="7"/>
  <c r="Q14" i="7"/>
  <c r="Q25" i="7" s="1"/>
  <c r="Q27" i="7" s="1"/>
  <c r="Q28" i="7" s="1"/>
  <c r="Q11" i="7"/>
  <c r="Q9" i="7"/>
  <c r="C8" i="6" s="1"/>
  <c r="C9" i="6" s="1"/>
  <c r="Q8" i="7"/>
  <c r="C15" i="6"/>
  <c r="C13" i="6"/>
  <c r="C12" i="6" s="1"/>
  <c r="B20" i="5"/>
  <c r="B22" i="5" s="1"/>
  <c r="E21" i="4"/>
  <c r="E19" i="4"/>
  <c r="E21" i="3"/>
  <c r="B21" i="3"/>
  <c r="F19" i="3"/>
  <c r="F21" i="3" s="1"/>
  <c r="E19" i="3"/>
  <c r="D19" i="3"/>
  <c r="D21" i="3" s="1"/>
  <c r="C19" i="3"/>
  <c r="C21" i="3" s="1"/>
  <c r="B19" i="3"/>
  <c r="G18" i="3"/>
  <c r="G17" i="3"/>
  <c r="G16" i="3"/>
  <c r="G15" i="3"/>
  <c r="G14" i="3"/>
  <c r="G13" i="3"/>
  <c r="G12" i="3"/>
  <c r="G11" i="3"/>
  <c r="G10" i="3"/>
  <c r="G9" i="3"/>
  <c r="G8" i="3"/>
  <c r="G19" i="3" s="1"/>
  <c r="G21" i="3" s="1"/>
  <c r="G7" i="3"/>
  <c r="G18" i="2"/>
  <c r="D18" i="2"/>
  <c r="H18" i="2" s="1"/>
  <c r="I17" i="2"/>
  <c r="G17" i="2"/>
  <c r="D17" i="2"/>
  <c r="H17" i="2" s="1"/>
  <c r="I18" i="2" s="1"/>
  <c r="J18" i="2" s="1"/>
  <c r="L18" i="2" s="1"/>
  <c r="H16" i="2"/>
  <c r="G16" i="2"/>
  <c r="D16" i="2"/>
  <c r="H15" i="2"/>
  <c r="I16" i="2" s="1"/>
  <c r="J16" i="2" s="1"/>
  <c r="L16" i="2" s="1"/>
  <c r="G15" i="2"/>
  <c r="D15" i="2"/>
  <c r="G14" i="2"/>
  <c r="D14" i="2"/>
  <c r="H14" i="2" s="1"/>
  <c r="I15" i="2" s="1"/>
  <c r="J15" i="2" s="1"/>
  <c r="L15" i="2" s="1"/>
  <c r="I13" i="2"/>
  <c r="G13" i="2"/>
  <c r="D13" i="2"/>
  <c r="H13" i="2" s="1"/>
  <c r="I14" i="2" s="1"/>
  <c r="J14" i="2" s="1"/>
  <c r="L14" i="2" s="1"/>
  <c r="H12" i="2"/>
  <c r="G12" i="2"/>
  <c r="D12" i="2"/>
  <c r="H11" i="2"/>
  <c r="I12" i="2" s="1"/>
  <c r="J12" i="2" s="1"/>
  <c r="L12" i="2" s="1"/>
  <c r="G11" i="2"/>
  <c r="D11" i="2"/>
  <c r="G10" i="2"/>
  <c r="D10" i="2"/>
  <c r="H10" i="2" s="1"/>
  <c r="I11" i="2" s="1"/>
  <c r="J11" i="2" s="1"/>
  <c r="L11" i="2" s="1"/>
  <c r="I9" i="2"/>
  <c r="G9" i="2"/>
  <c r="D9" i="2"/>
  <c r="H9" i="2" s="1"/>
  <c r="I10" i="2" s="1"/>
  <c r="H8" i="2"/>
  <c r="G8" i="2"/>
  <c r="D8" i="2"/>
  <c r="H7" i="2"/>
  <c r="I8" i="2" s="1"/>
  <c r="J8" i="2" s="1"/>
  <c r="L8" i="2" s="1"/>
  <c r="G7" i="2"/>
  <c r="D7" i="2"/>
  <c r="I32" i="38" l="1"/>
  <c r="I22" i="38"/>
  <c r="I35" i="39"/>
  <c r="I38" i="39"/>
  <c r="I34" i="39"/>
  <c r="G23" i="39"/>
  <c r="I23" i="39" s="1"/>
  <c r="I32" i="39"/>
  <c r="I27" i="38"/>
  <c r="G12" i="39"/>
  <c r="I12" i="39" s="1"/>
  <c r="G22" i="39"/>
  <c r="I22" i="39" s="1"/>
  <c r="I17" i="38"/>
  <c r="I30" i="38"/>
  <c r="G27" i="39"/>
  <c r="I27" i="39" s="1"/>
  <c r="G23" i="38"/>
  <c r="I23" i="38" s="1"/>
  <c r="G13" i="38"/>
  <c r="I13" i="38" s="1"/>
  <c r="E19" i="38"/>
  <c r="E20" i="38" s="1"/>
  <c r="G20" i="38" s="1"/>
  <c r="I20" i="38" s="1"/>
  <c r="E13" i="39"/>
  <c r="E14" i="39" s="1"/>
  <c r="E15" i="39" s="1"/>
  <c r="G15" i="39" s="1"/>
  <c r="I15" i="39" s="1"/>
  <c r="E24" i="39"/>
  <c r="E25" i="39" s="1"/>
  <c r="G25" i="39" s="1"/>
  <c r="I25" i="39" s="1"/>
  <c r="I35" i="38"/>
  <c r="G17" i="39"/>
  <c r="I17" i="39" s="1"/>
  <c r="I33" i="39"/>
  <c r="I28" i="38"/>
  <c r="G24" i="38"/>
  <c r="I24" i="38" s="1"/>
  <c r="E25" i="38"/>
  <c r="G25" i="38" s="1"/>
  <c r="I25" i="38" s="1"/>
  <c r="G14" i="38"/>
  <c r="I14" i="38" s="1"/>
  <c r="E15" i="38"/>
  <c r="G15" i="38" s="1"/>
  <c r="I15" i="38" s="1"/>
  <c r="E20" i="39"/>
  <c r="G20" i="39" s="1"/>
  <c r="I20" i="39" s="1"/>
  <c r="G19" i="39"/>
  <c r="I19" i="39" s="1"/>
  <c r="G19" i="38"/>
  <c r="I19" i="38" s="1"/>
  <c r="G29" i="38"/>
  <c r="I29" i="38" s="1"/>
  <c r="G18" i="39"/>
  <c r="I18" i="39" s="1"/>
  <c r="E28" i="39"/>
  <c r="J10" i="2"/>
  <c r="L10" i="2" s="1"/>
  <c r="J9" i="2"/>
  <c r="L9" i="2" s="1"/>
  <c r="D31" i="18"/>
  <c r="K7" i="18"/>
  <c r="K13" i="18" s="1"/>
  <c r="F31" i="18"/>
  <c r="L7" i="18"/>
  <c r="L13" i="18" s="1"/>
  <c r="F19" i="21"/>
  <c r="F17" i="21"/>
  <c r="H17" i="21" s="1"/>
  <c r="H13" i="21"/>
  <c r="H31" i="18"/>
  <c r="M7" i="18"/>
  <c r="M13" i="18" s="1"/>
  <c r="J13" i="2"/>
  <c r="L13" i="2" s="1"/>
  <c r="T20" i="36"/>
  <c r="E17" i="27"/>
  <c r="J17" i="2"/>
  <c r="L17" i="2" s="1"/>
  <c r="G19" i="21"/>
  <c r="R33" i="36"/>
  <c r="C14" i="6"/>
  <c r="C17" i="6" s="1"/>
  <c r="Q45" i="7"/>
  <c r="Q47" i="7" s="1"/>
  <c r="C16" i="6" s="1"/>
  <c r="T33" i="36"/>
  <c r="E16" i="25"/>
  <c r="E17" i="25" s="1"/>
  <c r="O20" i="26"/>
  <c r="O22" i="26" s="1"/>
  <c r="B23" i="11"/>
  <c r="B12" i="9"/>
  <c r="J7" i="2"/>
  <c r="L7" i="2" s="1"/>
  <c r="C9" i="8"/>
  <c r="C12" i="8" s="1"/>
  <c r="P33" i="36"/>
  <c r="G14" i="39" l="1"/>
  <c r="I14" i="39" s="1"/>
  <c r="G24" i="39"/>
  <c r="I24" i="39" s="1"/>
  <c r="G13" i="39"/>
  <c r="I13" i="39" s="1"/>
  <c r="I50" i="38"/>
  <c r="G28" i="39"/>
  <c r="I28" i="39" s="1"/>
  <c r="E29" i="39"/>
  <c r="T38" i="36"/>
  <c r="H19" i="21"/>
  <c r="L19" i="2"/>
  <c r="L21" i="2" s="1"/>
  <c r="E30" i="39" l="1"/>
  <c r="G30" i="39" s="1"/>
  <c r="I30" i="39" s="1"/>
  <c r="G29" i="39"/>
  <c r="I29" i="39" s="1"/>
  <c r="I50" i="39" s="1"/>
  <c r="I52" i="39" s="1"/>
  <c r="F19" i="62" l="1"/>
  <c r="F20" i="62"/>
  <c r="F21" i="62"/>
  <c r="F22" i="62"/>
  <c r="F23" i="62"/>
  <c r="F18" i="62"/>
</calcChain>
</file>

<file path=xl/sharedStrings.xml><?xml version="1.0" encoding="utf-8"?>
<sst xmlns="http://schemas.openxmlformats.org/spreadsheetml/2006/main" count="3662" uniqueCount="1050">
  <si>
    <t>Kentucky Power Company</t>
  </si>
  <si>
    <t>Adjustment Workpaper Index</t>
  </si>
  <si>
    <t>Witness:</t>
  </si>
  <si>
    <t>H.M. Whitney</t>
  </si>
  <si>
    <t>Reference in Section V, Exhibit 2</t>
  </si>
  <si>
    <t>Adjustment Description</t>
  </si>
  <si>
    <t>Workpaper Reference</t>
  </si>
  <si>
    <t>W02</t>
  </si>
  <si>
    <t>Remove Tariff D.R. Revenues and Expenses</t>
  </si>
  <si>
    <t>W02_PG_X_of_X</t>
  </si>
  <si>
    <t>W08</t>
  </si>
  <si>
    <t>Remove Tariff P.P.A. Revenues and Expenses</t>
  </si>
  <si>
    <t>W08_PG_X_of_X</t>
  </si>
  <si>
    <t>W09</t>
  </si>
  <si>
    <t>Remove Tariff D.S.M.C. Revenues and Expenses</t>
  </si>
  <si>
    <t>W09_PG_X_of_X</t>
  </si>
  <si>
    <t>W10</t>
  </si>
  <si>
    <t>Remove Tariff R.E.A. Revenues and Expenses</t>
  </si>
  <si>
    <t>W10_PG_X_of_X</t>
  </si>
  <si>
    <t>W11</t>
  </si>
  <si>
    <t>Remove Tariff K.E.D.S. Revenues and Expenses</t>
  </si>
  <si>
    <t>W11_PG_X_of_X</t>
  </si>
  <si>
    <t>W15</t>
  </si>
  <si>
    <t>Adjust Interest on Customer Deposits</t>
  </si>
  <si>
    <t>W15_PG_X_of_X</t>
  </si>
  <si>
    <t>W17</t>
  </si>
  <si>
    <t>Amortization of Big Sandy Unit 1 Operations Rider Deferral</t>
  </si>
  <si>
    <t>W17_PG_X_of_X</t>
  </si>
  <si>
    <t>W20</t>
  </si>
  <si>
    <t>Annualization of Lease Expense</t>
  </si>
  <si>
    <t>W20_PG_X_of_X</t>
  </si>
  <si>
    <t>W21</t>
  </si>
  <si>
    <t>Adjust Pension and OPEB Expense</t>
  </si>
  <si>
    <t>W21_PG_X_of_X</t>
  </si>
  <si>
    <t>W22</t>
  </si>
  <si>
    <t>Adjust Employee Related Group Benefit Expense</t>
  </si>
  <si>
    <t>W22_PG_X_of_X</t>
  </si>
  <si>
    <t>W25</t>
  </si>
  <si>
    <t>Amortization of NERC Compliance and Cybersecurity Cost Deferral</t>
  </si>
  <si>
    <t>W25_PG_X_of_X</t>
  </si>
  <si>
    <t>W26</t>
  </si>
  <si>
    <t>Remove Severance Expense</t>
  </si>
  <si>
    <t>W26_PG_X_of_X</t>
  </si>
  <si>
    <t>W27</t>
  </si>
  <si>
    <t>KPCo Incentive Compensation Expense Adjustment</t>
  </si>
  <si>
    <t>W27_PG_X_of_X</t>
  </si>
  <si>
    <t>W28</t>
  </si>
  <si>
    <t>KPCo Annualization of Payroll Expense Adjustment</t>
  </si>
  <si>
    <t>W28_PG_X_of_X</t>
  </si>
  <si>
    <t>W29</t>
  </si>
  <si>
    <t>KPCo Overtime Related to Employee Merit Increases Adjustment</t>
  </si>
  <si>
    <t>W29_PG_X_of_X</t>
  </si>
  <si>
    <t>W30</t>
  </si>
  <si>
    <t>KPCo Savings Plan Expense Adjustment</t>
  </si>
  <si>
    <t>W31</t>
  </si>
  <si>
    <t>KPCo Medicare Tax Expense Adjustment</t>
  </si>
  <si>
    <t>W32</t>
  </si>
  <si>
    <t>KPCo Social Security Tax Expense Adjustment</t>
  </si>
  <si>
    <t>W32_PG_X_of_X</t>
  </si>
  <si>
    <t>W33</t>
  </si>
  <si>
    <t>KPCo Social Security Tax Base Adjustment</t>
  </si>
  <si>
    <t>W33_PG_X_of_X</t>
  </si>
  <si>
    <t>W35</t>
  </si>
  <si>
    <t>Annualization of Depreciation Expense (Excluding ARO Depreciation)</t>
  </si>
  <si>
    <t>W35_PG_X_of_X</t>
  </si>
  <si>
    <t>W36</t>
  </si>
  <si>
    <t>Annualization of ARO Depreciation Expense</t>
  </si>
  <si>
    <t>W36_PG_X_of_X</t>
  </si>
  <si>
    <t>W37</t>
  </si>
  <si>
    <t>Annualization of ARO Accretion Expense</t>
  </si>
  <si>
    <t>W37_PG_X_of_X</t>
  </si>
  <si>
    <t>W39</t>
  </si>
  <si>
    <t>Interest Synchronization Adjustment</t>
  </si>
  <si>
    <t>W39_PG_X_of_X</t>
  </si>
  <si>
    <t>W40</t>
  </si>
  <si>
    <t>AFUDC Offset Adjustment</t>
  </si>
  <si>
    <t>W42</t>
  </si>
  <si>
    <t>Remove Big Sandy Unit 2 from Capitalization and Rate Base</t>
  </si>
  <si>
    <t>W49</t>
  </si>
  <si>
    <t>Adjustment to Defer and Amortize GreenHat Default Charges</t>
  </si>
  <si>
    <t>W49_PG_X_of_X</t>
  </si>
  <si>
    <t>W50</t>
  </si>
  <si>
    <t>Remove Adjustment to Joint Use Pole Rental Revenue and Expense Related to a Prior Period</t>
  </si>
  <si>
    <t>W50_PG_X_of_X</t>
  </si>
  <si>
    <t>W51</t>
  </si>
  <si>
    <t>Remove Non-Ongoing Expense Related to the COVID-19 Pandemic</t>
  </si>
  <si>
    <t>W51_PG_X_of_X</t>
  </si>
  <si>
    <t>W52</t>
  </si>
  <si>
    <t>Remove Insurance Proceeds Related to a Prior Period</t>
  </si>
  <si>
    <t>W52_PG_X_of_X</t>
  </si>
  <si>
    <t>W53</t>
  </si>
  <si>
    <t>Remove Rockport Bill Adjustment Related to a Prior Period</t>
  </si>
  <si>
    <t>W53_PG_X_of_X</t>
  </si>
  <si>
    <t>W54</t>
  </si>
  <si>
    <t>Amortization of Deferred Plant Maintenance Costs</t>
  </si>
  <si>
    <t>W54_PG_X_of_X</t>
  </si>
  <si>
    <t>W60</t>
  </si>
  <si>
    <t>Add Deferred Plant Maintenance Regulatory Asset to Capitalization and Rate Base</t>
  </si>
  <si>
    <t>W61</t>
  </si>
  <si>
    <t>Remove NERC Compliance and Cybersecurity Investment from Capitalization and Rate Base</t>
  </si>
  <si>
    <t>W62</t>
  </si>
  <si>
    <t>Remove Rockport Deferral from Capitalization and Rate Base</t>
  </si>
  <si>
    <t>W64</t>
  </si>
  <si>
    <t>Remove Amortization of Rate Case Expense Deferral</t>
  </si>
  <si>
    <t>W64_PG_X_of_X</t>
  </si>
  <si>
    <t>W02-Remove Tariff D.R. Revenues and Expenses</t>
  </si>
  <si>
    <t>Decommissioning Rider Revenue</t>
  </si>
  <si>
    <t>For the Twelve Months Ended March 31, 2020</t>
  </si>
  <si>
    <t>Date</t>
  </si>
  <si>
    <t>BSRR</t>
  </si>
  <si>
    <t>Billed
KWH</t>
  </si>
  <si>
    <t>Average
Rate
per kWh</t>
  </si>
  <si>
    <t>Estimated
KWH</t>
  </si>
  <si>
    <t>Unbilled
KWH</t>
  </si>
  <si>
    <t>Total Estimated
and
Unbilled kWh</t>
  </si>
  <si>
    <t>Estimated &amp; Unbilled Surcharge</t>
  </si>
  <si>
    <t>Reverse Prior Month Est &amp; Unb Surcharge</t>
  </si>
  <si>
    <t>Billed &amp; 
Accrued
Surcharge</t>
  </si>
  <si>
    <t>Bad Debt\
Maint Fee</t>
  </si>
  <si>
    <t>Net
Revenues</t>
  </si>
  <si>
    <t>Apr-19</t>
  </si>
  <si>
    <t>May-19</t>
  </si>
  <si>
    <t>Jun-19</t>
  </si>
  <si>
    <t>Jul-19</t>
  </si>
  <si>
    <t>Aug-19</t>
  </si>
  <si>
    <t>Sep-19</t>
  </si>
  <si>
    <t>Oct-19</t>
  </si>
  <si>
    <t>Nov-19</t>
  </si>
  <si>
    <t>Dec-19</t>
  </si>
  <si>
    <t>Jan-20</t>
  </si>
  <si>
    <t>Feb-20</t>
  </si>
  <si>
    <t>Mar-20</t>
  </si>
  <si>
    <t>Total Revenues</t>
  </si>
  <si>
    <t>Total Revenues to be Removed</t>
  </si>
  <si>
    <t>FERC Account</t>
  </si>
  <si>
    <t>440-444</t>
  </si>
  <si>
    <t>Summary of Decommissioning Rider O&amp;M Expenses</t>
  </si>
  <si>
    <t>5010000</t>
  </si>
  <si>
    <t>5060011</t>
  </si>
  <si>
    <t>9200000</t>
  </si>
  <si>
    <t>9210001</t>
  </si>
  <si>
    <t>9310005</t>
  </si>
  <si>
    <t>5120034</t>
  </si>
  <si>
    <t>Total</t>
  </si>
  <si>
    <t xml:space="preserve">   </t>
  </si>
  <si>
    <t>Total Expenses to be Removed</t>
  </si>
  <si>
    <t>Summary of Decommissioning Rider ARO Accretion Expense</t>
  </si>
  <si>
    <t>Unit</t>
  </si>
  <si>
    <t>Account</t>
  </si>
  <si>
    <t>Descr</t>
  </si>
  <si>
    <t>Amount</t>
  </si>
  <si>
    <t>Defer ARO Deprec&amp;Accretion Exp</t>
  </si>
  <si>
    <t>Total Decrease to Test Year ARO Accretion Expense</t>
  </si>
  <si>
    <t>Detail of Account 4073014</t>
  </si>
  <si>
    <t>Month</t>
  </si>
  <si>
    <t xml:space="preserve">   Account 4073014</t>
  </si>
  <si>
    <t>Total Amortization Expense to Remove</t>
  </si>
  <si>
    <t xml:space="preserve">Total Decrease to Test Year Amortization Expense </t>
  </si>
  <si>
    <t>W08-Remove Tariff P.P.A. Revenues and Expenses</t>
  </si>
  <si>
    <t>Tariff P.P.A. Revenue, Expense Increase/(Decrease)</t>
  </si>
  <si>
    <t>Description</t>
  </si>
  <si>
    <t>Remove PPA Rider Revenue</t>
  </si>
  <si>
    <t xml:space="preserve">Remove Customer Credit From Billed Revenue   </t>
  </si>
  <si>
    <t>Increase to Revenue</t>
  </si>
  <si>
    <t>Remove PPA Rider O&amp;M Expense</t>
  </si>
  <si>
    <t>Remove Rockport Expense Recovered Through Tariff P.P.A.</t>
  </si>
  <si>
    <t>Remove Rockport PPA Recovery</t>
  </si>
  <si>
    <t>Remove PJM OATT LSE Expense</t>
  </si>
  <si>
    <t>456/566</t>
  </si>
  <si>
    <t>Remove Interruptible Service Credit Expense</t>
  </si>
  <si>
    <t xml:space="preserve">Remove Tariff P.P.A. (Over)/Under Recovery </t>
  </si>
  <si>
    <t>Increase to O&amp;M Expense</t>
  </si>
  <si>
    <t>Tariff P.P.A. Over/Under Recovery</t>
  </si>
  <si>
    <t>Per Books</t>
  </si>
  <si>
    <t>KPCo</t>
  </si>
  <si>
    <t>April 2019</t>
  </si>
  <si>
    <t>May 2019</t>
  </si>
  <si>
    <t>Test Year Total</t>
  </si>
  <si>
    <t>Comments</t>
  </si>
  <si>
    <t>Revenue:</t>
  </si>
  <si>
    <t>Billed Revenue</t>
  </si>
  <si>
    <t>Base Rates:</t>
  </si>
  <si>
    <t>Monthly Approved PPA Base Amount included in Base Rates</t>
  </si>
  <si>
    <t>Expense:</t>
  </si>
  <si>
    <t xml:space="preserve">Account No. </t>
  </si>
  <si>
    <t>Account Description</t>
  </si>
  <si>
    <t>5650021</t>
  </si>
  <si>
    <t>PJM NITS Expense - Non-Affiliated</t>
  </si>
  <si>
    <t>5650015</t>
  </si>
  <si>
    <t>PJM TO Serv Expense - Affiliated</t>
  </si>
  <si>
    <t>4561005</t>
  </si>
  <si>
    <t>Firm and Non-Firm Point to Point Transmision Revenues</t>
  </si>
  <si>
    <t>4561002</t>
  </si>
  <si>
    <t>RTO Formation Costs</t>
  </si>
  <si>
    <t>4561035</t>
  </si>
  <si>
    <t>Network Integrated Transmission Service</t>
  </si>
  <si>
    <t>4561036</t>
  </si>
  <si>
    <t>Schedule 1a Charges</t>
  </si>
  <si>
    <t>4561060</t>
  </si>
  <si>
    <t>Transmission Enhancement Charges</t>
  </si>
  <si>
    <t>5650012</t>
  </si>
  <si>
    <t>5650016</t>
  </si>
  <si>
    <t>PJM NITS Expense - Affilated</t>
  </si>
  <si>
    <t>5650019</t>
  </si>
  <si>
    <t xml:space="preserve">(Over) Under Recovery of PJM OATT LSE Charges </t>
  </si>
  <si>
    <t>Defer 80% above or below recovery in base rates</t>
  </si>
  <si>
    <t>FERC Return in excess of Kentucky Retail Return</t>
  </si>
  <si>
    <t xml:space="preserve">Recovery of Declining Deferral of Rockport Costs </t>
  </si>
  <si>
    <t>Non-OATT LSE amount in base rates</t>
  </si>
  <si>
    <t>ESTIMATE - Day 3 - 100% of Interruptible Service Credits</t>
  </si>
  <si>
    <t>Reversal of Day 3 estimates - 100% of Interruptible Service Credits</t>
  </si>
  <si>
    <t>ACTUALS - Post Close - True up of Prior Month 100% of Interruptible Service Credits</t>
  </si>
  <si>
    <t>Total Non-OATT LSE at 100%</t>
  </si>
  <si>
    <t>Total Non-OATT LSE at 100% less amount in Base Rates</t>
  </si>
  <si>
    <t>(Over) Under Recovery of Base Rates</t>
  </si>
  <si>
    <t>Current month (Over) Under Recovery of Base Rates</t>
  </si>
  <si>
    <t>5660009 - PJM OATT LSE Over-Under Adjustment</t>
  </si>
  <si>
    <t>5550153 -  PurchPower-Rockport Def-NonAff</t>
  </si>
  <si>
    <t xml:space="preserve"> Cumulative Balance in Regulatory Asset/(Liability) </t>
  </si>
  <si>
    <t>1823557 or 2543557 - PJM OATT LSE Under (Over)-Recovery</t>
  </si>
  <si>
    <t>Rollforward Cumulative O/U Reg Asset/(Liab)</t>
  </si>
  <si>
    <t>2543557 as of 3/31/2019</t>
  </si>
  <si>
    <t>Test Year Activity - PPA Over/Under</t>
  </si>
  <si>
    <t>Test Year Activity - Rockport Deferral</t>
  </si>
  <si>
    <t>1823557  as of 3/31/2020</t>
  </si>
  <si>
    <t>W09-Remove Tariff D.S.M.C. Revenues and Expenses</t>
  </si>
  <si>
    <t>DSM Rider Revenue, Expense Increase/(Decrease)</t>
  </si>
  <si>
    <t>Description (a)</t>
  </si>
  <si>
    <t>FERC Account (b)</t>
  </si>
  <si>
    <t>Amount (c)</t>
  </si>
  <si>
    <t>Test Year Other Electric Revenue:</t>
  </si>
  <si>
    <t>Remove Demand Side Management ("DSM") Rider Refund</t>
  </si>
  <si>
    <t>Remove DSM Incentive Revenue Accrued</t>
  </si>
  <si>
    <t>Remove DSM Lost Revenue Accrued</t>
  </si>
  <si>
    <t>Remove DSM Revenue Recovery of Incentives, Lost Revenue</t>
  </si>
  <si>
    <t>Net Increase in Test Year Other Electric Revenue</t>
  </si>
  <si>
    <t>456</t>
  </si>
  <si>
    <t>Test Year O&amp;M Expense Related to Program Costs:</t>
  </si>
  <si>
    <t>Remove DSM O&amp;M for Refund of Program Costs</t>
  </si>
  <si>
    <t>Remove DSM O&amp;M for Program Costs Expense</t>
  </si>
  <si>
    <t>Remove DSM O&amp;M Credits for Program Costs Deferred</t>
  </si>
  <si>
    <t>Net Increase in Test Year O&amp;M Expense Related to Program Costs</t>
  </si>
  <si>
    <t>908</t>
  </si>
  <si>
    <t>DSM Journal Entry and GL Account Detail</t>
  </si>
  <si>
    <t>Dr./(Cr.)</t>
  </si>
  <si>
    <t>A/C 4560007</t>
  </si>
  <si>
    <t>DSM Rider Refund</t>
  </si>
  <si>
    <t>Incentive Revenue Accrued</t>
  </si>
  <si>
    <t>Lost Revenue Accrued</t>
  </si>
  <si>
    <t xml:space="preserve"> Recovery of Incentives, Lost Revenue</t>
  </si>
  <si>
    <t>Test Year Activity - 4560007</t>
  </si>
  <si>
    <t>A/C 9080009</t>
  </si>
  <si>
    <t>DSM Refund of Program Costs</t>
  </si>
  <si>
    <t>DSM Program Costs Expense</t>
  </si>
  <si>
    <t>DSM Credits for Program Costs Deferred</t>
  </si>
  <si>
    <t>Test Year Activity - 9080009</t>
  </si>
  <si>
    <t>Test Year Activity - DSM Journal Entries DSM_COST and DSMREVENUE</t>
  </si>
  <si>
    <t>Sum of MONETARY_AMOUNT   Dr./(Cr.)</t>
  </si>
  <si>
    <t>Row Labels</t>
  </si>
  <si>
    <t>1823009 - DSM Incentives</t>
  </si>
  <si>
    <t>1823010 - Energy Efficiency Recovery</t>
  </si>
  <si>
    <t>1823011 - DSM Lost Revenues</t>
  </si>
  <si>
    <t>1823012 - Program Costs</t>
  </si>
  <si>
    <t>4560007 - Oth Elect Rev - DSM Program</t>
  </si>
  <si>
    <t>9080009 - Cust Assistance Expense - DSM</t>
  </si>
  <si>
    <t>4/1/2019</t>
  </si>
  <si>
    <t>5/1/2019</t>
  </si>
  <si>
    <t>6/1/2019</t>
  </si>
  <si>
    <t>7/1/2019</t>
  </si>
  <si>
    <t>8/1/2019</t>
  </si>
  <si>
    <t>9/1/2019</t>
  </si>
  <si>
    <t>10/1/2019</t>
  </si>
  <si>
    <t>11/1/2019</t>
  </si>
  <si>
    <t>12/1/2019</t>
  </si>
  <si>
    <t>1/1/2020</t>
  </si>
  <si>
    <t>2/1/2020</t>
  </si>
  <si>
    <t>3/1/2020</t>
  </si>
  <si>
    <t>Grand Total</t>
  </si>
  <si>
    <t>Test Year Activity - Account 4560007</t>
  </si>
  <si>
    <t>Sum of MONETARY_AMOUNT</t>
  </si>
  <si>
    <t>SOURCE</t>
  </si>
  <si>
    <t>LINE_DESCR</t>
  </si>
  <si>
    <t>MCS</t>
  </si>
  <si>
    <t>ONL</t>
  </si>
  <si>
    <t>4560007 Total</t>
  </si>
  <si>
    <t>Adj to DSM Filing</t>
  </si>
  <si>
    <t>MACSS DSM Program</t>
  </si>
  <si>
    <t>Oth Elect Rev - DSM Program</t>
  </si>
  <si>
    <t>Recovery - Lost Rev/Shared Sav</t>
  </si>
  <si>
    <t>Test Year Activity - Account 9080009</t>
  </si>
  <si>
    <t>JOURNAL_ID</t>
  </si>
  <si>
    <t>DESCR</t>
  </si>
  <si>
    <t>DSM_COST</t>
  </si>
  <si>
    <t>DSMREVENUE</t>
  </si>
  <si>
    <t>9080009 Total</t>
  </si>
  <si>
    <t>To record KPCO DSM Recovery al</t>
  </si>
  <si>
    <t>To reposition DSM costs as a d</t>
  </si>
  <si>
    <t>W10-Remove Tariff R.E.A. Revenues and Expenses</t>
  </si>
  <si>
    <t>Tariff R.E.A. Detail</t>
  </si>
  <si>
    <t>Journal ID</t>
  </si>
  <si>
    <t>O&amp;M Expense</t>
  </si>
  <si>
    <t>4261000</t>
  </si>
  <si>
    <t>9080000</t>
  </si>
  <si>
    <t>CADKYHEAP</t>
  </si>
  <si>
    <t>Adjustments</t>
  </si>
  <si>
    <t>Decrease in Test Year Retail Revenue for Tariff R.E.A. Revenue</t>
  </si>
  <si>
    <t>Decrease in Test Year O&amp;M for Tariff R.E.A. Expense</t>
  </si>
  <si>
    <t>W11-Remove Tariff K.E.D.S. Revenues and Expenses</t>
  </si>
  <si>
    <t>Tariff K.E.D.S. Revenue and Expense</t>
  </si>
  <si>
    <t>CADKYECON</t>
  </si>
  <si>
    <t xml:space="preserve">Decrease Test Year Retail Revenue for Tariff K.E.D.S. Revenue </t>
  </si>
  <si>
    <t>Decrease Test Year O&amp;M Expense for Tariff K.E.D.S. Expense</t>
  </si>
  <si>
    <t>W15-Adjust Interest on Customer Deposits</t>
  </si>
  <si>
    <t>PeopleSoft Query - Account 2350001 (Customer Deposits Active)</t>
  </si>
  <si>
    <t>ACCOUNT</t>
  </si>
  <si>
    <t>FISCAL_YEAR</t>
  </si>
  <si>
    <t>Balance as of March 31, 2020</t>
  </si>
  <si>
    <t>PeopleSoft Query - Account 4310002 (Interest on Customer Deposits)</t>
  </si>
  <si>
    <t>ACCOUNTING_PERIOD</t>
  </si>
  <si>
    <t>2019 Total</t>
  </si>
  <si>
    <t>2020 Total</t>
  </si>
  <si>
    <t>W17-Amortization of Big Sandy Unit 1 Operations Rider Deferral</t>
  </si>
  <si>
    <t>Detail of Big Sandy Unit 1 Operation Rider Regulatory Asset/(Liability) Balances</t>
  </si>
  <si>
    <t>Account Balance</t>
  </si>
  <si>
    <t>1823410</t>
  </si>
  <si>
    <t>BS1OR Unrecognized Equity CC</t>
  </si>
  <si>
    <t>1823411</t>
  </si>
  <si>
    <t>BS1OR Under Recovery CC</t>
  </si>
  <si>
    <t>1823516</t>
  </si>
  <si>
    <t>BS1OR Under Recovery</t>
  </si>
  <si>
    <t>1823547</t>
  </si>
  <si>
    <t>Def Depr-Big Sandy Unit 1 Gas</t>
  </si>
  <si>
    <t>1823550</t>
  </si>
  <si>
    <t>Def Prop Tax-Big Sandy U1 Gas</t>
  </si>
  <si>
    <t xml:space="preserve">Total Regulatory Asset </t>
  </si>
  <si>
    <t>(1)</t>
  </si>
  <si>
    <t xml:space="preserve">(1) Per the January 18, 2018 order in Case No. 2017-00179, "The Commission finds the establishment of a regulatory asset or liability due to the elimination of Tariff B.S.1.O.R. to be reasonable and that it should be approved.  The approval is for accounting purposes only, and the appropriate ratemaking treatment for the regulatory asset or liability account will be addressed in Kentucky Power’s next general rate case."
</t>
  </si>
  <si>
    <t>W20-Annualization of Lease Expense</t>
  </si>
  <si>
    <t>KPCo Lease Expense Summary</t>
  </si>
  <si>
    <t>Annual Total</t>
  </si>
  <si>
    <t>March 2020 Expense</t>
  </si>
  <si>
    <t>(1) March 2020 lease expense excludes $3,100 in monthly lease expense related to the Ashland Office Lease (855 Central Ave).  The Ashland Office Lease was terminated in the second quarter of 2020.</t>
  </si>
  <si>
    <t>KPCo Lease Expense Report - Non Fleet</t>
  </si>
  <si>
    <t>Adds/Retire</t>
  </si>
  <si>
    <t>(All)</t>
  </si>
  <si>
    <t>lease_cap_type</t>
  </si>
  <si>
    <t>Sum of amount</t>
  </si>
  <si>
    <t>monthnum</t>
  </si>
  <si>
    <t>account</t>
  </si>
  <si>
    <t>April 19</t>
  </si>
  <si>
    <t>May 19</t>
  </si>
  <si>
    <t>June 19</t>
  </si>
  <si>
    <t>July 19</t>
  </si>
  <si>
    <t>Aug 19</t>
  </si>
  <si>
    <t>Sep 19</t>
  </si>
  <si>
    <t>Oct 19</t>
  </si>
  <si>
    <t>Nov 19</t>
  </si>
  <si>
    <t>Dec 19</t>
  </si>
  <si>
    <t>Jan 20</t>
  </si>
  <si>
    <t>Feb 20</t>
  </si>
  <si>
    <t>March 20</t>
  </si>
  <si>
    <t>Remove Mar 2020 Expense - Kentucky Power Company Headquarters - Ashland (Leased) 855 Central Ave : KEP : 3150</t>
  </si>
  <si>
    <t>KPCo Lease Expense Report - Fleet</t>
  </si>
  <si>
    <t>Account 1840029</t>
  </si>
  <si>
    <t xml:space="preserve"> Fleet Allocation </t>
  </si>
  <si>
    <t>W21-Adjust Pension and OPEB Expense</t>
  </si>
  <si>
    <t>Test Year Pension and OPEB Expense Summary</t>
  </si>
  <si>
    <t>110 -  Distribution</t>
  </si>
  <si>
    <t>117 - Generation</t>
  </si>
  <si>
    <t>180  - Transmission</t>
  </si>
  <si>
    <t>Test Year Expense</t>
  </si>
  <si>
    <t>Period</t>
  </si>
  <si>
    <t>GL Amount</t>
  </si>
  <si>
    <t>110 -  Dist</t>
  </si>
  <si>
    <t>117 - Gen</t>
  </si>
  <si>
    <t>180  - Tran</t>
  </si>
  <si>
    <t>2019 (Year-to-Date)</t>
  </si>
  <si>
    <t>9260003 - Pension Plan</t>
  </si>
  <si>
    <t>Account 9260003 (Pension Plan)</t>
  </si>
  <si>
    <t>2020 (Three Months Ended March 31, 2020)</t>
  </si>
  <si>
    <t>Account 9260062 (Pension Plan - Non-Service)</t>
  </si>
  <si>
    <t>Account 9260037 (Supplemental Pension)</t>
  </si>
  <si>
    <t>Account 9260042 (SERP Pension - Non-Service)</t>
  </si>
  <si>
    <t>9260062 - Pension Plan - Non-Service</t>
  </si>
  <si>
    <t>Account 9260021  (Postretirement Benefits - OPEB)</t>
  </si>
  <si>
    <t>Account 9260043 (OPEB- Non-Service)</t>
  </si>
  <si>
    <t>9260037 - Supplemental Pension</t>
  </si>
  <si>
    <t xml:space="preserve">2020 Forecast </t>
  </si>
  <si>
    <t>9260042 - SERP Pension - Non-Service</t>
  </si>
  <si>
    <t>9260021 - Postretirement Benefits - OPEB</t>
  </si>
  <si>
    <t>9260043 - OPEB- Non-Service</t>
  </si>
  <si>
    <t>Fringe Benefit Loading Summary</t>
  </si>
  <si>
    <t>BUSINESS_UNIT</t>
  </si>
  <si>
    <t>9260050 - Frg Ben Loading - Pension</t>
  </si>
  <si>
    <t>9260050 - Frg Ben Loading - Pension Total</t>
  </si>
  <si>
    <t>9260053 - Frg Ben Loading - OPEB</t>
  </si>
  <si>
    <t>9260053 - Frg Ben Loading - OPEB Total</t>
  </si>
  <si>
    <t>W22-Adjust Employee Related Group Benefit Expense</t>
  </si>
  <si>
    <t>Test Year Employee Related Group Benefit Costs</t>
  </si>
  <si>
    <t>Line</t>
  </si>
  <si>
    <t xml:space="preserve"> Amount </t>
  </si>
  <si>
    <t xml:space="preserve"> Net Amount </t>
  </si>
  <si>
    <t>Group Life Insurance Premiums Paid</t>
  </si>
  <si>
    <t>9260004</t>
  </si>
  <si>
    <t>Billed Wheeling Power Company for Mitchell</t>
  </si>
  <si>
    <t xml:space="preserve">Net Test Year Premiums for Life </t>
  </si>
  <si>
    <t>Group Medical Ins Premiums</t>
  </si>
  <si>
    <t>9260005</t>
  </si>
  <si>
    <t>Net Test Year Premiums for Medical</t>
  </si>
  <si>
    <t>Group L-T Disability Ins Prem Paid</t>
  </si>
  <si>
    <t>9260007</t>
  </si>
  <si>
    <t>Net Test Year Premiums for LTD</t>
  </si>
  <si>
    <t>Group Dental Insurance Prem Paid</t>
  </si>
  <si>
    <t>9260009</t>
  </si>
  <si>
    <t>Net Test Year Premiums for Dental</t>
  </si>
  <si>
    <t>Net Employee Related Group Benefit Costs for Test Year</t>
  </si>
  <si>
    <t>W25-Amortization of NERC Compliance and Cybersecurity Cost Deferral</t>
  </si>
  <si>
    <t>Reconciliation NERC and Cybersecurity Deferred Costs</t>
  </si>
  <si>
    <t>Line No.</t>
  </si>
  <si>
    <t>1823537 
CC-NERC Compliance/Cyber Sec</t>
  </si>
  <si>
    <t>1823538
Def Depr-NERC Compli/Cybersec</t>
  </si>
  <si>
    <t>Deferral through February 28, 2017, Authorized to Amortize Over 5 Years per Order Dated January 18, 2018 in Case No. 2017-00179.</t>
  </si>
  <si>
    <t>Deferral Amount Post February 28, 2017 Authorized By Order Dated January 18, 2018 in Case No. 2017-00179</t>
  </si>
  <si>
    <t>Total Deferral (Line 1 + Line 2)</t>
  </si>
  <si>
    <t>Total of NERC_CC and OAANERCDEF Jounal ID's from Pivot</t>
  </si>
  <si>
    <t>Reconciling Variance (Line 3 - Line 4)</t>
  </si>
  <si>
    <t>Allocation of Amortization Between Carring Charges and Depreciation Expense</t>
  </si>
  <si>
    <t>FERC Account Used to Record Amortization</t>
  </si>
  <si>
    <t>431/421</t>
  </si>
  <si>
    <t>Test Year Amortization</t>
  </si>
  <si>
    <t>Test Year Ended March 31, 2020</t>
  </si>
  <si>
    <t>NERCAMRT</t>
  </si>
  <si>
    <t>NERCAMRT Total</t>
  </si>
  <si>
    <t>Year</t>
  </si>
  <si>
    <t xml:space="preserve">Total </t>
  </si>
  <si>
    <t>Pivot of Accounts 1823537 and 1823538</t>
  </si>
  <si>
    <t>Journal Description</t>
  </si>
  <si>
    <t>Include/Exclude from calculation of incremental costs incurred since last base rate case.</t>
  </si>
  <si>
    <t>NERC_CC</t>
  </si>
  <si>
    <t>To defer the current month Kentucky retail share of incremental carrying costs incurred by the Company in complying with new NERC compliance or cybersecurity requirements in accordance with KPSC order dated 6/22/2015, Case No. 2014-00396.</t>
  </si>
  <si>
    <t>Include</t>
  </si>
  <si>
    <t>To amortize deferred NERC and cyber security carrying charges, and deferred depreciation that was approved for recovery by KPSC in Case No. 2017-00179.</t>
  </si>
  <si>
    <t>Exclude</t>
  </si>
  <si>
    <t>OAANERCDEF</t>
  </si>
  <si>
    <t>To record the Deferred Depreciation Expense related to NERC CIP Compliance and Cyber Security per Kentucky Power Co Case No 2017-00179.</t>
  </si>
  <si>
    <t>Sum of Amount</t>
  </si>
  <si>
    <t>NERC_CC Total</t>
  </si>
  <si>
    <t>OAANERCDEF Total</t>
  </si>
  <si>
    <t>2016 Total</t>
  </si>
  <si>
    <t>2017 Total</t>
  </si>
  <si>
    <t>2018 Total</t>
  </si>
  <si>
    <t>W26-Remove Severance Expense</t>
  </si>
  <si>
    <t>Detail - Severance Expense Recorded During the Test Year</t>
  </si>
  <si>
    <t>Year.Period</t>
  </si>
  <si>
    <t>2019 6</t>
  </si>
  <si>
    <t>2019 7</t>
  </si>
  <si>
    <t>2019 8</t>
  </si>
  <si>
    <t>2020 1</t>
  </si>
  <si>
    <t>2020 3</t>
  </si>
  <si>
    <t>5060000 Total</t>
  </si>
  <si>
    <t>W36-Annualization of ARO Depreciation Expense</t>
  </si>
  <si>
    <t>Forecasted Apr 2020 - Mar 2021 ARO Depreciation v. Per Books Apr 2019 - Mar 2020 ARO Depreciation</t>
  </si>
  <si>
    <t>Co#</t>
  </si>
  <si>
    <t>Plant</t>
  </si>
  <si>
    <t>ARO Description</t>
  </si>
  <si>
    <t>Forecasted Apr 2020 - Mar 2021 Depreciation Expense</t>
  </si>
  <si>
    <t>Per Books Apr 2019 - Mar 2020 Depreciation Expense</t>
  </si>
  <si>
    <t>Difference</t>
  </si>
  <si>
    <t>ARO depreciation to include in cost of service</t>
  </si>
  <si>
    <t>Mitchell</t>
  </si>
  <si>
    <t>ARO Mitchell U0 Asbestos - KPCo</t>
  </si>
  <si>
    <t>ARO Mitchell U1 Asbestos - KPCo</t>
  </si>
  <si>
    <t>ARO Mitchell U2 Asbestos - KPCo</t>
  </si>
  <si>
    <t>ASH#1 Connor Run - KPCo Mitchell</t>
  </si>
  <si>
    <t>ASH#1 Mitchell Ash Pond - KPCo</t>
  </si>
  <si>
    <t>ASH#2 Mitchell Landfill - KPCo</t>
  </si>
  <si>
    <t>ASH#3 Mitchell Ash Pond - KPCo</t>
  </si>
  <si>
    <t>Totals</t>
  </si>
  <si>
    <t>ARO Depreciation Expense per Books</t>
  </si>
  <si>
    <t>Location</t>
  </si>
  <si>
    <t>Utility Account</t>
  </si>
  <si>
    <t>Big Sandy U0</t>
  </si>
  <si>
    <t xml:space="preserve"> Deferred </t>
  </si>
  <si>
    <t>Big Sandy U1</t>
  </si>
  <si>
    <t>Mitchell U0</t>
  </si>
  <si>
    <t xml:space="preserve"> Expensed </t>
  </si>
  <si>
    <t>Mitchell U1</t>
  </si>
  <si>
    <t>Mitchell U2</t>
  </si>
  <si>
    <t>ASH#1 Mitchell</t>
  </si>
  <si>
    <t>ASH#2 Mitchell</t>
  </si>
  <si>
    <t>ASH#3 Mitchell</t>
  </si>
  <si>
    <t>Conner Run - Mitchell</t>
  </si>
  <si>
    <t>Pikeville Svc Ctr</t>
  </si>
  <si>
    <t xml:space="preserve"> Total </t>
  </si>
  <si>
    <t>Non Deferred ARO Depreciation March 2020</t>
  </si>
  <si>
    <t>Annualized Non Deferred ARO Depreciation</t>
  </si>
  <si>
    <t>Adjustment to Annualize Non Deferred ARO Depreciation</t>
  </si>
  <si>
    <t>Notes</t>
  </si>
  <si>
    <t>Note that 100% of depreciation expense for Big Sandy units 0, 1 and Pikeville Svc Ctr is deferred to 1080013</t>
  </si>
  <si>
    <t>Note that depreciation expense related to Mitchell Plant and Conner Run is not deferred and remains in the expense account</t>
  </si>
  <si>
    <t xml:space="preserve">Note that as of November 2015 Big Sandy Unit 2 was retired .  Any ARO's related to U2 coal activity only were retired - Big Sandy U2 Asbestos, ASH#1 Big Sandy and ASH#2 Big Sandy </t>
  </si>
  <si>
    <t>Note that the ASH#3 Mitchell ARO was established since the ARO on AGR ASH#1 Kammer was determined by AP&amp;R to not be used by Kammer, but by Mitchell plant (KPCo-G and WPCo-G). An accretion adjustment was made in PowerPlant to create a catch up for accretion on the new ARO - ASH#3 Mitchell - KPCo. However, per AP&amp;R it has been determined that the newly established liability balances already included the catch up accretion and there should not have been an accretion adjustment in PowerPlant.  The GL balance is correct. In January 2017 the accretion adjustment was reversed in PowerPlant and a GL level only entry was made to record the catch up accretion.</t>
  </si>
  <si>
    <t>W37-Annualization of ARO Accretion Expense</t>
  </si>
  <si>
    <t>Forecasted Apr 2020 - Mar 2021 ARO Accretion v. Per Books Apr 2019 - Mar 2020 ARO Accretion</t>
  </si>
  <si>
    <t>Forecasted 
Apr 2020 - Mar 2021 Accretion Expense</t>
  </si>
  <si>
    <t>Per Books 
Apr 2019 - Mar 2020 Accretion Expense</t>
  </si>
  <si>
    <t>ARO accretion to include in cost of service</t>
  </si>
  <si>
    <t>Per Books ARO Accretion Expense</t>
  </si>
  <si>
    <t>Big Sandy U2</t>
  </si>
  <si>
    <t>ASH#1 Big Sandy</t>
  </si>
  <si>
    <t>Expensed</t>
  </si>
  <si>
    <t>Deferred</t>
  </si>
  <si>
    <t>Note that 100% of accretion expense for Big Sandy units 0, 1 and Pikeville Svc Ctr is deferred to 1080013</t>
  </si>
  <si>
    <t>Note that 100% of accretion expense for Big Sandy ash ponds and Big Sandy U2 asbestos is deferred to 1823377</t>
  </si>
  <si>
    <t>Note that accretion expense related to Mitchell Plant and Conner Run is not deferred and remains in the expense account</t>
  </si>
  <si>
    <t>Note that as of November 2015 Big Sandy Unit 2 was retired.  Any ARO's related to U2 coal activity only were retired</t>
  </si>
  <si>
    <t>W39-Interest Synchronization Adjustment</t>
  </si>
  <si>
    <t>Summary of Test Year Interest Charges (Excluding FERC Account 432 ABFUDC)</t>
  </si>
  <si>
    <t>Interest Charges for Twelve Months Ended March 31, 2020</t>
  </si>
  <si>
    <t>Interest on Long-Term Debt (427)</t>
  </si>
  <si>
    <t>Amort. Of Debt Disc. And Expense (428)</t>
  </si>
  <si>
    <t>Amortization of Loss on Reacquired Debt (428.1)</t>
  </si>
  <si>
    <t>(Less) Amort. Of Premium on Debt-Credit (429)</t>
  </si>
  <si>
    <t>(Less) Amortization of Gain on Reacquired Debt-Credit (429.1)</t>
  </si>
  <si>
    <t>Interest on Debt to Assoc. Companies (430)</t>
  </si>
  <si>
    <t>Other Interest Expense (431)</t>
  </si>
  <si>
    <t>Net Interest Charges (Excluding FERC Account 432)</t>
  </si>
  <si>
    <t>W49-Adjustment to Defer and Amortize GreenHat Default Charges</t>
  </si>
  <si>
    <t>Summary of GreenHat Default Charges</t>
  </si>
  <si>
    <t>Remove GreenHat Default Charges Recorded to Transmission Expense During the Twelve Months Ended 3/31/2020</t>
  </si>
  <si>
    <t>Actual GreenHat Default Costs</t>
  </si>
  <si>
    <t>Total Actual</t>
  </si>
  <si>
    <t>Estimated GreenHat Default Costs Through December 2020</t>
  </si>
  <si>
    <t>2020 April</t>
  </si>
  <si>
    <t>2020 May</t>
  </si>
  <si>
    <t>2020 June</t>
  </si>
  <si>
    <t>2020 July</t>
  </si>
  <si>
    <t>2020 August</t>
  </si>
  <si>
    <t>2020 September</t>
  </si>
  <si>
    <t>2020 October</t>
  </si>
  <si>
    <t>2020 November</t>
  </si>
  <si>
    <t>2020 December</t>
  </si>
  <si>
    <t>Total Estimated</t>
  </si>
  <si>
    <t>Total Actual and Estimated GreenHat Default Costs Through December 2020</t>
  </si>
  <si>
    <t>Summary of Actual and Estimated GreenHat Default Charges Filed March 19, 2020 in Case No. 2020-00034 (Response to KPSC 1_3)</t>
  </si>
  <si>
    <t>Booked Month</t>
  </si>
  <si>
    <t>Amount Booked</t>
  </si>
  <si>
    <t>Act./Est.</t>
  </si>
  <si>
    <t>2018 August</t>
  </si>
  <si>
    <t>A</t>
  </si>
  <si>
    <t>2018 September</t>
  </si>
  <si>
    <t>2018 October</t>
  </si>
  <si>
    <t>2018 November</t>
  </si>
  <si>
    <t>2018 December</t>
  </si>
  <si>
    <t>2019 January</t>
  </si>
  <si>
    <t>2019 February</t>
  </si>
  <si>
    <t>2019 March</t>
  </si>
  <si>
    <t>2019 April</t>
  </si>
  <si>
    <t>2019 May</t>
  </si>
  <si>
    <t>2019 June</t>
  </si>
  <si>
    <t>2019 July</t>
  </si>
  <si>
    <t>2019 August</t>
  </si>
  <si>
    <t>2019 September</t>
  </si>
  <si>
    <t>2019 October</t>
  </si>
  <si>
    <t>2019 November</t>
  </si>
  <si>
    <t>2019 December</t>
  </si>
  <si>
    <t>2020 January</t>
  </si>
  <si>
    <t>E</t>
  </si>
  <si>
    <t>2020 February</t>
  </si>
  <si>
    <t>2020 March</t>
  </si>
  <si>
    <t>2021 January</t>
  </si>
  <si>
    <t>2021 February</t>
  </si>
  <si>
    <t>2021 March</t>
  </si>
  <si>
    <t>2021 April</t>
  </si>
  <si>
    <t>2021 May</t>
  </si>
  <si>
    <t>2021 June</t>
  </si>
  <si>
    <t>2021 July</t>
  </si>
  <si>
    <t>NOTE: The amounts included in the table show actuals and estimates for charges through July 2021. As stated in the direct testimony of Company Witness Wohnhas at page 4, lines 10-12, "Kentucky Power anticipates being billed (or credited) in connection with the May 2021 liquidation in June 2021." In other words, the final charges should be included on the June 2021 PJM invoice, which will be booked in July 2021.
The initial two settlement intervals of July and August 2018 were also invoiced by PJM in the same month and booked in August and September 2018.  Beginning with the September 2018 settlement, PJM moved to invoicing on a one-month lag and the September 2018 settlement was invoiced in October 2018 and booked in November 2018; thus, there was no amount booked in October 2018.</t>
  </si>
  <si>
    <t>W50-Remove Adjustment to Joint Use Pole Rental Revenue and Expense Related to a Prior Period</t>
  </si>
  <si>
    <t>Pivot of Non-Recurring Journal ID CAD056AJE</t>
  </si>
  <si>
    <t>CAD056AJE</t>
  </si>
  <si>
    <t>Long Descr</t>
  </si>
  <si>
    <t>To record prior year adjustment to accrued revenue for joint use pole rental revenue &amp; expense  - Kentucky Power Company</t>
  </si>
  <si>
    <t>Ref No</t>
  </si>
  <si>
    <t>NONREC</t>
  </si>
  <si>
    <t>W51-Remove Non-Ongoing Expense Related to the COVID-19 Pandemic</t>
  </si>
  <si>
    <t>Pivot of Non-Recurring Journal ID NPCOVIDPDO</t>
  </si>
  <si>
    <t>NPCOVIDPDO</t>
  </si>
  <si>
    <t>To accrue additional PDOs for employees reporting to work during the COVID-19 pandemic.</t>
  </si>
  <si>
    <t xml:space="preserve">Decrease Accounts: </t>
  </si>
  <si>
    <t>W52-Remove Insurance Proceeds Related to a Prior Period</t>
  </si>
  <si>
    <t>Pivot of Non-Recurring Journal ID INS_CLAIM</t>
  </si>
  <si>
    <t>INS_CLAIM</t>
  </si>
  <si>
    <t>To record insurance proceeds for October 2018 crime claim.</t>
  </si>
  <si>
    <t xml:space="preserve">Increase Account: </t>
  </si>
  <si>
    <t>W53-Remove Rockport Bill Adjustment Related to a Prior Period</t>
  </si>
  <si>
    <t>Pivot of Non-Recurring Journal ID CA0141</t>
  </si>
  <si>
    <t>CA0141</t>
  </si>
  <si>
    <t>To record adjustment of the AEG Rockport billing to Kentucky Power to account for significant changes in federal income taxes.</t>
  </si>
  <si>
    <t>W54-Amortization of Deferred Plant Maintenance Costs</t>
  </si>
  <si>
    <t>Detail - Plant Maintenance Expense Excluding Labor, Fringe, and Incentive Cost Components</t>
  </si>
  <si>
    <t>PDAF</t>
  </si>
  <si>
    <t>Prorate January 2018; Base Rates Effective 1/19/2018</t>
  </si>
  <si>
    <t>Amount in Base Rates</t>
  </si>
  <si>
    <t>Monthly Variance</t>
  </si>
  <si>
    <t>Jurisdictional Allocation Factor</t>
  </si>
  <si>
    <t>KY Jurisdiction Monthly O/U</t>
  </si>
  <si>
    <t>2018 1</t>
  </si>
  <si>
    <t>2018 10</t>
  </si>
  <si>
    <t>2018 11</t>
  </si>
  <si>
    <t>2018 12</t>
  </si>
  <si>
    <t>2018 2</t>
  </si>
  <si>
    <t>2018 3</t>
  </si>
  <si>
    <t>2018 4</t>
  </si>
  <si>
    <t>2018 5</t>
  </si>
  <si>
    <t>2018 6</t>
  </si>
  <si>
    <t>2018 7</t>
  </si>
  <si>
    <t>2018 8</t>
  </si>
  <si>
    <t>2018 9</t>
  </si>
  <si>
    <t>2019 1</t>
  </si>
  <si>
    <t>2019 10</t>
  </si>
  <si>
    <t>2019 11</t>
  </si>
  <si>
    <t>2019 12</t>
  </si>
  <si>
    <t>2019 2</t>
  </si>
  <si>
    <t>2019 3</t>
  </si>
  <si>
    <t>2019 4</t>
  </si>
  <si>
    <t>2019 5</t>
  </si>
  <si>
    <t>2019 9</t>
  </si>
  <si>
    <t>2020 2</t>
  </si>
  <si>
    <t>Cumulative O/U - Q1 2020 (March 2020)</t>
  </si>
  <si>
    <t>W64-Remove Amortization of Rate Case Expense Deferral</t>
  </si>
  <si>
    <t>Detail of Rate Case Expense Deferral Amortization Recorded in the Test Year</t>
  </si>
  <si>
    <t>OPERATING_UNIT</t>
  </si>
  <si>
    <t>BUSINESS_UNIT_PC</t>
  </si>
  <si>
    <t>ACTIVITY_ID</t>
  </si>
  <si>
    <t>PROJECT_ID</t>
  </si>
  <si>
    <t xml:space="preserve"> MONETARY_AMOUNT </t>
  </si>
  <si>
    <t>KYRATECASE</t>
  </si>
  <si>
    <t>Regulatory Commission Exp-Case</t>
  </si>
  <si>
    <t>To amortize deferred rate case</t>
  </si>
  <si>
    <t>KY</t>
  </si>
  <si>
    <t>LEGAL</t>
  </si>
  <si>
    <t>UT16KYRC01</t>
  </si>
  <si>
    <t>EON018181</t>
  </si>
  <si>
    <t>Rate Case Expense Deferral Amortization Recorded in the Test Year</t>
  </si>
  <si>
    <t xml:space="preserve">The January 18, 2018 Order in Case No. 2017-00179 approved deferral of $1,375,000 base rate case expenses and amortization over 3 years, beginning on January 19, 2018 and ending on January 18, 2021.  </t>
  </si>
  <si>
    <t>Expected 2017 Employee Related Group Benefit Cost</t>
  </si>
  <si>
    <t>Net</t>
  </si>
  <si>
    <t xml:space="preserve">Blended </t>
  </si>
  <si>
    <t>Employee</t>
  </si>
  <si>
    <t>Monthly</t>
  </si>
  <si>
    <t>Participating</t>
  </si>
  <si>
    <t>Annual</t>
  </si>
  <si>
    <t>Funding</t>
  </si>
  <si>
    <t>Contribution</t>
  </si>
  <si>
    <t>Costs</t>
  </si>
  <si>
    <t xml:space="preserve">Employees   </t>
  </si>
  <si>
    <t>(2)</t>
  </si>
  <si>
    <t xml:space="preserve">(3)  </t>
  </si>
  <si>
    <t>(4)</t>
  </si>
  <si>
    <t>(5)</t>
  </si>
  <si>
    <t>(6)</t>
  </si>
  <si>
    <t>(7)</t>
  </si>
  <si>
    <t>2020 Insurance Calculation:</t>
  </si>
  <si>
    <t>Anthem HRA</t>
  </si>
  <si>
    <t>Employee Only</t>
  </si>
  <si>
    <t>Employee + Spouse</t>
  </si>
  <si>
    <t>Employee + Child(ren)</t>
  </si>
  <si>
    <t>Employee + Family</t>
  </si>
  <si>
    <t>Anthem HSA Plus</t>
  </si>
  <si>
    <t>Anthem HSA Basic</t>
  </si>
  <si>
    <t>Aetna Dental PPO Plan</t>
  </si>
  <si>
    <t>Aetna Dental DMO Plan</t>
  </si>
  <si>
    <t>Additional Monthly Fees:</t>
  </si>
  <si>
    <t>Employee Assistance Program</t>
  </si>
  <si>
    <t>CancerBridge</t>
  </si>
  <si>
    <t>Wellness Incentive Payout</t>
  </si>
  <si>
    <t>(2020 amounts)</t>
  </si>
  <si>
    <t>Long-Term Disability</t>
  </si>
  <si>
    <t>Life (based on participating payroll)</t>
  </si>
  <si>
    <t xml:space="preserve">     Volume (000)</t>
  </si>
  <si>
    <t>Basic</t>
  </si>
  <si>
    <t>AD&amp;D</t>
  </si>
  <si>
    <t>ER Team AD&amp;D</t>
  </si>
  <si>
    <t>2020 Total Calculated Cost</t>
  </si>
  <si>
    <t>Expected 2020 Employee Related Group Benefit Cost for Mitchell Plant</t>
  </si>
  <si>
    <t>2020 Total Calculated Cost for Mitchell</t>
  </si>
  <si>
    <t>50% Billed to Wheeling Power Company</t>
  </si>
  <si>
    <t>Medical Plan Count</t>
  </si>
  <si>
    <t>Dental Plan Count</t>
  </si>
  <si>
    <t>Business Unit</t>
  </si>
  <si>
    <t>Plan</t>
  </si>
  <si>
    <t>Coverage Level</t>
  </si>
  <si>
    <t>Count</t>
  </si>
  <si>
    <t>Plus Plan</t>
  </si>
  <si>
    <t>EE Only</t>
  </si>
  <si>
    <t>Dental PPO</t>
  </si>
  <si>
    <t>EE &amp; Spouse</t>
  </si>
  <si>
    <t>EE &amp; Child(ren)</t>
  </si>
  <si>
    <t>EE &amp; Family</t>
  </si>
  <si>
    <t>Basic Plan</t>
  </si>
  <si>
    <t>Dental DMO</t>
  </si>
  <si>
    <t>Total employees 3/31</t>
  </si>
  <si>
    <t>HRA Plan</t>
  </si>
  <si>
    <t>Counts as of
 3/31/2020</t>
  </si>
  <si>
    <t>117 (Big Sandy)</t>
  </si>
  <si>
    <t>117 (Mitchell)</t>
  </si>
  <si>
    <t>117 (Kammer)</t>
  </si>
  <si>
    <r>
      <t>117</t>
    </r>
    <r>
      <rPr>
        <sz val="8"/>
        <color theme="1"/>
        <rFont val="Arial"/>
        <family val="2"/>
      </rPr>
      <t xml:space="preserve"> (Hazard Service Center)</t>
    </r>
  </si>
  <si>
    <t>Wellness Incentive Payouts</t>
  </si>
  <si>
    <t>2020 Payout</t>
  </si>
  <si>
    <t>Life - Basic</t>
  </si>
  <si>
    <t>Volume</t>
  </si>
  <si>
    <t>2020 Company Rate</t>
  </si>
  <si>
    <t>.156/1,000</t>
  </si>
  <si>
    <t>Life - AD&amp;D</t>
  </si>
  <si>
    <t>.018/1,000</t>
  </si>
  <si>
    <t>Life - ER Team</t>
  </si>
  <si>
    <t>.021/1,000</t>
  </si>
  <si>
    <t>Health Care Funding Rates</t>
  </si>
  <si>
    <t>Medical, Dental, and Vision Rates</t>
  </si>
  <si>
    <t>Vision plan is fully paid by employees</t>
  </si>
  <si>
    <t>Employee Counts</t>
  </si>
  <si>
    <t>Total O&amp;M Payroll Adjustment</t>
  </si>
  <si>
    <t>Total KPSC Jurisdictional O&amp;M Payroll Adjustment</t>
  </si>
  <si>
    <t>FERC Accounts</t>
  </si>
  <si>
    <t>Incentive Comp. Adjustment</t>
  </si>
  <si>
    <t>OT Related to Merit Increase Adj</t>
  </si>
  <si>
    <t>Total Base Payroll Adj</t>
  </si>
  <si>
    <t>Savings Plan Expense Adj</t>
  </si>
  <si>
    <t>Total Adjustment</t>
  </si>
  <si>
    <t>5000</t>
  </si>
  <si>
    <t>5010</t>
  </si>
  <si>
    <t>5020</t>
  </si>
  <si>
    <t>5050</t>
  </si>
  <si>
    <t>5060</t>
  </si>
  <si>
    <t>5100</t>
  </si>
  <si>
    <t>5110</t>
  </si>
  <si>
    <t>Total KPSC Jurisdictional</t>
  </si>
  <si>
    <t>5120</t>
  </si>
  <si>
    <t>Medicare Tax Expense</t>
  </si>
  <si>
    <t>5130</t>
  </si>
  <si>
    <t>Social Security Tax Expense</t>
  </si>
  <si>
    <t>5140</t>
  </si>
  <si>
    <t>Adj to Social Security Tax Base</t>
  </si>
  <si>
    <t>5370</t>
  </si>
  <si>
    <t>Grand Total (FERC Account 408)</t>
  </si>
  <si>
    <t>5460</t>
  </si>
  <si>
    <t>5600</t>
  </si>
  <si>
    <t>5620</t>
  </si>
  <si>
    <t>5660</t>
  </si>
  <si>
    <t>5700</t>
  </si>
  <si>
    <t>5800</t>
  </si>
  <si>
    <t>5830</t>
  </si>
  <si>
    <t>5840</t>
  </si>
  <si>
    <t>5850</t>
  </si>
  <si>
    <t>5860</t>
  </si>
  <si>
    <t>5870</t>
  </si>
  <si>
    <t>5880</t>
  </si>
  <si>
    <t>5910</t>
  </si>
  <si>
    <t>5920</t>
  </si>
  <si>
    <t>5930</t>
  </si>
  <si>
    <t>5940</t>
  </si>
  <si>
    <t>5950</t>
  </si>
  <si>
    <t>5960</t>
  </si>
  <si>
    <t>5970</t>
  </si>
  <si>
    <t>5980</t>
  </si>
  <si>
    <t>9010</t>
  </si>
  <si>
    <t>9020</t>
  </si>
  <si>
    <t>9030</t>
  </si>
  <si>
    <t>9070</t>
  </si>
  <si>
    <t>9080</t>
  </si>
  <si>
    <t>9100</t>
  </si>
  <si>
    <t>9200</t>
  </si>
  <si>
    <t>9220</t>
  </si>
  <si>
    <t>9260</t>
  </si>
  <si>
    <t>9280</t>
  </si>
  <si>
    <t>9302</t>
  </si>
  <si>
    <t>9350</t>
  </si>
  <si>
    <t>W27-W33-Summary of Incentive Compensation &amp; Payroll Adjustments</t>
  </si>
  <si>
    <t>W27-W33</t>
  </si>
  <si>
    <t>Summary of Incentive Compensation &amp; Payroll Adjustments</t>
  </si>
  <si>
    <t>W27_W33_PG_X_of_X</t>
  </si>
  <si>
    <t>For the Test Year End 03/31/2020</t>
  </si>
  <si>
    <t>Test Year ICP</t>
  </si>
  <si>
    <t>Expected Cost at a Level 1.0 Target*</t>
  </si>
  <si>
    <t>Net Change in ICP Cost
(c-b)</t>
  </si>
  <si>
    <t xml:space="preserve">Test Year LTIP </t>
  </si>
  <si>
    <t>Net Change in LTIP Cost
(f-e)</t>
  </si>
  <si>
    <t>Total Adjustment to Incentive Compensation Expense
(d+g)</t>
  </si>
  <si>
    <t>KY Jurisdictional Factor - OML</t>
  </si>
  <si>
    <t>(a)</t>
  </si>
  <si>
    <t>(b)</t>
  </si>
  <si>
    <t>(c)</t>
  </si>
  <si>
    <t>(d)</t>
  </si>
  <si>
    <t>(e)</t>
  </si>
  <si>
    <t>(f)</t>
  </si>
  <si>
    <t>(g)</t>
  </si>
  <si>
    <t>(h)</t>
  </si>
  <si>
    <t>(i)</t>
  </si>
  <si>
    <t>*Excludes 50% of Mitchell</t>
  </si>
  <si>
    <t>Calculation for ICP Adjustment</t>
  </si>
  <si>
    <t>Pay Type</t>
  </si>
  <si>
    <t>ICP</t>
  </si>
  <si>
    <t>Sum of Allocated Monetary Amount</t>
  </si>
  <si>
    <t>Column Labels</t>
  </si>
  <si>
    <t>141-Distribution</t>
  </si>
  <si>
    <t>148-Shared Services</t>
  </si>
  <si>
    <t>149-Generation</t>
  </si>
  <si>
    <t>1070</t>
  </si>
  <si>
    <t>1080</t>
  </si>
  <si>
    <t>1520</t>
  </si>
  <si>
    <t>1630</t>
  </si>
  <si>
    <t>1830</t>
  </si>
  <si>
    <t>1840</t>
  </si>
  <si>
    <t>1850</t>
  </si>
  <si>
    <t>1860</t>
  </si>
  <si>
    <t>1880</t>
  </si>
  <si>
    <t>4010</t>
  </si>
  <si>
    <t>4261</t>
  </si>
  <si>
    <t>4264</t>
  </si>
  <si>
    <t>O&amp;M Portion</t>
  </si>
  <si>
    <t>1.0 Target Spread</t>
  </si>
  <si>
    <t>1.0 Target</t>
  </si>
  <si>
    <t>Net Change in ICP</t>
  </si>
  <si>
    <t>Calculation for LTIP Adjustment</t>
  </si>
  <si>
    <t>LTIP</t>
  </si>
  <si>
    <t>1.0 target excluding 50% of Mitchell</t>
  </si>
  <si>
    <t>LTIP Adjustment to 1.0 excluding 50% Mitchell</t>
  </si>
  <si>
    <t>Test Year OT Payroll</t>
  </si>
  <si>
    <t>Blended Base Increase Percentage*</t>
  </si>
  <si>
    <t>Total OT Related to Employee Merit Increase
(b+c)</t>
  </si>
  <si>
    <t>*Blended Base Increase Percentage based on 2.758%</t>
  </si>
  <si>
    <t>Annualization of Payroll Expense Adjustment</t>
  </si>
  <si>
    <t>Test Year Base Payroll</t>
  </si>
  <si>
    <t>Annualized Base as of 3/31/20*</t>
  </si>
  <si>
    <t>Base Payroll Annualiztion Adjustment
(c-b)</t>
  </si>
  <si>
    <t>Annualized Base with Merit/General Increases as of 3/31/20*</t>
  </si>
  <si>
    <t>Merit/General Increase Adjustment
(e-c)</t>
  </si>
  <si>
    <t>Total Base Payroll Adjustment
(b+d+f)</t>
  </si>
  <si>
    <t>Note: Changes to base payroll Excludes overtime, severance payments, incentive payments and other remunerations</t>
  </si>
  <si>
    <t>*Annual Rate less 50% of Mitchell</t>
  </si>
  <si>
    <t>Summary of Adjustment to Base Payroll</t>
  </si>
  <si>
    <t>Annualized Base of Kentucky as of 3/31/20</t>
  </si>
  <si>
    <t>Annualized Base for 50% of Mitchell as of 3/31/20</t>
  </si>
  <si>
    <t>Annualized Base as of 3/31/20
(b-c)</t>
  </si>
  <si>
    <t>Annualization Adjustment
(e-b)</t>
  </si>
  <si>
    <t>Annualized Base of Kentucky with Merit/General Increases as of 3/31/20</t>
  </si>
  <si>
    <t>Annualized Base for 50% of Mitchell with Merit/General Increases as of 3/31/20</t>
  </si>
  <si>
    <t>Annualized Base with Merit/General Increases as of 3/31/20
(f-g)</t>
  </si>
  <si>
    <t>Merit/General Increase Adjustment
(h-d)</t>
  </si>
  <si>
    <t>Total Base Adjustment
(h-a)</t>
  </si>
  <si>
    <t>2420</t>
  </si>
  <si>
    <t>4265</t>
  </si>
  <si>
    <t>Pivot of Test Year Base Payroll Data</t>
  </si>
  <si>
    <t>Base</t>
  </si>
  <si>
    <t>Pivot of Annual Base Rates by Salary Plan</t>
  </si>
  <si>
    <t>AsOfDate</t>
  </si>
  <si>
    <t>BU</t>
  </si>
  <si>
    <t>Salary Plan</t>
  </si>
  <si>
    <t>Sum of ANNUAL_RT</t>
  </si>
  <si>
    <t>Date of Merit/General Increase</t>
  </si>
  <si>
    <t>Increase %</t>
  </si>
  <si>
    <t>Base Rates Projected as of 3/31/2021</t>
  </si>
  <si>
    <t>N004</t>
  </si>
  <si>
    <t>N007</t>
  </si>
  <si>
    <t>SP20</t>
  </si>
  <si>
    <t>U051</t>
  </si>
  <si>
    <t>U052</t>
  </si>
  <si>
    <t>U055</t>
  </si>
  <si>
    <t>U056</t>
  </si>
  <si>
    <t>U057</t>
  </si>
  <si>
    <t>UNGR</t>
  </si>
  <si>
    <t>U004</t>
  </si>
  <si>
    <t>U036</t>
  </si>
  <si>
    <t>blended increase %</t>
  </si>
  <si>
    <t>Mitchell Plant</t>
  </si>
  <si>
    <t>Yes</t>
  </si>
  <si>
    <t>117</t>
  </si>
  <si>
    <t>Annual Base Rates (Excluding 50% of Mitchell)</t>
  </si>
  <si>
    <t>Total Projected Base (Excluding 50% of Mitchell)</t>
  </si>
  <si>
    <t>Summary of Adjustment to OT Payroll</t>
  </si>
  <si>
    <t>OT</t>
  </si>
  <si>
    <t>Blended Base Increase Percentage</t>
  </si>
  <si>
    <t>No.</t>
  </si>
  <si>
    <t>Change in O&amp;M ICP Incentives (W32 - Column d)</t>
  </si>
  <si>
    <t>Change in O&amp;M LTIP Incentives (W32 - Column g)</t>
  </si>
  <si>
    <t>Annualization Adjustment of O&amp;M Base Payroll (W35 - Column d)</t>
  </si>
  <si>
    <t>2020 O&amp;M Merit Increases (W35 - Column f)</t>
  </si>
  <si>
    <t>2020 O&amp;M Merit Increases Effect on Overtime (W34 - Column c)</t>
  </si>
  <si>
    <t>Change in O&amp;M Payroll</t>
  </si>
  <si>
    <t>2019 Salaries in Excess of Social Security Taxes (Adjusted for 50% Mitchell)</t>
  </si>
  <si>
    <t>2019 Salaries, Paid Overtime and other remunerations</t>
  </si>
  <si>
    <t>Percentage Not Subject to Social Security Tax</t>
  </si>
  <si>
    <t>Percentage of Salaries Subject to Social Security Tax</t>
  </si>
  <si>
    <t>Adjustment to O&amp;M Payroll Subject to Social Security Tax</t>
  </si>
  <si>
    <t>Social Security Tax Rate</t>
  </si>
  <si>
    <t>Total Adjustment to Decrease O&amp;M Expense for Social Security Tax (FERC Account 408)</t>
  </si>
  <si>
    <t>KYJurisdictional Factor - OML</t>
  </si>
  <si>
    <t>KPSC Jurisdictional Adjustment to Decrease O&amp;M Expense for Social Security Tax (FERC Account 408)</t>
  </si>
  <si>
    <t>KPCo (Excluding Mitchell)</t>
  </si>
  <si>
    <t>1</t>
  </si>
  <si>
    <t>Employees earning more than $132,900 limit in 2019</t>
  </si>
  <si>
    <t>Social Security Tax Base for 2020</t>
  </si>
  <si>
    <t>Social Security Tax Base for 2019</t>
  </si>
  <si>
    <t>Increase in Social Security Tax Base</t>
  </si>
  <si>
    <t>Adjustment to Social Security Base</t>
  </si>
  <si>
    <t>Increase in Social Security Tax due to Increase in Base</t>
  </si>
  <si>
    <t>50% billed to Wheeling Power Company</t>
  </si>
  <si>
    <t>Net KPCo Increase in Social Security Tax Expense</t>
  </si>
  <si>
    <t xml:space="preserve">KPCo O&amp;M% </t>
  </si>
  <si>
    <t>Adjustment to Increase O&amp;M Expense for Change in the Social Security Tax Base (FERC Account 408)</t>
  </si>
  <si>
    <t>KPSC Jurisdictional Adjustment to Increase O&amp;M for Change in the Social Security Tax Base (FERC Account 408)</t>
  </si>
  <si>
    <t>Co</t>
  </si>
  <si>
    <t>Type</t>
  </si>
  <si>
    <t>Cost Center</t>
  </si>
  <si>
    <t>Tax Loc</t>
  </si>
  <si>
    <t>W-2 State</t>
  </si>
  <si>
    <t>Box</t>
  </si>
  <si>
    <t>W-2 Amt</t>
  </si>
  <si>
    <t>Amount over Limit</t>
  </si>
  <si>
    <t>Count of Amount over Limit</t>
  </si>
  <si>
    <t>Sum of Amount over Limit</t>
  </si>
  <si>
    <t>E03</t>
  </si>
  <si>
    <t>DR110</t>
  </si>
  <si>
    <t>S</t>
  </si>
  <si>
    <t>13580</t>
  </si>
  <si>
    <t>038</t>
  </si>
  <si>
    <t>05</t>
  </si>
  <si>
    <t>13453</t>
  </si>
  <si>
    <t>180</t>
  </si>
  <si>
    <t>10216</t>
  </si>
  <si>
    <t>12396</t>
  </si>
  <si>
    <t>10695</t>
  </si>
  <si>
    <t>12392</t>
  </si>
  <si>
    <t>11439</t>
  </si>
  <si>
    <t>11680</t>
  </si>
  <si>
    <t>13655</t>
  </si>
  <si>
    <t>11683</t>
  </si>
  <si>
    <t>11685</t>
  </si>
  <si>
    <t>11783</t>
  </si>
  <si>
    <t>12390</t>
  </si>
  <si>
    <t>182</t>
  </si>
  <si>
    <t>12394</t>
  </si>
  <si>
    <t>13448</t>
  </si>
  <si>
    <t>12682</t>
  </si>
  <si>
    <t>189</t>
  </si>
  <si>
    <t>13449</t>
  </si>
  <si>
    <t>13450</t>
  </si>
  <si>
    <t>13454</t>
  </si>
  <si>
    <t>GR117</t>
  </si>
  <si>
    <t>191</t>
  </si>
  <si>
    <t>10218</t>
  </si>
  <si>
    <t>193</t>
  </si>
  <si>
    <t>10594</t>
  </si>
  <si>
    <t>10642</t>
  </si>
  <si>
    <t>50% of Mitchell</t>
  </si>
  <si>
    <t>WV</t>
  </si>
  <si>
    <t>183</t>
  </si>
  <si>
    <t>314</t>
  </si>
  <si>
    <t>OH</t>
  </si>
  <si>
    <t>W27-KPCo Incentive Compensation Expense Adjustment</t>
  </si>
  <si>
    <t>With Formula Links to Support</t>
  </si>
  <si>
    <t>W28-KPCo Annualization of Payroll Expense Adjustment</t>
  </si>
  <si>
    <t>W29-KPCo Overtime Related to Employee Merit Increases Adjustment</t>
  </si>
  <si>
    <t>Fiscal Year</t>
  </si>
  <si>
    <t>Other</t>
  </si>
  <si>
    <t>Incentive Payments</t>
  </si>
  <si>
    <t>W32-KPCo Social Security Tax Expense Adjustment</t>
  </si>
  <si>
    <t>Salaries above Social Security Limits</t>
  </si>
  <si>
    <t>W33-KPCo Social Security Tax Base Adjustment</t>
  </si>
  <si>
    <t>Clearing Amount</t>
  </si>
  <si>
    <t>Allocated Total</t>
  </si>
  <si>
    <t>Region</t>
  </si>
  <si>
    <t>Subaccount</t>
  </si>
  <si>
    <t>Sum of Monetary Amount</t>
  </si>
  <si>
    <t>Kentucky Region</t>
  </si>
  <si>
    <t>Kentucky Region Total</t>
  </si>
  <si>
    <t>Check</t>
  </si>
  <si>
    <t>Clearing Accounts</t>
  </si>
  <si>
    <t>Accounts - No Clearing Amount</t>
  </si>
  <si>
    <t>O&amp;M %</t>
  </si>
  <si>
    <t>KEPCo 101/6 303 Cap Soft EAS Distr</t>
  </si>
  <si>
    <t>KEPCo 101/6 303 Cap Soft EAS Prod</t>
  </si>
  <si>
    <t>KEPCo 101/6 303 Cap Soft EAS Transm</t>
  </si>
  <si>
    <t>KEPCo 101/6 303 Cap Soft Maximo</t>
  </si>
  <si>
    <t>KEPCo 101/6 303 Cap Soft RTP</t>
  </si>
  <si>
    <t>KEPCo 101/6 303 Cap Soft-D Cloud</t>
  </si>
  <si>
    <t>KEPCo 101/6 303 Cap Soft-D FullDepr</t>
  </si>
  <si>
    <t>KEPCo 101/6 303 Cap Soft-G Cloud</t>
  </si>
  <si>
    <t>KEPCo 101/6 303 Cap Soft-G FullDepr</t>
  </si>
  <si>
    <t>KEPCo 101/6 303 Cap Soft-G Maximo</t>
  </si>
  <si>
    <t>KEPCo 101/6 303 Cap Soft-T Cloud</t>
  </si>
  <si>
    <t>KEPCo 101/6 303 Cap Soft-T FullDepr</t>
  </si>
  <si>
    <t>KEPCo 101/6 303 Cap Soft-T Maximo</t>
  </si>
  <si>
    <t>KEPCo 101/6 303 Cap Software-Distr</t>
  </si>
  <si>
    <t>KEPCo 101/6 303 Cap Software-Prod</t>
  </si>
  <si>
    <t>KEPCo 101/6 303 Cap Software-Transm</t>
  </si>
  <si>
    <t>KEPCo 101/6 303 Dell Lease Distr</t>
  </si>
  <si>
    <t>KEPCo 101/6 303 Dell Lease Gen</t>
  </si>
  <si>
    <t>KEPCo 101/6 303 Dell Lease Transm</t>
  </si>
  <si>
    <t>KEPCo 101/6 303 gridSMART Cap Softw</t>
  </si>
  <si>
    <t>KEPCo 101/6 303 Groveport DC 2 - D</t>
  </si>
  <si>
    <t>KEPCo 101/6 303 Groveport DC 2 - G</t>
  </si>
  <si>
    <t>KEPCo 101/6 303 Groveport DC 2 - T</t>
  </si>
  <si>
    <t>KEPCo 101/6 303 High Avail Data Ctr</t>
  </si>
  <si>
    <t>KEPCo 101/6 303 High Avail DataCtr</t>
  </si>
  <si>
    <t>KEPCo 101/6 303 High Avl Data Ctr</t>
  </si>
  <si>
    <t>KEPCo 101/6 303 Oracle Software-D</t>
  </si>
  <si>
    <t>KEPCo 101/6 303 Oracle Software-G</t>
  </si>
  <si>
    <t>KEPCo 101/6 303 Oracle Software-T</t>
  </si>
  <si>
    <t>KEPCo 101/6 303 TOps SA Cap Soft</t>
  </si>
  <si>
    <t>Maximo</t>
  </si>
  <si>
    <t>Oracle</t>
  </si>
  <si>
    <t>Detail - Intangible Plant</t>
  </si>
  <si>
    <t>FGD</t>
  </si>
  <si>
    <t>Sum of 50% (AGR Only)</t>
  </si>
  <si>
    <t>31100 - Structures, Improvemnt-Coal</t>
  </si>
  <si>
    <t>31200 - Boiler Plant Equip-Coal</t>
  </si>
  <si>
    <t>31400 - Turbogenerator Units-Coal</t>
  </si>
  <si>
    <t>31500 - Accessory Elect Equip-Coal</t>
  </si>
  <si>
    <t>31600 - Misc Pwr Plant Equip-Coal</t>
  </si>
  <si>
    <t>39100 - Office Furniture, Equipment</t>
  </si>
  <si>
    <t>March 31, 2020 Property Balances</t>
  </si>
  <si>
    <t xml:space="preserve">Test Year </t>
  </si>
  <si>
    <t>4040001</t>
  </si>
  <si>
    <t>4040001 Total</t>
  </si>
  <si>
    <t>W35-Annualization of Depreciation Expense (Excluding ARO Depreciation)</t>
  </si>
  <si>
    <t>Mitchell FGD Plant in Service by Utility Account</t>
  </si>
  <si>
    <t>Depreciation Expense Allocation</t>
  </si>
  <si>
    <t>Depreciation Expense per General Ledger Journal Entries (W35, Ln 5 and Footnote (b))</t>
  </si>
  <si>
    <t>Removal of Mitchell FGD Property Balances</t>
  </si>
  <si>
    <t>Sum of total_life_expense</t>
  </si>
  <si>
    <t>depr_group_id</t>
  </si>
  <si>
    <t>depreciation_rate</t>
  </si>
  <si>
    <t>description</t>
  </si>
  <si>
    <t>Company</t>
  </si>
  <si>
    <t>Depr Group</t>
  </si>
  <si>
    <t>GL Account</t>
  </si>
  <si>
    <t>Activity Cost</t>
  </si>
  <si>
    <t>Kentucky Power - Distr</t>
  </si>
  <si>
    <t>30300 - Intangible Property</t>
  </si>
  <si>
    <t>1060001 Completd Constr not Classif</t>
  </si>
  <si>
    <t>1010008 PIS - Cloud Computing</t>
  </si>
  <si>
    <t>1060007 CCNC - Cloud Computing</t>
  </si>
  <si>
    <t>1010001 Plant In Service</t>
  </si>
  <si>
    <t>Kentucky Power - Gen</t>
  </si>
  <si>
    <t>Kentucky Power - Transm</t>
  </si>
  <si>
    <t>Depreciation Expense
For the Twelve Months Ended March 31, 2020</t>
  </si>
  <si>
    <t>No Additional Workpapers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</si>
</sst>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0.00;* \(#,##0.00\);* &quot;-&quot;;_(@_)"/>
    <numFmt numFmtId="165" formatCode="* #,##0;* \(#,##0\);* &quot;-&quot;;_(@_)"/>
    <numFmt numFmtId="166" formatCode="* #,##0.000000000;* \(#,##0.000000000\);* &quot;-&quot;;_(@_)"/>
    <numFmt numFmtId="167" formatCode="&quot;$&quot;* #,##0.00_);&quot;$&quot;* \(#,##0.00\);&quot;$&quot;* &quot;-&quot;_);_(@_)"/>
    <numFmt numFmtId="168" formatCode="#0;&quot;-&quot;#0;#0;_(@_)"/>
    <numFmt numFmtId="169" formatCode="#0.#######################;&quot;-&quot;#0.#######################;#0.#######################;_(@_)"/>
    <numFmt numFmtId="170" formatCode="* #0;* \(#0\);* &quot;-&quot;;_(@_)"/>
    <numFmt numFmtId="171" formatCode="#0.00;&quot;-&quot;#0.00;#0.00;_(@_)"/>
    <numFmt numFmtId="172" formatCode="* #,##0;* &quot;-&quot;#,##0;* &quot;-&quot;;_(@_)"/>
    <numFmt numFmtId="173" formatCode="#0_)%;\(#0\)%;&quot;-&quot;_)\%;_(@_)"/>
    <numFmt numFmtId="174" formatCode="#,##0;&quot;-&quot;#,##0;#,##0;_(@_)"/>
    <numFmt numFmtId="175" formatCode="#,##0.#######################;&quot;-&quot;#,##0.#######################;#,##0.#######################;_(@_)"/>
    <numFmt numFmtId="176" formatCode="* #,##0.000;* \(#,##0.000\);* &quot;-&quot;;_(@_)"/>
    <numFmt numFmtId="177" formatCode="_(* #,##0_);_(* \(#,##0\);_(* &quot;-&quot;??_);_(@_)"/>
    <numFmt numFmtId="178" formatCode="_(&quot;$&quot;* #,##0_);_(&quot;$&quot;* \(#,##0\);_(&quot;$&quot;* &quot;-&quot;??_);_(@_)"/>
    <numFmt numFmtId="179" formatCode="_(* #,##0.000_);_(* \(#,##0.000\);_(* &quot;-&quot;??_);_(@_)"/>
    <numFmt numFmtId="180" formatCode="0.0%"/>
    <numFmt numFmtId="181" formatCode="0.000%"/>
    <numFmt numFmtId="182" formatCode="0.0000%"/>
    <numFmt numFmtId="183" formatCode="#0"/>
  </numFmts>
  <fonts count="33">
    <font>
      <sz val="10"/>
      <name val="Arial"/>
    </font>
    <font>
      <sz val="11"/>
      <color theme="1"/>
      <name val="Calibri"/>
      <family val="2"/>
      <scheme val="minor"/>
    </font>
    <font>
      <b/>
      <sz val="10"/>
      <name val="Arial"/>
    </font>
    <font>
      <sz val="10"/>
      <name val="Arial"/>
    </font>
    <font>
      <b/>
      <u/>
      <sz val="10"/>
      <name val="Arial"/>
    </font>
    <font>
      <i/>
      <u/>
      <sz val="10"/>
      <name val="Arial"/>
    </font>
    <font>
      <b/>
      <sz val="10"/>
      <color rgb="FF000000"/>
      <name val="Arial"/>
    </font>
    <font>
      <sz val="10"/>
      <color rgb="FF000000"/>
      <name val="Arial"/>
    </font>
    <font>
      <sz val="9"/>
      <color rgb="FF000000"/>
      <name val="Arial"/>
    </font>
    <font>
      <b/>
      <i/>
      <sz val="10"/>
      <name val="Arial"/>
    </font>
    <font>
      <sz val="8"/>
      <name val="Arial"/>
    </font>
    <font>
      <b/>
      <sz val="11"/>
      <color theme="1"/>
      <name val="Calibri"/>
      <family val="2"/>
      <scheme val="minor"/>
    </font>
    <font>
      <sz val="10"/>
      <color theme="1"/>
      <name val="Arial"/>
      <family val="2"/>
    </font>
    <font>
      <sz val="8"/>
      <color theme="1"/>
      <name val="Arial"/>
      <family val="2"/>
    </font>
    <font>
      <sz val="9"/>
      <color theme="1"/>
      <name val="Arial"/>
      <family val="2"/>
    </font>
    <font>
      <sz val="10"/>
      <color rgb="FF000000"/>
      <name val="Times New Roman"/>
      <family val="1"/>
    </font>
    <font>
      <sz val="10"/>
      <color rgb="FF000000"/>
      <name val="Arial"/>
      <family val="2"/>
    </font>
    <font>
      <b/>
      <sz val="10"/>
      <color theme="1"/>
      <name val="Arial"/>
      <family val="2"/>
    </font>
    <font>
      <sz val="10"/>
      <color theme="1"/>
      <name val="Tahoma"/>
      <family val="2"/>
    </font>
    <font>
      <b/>
      <sz val="11"/>
      <color theme="1"/>
      <name val="Tahoma"/>
      <family val="2"/>
    </font>
    <font>
      <b/>
      <sz val="10"/>
      <color theme="1"/>
      <name val="Tahoma"/>
      <family val="2"/>
    </font>
    <font>
      <sz val="12"/>
      <name val="Arial MT"/>
    </font>
    <font>
      <sz val="10"/>
      <name val="Arial"/>
      <family val="2"/>
    </font>
    <font>
      <b/>
      <sz val="10"/>
      <name val="Arial"/>
      <family val="2"/>
    </font>
    <font>
      <sz val="10"/>
      <name val="MS Sans Serif"/>
      <family val="2"/>
    </font>
    <font>
      <sz val="9"/>
      <name val="Arial"/>
      <family val="2"/>
    </font>
    <font>
      <sz val="9"/>
      <name val="Arial MT"/>
    </font>
    <font>
      <b/>
      <sz val="10"/>
      <name val="Arial Unicode MS"/>
    </font>
    <font>
      <sz val="10"/>
      <color rgb="FF000000"/>
      <name val="Tahoma"/>
      <family val="2"/>
    </font>
    <font>
      <sz val="11"/>
      <color rgb="FF000000"/>
      <name val="Calibri"/>
      <family val="2"/>
    </font>
    <font>
      <sz val="9"/>
      <color rgb="FF000000"/>
      <name val="Segoe UI"/>
      <family val="2"/>
      <charset val="1"/>
    </font>
    <font>
      <b/>
      <sz val="9"/>
      <color rgb="FF000000"/>
      <name val="Segoe UI"/>
      <family val="2"/>
    </font>
    <font>
      <b/>
      <sz val="9"/>
      <color rgb="FF000000"/>
      <name val="Segoe UI"/>
      <family val="2"/>
      <charset val="1"/>
    </font>
  </fonts>
  <fills count="14">
    <fill>
      <patternFill patternType="none"/>
    </fill>
    <fill>
      <patternFill patternType="gray125"/>
    </fill>
    <fill>
      <patternFill patternType="solid">
        <fgColor rgb="FFCBCBCB"/>
        <bgColor indexed="64"/>
      </patternFill>
    </fill>
    <fill>
      <patternFill patternType="solid">
        <fgColor rgb="FFCCEEFF"/>
        <bgColor indexed="64"/>
      </patternFill>
    </fill>
    <fill>
      <patternFill patternType="solid">
        <fgColor rgb="FFB3B3B3"/>
        <bgColor indexed="64"/>
      </patternFill>
    </fill>
    <fill>
      <patternFill patternType="solid">
        <fgColor theme="7"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22"/>
        <bgColor indexed="64"/>
      </patternFill>
    </fill>
    <fill>
      <patternFill patternType="solid">
        <fgColor theme="8" tint="0.79998168889431442"/>
        <bgColor indexed="64"/>
      </patternFill>
    </fill>
    <fill>
      <patternFill patternType="solid">
        <fgColor rgb="FFD9E1F2"/>
        <bgColor rgb="FF000000"/>
      </patternFill>
    </fill>
    <fill>
      <patternFill patternType="solid">
        <fgColor rgb="FFFFF2CC"/>
        <bgColor rgb="FF000000"/>
      </patternFill>
    </fill>
  </fills>
  <borders count="4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double">
        <color rgb="FF000000"/>
      </bottom>
      <diagonal/>
    </border>
    <border>
      <left/>
      <right/>
      <top style="double">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double">
        <color rgb="FF000000"/>
      </top>
      <bottom style="thin">
        <color rgb="FF000000"/>
      </bottom>
      <diagonal/>
    </border>
    <border>
      <left style="thin">
        <color rgb="FF000000"/>
      </left>
      <right style="thin">
        <color rgb="FF000000"/>
      </right>
      <top/>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bottom style="double">
        <color indexed="8"/>
      </bottom>
      <diagonal/>
    </border>
    <border>
      <left/>
      <right/>
      <top/>
      <bottom style="thin">
        <color indexed="8"/>
      </bottom>
      <diagonal/>
    </border>
    <border>
      <left/>
      <right/>
      <top style="thin">
        <color indexed="8"/>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3">
    <xf numFmtId="0" fontId="0" fillId="0" borderId="0"/>
    <xf numFmtId="43" fontId="3" fillId="0" borderId="0" applyFont="0" applyFill="0" applyBorder="0" applyAlignment="0" applyProtection="0"/>
    <xf numFmtId="9" fontId="3" fillId="0" borderId="0" applyFont="0" applyFill="0" applyBorder="0" applyAlignment="0" applyProtection="0"/>
    <xf numFmtId="0" fontId="12" fillId="0" borderId="0"/>
    <xf numFmtId="43" fontId="12" fillId="0" borderId="0" applyFont="0" applyFill="0" applyBorder="0" applyAlignment="0" applyProtection="0"/>
    <xf numFmtId="0" fontId="15" fillId="0" borderId="0"/>
    <xf numFmtId="0" fontId="18" fillId="0" borderId="0"/>
    <xf numFmtId="43" fontId="1" fillId="0" borderId="0" applyFont="0" applyFill="0" applyBorder="0" applyAlignment="0" applyProtection="0"/>
    <xf numFmtId="0" fontId="12" fillId="0" borderId="0"/>
    <xf numFmtId="0" fontId="21" fillId="0" borderId="0"/>
    <xf numFmtId="0" fontId="21" fillId="0" borderId="0"/>
    <xf numFmtId="0" fontId="22" fillId="0" borderId="0"/>
    <xf numFmtId="44" fontId="1" fillId="0" borderId="0" applyFont="0" applyFill="0" applyBorder="0" applyAlignment="0" applyProtection="0"/>
    <xf numFmtId="3" fontId="24" fillId="0" borderId="0" applyFont="0" applyFill="0" applyBorder="0" applyAlignment="0" applyProtection="0"/>
    <xf numFmtId="0" fontId="24" fillId="0" borderId="0" applyNumberFormat="0" applyFont="0" applyFill="0" applyBorder="0" applyAlignment="0" applyProtection="0">
      <alignment horizontal="left"/>
    </xf>
    <xf numFmtId="9" fontId="1" fillId="0" borderId="0" applyFont="0" applyFill="0" applyBorder="0" applyAlignment="0" applyProtection="0"/>
    <xf numFmtId="0" fontId="1" fillId="0" borderId="0"/>
    <xf numFmtId="43" fontId="22" fillId="0" borderId="0" applyFont="0" applyFill="0" applyBorder="0" applyAlignment="0" applyProtection="0"/>
    <xf numFmtId="44" fontId="22" fillId="0" borderId="0" applyFont="0" applyFill="0" applyBorder="0" applyAlignment="0" applyProtection="0"/>
    <xf numFmtId="0" fontId="22" fillId="0" borderId="0"/>
    <xf numFmtId="44" fontId="22" fillId="0" borderId="0" applyFont="0" applyFill="0" applyBorder="0" applyAlignment="0" applyProtection="0"/>
    <xf numFmtId="43" fontId="22" fillId="0" borderId="0" applyFont="0" applyFill="0" applyBorder="0" applyAlignment="0" applyProtection="0"/>
    <xf numFmtId="0" fontId="22" fillId="0" borderId="0"/>
  </cellStyleXfs>
  <cellXfs count="590">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horizontal="center" vertical="top" wrapText="1"/>
    </xf>
    <xf numFmtId="0" fontId="3" fillId="0" borderId="0" xfId="0" applyFont="1" applyAlignment="1">
      <alignment vertical="top" wrapText="1"/>
    </xf>
    <xf numFmtId="0" fontId="3" fillId="0" borderId="0" xfId="0" applyFont="1" applyAlignment="1">
      <alignment horizontal="left" wrapText="1"/>
    </xf>
    <xf numFmtId="0" fontId="3" fillId="0" borderId="0" xfId="0" applyFont="1" applyAlignment="1">
      <alignment wrapText="1"/>
    </xf>
    <xf numFmtId="0" fontId="3" fillId="0" borderId="1" xfId="0" applyFont="1" applyBorder="1" applyAlignment="1">
      <alignment wrapText="1"/>
    </xf>
    <xf numFmtId="0" fontId="3" fillId="0" borderId="2" xfId="0" applyFont="1" applyBorder="1" applyAlignment="1">
      <alignment horizontal="center" vertical="center" wrapText="1"/>
    </xf>
    <xf numFmtId="0" fontId="3" fillId="0" borderId="3" xfId="0" applyFont="1" applyBorder="1" applyAlignment="1">
      <alignment wrapText="1"/>
    </xf>
    <xf numFmtId="164" fontId="3" fillId="0" borderId="3" xfId="0" applyNumberFormat="1" applyFont="1" applyBorder="1" applyAlignment="1">
      <alignment wrapText="1"/>
    </xf>
    <xf numFmtId="165" fontId="3" fillId="0" borderId="3" xfId="0" applyNumberFormat="1" applyFont="1" applyBorder="1" applyAlignment="1">
      <alignment wrapText="1"/>
    </xf>
    <xf numFmtId="166" fontId="3" fillId="0" borderId="3" xfId="0" applyNumberFormat="1" applyFont="1" applyBorder="1" applyAlignment="1">
      <alignment wrapText="1"/>
    </xf>
    <xf numFmtId="164" fontId="3" fillId="0" borderId="0" xfId="0" applyNumberFormat="1" applyFont="1" applyAlignment="1">
      <alignment wrapText="1"/>
    </xf>
    <xf numFmtId="165" fontId="3" fillId="0" borderId="0" xfId="0" applyNumberFormat="1" applyFont="1" applyAlignment="1">
      <alignment wrapText="1"/>
    </xf>
    <xf numFmtId="166" fontId="3" fillId="0" borderId="0" xfId="0" applyNumberFormat="1" applyFont="1" applyAlignment="1">
      <alignment wrapText="1"/>
    </xf>
    <xf numFmtId="164" fontId="3" fillId="0" borderId="1" xfId="0" applyNumberFormat="1" applyFont="1" applyBorder="1" applyAlignment="1">
      <alignment wrapText="1"/>
    </xf>
    <xf numFmtId="167" fontId="3" fillId="0" borderId="4" xfId="0" applyNumberFormat="1" applyFont="1" applyBorder="1" applyAlignment="1">
      <alignment wrapText="1"/>
    </xf>
    <xf numFmtId="0" fontId="2" fillId="0" borderId="0" xfId="0" applyFont="1" applyAlignment="1">
      <alignment horizontal="right" wrapText="1"/>
    </xf>
    <xf numFmtId="167" fontId="2" fillId="0" borderId="4" xfId="0" applyNumberFormat="1" applyFont="1" applyBorder="1" applyAlignment="1">
      <alignment wrapText="1"/>
    </xf>
    <xf numFmtId="0" fontId="2" fillId="0" borderId="3" xfId="0" applyFont="1" applyBorder="1" applyAlignment="1">
      <alignment horizontal="center" wrapText="1"/>
    </xf>
    <xf numFmtId="0" fontId="3" fillId="0" borderId="5" xfId="0" applyFont="1" applyBorder="1" applyAlignment="1">
      <alignment wrapText="1"/>
    </xf>
    <xf numFmtId="0" fontId="3" fillId="0" borderId="4" xfId="0" applyFont="1" applyBorder="1" applyAlignment="1">
      <alignment wrapText="1"/>
    </xf>
    <xf numFmtId="0" fontId="3" fillId="0" borderId="6" xfId="0" applyFont="1" applyBorder="1" applyAlignment="1">
      <alignment wrapText="1"/>
    </xf>
    <xf numFmtId="168" fontId="2" fillId="0" borderId="2" xfId="0" applyNumberFormat="1" applyFont="1" applyBorder="1" applyAlignment="1">
      <alignment horizontal="center" wrapText="1"/>
    </xf>
    <xf numFmtId="164" fontId="3" fillId="0" borderId="7" xfId="0" applyNumberFormat="1" applyFont="1" applyBorder="1" applyAlignment="1">
      <alignment wrapText="1"/>
    </xf>
    <xf numFmtId="0" fontId="3" fillId="0" borderId="8" xfId="0" applyFont="1" applyBorder="1" applyAlignment="1">
      <alignment wrapText="1"/>
    </xf>
    <xf numFmtId="167" fontId="3" fillId="0" borderId="0" xfId="0" applyNumberFormat="1" applyFont="1" applyAlignment="1">
      <alignment wrapText="1"/>
    </xf>
    <xf numFmtId="168" fontId="3" fillId="0" borderId="0" xfId="0" applyNumberFormat="1" applyFont="1" applyAlignment="1">
      <alignment wrapText="1"/>
    </xf>
    <xf numFmtId="0" fontId="3" fillId="0" borderId="2" xfId="0" applyFont="1" applyBorder="1" applyAlignment="1">
      <alignment horizontal="center" wrapText="1"/>
    </xf>
    <xf numFmtId="168" fontId="3" fillId="0" borderId="3" xfId="0" applyNumberFormat="1" applyFont="1" applyBorder="1" applyAlignment="1">
      <alignment wrapText="1"/>
    </xf>
    <xf numFmtId="168" fontId="3" fillId="0" borderId="1" xfId="0" applyNumberFormat="1" applyFont="1" applyBorder="1" applyAlignment="1">
      <alignment wrapText="1"/>
    </xf>
    <xf numFmtId="169" fontId="3" fillId="0" borderId="0" xfId="0" applyNumberFormat="1" applyFont="1" applyAlignment="1">
      <alignment wrapText="1"/>
    </xf>
    <xf numFmtId="0" fontId="3" fillId="0" borderId="0" xfId="0" applyFont="1" applyAlignment="1">
      <alignment horizontal="center" wrapText="1"/>
    </xf>
    <xf numFmtId="0" fontId="2" fillId="0" borderId="2" xfId="0" applyFont="1" applyBorder="1" applyAlignment="1">
      <alignment horizontal="center" wrapText="1"/>
    </xf>
    <xf numFmtId="0" fontId="4" fillId="0" borderId="3" xfId="0" applyFont="1" applyBorder="1" applyAlignment="1">
      <alignment wrapText="1"/>
    </xf>
    <xf numFmtId="0" fontId="4" fillId="0" borderId="0" xfId="0" applyFont="1" applyAlignment="1">
      <alignment wrapText="1"/>
    </xf>
    <xf numFmtId="168" fontId="3" fillId="0" borderId="0" xfId="0" applyNumberFormat="1" applyFont="1" applyAlignment="1">
      <alignment horizontal="center" wrapText="1"/>
    </xf>
    <xf numFmtId="0" fontId="2" fillId="0" borderId="11" xfId="0" applyFont="1" applyBorder="1" applyAlignment="1">
      <alignment wrapText="1"/>
    </xf>
    <xf numFmtId="0" fontId="2" fillId="0" borderId="12" xfId="0" applyFont="1" applyBorder="1" applyAlignment="1">
      <alignment wrapText="1"/>
    </xf>
    <xf numFmtId="164" fontId="3" fillId="0" borderId="13" xfId="0" applyNumberFormat="1" applyFont="1" applyBorder="1" applyAlignment="1">
      <alignment wrapText="1"/>
    </xf>
    <xf numFmtId="0" fontId="3" fillId="0" borderId="14" xfId="0" applyFont="1" applyBorder="1" applyAlignment="1">
      <alignment wrapText="1"/>
    </xf>
    <xf numFmtId="164" fontId="3" fillId="0" borderId="5" xfId="0" applyNumberFormat="1" applyFont="1" applyBorder="1" applyAlignment="1">
      <alignment wrapText="1"/>
    </xf>
    <xf numFmtId="0" fontId="3" fillId="0" borderId="13" xfId="0" applyFont="1" applyBorder="1" applyAlignment="1">
      <alignment wrapText="1"/>
    </xf>
    <xf numFmtId="0" fontId="3" fillId="0" borderId="16" xfId="0" applyFont="1" applyBorder="1" applyAlignment="1">
      <alignment wrapText="1"/>
    </xf>
    <xf numFmtId="0" fontId="2" fillId="0" borderId="5" xfId="0" applyFont="1" applyBorder="1" applyAlignment="1">
      <alignment horizontal="center" wrapText="1"/>
    </xf>
    <xf numFmtId="0" fontId="5" fillId="0" borderId="3" xfId="0" applyFont="1" applyBorder="1" applyAlignment="1">
      <alignment wrapText="1"/>
    </xf>
    <xf numFmtId="0" fontId="3" fillId="0" borderId="0" xfId="0" applyFont="1" applyAlignment="1">
      <alignment horizontal="left" vertical="center" wrapText="1" indent="1"/>
    </xf>
    <xf numFmtId="0" fontId="3" fillId="0" borderId="0" xfId="0" applyFont="1" applyAlignment="1">
      <alignment horizontal="center" vertical="center" wrapText="1"/>
    </xf>
    <xf numFmtId="0" fontId="3" fillId="0" borderId="0" xfId="0" applyFont="1" applyAlignment="1">
      <alignment wrapText="1" indent="1"/>
    </xf>
    <xf numFmtId="167" fontId="3" fillId="0" borderId="1" xfId="0" applyNumberFormat="1" applyFont="1" applyBorder="1" applyAlignment="1">
      <alignment wrapText="1"/>
    </xf>
    <xf numFmtId="167" fontId="3" fillId="0" borderId="7" xfId="0" applyNumberFormat="1" applyFont="1" applyBorder="1" applyAlignment="1">
      <alignment wrapText="1"/>
    </xf>
    <xf numFmtId="0" fontId="5" fillId="0" borderId="0" xfId="0" applyFont="1" applyAlignment="1">
      <alignment wrapText="1"/>
    </xf>
    <xf numFmtId="0" fontId="3" fillId="0" borderId="0" xfId="0" applyFont="1" applyAlignment="1">
      <alignment horizontal="right" wrapText="1"/>
    </xf>
    <xf numFmtId="0" fontId="2" fillId="0" borderId="1" xfId="0" applyFont="1" applyBorder="1" applyAlignment="1">
      <alignment horizontal="center" wrapText="1"/>
    </xf>
    <xf numFmtId="164" fontId="2" fillId="0" borderId="7" xfId="0" applyNumberFormat="1" applyFont="1" applyBorder="1" applyAlignment="1">
      <alignment wrapText="1"/>
    </xf>
    <xf numFmtId="0" fontId="2" fillId="0" borderId="1" xfId="0" applyFont="1" applyBorder="1" applyAlignment="1">
      <alignment wrapText="1"/>
    </xf>
    <xf numFmtId="0" fontId="3" fillId="0" borderId="15" xfId="0" applyFont="1" applyBorder="1" applyAlignment="1">
      <alignment wrapText="1"/>
    </xf>
    <xf numFmtId="0" fontId="2" fillId="0" borderId="2" xfId="0" applyFont="1" applyBorder="1" applyAlignment="1">
      <alignment horizontal="center" vertical="center" wrapText="1"/>
    </xf>
    <xf numFmtId="0" fontId="3" fillId="0" borderId="3" xfId="0" applyFont="1" applyBorder="1" applyAlignment="1">
      <alignment horizontal="left" wrapText="1"/>
    </xf>
    <xf numFmtId="0" fontId="3" fillId="0" borderId="1" xfId="0" applyFont="1" applyBorder="1" applyAlignment="1">
      <alignment horizontal="left" wrapText="1"/>
    </xf>
    <xf numFmtId="164" fontId="2" fillId="0" borderId="4" xfId="0" applyNumberFormat="1" applyFont="1" applyBorder="1" applyAlignment="1">
      <alignment wrapText="1"/>
    </xf>
    <xf numFmtId="0" fontId="2" fillId="0" borderId="2" xfId="0" applyFont="1" applyBorder="1" applyAlignment="1">
      <alignment wrapText="1"/>
    </xf>
    <xf numFmtId="164" fontId="2" fillId="0" borderId="12" xfId="0" applyNumberFormat="1" applyFont="1" applyBorder="1" applyAlignment="1">
      <alignment wrapText="1"/>
    </xf>
    <xf numFmtId="171" fontId="3" fillId="0" borderId="2" xfId="0" applyNumberFormat="1" applyFont="1" applyBorder="1" applyAlignment="1">
      <alignment horizontal="center" wrapText="1"/>
    </xf>
    <xf numFmtId="0" fontId="3" fillId="0" borderId="2" xfId="0" applyFont="1" applyBorder="1" applyAlignment="1">
      <alignment wrapText="1"/>
    </xf>
    <xf numFmtId="164" fontId="3" fillId="0" borderId="2" xfId="0" applyNumberFormat="1" applyFont="1" applyBorder="1" applyAlignment="1">
      <alignment wrapText="1"/>
    </xf>
    <xf numFmtId="168" fontId="3" fillId="0" borderId="2" xfId="0" applyNumberFormat="1" applyFont="1" applyBorder="1" applyAlignment="1">
      <alignment horizontal="center" vertical="center" wrapText="1"/>
    </xf>
    <xf numFmtId="0" fontId="3" fillId="0" borderId="7" xfId="0" applyFont="1" applyBorder="1" applyAlignment="1">
      <alignment wrapText="1"/>
    </xf>
    <xf numFmtId="0" fontId="3" fillId="0" borderId="5" xfId="0" applyFont="1" applyBorder="1" applyAlignment="1">
      <alignment horizontal="center" wrapText="1"/>
    </xf>
    <xf numFmtId="0" fontId="3" fillId="0" borderId="2" xfId="0" applyFont="1" applyBorder="1" applyAlignment="1">
      <alignment horizontal="left" wrapText="1"/>
    </xf>
    <xf numFmtId="167" fontId="3" fillId="0" borderId="2" xfId="0" applyNumberFormat="1" applyFont="1" applyBorder="1" applyAlignment="1">
      <alignment wrapText="1"/>
    </xf>
    <xf numFmtId="0" fontId="3" fillId="0" borderId="5" xfId="0" applyFont="1" applyBorder="1" applyAlignment="1">
      <alignment horizontal="right" wrapText="1"/>
    </xf>
    <xf numFmtId="0" fontId="3" fillId="0" borderId="17" xfId="0" applyFont="1" applyBorder="1" applyAlignment="1">
      <alignment wrapText="1"/>
    </xf>
    <xf numFmtId="168" fontId="3" fillId="0" borderId="0" xfId="0" applyNumberFormat="1" applyFont="1" applyAlignment="1">
      <alignment horizontal="left" wrapText="1"/>
    </xf>
    <xf numFmtId="164" fontId="2" fillId="0" borderId="0" xfId="0" applyNumberFormat="1" applyFont="1" applyAlignment="1">
      <alignment wrapText="1"/>
    </xf>
    <xf numFmtId="167" fontId="2" fillId="0" borderId="7" xfId="0" applyNumberFormat="1" applyFont="1" applyBorder="1" applyAlignment="1">
      <alignment wrapText="1"/>
    </xf>
    <xf numFmtId="0" fontId="6" fillId="0" borderId="2" xfId="0" applyFont="1" applyBorder="1" applyAlignment="1">
      <alignment wrapText="1"/>
    </xf>
    <xf numFmtId="0" fontId="6" fillId="0" borderId="2" xfId="0" applyFont="1" applyBorder="1" applyAlignment="1">
      <alignment horizontal="center" wrapText="1"/>
    </xf>
    <xf numFmtId="0" fontId="6" fillId="0" borderId="5" xfId="0" applyFont="1" applyBorder="1" applyAlignment="1">
      <alignment horizontal="right" wrapText="1"/>
    </xf>
    <xf numFmtId="168" fontId="7" fillId="0" borderId="2" xfId="0" applyNumberFormat="1" applyFont="1" applyBorder="1" applyAlignment="1">
      <alignment wrapText="1"/>
    </xf>
    <xf numFmtId="167" fontId="7" fillId="0" borderId="2" xfId="0" applyNumberFormat="1" applyFont="1" applyBorder="1" applyAlignment="1">
      <alignment wrapText="1"/>
    </xf>
    <xf numFmtId="0" fontId="7" fillId="0" borderId="5" xfId="0" applyFont="1" applyBorder="1" applyAlignment="1">
      <alignment wrapText="1"/>
    </xf>
    <xf numFmtId="0" fontId="8" fillId="0" borderId="5" xfId="0" applyFont="1" applyBorder="1" applyAlignment="1">
      <alignment wrapText="1"/>
    </xf>
    <xf numFmtId="0" fontId="7" fillId="0" borderId="3" xfId="0" applyFont="1" applyBorder="1" applyAlignment="1">
      <alignment wrapText="1"/>
    </xf>
    <xf numFmtId="0" fontId="7" fillId="0" borderId="4" xfId="0" applyFont="1" applyBorder="1" applyAlignment="1">
      <alignment wrapText="1"/>
    </xf>
    <xf numFmtId="0" fontId="7" fillId="0" borderId="0" xfId="0" applyFont="1" applyAlignment="1">
      <alignment horizontal="right" wrapText="1"/>
    </xf>
    <xf numFmtId="0" fontId="6" fillId="0" borderId="0" xfId="0" applyFont="1" applyAlignment="1">
      <alignment wrapText="1"/>
    </xf>
    <xf numFmtId="167" fontId="6" fillId="0" borderId="7" xfId="0" applyNumberFormat="1" applyFont="1" applyBorder="1" applyAlignment="1">
      <alignment wrapText="1"/>
    </xf>
    <xf numFmtId="0" fontId="7" fillId="0" borderId="0" xfId="0" applyFont="1" applyAlignment="1">
      <alignment wrapText="1"/>
    </xf>
    <xf numFmtId="0" fontId="7" fillId="0" borderId="8" xfId="0" applyFont="1" applyBorder="1" applyAlignment="1">
      <alignment wrapText="1"/>
    </xf>
    <xf numFmtId="0" fontId="3" fillId="2" borderId="2" xfId="0" applyFont="1" applyFill="1" applyBorder="1" applyAlignment="1">
      <alignment wrapText="1"/>
    </xf>
    <xf numFmtId="14" fontId="3" fillId="2" borderId="2" xfId="0" applyNumberFormat="1" applyFont="1" applyFill="1" applyBorder="1" applyAlignment="1">
      <alignment wrapText="1"/>
    </xf>
    <xf numFmtId="0" fontId="3" fillId="0" borderId="16"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wrapText="1"/>
    </xf>
    <xf numFmtId="168" fontId="3" fillId="0" borderId="3" xfId="0" applyNumberFormat="1" applyFont="1" applyBorder="1" applyAlignment="1">
      <alignment horizontal="center" wrapText="1"/>
    </xf>
    <xf numFmtId="0" fontId="3" fillId="2" borderId="2" xfId="0" applyFont="1" applyFill="1" applyBorder="1" applyAlignment="1">
      <alignment horizontal="center" wrapText="1"/>
    </xf>
    <xf numFmtId="0" fontId="3" fillId="0" borderId="18" xfId="0" applyFont="1" applyBorder="1" applyAlignment="1">
      <alignment wrapText="1"/>
    </xf>
    <xf numFmtId="0" fontId="3" fillId="2" borderId="2" xfId="0" applyFont="1" applyFill="1" applyBorder="1" applyAlignment="1">
      <alignment horizontal="center" vertical="center" wrapText="1"/>
    </xf>
    <xf numFmtId="165" fontId="3" fillId="0" borderId="1" xfId="0" applyNumberFormat="1" applyFont="1" applyBorder="1" applyAlignment="1">
      <alignment wrapText="1"/>
    </xf>
    <xf numFmtId="165" fontId="3" fillId="0" borderId="7" xfId="0" applyNumberFormat="1" applyFont="1" applyBorder="1" applyAlignment="1">
      <alignment wrapText="1"/>
    </xf>
    <xf numFmtId="165" fontId="2" fillId="0" borderId="0" xfId="0" applyNumberFormat="1" applyFont="1" applyAlignment="1">
      <alignment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9" fillId="0" borderId="0" xfId="0" applyFont="1" applyAlignment="1">
      <alignment wrapText="1" indent="2"/>
    </xf>
    <xf numFmtId="0" fontId="9" fillId="0" borderId="0" xfId="0" applyFont="1" applyAlignment="1">
      <alignment wrapText="1"/>
    </xf>
    <xf numFmtId="164" fontId="2" fillId="0" borderId="1" xfId="0" applyNumberFormat="1" applyFont="1" applyBorder="1" applyAlignment="1">
      <alignment wrapText="1"/>
    </xf>
    <xf numFmtId="0" fontId="2" fillId="3" borderId="11" xfId="0" applyFont="1" applyFill="1" applyBorder="1" applyAlignment="1">
      <alignment horizontal="center" wrapText="1"/>
    </xf>
    <xf numFmtId="168" fontId="2" fillId="3" borderId="11" xfId="0" applyNumberFormat="1" applyFont="1" applyFill="1" applyBorder="1" applyAlignment="1">
      <alignment horizontal="center" wrapText="1"/>
    </xf>
    <xf numFmtId="168" fontId="2" fillId="3" borderId="4" xfId="0" applyNumberFormat="1" applyFont="1" applyFill="1" applyBorder="1" applyAlignment="1">
      <alignment horizontal="center" wrapText="1"/>
    </xf>
    <xf numFmtId="168" fontId="3" fillId="0" borderId="2" xfId="0" applyNumberFormat="1" applyFont="1" applyBorder="1" applyAlignment="1">
      <alignment wrapText="1"/>
    </xf>
    <xf numFmtId="0" fontId="3" fillId="3" borderId="1" xfId="0" applyFont="1" applyFill="1" applyBorder="1" applyAlignment="1">
      <alignment wrapText="1"/>
    </xf>
    <xf numFmtId="0" fontId="2" fillId="3" borderId="11" xfId="0" applyFont="1" applyFill="1" applyBorder="1" applyAlignment="1">
      <alignment wrapText="1"/>
    </xf>
    <xf numFmtId="0" fontId="2" fillId="3" borderId="12" xfId="0" applyFont="1" applyFill="1" applyBorder="1" applyAlignment="1">
      <alignment wrapText="1"/>
    </xf>
    <xf numFmtId="0" fontId="2" fillId="3" borderId="12" xfId="0" applyFont="1" applyFill="1" applyBorder="1" applyAlignment="1">
      <alignment horizontal="center" wrapText="1"/>
    </xf>
    <xf numFmtId="168" fontId="3" fillId="0" borderId="13" xfId="0" applyNumberFormat="1" applyFont="1" applyBorder="1" applyAlignment="1">
      <alignment wrapText="1"/>
    </xf>
    <xf numFmtId="168" fontId="3" fillId="0" borderId="14" xfId="0" applyNumberFormat="1" applyFont="1" applyBorder="1" applyAlignment="1">
      <alignment wrapText="1"/>
    </xf>
    <xf numFmtId="164" fontId="3" fillId="0" borderId="14" xfId="0" applyNumberFormat="1" applyFont="1" applyBorder="1" applyAlignment="1">
      <alignment wrapText="1"/>
    </xf>
    <xf numFmtId="164" fontId="3" fillId="0" borderId="9" xfId="0" applyNumberFormat="1" applyFont="1" applyBorder="1" applyAlignment="1">
      <alignment wrapText="1"/>
    </xf>
    <xf numFmtId="168" fontId="3" fillId="0" borderId="6" xfId="0" applyNumberFormat="1" applyFont="1" applyBorder="1" applyAlignment="1">
      <alignment wrapText="1"/>
    </xf>
    <xf numFmtId="164" fontId="3" fillId="0" borderId="6" xfId="0" applyNumberFormat="1" applyFont="1" applyBorder="1" applyAlignment="1">
      <alignment wrapText="1"/>
    </xf>
    <xf numFmtId="164" fontId="3" fillId="0" borderId="18" xfId="0" applyNumberFormat="1" applyFont="1" applyBorder="1" applyAlignment="1">
      <alignment wrapText="1"/>
    </xf>
    <xf numFmtId="0" fontId="2" fillId="4" borderId="5" xfId="0" applyFont="1" applyFill="1" applyBorder="1" applyAlignment="1">
      <alignment wrapText="1"/>
    </xf>
    <xf numFmtId="0" fontId="2" fillId="4" borderId="6" xfId="0" applyFont="1" applyFill="1" applyBorder="1" applyAlignment="1">
      <alignment wrapText="1"/>
    </xf>
    <xf numFmtId="0" fontId="2" fillId="4" borderId="0" xfId="0" applyFont="1" applyFill="1" applyAlignment="1">
      <alignment wrapText="1"/>
    </xf>
    <xf numFmtId="164" fontId="2" fillId="4" borderId="5" xfId="0" applyNumberFormat="1" applyFont="1" applyFill="1" applyBorder="1" applyAlignment="1">
      <alignment wrapText="1"/>
    </xf>
    <xf numFmtId="164" fontId="2" fillId="4" borderId="6" xfId="0" applyNumberFormat="1" applyFont="1" applyFill="1" applyBorder="1" applyAlignment="1">
      <alignment wrapText="1"/>
    </xf>
    <xf numFmtId="164" fontId="2" fillId="4" borderId="18" xfId="0" applyNumberFormat="1" applyFont="1" applyFill="1" applyBorder="1" applyAlignment="1">
      <alignment wrapText="1"/>
    </xf>
    <xf numFmtId="168" fontId="3" fillId="0" borderId="5" xfId="0" applyNumberFormat="1" applyFont="1" applyBorder="1" applyAlignment="1">
      <alignment wrapText="1"/>
    </xf>
    <xf numFmtId="164" fontId="2" fillId="4" borderId="0" xfId="0" applyNumberFormat="1" applyFont="1" applyFill="1" applyAlignment="1">
      <alignment wrapText="1"/>
    </xf>
    <xf numFmtId="0" fontId="2" fillId="4" borderId="15" xfId="0" applyFont="1" applyFill="1" applyBorder="1" applyAlignment="1">
      <alignment wrapText="1"/>
    </xf>
    <xf numFmtId="0" fontId="2" fillId="4" borderId="16" xfId="0" applyFont="1" applyFill="1" applyBorder="1" applyAlignment="1">
      <alignment wrapText="1"/>
    </xf>
    <xf numFmtId="164" fontId="2" fillId="4" borderId="15" xfId="0" applyNumberFormat="1" applyFont="1" applyFill="1" applyBorder="1" applyAlignment="1">
      <alignment wrapText="1"/>
    </xf>
    <xf numFmtId="164" fontId="2" fillId="4" borderId="1" xfId="0" applyNumberFormat="1" applyFont="1" applyFill="1" applyBorder="1" applyAlignment="1">
      <alignment wrapText="1"/>
    </xf>
    <xf numFmtId="164" fontId="2" fillId="4" borderId="16" xfId="0" applyNumberFormat="1" applyFont="1" applyFill="1" applyBorder="1" applyAlignment="1">
      <alignment wrapText="1"/>
    </xf>
    <xf numFmtId="164" fontId="2" fillId="4" borderId="10" xfId="0" applyNumberFormat="1" applyFont="1" applyFill="1" applyBorder="1" applyAlignment="1">
      <alignment wrapText="1"/>
    </xf>
    <xf numFmtId="0" fontId="3" fillId="2" borderId="0" xfId="0" applyFont="1" applyFill="1" applyAlignment="1">
      <alignment wrapText="1"/>
    </xf>
    <xf numFmtId="0" fontId="2" fillId="2" borderId="0" xfId="0" applyFont="1" applyFill="1" applyAlignment="1">
      <alignment wrapText="1"/>
    </xf>
    <xf numFmtId="165" fontId="2" fillId="2" borderId="0" xfId="0" applyNumberFormat="1" applyFont="1" applyFill="1" applyAlignment="1">
      <alignment wrapText="1"/>
    </xf>
    <xf numFmtId="0" fontId="2" fillId="0" borderId="5" xfId="0" applyFont="1" applyBorder="1" applyAlignment="1">
      <alignment wrapText="1"/>
    </xf>
    <xf numFmtId="175" fontId="3" fillId="0" borderId="7" xfId="0" applyNumberFormat="1" applyFont="1" applyBorder="1" applyAlignment="1">
      <alignment wrapText="1"/>
    </xf>
    <xf numFmtId="0" fontId="2" fillId="2" borderId="0" xfId="0" applyFont="1" applyFill="1" applyAlignment="1">
      <alignment horizontal="center" wrapText="1"/>
    </xf>
    <xf numFmtId="164" fontId="2" fillId="0" borderId="0" xfId="0" applyNumberFormat="1" applyFont="1" applyAlignment="1">
      <alignment vertical="top" wrapText="1"/>
    </xf>
    <xf numFmtId="0" fontId="3" fillId="3" borderId="2" xfId="0" applyFont="1" applyFill="1" applyBorder="1" applyAlignment="1">
      <alignment wrapText="1"/>
    </xf>
    <xf numFmtId="0" fontId="2" fillId="2" borderId="2" xfId="0" applyFont="1" applyFill="1" applyBorder="1" applyAlignment="1">
      <alignment wrapText="1"/>
    </xf>
    <xf numFmtId="168" fontId="3" fillId="0" borderId="2" xfId="0" applyNumberFormat="1" applyFont="1" applyBorder="1" applyAlignment="1">
      <alignment horizontal="left" wrapText="1"/>
    </xf>
    <xf numFmtId="0" fontId="2" fillId="0" borderId="16" xfId="0" applyFont="1" applyBorder="1" applyAlignment="1">
      <alignment wrapText="1"/>
    </xf>
    <xf numFmtId="0" fontId="2" fillId="0" borderId="11" xfId="0" applyFont="1" applyBorder="1" applyAlignment="1">
      <alignment horizontal="center" wrapText="1"/>
    </xf>
    <xf numFmtId="0" fontId="2" fillId="0" borderId="4" xfId="0" applyFont="1" applyBorder="1" applyAlignment="1">
      <alignment horizontal="center" wrapText="1"/>
    </xf>
    <xf numFmtId="0" fontId="2" fillId="0" borderId="12" xfId="0" applyFont="1" applyBorder="1" applyAlignment="1">
      <alignment horizontal="center" wrapText="1"/>
    </xf>
    <xf numFmtId="0" fontId="2" fillId="0" borderId="15" xfId="0" applyFont="1" applyBorder="1" applyAlignment="1">
      <alignment wrapText="1"/>
    </xf>
    <xf numFmtId="168" fontId="2" fillId="0" borderId="11" xfId="0" applyNumberFormat="1" applyFont="1" applyBorder="1" applyAlignment="1">
      <alignment horizontal="center" wrapText="1"/>
    </xf>
    <xf numFmtId="168" fontId="2" fillId="0" borderId="4" xfId="0" applyNumberFormat="1" applyFont="1" applyBorder="1" applyAlignment="1">
      <alignment horizontal="center" wrapText="1"/>
    </xf>
    <xf numFmtId="168" fontId="2" fillId="0" borderId="12" xfId="0" applyNumberFormat="1" applyFont="1" applyBorder="1" applyAlignment="1">
      <alignment horizontal="center" wrapText="1"/>
    </xf>
    <xf numFmtId="0" fontId="2" fillId="0" borderId="18" xfId="0" applyFont="1" applyBorder="1" applyAlignment="1">
      <alignment wrapText="1"/>
    </xf>
    <xf numFmtId="0" fontId="2" fillId="0" borderId="18" xfId="0" applyFont="1" applyBorder="1" applyAlignment="1">
      <alignment horizontal="center" wrapText="1"/>
    </xf>
    <xf numFmtId="168" fontId="3" fillId="0" borderId="3" xfId="0" applyNumberFormat="1" applyFont="1" applyBorder="1" applyAlignment="1">
      <alignment horizontal="left" wrapText="1"/>
    </xf>
    <xf numFmtId="176" fontId="3" fillId="0" borderId="3" xfId="0" applyNumberFormat="1" applyFont="1" applyBorder="1" applyAlignment="1">
      <alignment wrapText="1"/>
    </xf>
    <xf numFmtId="0" fontId="3" fillId="4" borderId="0" xfId="0" applyFont="1" applyFill="1" applyAlignment="1">
      <alignment wrapText="1"/>
    </xf>
    <xf numFmtId="176" fontId="3" fillId="0" borderId="0" xfId="0" applyNumberFormat="1" applyFont="1" applyAlignment="1">
      <alignment wrapText="1"/>
    </xf>
    <xf numFmtId="164" fontId="3" fillId="0" borderId="8" xfId="0" applyNumberFormat="1" applyFont="1" applyBorder="1" applyAlignment="1">
      <alignment wrapText="1"/>
    </xf>
    <xf numFmtId="0" fontId="3" fillId="4" borderId="1" xfId="0" applyFont="1" applyFill="1" applyBorder="1" applyAlignment="1">
      <alignment wrapText="1"/>
    </xf>
    <xf numFmtId="164" fontId="2" fillId="0" borderId="8" xfId="0" applyNumberFormat="1" applyFont="1" applyBorder="1" applyAlignment="1">
      <alignment wrapText="1"/>
    </xf>
    <xf numFmtId="0" fontId="0" fillId="0" borderId="0" xfId="0" applyFill="1"/>
    <xf numFmtId="0" fontId="3" fillId="0" borderId="0" xfId="0" applyFont="1" applyFill="1" applyAlignment="1">
      <alignment horizontal="center" wrapText="1"/>
    </xf>
    <xf numFmtId="0" fontId="3" fillId="0" borderId="0" xfId="0" applyFont="1" applyFill="1" applyAlignment="1">
      <alignment wrapText="1"/>
    </xf>
    <xf numFmtId="0" fontId="2" fillId="0" borderId="0" xfId="0" applyFont="1" applyFill="1" applyAlignment="1">
      <alignment wrapText="1"/>
    </xf>
    <xf numFmtId="0" fontId="2" fillId="0" borderId="0" xfId="0" applyFont="1" applyFill="1" applyAlignment="1">
      <alignment horizontal="center" wrapText="1"/>
    </xf>
    <xf numFmtId="164" fontId="3" fillId="0" borderId="1" xfId="0" applyNumberFormat="1" applyFont="1" applyFill="1" applyBorder="1" applyAlignment="1">
      <alignment wrapText="1"/>
    </xf>
    <xf numFmtId="164" fontId="3" fillId="0" borderId="4" xfId="0" applyNumberFormat="1" applyFont="1" applyFill="1" applyBorder="1" applyAlignment="1">
      <alignment wrapText="1"/>
    </xf>
    <xf numFmtId="0" fontId="3" fillId="0" borderId="3" xfId="0" applyFont="1" applyFill="1" applyBorder="1" applyAlignment="1">
      <alignment wrapText="1"/>
    </xf>
    <xf numFmtId="164" fontId="3" fillId="0" borderId="0" xfId="0" applyNumberFormat="1" applyFont="1" applyFill="1" applyAlignment="1">
      <alignment wrapText="1"/>
    </xf>
    <xf numFmtId="168" fontId="3" fillId="0" borderId="0" xfId="0" applyNumberFormat="1" applyFont="1" applyFill="1" applyAlignment="1">
      <alignment wrapText="1"/>
    </xf>
    <xf numFmtId="0" fontId="3" fillId="0" borderId="1" xfId="0" applyFont="1" applyFill="1" applyBorder="1" applyAlignment="1">
      <alignment wrapText="1"/>
    </xf>
    <xf numFmtId="164" fontId="3" fillId="0" borderId="7" xfId="0" applyNumberFormat="1" applyFont="1" applyFill="1" applyBorder="1" applyAlignment="1">
      <alignment wrapText="1"/>
    </xf>
    <xf numFmtId="0" fontId="3" fillId="0" borderId="8" xfId="0" applyFont="1" applyFill="1" applyBorder="1" applyAlignment="1">
      <alignment wrapText="1"/>
    </xf>
    <xf numFmtId="0" fontId="3" fillId="0" borderId="6" xfId="0" applyFont="1" applyFill="1" applyBorder="1" applyAlignment="1">
      <alignment wrapText="1"/>
    </xf>
    <xf numFmtId="0" fontId="3" fillId="0" borderId="5" xfId="0" applyFont="1" applyFill="1" applyBorder="1" applyAlignment="1">
      <alignment wrapText="1"/>
    </xf>
    <xf numFmtId="164" fontId="3" fillId="0" borderId="13" xfId="0" applyNumberFormat="1" applyFont="1" applyFill="1" applyBorder="1" applyAlignment="1">
      <alignment wrapText="1"/>
    </xf>
    <xf numFmtId="0" fontId="3" fillId="0" borderId="14" xfId="0" applyFont="1" applyFill="1" applyBorder="1" applyAlignment="1">
      <alignment wrapText="1"/>
    </xf>
    <xf numFmtId="164" fontId="3" fillId="0" borderId="5" xfId="0" applyNumberFormat="1" applyFont="1" applyFill="1" applyBorder="1" applyAlignment="1">
      <alignment wrapText="1"/>
    </xf>
    <xf numFmtId="164" fontId="3" fillId="0" borderId="15" xfId="0" applyNumberFormat="1" applyFont="1" applyFill="1" applyBorder="1" applyAlignment="1">
      <alignment wrapText="1"/>
    </xf>
    <xf numFmtId="164" fontId="3" fillId="0" borderId="11" xfId="0" applyNumberFormat="1" applyFont="1" applyFill="1" applyBorder="1" applyAlignment="1">
      <alignment wrapText="1"/>
    </xf>
    <xf numFmtId="0" fontId="3" fillId="0" borderId="13" xfId="0" applyFont="1" applyFill="1" applyBorder="1" applyAlignment="1">
      <alignment wrapText="1"/>
    </xf>
    <xf numFmtId="170" fontId="3" fillId="0" borderId="15" xfId="0" applyNumberFormat="1" applyFont="1" applyFill="1" applyBorder="1" applyAlignment="1">
      <alignment wrapText="1"/>
    </xf>
    <xf numFmtId="0" fontId="3" fillId="0" borderId="16" xfId="0" applyFont="1" applyFill="1" applyBorder="1" applyAlignment="1">
      <alignment wrapText="1"/>
    </xf>
    <xf numFmtId="172" fontId="0" fillId="0" borderId="0" xfId="0" quotePrefix="1" applyNumberFormat="1" applyFont="1" applyAlignment="1">
      <alignment wrapText="1"/>
    </xf>
    <xf numFmtId="172" fontId="0" fillId="0" borderId="0" xfId="0" quotePrefix="1" applyNumberFormat="1" applyFont="1" applyAlignment="1">
      <alignment horizontal="right" wrapText="1"/>
    </xf>
    <xf numFmtId="0" fontId="13" fillId="0" borderId="0" xfId="3" applyFont="1" applyFill="1"/>
    <xf numFmtId="0" fontId="12" fillId="0" borderId="0" xfId="3" applyFill="1"/>
    <xf numFmtId="43" fontId="0" fillId="0" borderId="0" xfId="4" applyNumberFormat="1" applyFont="1" applyFill="1" applyBorder="1"/>
    <xf numFmtId="177" fontId="0" fillId="0" borderId="0" xfId="4" applyNumberFormat="1" applyFont="1" applyFill="1" applyBorder="1"/>
    <xf numFmtId="0" fontId="12" fillId="0" borderId="0" xfId="3" applyFill="1" applyAlignment="1">
      <alignment horizontal="center"/>
    </xf>
    <xf numFmtId="177" fontId="0" fillId="0" borderId="0" xfId="4" applyNumberFormat="1" applyFont="1" applyFill="1" applyAlignment="1">
      <alignment horizontal="right"/>
    </xf>
    <xf numFmtId="43" fontId="12" fillId="0" borderId="0" xfId="3" applyNumberFormat="1" applyFill="1" applyAlignment="1">
      <alignment horizontal="center"/>
    </xf>
    <xf numFmtId="177" fontId="0" fillId="0" borderId="0" xfId="4" applyNumberFormat="1" applyFont="1" applyFill="1" applyAlignment="1">
      <alignment horizontal="center"/>
    </xf>
    <xf numFmtId="43" fontId="0" fillId="0" borderId="0" xfId="4" applyNumberFormat="1" applyFont="1" applyFill="1" applyAlignment="1">
      <alignment horizontal="center"/>
    </xf>
    <xf numFmtId="43" fontId="0" fillId="0" borderId="0" xfId="4" applyNumberFormat="1" applyFont="1" applyFill="1" applyBorder="1" applyAlignment="1">
      <alignment horizontal="center"/>
    </xf>
    <xf numFmtId="43" fontId="0" fillId="0" borderId="0" xfId="4" applyNumberFormat="1" applyFont="1" applyFill="1" applyBorder="1" applyAlignment="1">
      <alignment horizontal="center" wrapText="1"/>
    </xf>
    <xf numFmtId="49" fontId="12" fillId="0" borderId="0" xfId="3" applyNumberFormat="1" applyFont="1" applyFill="1" applyAlignment="1">
      <alignment horizontal="center"/>
    </xf>
    <xf numFmtId="177" fontId="0" fillId="0" borderId="0" xfId="4" applyNumberFormat="1" applyFont="1" applyFill="1" applyAlignment="1">
      <alignment horizontal="left"/>
    </xf>
    <xf numFmtId="49" fontId="12" fillId="0" borderId="0" xfId="3" applyNumberFormat="1" applyFill="1"/>
    <xf numFmtId="49" fontId="14" fillId="0" borderId="0" xfId="3" applyNumberFormat="1" applyFont="1" applyFill="1" applyAlignment="1">
      <alignment horizontal="center" vertical="top"/>
    </xf>
    <xf numFmtId="49" fontId="14" fillId="0" borderId="0" xfId="4" applyNumberFormat="1" applyFont="1" applyFill="1" applyAlignment="1">
      <alignment horizontal="center" vertical="top"/>
    </xf>
    <xf numFmtId="43" fontId="14" fillId="0" borderId="0" xfId="4" applyNumberFormat="1" applyFont="1" applyFill="1" applyAlignment="1">
      <alignment horizontal="center" vertical="top"/>
    </xf>
    <xf numFmtId="49" fontId="14" fillId="0" borderId="0" xfId="4" applyNumberFormat="1" applyFont="1" applyFill="1" applyBorder="1" applyAlignment="1">
      <alignment horizontal="center" vertical="top"/>
    </xf>
    <xf numFmtId="43" fontId="14" fillId="0" borderId="0" xfId="4" applyNumberFormat="1" applyFont="1" applyFill="1" applyBorder="1" applyAlignment="1">
      <alignment horizontal="center" vertical="top"/>
    </xf>
    <xf numFmtId="0" fontId="13" fillId="0" borderId="0" xfId="3" applyFont="1" applyFill="1" applyAlignment="1">
      <alignment horizontal="right" indent="1"/>
    </xf>
    <xf numFmtId="177" fontId="0" fillId="0" borderId="0" xfId="4" applyNumberFormat="1" applyFont="1" applyFill="1"/>
    <xf numFmtId="43" fontId="0" fillId="0" borderId="0" xfId="4" applyNumberFormat="1" applyFont="1" applyFill="1"/>
    <xf numFmtId="178" fontId="0" fillId="0" borderId="0" xfId="4" applyNumberFormat="1" applyFont="1" applyFill="1"/>
    <xf numFmtId="41" fontId="0" fillId="0" borderId="0" xfId="4" applyNumberFormat="1" applyFont="1" applyFill="1"/>
    <xf numFmtId="49" fontId="13" fillId="0" borderId="0" xfId="4" applyNumberFormat="1" applyFont="1" applyFill="1" applyBorder="1" applyAlignment="1">
      <alignment horizontal="center"/>
    </xf>
    <xf numFmtId="179" fontId="0" fillId="0" borderId="0" xfId="4" applyNumberFormat="1" applyFont="1" applyFill="1" applyBorder="1"/>
    <xf numFmtId="178" fontId="0" fillId="0" borderId="19" xfId="4" applyNumberFormat="1" applyFont="1" applyFill="1" applyBorder="1"/>
    <xf numFmtId="42" fontId="0" fillId="0" borderId="0" xfId="4" applyNumberFormat="1" applyFont="1" applyFill="1"/>
    <xf numFmtId="42" fontId="0" fillId="0" borderId="20" xfId="4" applyNumberFormat="1" applyFont="1" applyFill="1" applyBorder="1"/>
    <xf numFmtId="42" fontId="0" fillId="0" borderId="19" xfId="4" applyNumberFormat="1" applyFont="1" applyFill="1" applyBorder="1"/>
    <xf numFmtId="0" fontId="15" fillId="0" borderId="0" xfId="5" applyFill="1" applyBorder="1" applyAlignment="1">
      <alignment horizontal="left" vertical="top"/>
    </xf>
    <xf numFmtId="0" fontId="16" fillId="0" borderId="0" xfId="5" applyFont="1" applyFill="1" applyBorder="1" applyAlignment="1">
      <alignment horizontal="right" vertical="top"/>
    </xf>
    <xf numFmtId="0" fontId="17" fillId="0" borderId="0" xfId="3" applyFont="1" applyFill="1"/>
    <xf numFmtId="0" fontId="12" fillId="0" borderId="21" xfId="3" applyFill="1" applyBorder="1"/>
    <xf numFmtId="0" fontId="12" fillId="0" borderId="21" xfId="3" applyFill="1" applyBorder="1" applyAlignment="1">
      <alignment horizontal="left"/>
    </xf>
    <xf numFmtId="0" fontId="12" fillId="0" borderId="0" xfId="3" applyFill="1" applyBorder="1"/>
    <xf numFmtId="43" fontId="0" fillId="0" borderId="21" xfId="4" applyFont="1" applyFill="1" applyBorder="1"/>
    <xf numFmtId="0" fontId="12" fillId="0" borderId="23" xfId="3" applyFill="1" applyBorder="1"/>
    <xf numFmtId="43" fontId="1" fillId="0" borderId="21" xfId="4" applyFont="1" applyFill="1" applyBorder="1"/>
    <xf numFmtId="43" fontId="1" fillId="0" borderId="0" xfId="4" applyFont="1" applyFill="1"/>
    <xf numFmtId="0" fontId="17" fillId="0" borderId="0" xfId="3" applyFont="1" applyFill="1" applyBorder="1" applyAlignment="1">
      <alignment horizontal="left"/>
    </xf>
    <xf numFmtId="0" fontId="3" fillId="0" borderId="0" xfId="0" applyFont="1" applyAlignment="1"/>
    <xf numFmtId="0" fontId="12" fillId="0" borderId="0" xfId="3" applyFill="1" applyAlignment="1"/>
    <xf numFmtId="0" fontId="12" fillId="0" borderId="0" xfId="3" applyFont="1" applyFill="1" applyAlignment="1"/>
    <xf numFmtId="0" fontId="12" fillId="0" borderId="0" xfId="3" applyFont="1" applyFill="1" applyAlignment="1">
      <alignment horizontal="right"/>
    </xf>
    <xf numFmtId="168" fontId="3" fillId="0" borderId="0" xfId="0" applyNumberFormat="1" applyFont="1" applyFill="1" applyAlignment="1">
      <alignment horizontal="center" wrapText="1"/>
    </xf>
    <xf numFmtId="164" fontId="2" fillId="0" borderId="1" xfId="0" applyNumberFormat="1" applyFont="1" applyFill="1" applyBorder="1" applyAlignment="1">
      <alignment wrapText="1"/>
    </xf>
    <xf numFmtId="173" fontId="3" fillId="0" borderId="0" xfId="0" applyNumberFormat="1" applyFont="1" applyFill="1" applyAlignment="1">
      <alignment wrapText="1"/>
    </xf>
    <xf numFmtId="0" fontId="3" fillId="0" borderId="0" xfId="0" applyFont="1" applyFill="1" applyAlignment="1">
      <alignment horizontal="right" wrapText="1"/>
    </xf>
    <xf numFmtId="174" fontId="3" fillId="0" borderId="0" xfId="0" applyNumberFormat="1" applyFont="1" applyFill="1" applyAlignment="1">
      <alignment wrapText="1"/>
    </xf>
    <xf numFmtId="0" fontId="2" fillId="0" borderId="2" xfId="0" applyFont="1" applyFill="1" applyBorder="1" applyAlignment="1">
      <alignment wrapText="1"/>
    </xf>
    <xf numFmtId="168" fontId="2" fillId="0" borderId="11" xfId="0" applyNumberFormat="1" applyFont="1" applyFill="1" applyBorder="1" applyAlignment="1">
      <alignment horizontal="center" wrapText="1"/>
    </xf>
    <xf numFmtId="168" fontId="2" fillId="0" borderId="4" xfId="0" applyNumberFormat="1" applyFont="1" applyFill="1" applyBorder="1" applyAlignment="1">
      <alignment horizontal="center" wrapText="1"/>
    </xf>
    <xf numFmtId="168" fontId="3" fillId="0" borderId="2" xfId="0" applyNumberFormat="1" applyFont="1" applyFill="1" applyBorder="1" applyAlignment="1">
      <alignment wrapText="1"/>
    </xf>
    <xf numFmtId="164" fontId="3" fillId="0" borderId="2" xfId="0" applyNumberFormat="1" applyFont="1" applyFill="1" applyBorder="1" applyAlignment="1">
      <alignment wrapText="1"/>
    </xf>
    <xf numFmtId="164" fontId="2" fillId="0" borderId="2" xfId="0" applyNumberFormat="1" applyFont="1" applyFill="1" applyBorder="1" applyAlignment="1">
      <alignment wrapText="1"/>
    </xf>
    <xf numFmtId="164" fontId="2" fillId="0" borderId="7" xfId="0" applyNumberFormat="1" applyFont="1" applyFill="1" applyBorder="1" applyAlignment="1">
      <alignment wrapText="1"/>
    </xf>
    <xf numFmtId="172" fontId="10" fillId="0" borderId="0" xfId="0" quotePrefix="1" applyNumberFormat="1" applyFont="1" applyAlignment="1">
      <alignment vertical="center" wrapText="1"/>
    </xf>
    <xf numFmtId="172" fontId="10" fillId="0" borderId="0" xfId="0" quotePrefix="1" applyNumberFormat="1" applyFont="1" applyAlignment="1">
      <alignment horizontal="right" vertical="center" wrapText="1"/>
    </xf>
    <xf numFmtId="0" fontId="18" fillId="0" borderId="0" xfId="6"/>
    <xf numFmtId="0" fontId="18" fillId="0" borderId="29" xfId="6" applyBorder="1" applyAlignment="1">
      <alignment horizontal="center" wrapText="1"/>
    </xf>
    <xf numFmtId="0" fontId="18" fillId="0" borderId="30" xfId="6" applyBorder="1" applyAlignment="1">
      <alignment horizontal="center"/>
    </xf>
    <xf numFmtId="0" fontId="18" fillId="0" borderId="31" xfId="6" applyBorder="1" applyAlignment="1">
      <alignment horizontal="left"/>
    </xf>
    <xf numFmtId="177" fontId="0" fillId="0" borderId="0" xfId="7" applyNumberFormat="1" applyFont="1" applyBorder="1"/>
    <xf numFmtId="43" fontId="0" fillId="0" borderId="0" xfId="7" applyFont="1" applyBorder="1"/>
    <xf numFmtId="177" fontId="18" fillId="0" borderId="32" xfId="6" applyNumberFormat="1" applyBorder="1"/>
    <xf numFmtId="177" fontId="0" fillId="0" borderId="32" xfId="7" applyNumberFormat="1" applyFont="1" applyBorder="1"/>
    <xf numFmtId="0" fontId="18" fillId="5" borderId="24" xfId="6" applyFill="1" applyBorder="1" applyAlignment="1">
      <alignment horizontal="center"/>
    </xf>
    <xf numFmtId="0" fontId="18" fillId="5" borderId="26" xfId="6" applyFill="1" applyBorder="1" applyAlignment="1">
      <alignment horizontal="center" wrapText="1"/>
    </xf>
    <xf numFmtId="0" fontId="18" fillId="0" borderId="27" xfId="6" applyBorder="1"/>
    <xf numFmtId="0" fontId="18" fillId="0" borderId="20" xfId="6" applyBorder="1"/>
    <xf numFmtId="177" fontId="0" fillId="0" borderId="27" xfId="7" applyNumberFormat="1" applyFont="1" applyBorder="1"/>
    <xf numFmtId="177" fontId="0" fillId="0" borderId="28" xfId="7" applyNumberFormat="1" applyFont="1" applyBorder="1"/>
    <xf numFmtId="0" fontId="18" fillId="0" borderId="31" xfId="6" applyBorder="1"/>
    <xf numFmtId="0" fontId="18" fillId="0" borderId="0" xfId="6" applyBorder="1"/>
    <xf numFmtId="177" fontId="0" fillId="0" borderId="31" xfId="7" applyNumberFormat="1" applyFont="1" applyBorder="1"/>
    <xf numFmtId="0" fontId="18" fillId="0" borderId="33" xfId="6" applyBorder="1"/>
    <xf numFmtId="0" fontId="18" fillId="0" borderId="22" xfId="6" applyBorder="1"/>
    <xf numFmtId="177" fontId="0" fillId="0" borderId="33" xfId="7" applyNumberFormat="1" applyFont="1" applyBorder="1"/>
    <xf numFmtId="177" fontId="0" fillId="0" borderId="34" xfId="7" applyNumberFormat="1" applyFont="1" applyBorder="1"/>
    <xf numFmtId="177" fontId="20" fillId="6" borderId="33" xfId="7" applyNumberFormat="1" applyFont="1" applyFill="1" applyBorder="1"/>
    <xf numFmtId="177" fontId="20" fillId="6" borderId="34" xfId="7" applyNumberFormat="1" applyFont="1" applyFill="1" applyBorder="1"/>
    <xf numFmtId="42" fontId="18" fillId="0" borderId="0" xfId="6" applyNumberFormat="1" applyBorder="1"/>
    <xf numFmtId="0" fontId="18" fillId="0" borderId="33" xfId="6" applyBorder="1" applyAlignment="1">
      <alignment horizontal="left"/>
    </xf>
    <xf numFmtId="43" fontId="0" fillId="0" borderId="22" xfId="7" applyFont="1" applyBorder="1"/>
    <xf numFmtId="177" fontId="18" fillId="0" borderId="34" xfId="6" applyNumberFormat="1" applyBorder="1"/>
    <xf numFmtId="0" fontId="20" fillId="6" borderId="33" xfId="6" applyFont="1" applyFill="1" applyBorder="1" applyAlignment="1">
      <alignment horizontal="left"/>
    </xf>
    <xf numFmtId="177" fontId="20" fillId="6" borderId="22" xfId="6" applyNumberFormat="1" applyFont="1" applyFill="1" applyBorder="1"/>
    <xf numFmtId="177" fontId="20" fillId="6" borderId="34" xfId="6" applyNumberFormat="1" applyFont="1" applyFill="1" applyBorder="1"/>
    <xf numFmtId="0" fontId="20" fillId="6" borderId="24" xfId="6" applyFont="1" applyFill="1" applyBorder="1" applyAlignment="1">
      <alignment horizontal="left"/>
    </xf>
    <xf numFmtId="177" fontId="20" fillId="6" borderId="25" xfId="7" applyNumberFormat="1" applyFont="1" applyFill="1" applyBorder="1"/>
    <xf numFmtId="177" fontId="20" fillId="6" borderId="26" xfId="7" applyNumberFormat="1" applyFont="1" applyFill="1" applyBorder="1"/>
    <xf numFmtId="0" fontId="0" fillId="0" borderId="0" xfId="0" applyAlignment="1"/>
    <xf numFmtId="0" fontId="0" fillId="0" borderId="0" xfId="0" applyFont="1" applyAlignment="1"/>
    <xf numFmtId="0" fontId="18" fillId="0" borderId="0" xfId="6" applyFill="1"/>
    <xf numFmtId="0" fontId="18" fillId="0" borderId="0" xfId="6" applyFill="1" applyBorder="1" applyAlignment="1">
      <alignment horizontal="center" wrapText="1"/>
    </xf>
    <xf numFmtId="0" fontId="18" fillId="0" borderId="29" xfId="6" applyFill="1" applyBorder="1" applyAlignment="1">
      <alignment horizontal="center" wrapText="1"/>
    </xf>
    <xf numFmtId="0" fontId="18" fillId="0" borderId="30" xfId="6" applyFill="1" applyBorder="1" applyAlignment="1">
      <alignment horizontal="center" wrapText="1"/>
    </xf>
    <xf numFmtId="0" fontId="18" fillId="0" borderId="0" xfId="6" applyAlignment="1">
      <alignment horizontal="center" wrapText="1"/>
    </xf>
    <xf numFmtId="49" fontId="18" fillId="0" borderId="0" xfId="6" applyNumberFormat="1" applyAlignment="1">
      <alignment horizontal="center" wrapText="1"/>
    </xf>
    <xf numFmtId="0" fontId="18" fillId="0" borderId="0" xfId="6" applyFill="1" applyAlignment="1">
      <alignment horizontal="center" wrapText="1"/>
    </xf>
    <xf numFmtId="177" fontId="0" fillId="0" borderId="0" xfId="7" applyNumberFormat="1" applyFont="1"/>
    <xf numFmtId="177" fontId="0" fillId="0" borderId="0" xfId="7" applyNumberFormat="1" applyFont="1" applyFill="1"/>
    <xf numFmtId="177" fontId="18" fillId="0" borderId="0" xfId="6" applyNumberFormat="1" applyFill="1"/>
    <xf numFmtId="43" fontId="18" fillId="0" borderId="0" xfId="6" applyNumberFormat="1"/>
    <xf numFmtId="0" fontId="20" fillId="0" borderId="0" xfId="6" applyFont="1"/>
    <xf numFmtId="177" fontId="20" fillId="0" borderId="0" xfId="7" applyNumberFormat="1" applyFont="1"/>
    <xf numFmtId="177" fontId="20" fillId="0" borderId="0" xfId="7" applyNumberFormat="1" applyFont="1" applyFill="1"/>
    <xf numFmtId="0" fontId="18" fillId="7" borderId="21" xfId="6" applyFill="1" applyBorder="1"/>
    <xf numFmtId="0" fontId="18" fillId="7" borderId="29" xfId="6" applyFill="1" applyBorder="1"/>
    <xf numFmtId="0" fontId="18" fillId="0" borderId="21" xfId="6" applyBorder="1"/>
    <xf numFmtId="43" fontId="0" fillId="0" borderId="21" xfId="7" applyFont="1" applyBorder="1"/>
    <xf numFmtId="0" fontId="20" fillId="7" borderId="21" xfId="6" applyFont="1" applyFill="1" applyBorder="1"/>
    <xf numFmtId="43" fontId="20" fillId="7" borderId="21" xfId="7" applyFont="1" applyFill="1" applyBorder="1"/>
    <xf numFmtId="0" fontId="20" fillId="8" borderId="21" xfId="6" applyFont="1" applyFill="1" applyBorder="1" applyAlignment="1">
      <alignment horizontal="left"/>
    </xf>
    <xf numFmtId="0" fontId="18" fillId="8" borderId="21" xfId="6" applyFill="1" applyBorder="1"/>
    <xf numFmtId="43" fontId="0" fillId="8" borderId="21" xfId="7" applyFont="1" applyFill="1" applyBorder="1"/>
    <xf numFmtId="0" fontId="18" fillId="0" borderId="30" xfId="6" applyBorder="1"/>
    <xf numFmtId="0" fontId="20" fillId="0" borderId="21" xfId="6" applyFont="1" applyFill="1" applyBorder="1"/>
    <xf numFmtId="43" fontId="20" fillId="0" borderId="21" xfId="7" applyFont="1" applyBorder="1"/>
    <xf numFmtId="177" fontId="18" fillId="0" borderId="0" xfId="6" applyNumberFormat="1"/>
    <xf numFmtId="43" fontId="0" fillId="0" borderId="0" xfId="7" applyFont="1"/>
    <xf numFmtId="0" fontId="18" fillId="7" borderId="29" xfId="6" applyFill="1" applyBorder="1" applyAlignment="1">
      <alignment wrapText="1"/>
    </xf>
    <xf numFmtId="0" fontId="20" fillId="9" borderId="21" xfId="6" applyFont="1" applyFill="1" applyBorder="1"/>
    <xf numFmtId="43" fontId="20" fillId="9" borderId="21" xfId="7" applyFont="1" applyFill="1" applyBorder="1"/>
    <xf numFmtId="0" fontId="20" fillId="8" borderId="21" xfId="6" applyFont="1" applyFill="1" applyBorder="1" applyAlignment="1">
      <alignment horizontal="left" wrapText="1"/>
    </xf>
    <xf numFmtId="0" fontId="22" fillId="0" borderId="0" xfId="11"/>
    <xf numFmtId="0" fontId="18" fillId="0" borderId="0" xfId="6" applyAlignment="1">
      <alignment wrapText="1"/>
    </xf>
    <xf numFmtId="43" fontId="18" fillId="0" borderId="0" xfId="6" applyNumberFormat="1" applyFill="1"/>
    <xf numFmtId="177" fontId="20" fillId="0" borderId="0" xfId="6" applyNumberFormat="1" applyFont="1"/>
    <xf numFmtId="177" fontId="20" fillId="0" borderId="0" xfId="6" applyNumberFormat="1" applyFont="1" applyFill="1"/>
    <xf numFmtId="0" fontId="12" fillId="0" borderId="0" xfId="8" applyFont="1" applyFill="1"/>
    <xf numFmtId="0" fontId="18" fillId="0" borderId="27" xfId="6" applyBorder="1" applyAlignment="1">
      <alignment horizontal="center" wrapText="1"/>
    </xf>
    <xf numFmtId="0" fontId="18" fillId="0" borderId="20" xfId="6" applyBorder="1" applyAlignment="1">
      <alignment horizontal="center" wrapText="1"/>
    </xf>
    <xf numFmtId="0" fontId="18" fillId="0" borderId="28" xfId="6" applyBorder="1" applyAlignment="1">
      <alignment horizontal="center" wrapText="1"/>
    </xf>
    <xf numFmtId="0" fontId="18" fillId="0" borderId="30" xfId="6" applyBorder="1" applyAlignment="1">
      <alignment wrapText="1"/>
    </xf>
    <xf numFmtId="0" fontId="18" fillId="0" borderId="30" xfId="6" applyBorder="1" applyAlignment="1">
      <alignment horizontal="center" wrapText="1"/>
    </xf>
    <xf numFmtId="0" fontId="18" fillId="0" borderId="33" xfId="6" applyBorder="1" applyAlignment="1">
      <alignment horizontal="center" wrapText="1"/>
    </xf>
    <xf numFmtId="0" fontId="18" fillId="0" borderId="22" xfId="6" applyBorder="1" applyAlignment="1">
      <alignment horizontal="center" wrapText="1"/>
    </xf>
    <xf numFmtId="0" fontId="18" fillId="0" borderId="34" xfId="6" applyBorder="1" applyAlignment="1">
      <alignment horizontal="center" wrapText="1"/>
    </xf>
    <xf numFmtId="0" fontId="18" fillId="0" borderId="23" xfId="6" applyBorder="1"/>
    <xf numFmtId="43" fontId="0" fillId="0" borderId="23" xfId="7" applyFont="1" applyBorder="1"/>
    <xf numFmtId="43" fontId="0" fillId="0" borderId="31" xfId="7" applyFont="1" applyBorder="1"/>
    <xf numFmtId="43" fontId="18" fillId="0" borderId="0" xfId="6" applyNumberFormat="1" applyBorder="1"/>
    <xf numFmtId="43" fontId="18" fillId="0" borderId="32" xfId="6" applyNumberFormat="1" applyBorder="1"/>
    <xf numFmtId="43" fontId="18" fillId="0" borderId="23" xfId="6" applyNumberFormat="1" applyBorder="1"/>
    <xf numFmtId="0" fontId="20" fillId="0" borderId="30" xfId="6" applyFont="1" applyBorder="1"/>
    <xf numFmtId="43" fontId="20" fillId="0" borderId="30" xfId="7" applyFont="1" applyBorder="1"/>
    <xf numFmtId="43" fontId="20" fillId="0" borderId="33" xfId="7" applyFont="1" applyBorder="1"/>
    <xf numFmtId="43" fontId="20" fillId="0" borderId="22" xfId="7" applyFont="1" applyBorder="1"/>
    <xf numFmtId="43" fontId="20" fillId="0" borderId="34" xfId="7" applyFont="1" applyBorder="1"/>
    <xf numFmtId="0" fontId="18" fillId="0" borderId="0" xfId="6" applyAlignment="1">
      <alignment horizontal="center"/>
    </xf>
    <xf numFmtId="43" fontId="20" fillId="0" borderId="0" xfId="6" applyNumberFormat="1" applyFont="1"/>
    <xf numFmtId="0" fontId="18" fillId="9" borderId="21" xfId="6" applyFill="1" applyBorder="1"/>
    <xf numFmtId="43" fontId="0" fillId="9" borderId="21" xfId="7" applyFont="1" applyFill="1" applyBorder="1"/>
    <xf numFmtId="43" fontId="0" fillId="9" borderId="21" xfId="7" applyFont="1" applyFill="1" applyBorder="1" applyAlignment="1">
      <alignment wrapText="1"/>
    </xf>
    <xf numFmtId="14" fontId="18" fillId="0" borderId="0" xfId="6" applyNumberFormat="1"/>
    <xf numFmtId="14" fontId="18" fillId="9" borderId="21" xfId="6" applyNumberFormat="1" applyFill="1" applyBorder="1"/>
    <xf numFmtId="0" fontId="18" fillId="0" borderId="0" xfId="6" applyFill="1" applyBorder="1"/>
    <xf numFmtId="14" fontId="18" fillId="0" borderId="0" xfId="6" applyNumberFormat="1" applyAlignment="1">
      <alignment wrapText="1"/>
    </xf>
    <xf numFmtId="180" fontId="0" fillId="0" borderId="0" xfId="15" applyNumberFormat="1" applyFont="1"/>
    <xf numFmtId="43" fontId="0" fillId="0" borderId="0" xfId="7" applyFont="1" applyFill="1" applyBorder="1"/>
    <xf numFmtId="0" fontId="18" fillId="0" borderId="21" xfId="6" applyNumberFormat="1" applyBorder="1"/>
    <xf numFmtId="0" fontId="18" fillId="9" borderId="21" xfId="6" applyNumberFormat="1" applyFill="1" applyBorder="1"/>
    <xf numFmtId="0" fontId="1" fillId="0" borderId="0" xfId="16"/>
    <xf numFmtId="44" fontId="20" fillId="0" borderId="36" xfId="12" applyFont="1" applyBorder="1"/>
    <xf numFmtId="181" fontId="0" fillId="0" borderId="0" xfId="15" applyNumberFormat="1" applyFont="1"/>
    <xf numFmtId="43" fontId="0" fillId="0" borderId="0" xfId="7" applyFont="1" applyFill="1"/>
    <xf numFmtId="0" fontId="18" fillId="0" borderId="0" xfId="6" applyFont="1"/>
    <xf numFmtId="0" fontId="18" fillId="9" borderId="0" xfId="6" applyFill="1"/>
    <xf numFmtId="44" fontId="20" fillId="0" borderId="35" xfId="12" applyFont="1" applyBorder="1"/>
    <xf numFmtId="44" fontId="20" fillId="0" borderId="0" xfId="12" applyFont="1" applyFill="1" applyBorder="1"/>
    <xf numFmtId="44" fontId="20" fillId="0" borderId="35" xfId="6" applyNumberFormat="1" applyFont="1" applyBorder="1"/>
    <xf numFmtId="43" fontId="0" fillId="7" borderId="21" xfId="7" applyFont="1" applyFill="1" applyBorder="1"/>
    <xf numFmtId="43" fontId="0" fillId="7" borderId="21" xfId="7" applyFont="1" applyFill="1" applyBorder="1" applyAlignment="1">
      <alignment wrapText="1"/>
    </xf>
    <xf numFmtId="43" fontId="20" fillId="0" borderId="0" xfId="7" applyFont="1"/>
    <xf numFmtId="0" fontId="22" fillId="0" borderId="0" xfId="11" applyNumberFormat="1" applyAlignment="1">
      <alignment horizontal="center"/>
    </xf>
    <xf numFmtId="0" fontId="21" fillId="0" borderId="0" xfId="9" applyNumberFormat="1" applyAlignment="1">
      <alignment horizontal="center"/>
    </xf>
    <xf numFmtId="0" fontId="22" fillId="0" borderId="0" xfId="11" applyAlignment="1">
      <alignment horizontal="center"/>
    </xf>
    <xf numFmtId="0" fontId="22" fillId="0" borderId="0" xfId="11" applyFont="1"/>
    <xf numFmtId="0" fontId="25" fillId="0" borderId="0" xfId="9" applyNumberFormat="1" applyFont="1" applyAlignment="1">
      <alignment horizontal="center"/>
    </xf>
    <xf numFmtId="49" fontId="22" fillId="0" borderId="0" xfId="9" applyNumberFormat="1" applyFont="1" applyAlignment="1">
      <alignment horizontal="center"/>
    </xf>
    <xf numFmtId="0" fontId="22" fillId="0" borderId="0" xfId="11" applyBorder="1"/>
    <xf numFmtId="0" fontId="23" fillId="0" borderId="0" xfId="9" applyFont="1" applyBorder="1" applyAlignment="1" applyProtection="1">
      <alignment horizontal="center" wrapText="1"/>
    </xf>
    <xf numFmtId="0" fontId="25" fillId="0" borderId="0" xfId="11" applyNumberFormat="1" applyFont="1" applyBorder="1" applyAlignment="1">
      <alignment horizontal="center" wrapText="1"/>
    </xf>
    <xf numFmtId="0" fontId="26" fillId="0" borderId="0" xfId="9" applyFont="1" applyBorder="1"/>
    <xf numFmtId="0" fontId="25" fillId="0" borderId="0" xfId="11" applyFont="1" applyAlignment="1">
      <alignment horizontal="center"/>
    </xf>
    <xf numFmtId="0" fontId="25" fillId="0" borderId="0" xfId="11" applyFont="1"/>
    <xf numFmtId="0" fontId="21" fillId="0" borderId="0" xfId="9"/>
    <xf numFmtId="42" fontId="22" fillId="0" borderId="0" xfId="9" applyNumberFormat="1" applyFont="1" applyProtection="1"/>
    <xf numFmtId="42" fontId="22" fillId="0" borderId="0" xfId="9" applyNumberFormat="1" applyFont="1" applyBorder="1" applyProtection="1"/>
    <xf numFmtId="0" fontId="22" fillId="0" borderId="0" xfId="11" applyFill="1"/>
    <xf numFmtId="42" fontId="22" fillId="0" borderId="0" xfId="9" applyNumberFormat="1" applyFont="1" applyFill="1" applyBorder="1" applyProtection="1"/>
    <xf numFmtId="177" fontId="22" fillId="0" borderId="0" xfId="17" applyNumberFormat="1" applyFont="1" applyBorder="1" applyProtection="1"/>
    <xf numFmtId="41" fontId="22" fillId="0" borderId="0" xfId="9" applyNumberFormat="1" applyFont="1" applyFill="1" applyProtection="1"/>
    <xf numFmtId="177" fontId="22" fillId="0" borderId="22" xfId="17" applyNumberFormat="1" applyFont="1" applyBorder="1" applyProtection="1"/>
    <xf numFmtId="0" fontId="21" fillId="0" borderId="0" xfId="9" applyFill="1"/>
    <xf numFmtId="0" fontId="22" fillId="0" borderId="0" xfId="9" applyFont="1" applyFill="1" applyProtection="1"/>
    <xf numFmtId="42" fontId="22" fillId="0" borderId="0" xfId="18" applyNumberFormat="1" applyFont="1" applyFill="1" applyBorder="1" applyProtection="1"/>
    <xf numFmtId="0" fontId="25" fillId="0" borderId="0" xfId="11" applyFont="1" applyFill="1"/>
    <xf numFmtId="0" fontId="0" fillId="0" borderId="0" xfId="9" applyFont="1" applyProtection="1"/>
    <xf numFmtId="42" fontId="22" fillId="0" borderId="0" xfId="9" applyNumberFormat="1" applyFont="1" applyFill="1" applyProtection="1"/>
    <xf numFmtId="0" fontId="22" fillId="0" borderId="0" xfId="9" applyFont="1" applyProtection="1"/>
    <xf numFmtId="41" fontId="22" fillId="0" borderId="0" xfId="9" applyNumberFormat="1" applyFont="1"/>
    <xf numFmtId="0" fontId="25" fillId="0" borderId="0" xfId="9" applyNumberFormat="1" applyFont="1" applyFill="1" applyAlignment="1">
      <alignment horizontal="center"/>
    </xf>
    <xf numFmtId="10" fontId="22" fillId="0" borderId="0" xfId="9" applyNumberFormat="1" applyFont="1" applyProtection="1"/>
    <xf numFmtId="0" fontId="25" fillId="0" borderId="0" xfId="11" applyNumberFormat="1" applyFont="1" applyAlignment="1">
      <alignment horizontal="center"/>
    </xf>
    <xf numFmtId="0" fontId="22" fillId="0" borderId="0" xfId="9" applyFont="1"/>
    <xf numFmtId="42" fontId="22" fillId="0" borderId="0" xfId="11" applyNumberFormat="1"/>
    <xf numFmtId="37" fontId="22" fillId="0" borderId="0" xfId="9" applyNumberFormat="1" applyFont="1" applyProtection="1"/>
    <xf numFmtId="0" fontId="22" fillId="0" borderId="0" xfId="9" applyFont="1" applyAlignment="1" applyProtection="1">
      <alignment horizontal="right"/>
    </xf>
    <xf numFmtId="179" fontId="22" fillId="0" borderId="22" xfId="17" applyNumberFormat="1" applyFont="1" applyFill="1" applyBorder="1" applyProtection="1"/>
    <xf numFmtId="0" fontId="22" fillId="0" borderId="0" xfId="9" applyFont="1" applyBorder="1"/>
    <xf numFmtId="42" fontId="23" fillId="0" borderId="37" xfId="18" applyNumberFormat="1" applyFont="1" applyBorder="1" applyProtection="1"/>
    <xf numFmtId="0" fontId="22" fillId="0" borderId="0" xfId="19" applyFill="1"/>
    <xf numFmtId="0" fontId="22" fillId="0" borderId="0" xfId="19" applyFont="1" applyFill="1" applyAlignment="1">
      <alignment horizontal="right"/>
    </xf>
    <xf numFmtId="0" fontId="23" fillId="0" borderId="0" xfId="9" applyFont="1" applyFill="1" applyBorder="1" applyAlignment="1" applyProtection="1">
      <alignment horizontal="center" wrapText="1"/>
    </xf>
    <xf numFmtId="0" fontId="23" fillId="0" borderId="0" xfId="9" applyFont="1" applyFill="1" applyBorder="1" applyAlignment="1" applyProtection="1"/>
    <xf numFmtId="0" fontId="23" fillId="0" borderId="0" xfId="9" applyFont="1" applyFill="1" applyBorder="1" applyAlignment="1" applyProtection="1">
      <alignment horizontal="center"/>
    </xf>
    <xf numFmtId="0" fontId="25" fillId="0" borderId="0" xfId="9" applyFont="1" applyFill="1" applyBorder="1" applyAlignment="1" applyProtection="1">
      <alignment horizontal="center"/>
    </xf>
    <xf numFmtId="0" fontId="25" fillId="0" borderId="0" xfId="9" applyFont="1" applyFill="1" applyBorder="1" applyAlignment="1" applyProtection="1">
      <alignment horizontal="center" wrapText="1"/>
    </xf>
    <xf numFmtId="0" fontId="0" fillId="0" borderId="0" xfId="9" applyFont="1"/>
    <xf numFmtId="37" fontId="22" fillId="0" borderId="0" xfId="9" applyNumberFormat="1" applyFont="1" applyFill="1"/>
    <xf numFmtId="42" fontId="22" fillId="0" borderId="0" xfId="20" applyNumberFormat="1" applyFont="1" applyFill="1" applyProtection="1"/>
    <xf numFmtId="178" fontId="22" fillId="0" borderId="0" xfId="20" applyNumberFormat="1" applyFont="1" applyFill="1" applyProtection="1"/>
    <xf numFmtId="41" fontId="22" fillId="0" borderId="22" xfId="9" applyNumberFormat="1" applyFont="1" applyFill="1" applyBorder="1" applyProtection="1"/>
    <xf numFmtId="37" fontId="22" fillId="0" borderId="0" xfId="9" applyNumberFormat="1" applyFont="1" applyFill="1" applyBorder="1" applyProtection="1"/>
    <xf numFmtId="42" fontId="22" fillId="0" borderId="0" xfId="20" applyNumberFormat="1" applyFont="1" applyFill="1" applyBorder="1" applyProtection="1"/>
    <xf numFmtId="42" fontId="21" fillId="0" borderId="0" xfId="9" applyNumberFormat="1" applyFill="1" applyBorder="1"/>
    <xf numFmtId="42" fontId="22" fillId="0" borderId="0" xfId="19" applyNumberFormat="1" applyFill="1" applyBorder="1"/>
    <xf numFmtId="42" fontId="22" fillId="0" borderId="0" xfId="19" applyNumberFormat="1" applyFill="1"/>
    <xf numFmtId="178" fontId="22" fillId="0" borderId="0" xfId="20" applyNumberFormat="1" applyFont="1" applyFill="1" applyBorder="1" applyProtection="1"/>
    <xf numFmtId="42" fontId="22" fillId="0" borderId="20" xfId="20" applyNumberFormat="1" applyFont="1" applyFill="1" applyBorder="1" applyProtection="1"/>
    <xf numFmtId="178" fontId="21" fillId="0" borderId="0" xfId="20" applyNumberFormat="1" applyFont="1" applyFill="1"/>
    <xf numFmtId="10" fontId="22" fillId="0" borderId="0" xfId="9" applyNumberFormat="1" applyFont="1" applyFill="1" applyProtection="1"/>
    <xf numFmtId="178" fontId="22" fillId="0" borderId="0" xfId="20" applyNumberFormat="1" applyFont="1" applyFill="1"/>
    <xf numFmtId="182" fontId="22" fillId="0" borderId="0" xfId="9" applyNumberFormat="1" applyFont="1" applyProtection="1"/>
    <xf numFmtId="10" fontId="22" fillId="0" borderId="38" xfId="9" applyNumberFormat="1" applyFont="1" applyFill="1" applyBorder="1" applyProtection="1"/>
    <xf numFmtId="42" fontId="22" fillId="0" borderId="39" xfId="20" applyNumberFormat="1" applyFont="1" applyFill="1" applyBorder="1" applyProtection="1"/>
    <xf numFmtId="179" fontId="22" fillId="0" borderId="22" xfId="21" applyNumberFormat="1" applyFont="1" applyFill="1" applyBorder="1" applyProtection="1"/>
    <xf numFmtId="42" fontId="23" fillId="0" borderId="37" xfId="20" applyNumberFormat="1" applyFont="1" applyFill="1" applyBorder="1" applyProtection="1"/>
    <xf numFmtId="49" fontId="27" fillId="10" borderId="40" xfId="6" applyNumberFormat="1" applyFont="1" applyFill="1" applyBorder="1"/>
    <xf numFmtId="43" fontId="27" fillId="10" borderId="40" xfId="7" applyFont="1" applyFill="1" applyBorder="1"/>
    <xf numFmtId="49" fontId="18" fillId="0" borderId="0" xfId="6" applyNumberFormat="1"/>
    <xf numFmtId="0" fontId="18" fillId="0" borderId="0" xfId="6" applyAlignment="1">
      <alignment horizontal="left"/>
    </xf>
    <xf numFmtId="0" fontId="18" fillId="0" borderId="0" xfId="6" applyNumberFormat="1"/>
    <xf numFmtId="0" fontId="18" fillId="0" borderId="0" xfId="6" applyAlignment="1">
      <alignment horizontal="left" indent="1"/>
    </xf>
    <xf numFmtId="0" fontId="18" fillId="5" borderId="0" xfId="6" applyFill="1" applyAlignment="1">
      <alignment horizontal="left" indent="1"/>
    </xf>
    <xf numFmtId="0" fontId="18" fillId="5" borderId="0" xfId="6" applyNumberFormat="1" applyFill="1"/>
    <xf numFmtId="43" fontId="18" fillId="5" borderId="0" xfId="6" applyNumberFormat="1" applyFill="1"/>
    <xf numFmtId="0" fontId="0" fillId="0" borderId="0" xfId="9" applyFont="1" applyAlignment="1" applyProtection="1">
      <alignment wrapText="1"/>
    </xf>
    <xf numFmtId="0" fontId="0" fillId="0" borderId="0" xfId="0" applyFont="1" applyAlignment="1">
      <alignment vertical="top" wrapText="1"/>
    </xf>
    <xf numFmtId="0" fontId="18" fillId="0" borderId="0" xfId="6" applyAlignment="1">
      <alignment horizontal="right"/>
    </xf>
    <xf numFmtId="0" fontId="28" fillId="0" borderId="0" xfId="0" applyFont="1" applyFill="1" applyBorder="1"/>
    <xf numFmtId="183" fontId="28" fillId="0" borderId="0" xfId="0" applyNumberFormat="1" applyFont="1" applyFill="1" applyBorder="1" applyAlignment="1">
      <alignment horizontal="left"/>
    </xf>
    <xf numFmtId="43" fontId="28" fillId="0" borderId="0" xfId="1" applyFont="1" applyFill="1" applyBorder="1"/>
    <xf numFmtId="0" fontId="28" fillId="0" borderId="0" xfId="0" applyFont="1" applyFill="1" applyBorder="1" applyAlignment="1">
      <alignment horizontal="left"/>
    </xf>
    <xf numFmtId="0" fontId="11" fillId="0" borderId="0" xfId="0" applyFont="1"/>
    <xf numFmtId="39" fontId="0" fillId="8" borderId="0" xfId="0" applyNumberFormat="1" applyFill="1"/>
    <xf numFmtId="43" fontId="0" fillId="0" borderId="0" xfId="0" applyNumberFormat="1"/>
    <xf numFmtId="39" fontId="0" fillId="11" borderId="0" xfId="0" applyNumberFormat="1" applyFill="1"/>
    <xf numFmtId="10" fontId="0" fillId="0" borderId="0" xfId="15" applyNumberFormat="1" applyFont="1"/>
    <xf numFmtId="0" fontId="29" fillId="0" borderId="0" xfId="0" applyFont="1" applyFill="1" applyBorder="1"/>
    <xf numFmtId="39" fontId="29" fillId="0" borderId="0" xfId="0" applyNumberFormat="1" applyFont="1" applyFill="1" applyBorder="1"/>
    <xf numFmtId="0" fontId="29" fillId="12" borderId="0" xfId="0" applyFont="1" applyFill="1" applyBorder="1"/>
    <xf numFmtId="39" fontId="29" fillId="12" borderId="0" xfId="0" applyNumberFormat="1" applyFont="1" applyFill="1" applyBorder="1"/>
    <xf numFmtId="0" fontId="29" fillId="13" borderId="0" xfId="0" applyFont="1" applyFill="1" applyBorder="1"/>
    <xf numFmtId="39" fontId="29" fillId="13" borderId="0" xfId="0" applyNumberFormat="1" applyFont="1" applyFill="1" applyBorder="1"/>
    <xf numFmtId="43" fontId="0" fillId="0" borderId="0" xfId="0" applyNumberFormat="1" applyFill="1"/>
    <xf numFmtId="10" fontId="0" fillId="0" borderId="0" xfId="0" applyNumberFormat="1"/>
    <xf numFmtId="43" fontId="0" fillId="0" borderId="0" xfId="21" applyFont="1"/>
    <xf numFmtId="0" fontId="23" fillId="0" borderId="0" xfId="0" applyFont="1"/>
    <xf numFmtId="43" fontId="23" fillId="0" borderId="0" xfId="0" applyNumberFormat="1" applyFont="1"/>
    <xf numFmtId="0" fontId="30" fillId="0" borderId="0" xfId="0" applyFont="1" applyFill="1" applyBorder="1"/>
    <xf numFmtId="0" fontId="31" fillId="0" borderId="0" xfId="0" applyFont="1" applyFill="1" applyBorder="1"/>
    <xf numFmtId="0" fontId="30" fillId="0" borderId="0" xfId="0" applyFont="1" applyFill="1" applyBorder="1" applyAlignment="1">
      <alignment horizontal="left"/>
    </xf>
    <xf numFmtId="178" fontId="30" fillId="0" borderId="0" xfId="0" applyNumberFormat="1" applyFont="1" applyFill="1" applyBorder="1"/>
    <xf numFmtId="10" fontId="31" fillId="0" borderId="0" xfId="2" applyNumberFormat="1" applyFont="1" applyFill="1" applyBorder="1"/>
    <xf numFmtId="180" fontId="31" fillId="0" borderId="0" xfId="2" applyNumberFormat="1" applyFont="1" applyFill="1" applyBorder="1"/>
    <xf numFmtId="44" fontId="30" fillId="0" borderId="0" xfId="0" applyNumberFormat="1" applyFont="1" applyFill="1" applyBorder="1"/>
    <xf numFmtId="178" fontId="31" fillId="0" borderId="0" xfId="0" applyNumberFormat="1" applyFont="1" applyFill="1" applyBorder="1"/>
    <xf numFmtId="44" fontId="30" fillId="0" borderId="22" xfId="0" applyNumberFormat="1" applyFont="1" applyFill="1" applyBorder="1"/>
    <xf numFmtId="178" fontId="30" fillId="0" borderId="22" xfId="0" applyNumberFormat="1" applyFont="1" applyFill="1" applyBorder="1"/>
    <xf numFmtId="0" fontId="30" fillId="0" borderId="22" xfId="0" applyFont="1" applyFill="1" applyBorder="1" applyAlignment="1">
      <alignment horizontal="left"/>
    </xf>
    <xf numFmtId="0" fontId="32" fillId="0" borderId="0" xfId="0" applyFont="1" applyFill="1" applyBorder="1" applyAlignment="1">
      <alignment horizontal="left"/>
    </xf>
    <xf numFmtId="178" fontId="32" fillId="0" borderId="0" xfId="0" applyNumberFormat="1" applyFont="1" applyFill="1" applyBorder="1"/>
    <xf numFmtId="43" fontId="29" fillId="0" borderId="0" xfId="0" applyNumberFormat="1" applyFont="1" applyFill="1" applyBorder="1"/>
    <xf numFmtId="0" fontId="22" fillId="0" borderId="0" xfId="0" applyFont="1" applyAlignment="1"/>
    <xf numFmtId="0" fontId="0" fillId="0" borderId="0" xfId="0" applyAlignment="1">
      <alignment wrapText="1"/>
    </xf>
    <xf numFmtId="0" fontId="23" fillId="0" borderId="0" xfId="0" applyFont="1" applyAlignment="1">
      <alignment horizontal="left" wrapText="1"/>
    </xf>
    <xf numFmtId="43" fontId="23" fillId="0" borderId="25" xfId="21" applyFont="1" applyBorder="1"/>
    <xf numFmtId="49" fontId="11" fillId="0" borderId="0" xfId="0" applyNumberFormat="1" applyFont="1" applyAlignment="1">
      <alignment wrapText="1"/>
    </xf>
    <xf numFmtId="49" fontId="0" fillId="0" borderId="0" xfId="0" applyNumberFormat="1"/>
    <xf numFmtId="8" fontId="0" fillId="0" borderId="0" xfId="0" applyNumberFormat="1"/>
    <xf numFmtId="8" fontId="23" fillId="0" borderId="0" xfId="0" applyNumberFormat="1" applyFont="1"/>
    <xf numFmtId="49" fontId="23" fillId="0" borderId="0" xfId="0" applyNumberFormat="1" applyFont="1"/>
    <xf numFmtId="8" fontId="23" fillId="0" borderId="25" xfId="0" applyNumberFormat="1" applyFont="1" applyBorder="1"/>
    <xf numFmtId="0" fontId="2" fillId="0" borderId="0" xfId="0" applyFont="1" applyAlignment="1">
      <alignment wrapText="1"/>
    </xf>
    <xf numFmtId="0" fontId="0" fillId="0" borderId="0" xfId="0"/>
    <xf numFmtId="0" fontId="2" fillId="0" borderId="0" xfId="0" applyFont="1" applyAlignment="1">
      <alignment horizontal="right" wrapText="1"/>
    </xf>
    <xf numFmtId="0" fontId="3" fillId="0" borderId="0" xfId="0" applyFont="1" applyAlignment="1">
      <alignment horizontal="left" wrapText="1"/>
    </xf>
    <xf numFmtId="0" fontId="3" fillId="0" borderId="0" xfId="0" applyFont="1" applyAlignment="1">
      <alignment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wrapText="1"/>
    </xf>
    <xf numFmtId="0" fontId="3" fillId="0" borderId="0" xfId="0" applyFont="1" applyFill="1" applyAlignment="1">
      <alignment horizontal="center" wrapText="1"/>
    </xf>
    <xf numFmtId="0" fontId="0" fillId="0" borderId="0" xfId="0" applyFill="1"/>
    <xf numFmtId="0" fontId="2" fillId="0" borderId="11" xfId="0" applyFont="1" applyFill="1" applyBorder="1" applyAlignment="1">
      <alignment wrapText="1"/>
    </xf>
    <xf numFmtId="0" fontId="2" fillId="0" borderId="12" xfId="0" applyFont="1" applyFill="1" applyBorder="1" applyAlignment="1">
      <alignment wrapText="1"/>
    </xf>
    <xf numFmtId="0" fontId="2" fillId="0" borderId="1" xfId="0" applyFont="1" applyBorder="1" applyAlignment="1">
      <alignment wrapText="1"/>
    </xf>
    <xf numFmtId="0" fontId="2" fillId="0" borderId="11" xfId="0" applyFont="1" applyBorder="1" applyAlignment="1">
      <alignment wrapText="1"/>
    </xf>
    <xf numFmtId="0" fontId="2" fillId="0" borderId="12" xfId="0" applyFont="1" applyBorder="1" applyAlignment="1">
      <alignment wrapText="1"/>
    </xf>
    <xf numFmtId="0" fontId="2" fillId="0" borderId="2" xfId="0" applyFont="1" applyBorder="1" applyAlignment="1">
      <alignment horizontal="center" wrapText="1"/>
    </xf>
    <xf numFmtId="0" fontId="3" fillId="0" borderId="2" xfId="0" applyFont="1" applyBorder="1" applyAlignment="1">
      <alignment horizontal="center" wrapText="1"/>
    </xf>
    <xf numFmtId="0" fontId="3" fillId="0" borderId="0" xfId="0" applyFont="1" applyAlignment="1">
      <alignment horizontal="left" vertical="top" wrapText="1"/>
    </xf>
    <xf numFmtId="0" fontId="7" fillId="0" borderId="0" xfId="0" applyFont="1" applyAlignment="1">
      <alignment wrapText="1"/>
    </xf>
    <xf numFmtId="0" fontId="2" fillId="2" borderId="2" xfId="0" applyFont="1" applyFill="1" applyBorder="1" applyAlignment="1">
      <alignment horizontal="center" wrapText="1"/>
    </xf>
    <xf numFmtId="0" fontId="3" fillId="0" borderId="1" xfId="0" applyFont="1" applyBorder="1" applyAlignment="1">
      <alignment horizontal="left" wrapText="1"/>
    </xf>
    <xf numFmtId="0" fontId="3" fillId="2" borderId="2" xfId="0" applyFont="1" applyFill="1" applyBorder="1" applyAlignment="1">
      <alignment horizontal="center" wrapText="1"/>
    </xf>
    <xf numFmtId="0" fontId="3" fillId="2" borderId="2" xfId="0" applyFont="1" applyFill="1" applyBorder="1" applyAlignment="1">
      <alignment horizontal="center" vertical="center" wrapText="1"/>
    </xf>
    <xf numFmtId="177" fontId="0" fillId="0" borderId="0" xfId="4" applyNumberFormat="1" applyFont="1" applyFill="1" applyAlignment="1">
      <alignment horizontal="right"/>
    </xf>
    <xf numFmtId="49" fontId="12" fillId="0" borderId="0" xfId="3" applyNumberFormat="1" applyFill="1" applyAlignment="1">
      <alignment horizontal="center"/>
    </xf>
    <xf numFmtId="49" fontId="14" fillId="0" borderId="0" xfId="3" applyNumberFormat="1" applyFont="1" applyFill="1" applyAlignment="1">
      <alignment horizontal="center" vertical="top"/>
    </xf>
    <xf numFmtId="0" fontId="12" fillId="0" borderId="0" xfId="3" applyFill="1" applyAlignment="1">
      <alignment horizontal="center"/>
    </xf>
    <xf numFmtId="0" fontId="12" fillId="0" borderId="24" xfId="3" applyFill="1" applyBorder="1" applyAlignment="1">
      <alignment horizontal="center"/>
    </xf>
    <xf numFmtId="0" fontId="12" fillId="0" borderId="25" xfId="3" applyFill="1" applyBorder="1" applyAlignment="1">
      <alignment horizontal="center"/>
    </xf>
    <xf numFmtId="0" fontId="12" fillId="0" borderId="26" xfId="3" applyFill="1" applyBorder="1" applyAlignment="1">
      <alignment horizontal="center"/>
    </xf>
    <xf numFmtId="0" fontId="12" fillId="0" borderId="0" xfId="3" applyFill="1" applyBorder="1" applyAlignment="1">
      <alignment horizontal="center"/>
    </xf>
    <xf numFmtId="0" fontId="12" fillId="0" borderId="22" xfId="3" applyFill="1" applyBorder="1" applyAlignment="1">
      <alignment horizontal="center"/>
    </xf>
    <xf numFmtId="0" fontId="12" fillId="0" borderId="0" xfId="3" applyFill="1" applyBorder="1" applyAlignment="1">
      <alignment horizontal="center" wrapText="1"/>
    </xf>
    <xf numFmtId="0" fontId="3" fillId="0" borderId="0" xfId="0" applyFont="1" applyFill="1" applyAlignment="1">
      <alignment horizontal="left" wrapText="1"/>
    </xf>
    <xf numFmtId="0" fontId="3" fillId="0" borderId="0" xfId="0" applyFont="1" applyFill="1" applyAlignment="1">
      <alignment wrapText="1"/>
    </xf>
    <xf numFmtId="0" fontId="2" fillId="0" borderId="0" xfId="0" applyFont="1" applyFill="1" applyAlignment="1">
      <alignment horizontal="center" wrapText="1"/>
    </xf>
    <xf numFmtId="0" fontId="2" fillId="0" borderId="0" xfId="0" applyFont="1" applyFill="1" applyAlignment="1">
      <alignment wrapText="1"/>
    </xf>
    <xf numFmtId="168" fontId="3" fillId="0" borderId="9" xfId="0" applyNumberFormat="1" applyFont="1" applyFill="1" applyBorder="1" applyAlignment="1">
      <alignment vertical="top" wrapText="1"/>
    </xf>
    <xf numFmtId="0" fontId="3" fillId="0" borderId="18" xfId="0" applyFont="1" applyFill="1" applyBorder="1" applyAlignment="1">
      <alignment vertical="top" wrapText="1"/>
    </xf>
    <xf numFmtId="0" fontId="3" fillId="0" borderId="10" xfId="0" applyFont="1" applyFill="1" applyBorder="1" applyAlignment="1">
      <alignment vertical="top" wrapText="1"/>
    </xf>
    <xf numFmtId="0" fontId="2" fillId="0" borderId="14" xfId="0" applyFont="1" applyFill="1" applyBorder="1" applyAlignment="1">
      <alignment horizontal="center" wrapText="1"/>
    </xf>
    <xf numFmtId="0" fontId="2" fillId="0" borderId="16" xfId="0" applyFont="1" applyFill="1" applyBorder="1" applyAlignment="1">
      <alignment horizontal="center" wrapText="1"/>
    </xf>
    <xf numFmtId="0" fontId="2" fillId="0" borderId="11" xfId="0" applyFont="1" applyFill="1" applyBorder="1" applyAlignment="1">
      <alignment horizontal="center" wrapText="1"/>
    </xf>
    <xf numFmtId="0" fontId="2" fillId="0" borderId="4" xfId="0" applyFont="1" applyFill="1" applyBorder="1" applyAlignment="1">
      <alignment horizontal="center" wrapText="1"/>
    </xf>
    <xf numFmtId="0" fontId="2" fillId="3" borderId="11" xfId="0" applyFont="1" applyFill="1" applyBorder="1" applyAlignment="1">
      <alignment horizontal="center" wrapText="1"/>
    </xf>
    <xf numFmtId="0" fontId="2" fillId="3" borderId="4" xfId="0" applyFont="1" applyFill="1" applyBorder="1" applyAlignment="1">
      <alignment horizontal="center" wrapText="1"/>
    </xf>
    <xf numFmtId="0" fontId="3" fillId="0" borderId="2" xfId="0" applyFont="1" applyBorder="1" applyAlignment="1">
      <alignment wrapText="1"/>
    </xf>
    <xf numFmtId="0" fontId="2" fillId="3" borderId="14" xfId="0" applyFont="1" applyFill="1" applyBorder="1" applyAlignment="1">
      <alignment horizontal="center" wrapText="1"/>
    </xf>
    <xf numFmtId="0" fontId="2" fillId="3" borderId="16" xfId="0" applyFont="1" applyFill="1" applyBorder="1" applyAlignment="1">
      <alignment horizontal="center" wrapText="1"/>
    </xf>
    <xf numFmtId="0" fontId="2" fillId="3" borderId="9" xfId="0" applyFont="1" applyFill="1" applyBorder="1" applyAlignment="1">
      <alignment horizontal="center" wrapText="1"/>
    </xf>
    <xf numFmtId="0" fontId="2" fillId="3" borderId="10" xfId="0" applyFont="1" applyFill="1" applyBorder="1" applyAlignment="1">
      <alignment horizontal="center" wrapText="1"/>
    </xf>
    <xf numFmtId="0" fontId="20" fillId="6" borderId="24" xfId="6" applyFont="1" applyFill="1" applyBorder="1" applyAlignment="1">
      <alignment horizontal="left"/>
    </xf>
    <xf numFmtId="0" fontId="20" fillId="6" borderId="25" xfId="6" applyFont="1" applyFill="1" applyBorder="1" applyAlignment="1">
      <alignment horizontal="left"/>
    </xf>
    <xf numFmtId="0" fontId="19" fillId="5" borderId="27" xfId="6" applyFont="1" applyFill="1" applyBorder="1" applyAlignment="1">
      <alignment horizontal="center"/>
    </xf>
    <xf numFmtId="0" fontId="19" fillId="5" borderId="20" xfId="6" applyFont="1" applyFill="1" applyBorder="1" applyAlignment="1">
      <alignment horizontal="center"/>
    </xf>
    <xf numFmtId="0" fontId="19" fillId="5" borderId="28" xfId="6" applyFont="1" applyFill="1" applyBorder="1" applyAlignment="1">
      <alignment horizontal="center"/>
    </xf>
    <xf numFmtId="0" fontId="18" fillId="0" borderId="29" xfId="6" applyBorder="1" applyAlignment="1">
      <alignment horizontal="center" wrapText="1"/>
    </xf>
    <xf numFmtId="0" fontId="18" fillId="0" borderId="30" xfId="6" applyBorder="1" applyAlignment="1">
      <alignment horizontal="center" wrapText="1"/>
    </xf>
    <xf numFmtId="0" fontId="18" fillId="0" borderId="29" xfId="6" applyFill="1" applyBorder="1" applyAlignment="1">
      <alignment horizontal="center" wrapText="1"/>
    </xf>
    <xf numFmtId="0" fontId="18" fillId="0" borderId="30" xfId="6" applyFill="1" applyBorder="1" applyAlignment="1">
      <alignment horizontal="center" wrapText="1"/>
    </xf>
    <xf numFmtId="0" fontId="18" fillId="0" borderId="0" xfId="6" applyAlignment="1">
      <alignment horizontal="center" wrapText="1"/>
    </xf>
    <xf numFmtId="0" fontId="18" fillId="0" borderId="21" xfId="6" applyFill="1" applyBorder="1" applyAlignment="1">
      <alignment horizontal="center"/>
    </xf>
    <xf numFmtId="0" fontId="18" fillId="0" borderId="21" xfId="6" applyFill="1" applyBorder="1" applyAlignment="1">
      <alignment horizontal="center" wrapText="1"/>
    </xf>
    <xf numFmtId="0" fontId="18" fillId="0" borderId="27" xfId="6" applyFill="1" applyBorder="1" applyAlignment="1">
      <alignment horizontal="center" wrapText="1"/>
    </xf>
    <xf numFmtId="0" fontId="18" fillId="0" borderId="33" xfId="6" applyFill="1" applyBorder="1" applyAlignment="1">
      <alignment horizontal="center" wrapText="1"/>
    </xf>
    <xf numFmtId="0" fontId="18" fillId="0" borderId="32" xfId="6" applyBorder="1" applyAlignment="1">
      <alignment horizontal="center" wrapText="1"/>
    </xf>
    <xf numFmtId="0" fontId="18" fillId="9" borderId="21" xfId="6" applyFill="1" applyBorder="1" applyAlignment="1">
      <alignment horizontal="left"/>
    </xf>
    <xf numFmtId="0" fontId="18" fillId="0" borderId="0" xfId="6" applyFont="1" applyAlignment="1">
      <alignment horizontal="left" wrapText="1"/>
    </xf>
    <xf numFmtId="14" fontId="18" fillId="0" borderId="0" xfId="6" applyNumberFormat="1" applyFont="1" applyAlignment="1">
      <alignment horizontal="left" wrapText="1"/>
    </xf>
    <xf numFmtId="0" fontId="18" fillId="0" borderId="29" xfId="6" applyFill="1" applyBorder="1" applyAlignment="1">
      <alignment horizontal="center"/>
    </xf>
    <xf numFmtId="0" fontId="18" fillId="0" borderId="30" xfId="6" applyFill="1" applyBorder="1" applyAlignment="1">
      <alignment horizontal="center"/>
    </xf>
    <xf numFmtId="0" fontId="23" fillId="0" borderId="0" xfId="9" applyFont="1" applyBorder="1" applyAlignment="1" applyProtection="1">
      <alignment horizontal="center"/>
    </xf>
    <xf numFmtId="0" fontId="25" fillId="0" borderId="0" xfId="11" applyFont="1" applyAlignment="1">
      <alignment horizontal="center"/>
    </xf>
    <xf numFmtId="0" fontId="22" fillId="0" borderId="0" xfId="11" applyFont="1" applyFill="1" applyAlignment="1">
      <alignment horizontal="right"/>
    </xf>
    <xf numFmtId="0" fontId="0" fillId="0" borderId="0" xfId="9" applyFont="1" applyAlignment="1">
      <alignment horizontal="center"/>
    </xf>
    <xf numFmtId="0" fontId="23" fillId="0" borderId="41" xfId="0" applyFont="1" applyBorder="1" applyAlignment="1">
      <alignment horizontal="center"/>
    </xf>
    <xf numFmtId="0" fontId="23" fillId="0" borderId="42" xfId="0" applyFont="1" applyBorder="1" applyAlignment="1">
      <alignment horizontal="center"/>
    </xf>
    <xf numFmtId="0" fontId="23" fillId="0" borderId="43" xfId="0" applyFont="1" applyBorder="1" applyAlignment="1">
      <alignment horizontal="center"/>
    </xf>
    <xf numFmtId="0" fontId="23" fillId="0" borderId="41" xfId="0" applyFont="1" applyBorder="1" applyAlignment="1">
      <alignment horizontal="center" wrapText="1"/>
    </xf>
    <xf numFmtId="0" fontId="4" fillId="0" borderId="0" xfId="0" applyFont="1" applyAlignment="1">
      <alignment wrapText="1"/>
    </xf>
    <xf numFmtId="0" fontId="3" fillId="0" borderId="0" xfId="0" applyFont="1" applyAlignment="1">
      <alignment horizontal="right" wrapText="1"/>
    </xf>
    <xf numFmtId="0" fontId="4" fillId="0" borderId="3" xfId="0" applyFont="1" applyBorder="1" applyAlignment="1">
      <alignment wrapText="1"/>
    </xf>
    <xf numFmtId="0" fontId="2" fillId="2" borderId="0" xfId="0" applyFont="1" applyFill="1" applyAlignment="1">
      <alignment horizontal="left" wrapText="1"/>
    </xf>
    <xf numFmtId="0" fontId="2" fillId="0" borderId="0" xfId="0" applyFont="1" applyFill="1" applyAlignment="1">
      <alignment horizontal="left" wrapText="1"/>
    </xf>
    <xf numFmtId="0" fontId="3" fillId="3" borderId="11" xfId="0" applyFont="1" applyFill="1" applyBorder="1" applyAlignment="1">
      <alignment wrapText="1"/>
    </xf>
    <xf numFmtId="0" fontId="3" fillId="3" borderId="4" xfId="0" applyFont="1" applyFill="1" applyBorder="1" applyAlignment="1">
      <alignment wrapText="1"/>
    </xf>
    <xf numFmtId="0" fontId="3" fillId="3" borderId="12" xfId="0" applyFont="1" applyFill="1" applyBorder="1" applyAlignment="1">
      <alignment wrapText="1"/>
    </xf>
    <xf numFmtId="164" fontId="3" fillId="0" borderId="11" xfId="0" applyNumberFormat="1" applyFont="1" applyBorder="1" applyAlignment="1">
      <alignment wrapText="1"/>
    </xf>
    <xf numFmtId="0" fontId="3" fillId="0" borderId="4" xfId="0" applyFont="1" applyBorder="1" applyAlignment="1">
      <alignment wrapText="1"/>
    </xf>
    <xf numFmtId="0" fontId="3" fillId="0" borderId="12" xfId="0" applyFont="1" applyBorder="1" applyAlignment="1">
      <alignment wrapText="1"/>
    </xf>
    <xf numFmtId="164" fontId="2" fillId="2" borderId="11" xfId="0" applyNumberFormat="1" applyFont="1" applyFill="1" applyBorder="1" applyAlignment="1">
      <alignment wrapText="1"/>
    </xf>
    <xf numFmtId="0" fontId="2" fillId="2" borderId="4" xfId="0" applyFont="1" applyFill="1" applyBorder="1" applyAlignment="1">
      <alignment wrapText="1"/>
    </xf>
    <xf numFmtId="0" fontId="2" fillId="2" borderId="12" xfId="0" applyFont="1" applyFill="1" applyBorder="1" applyAlignment="1">
      <alignment wrapText="1"/>
    </xf>
    <xf numFmtId="0" fontId="2" fillId="2" borderId="11" xfId="0" applyFont="1" applyFill="1" applyBorder="1" applyAlignment="1">
      <alignment wrapText="1"/>
    </xf>
    <xf numFmtId="0" fontId="3" fillId="3" borderId="2" xfId="0" applyFont="1" applyFill="1" applyBorder="1" applyAlignment="1">
      <alignment wrapText="1"/>
    </xf>
    <xf numFmtId="164" fontId="3" fillId="0" borderId="2" xfId="0" applyNumberFormat="1" applyFont="1" applyBorder="1" applyAlignment="1">
      <alignment wrapText="1"/>
    </xf>
    <xf numFmtId="0" fontId="3" fillId="0" borderId="2" xfId="0" applyFont="1" applyBorder="1" applyAlignment="1">
      <alignment horizontal="left" wrapText="1"/>
    </xf>
    <xf numFmtId="164" fontId="2" fillId="2" borderId="2" xfId="0" applyNumberFormat="1" applyFont="1" applyFill="1" applyBorder="1" applyAlignment="1">
      <alignment wrapText="1"/>
    </xf>
    <xf numFmtId="0" fontId="2" fillId="2" borderId="2" xfId="0" applyFont="1" applyFill="1" applyBorder="1" applyAlignment="1">
      <alignment horizontal="left" wrapText="1"/>
    </xf>
    <xf numFmtId="0" fontId="2" fillId="2" borderId="2" xfId="0" applyFont="1" applyFill="1" applyBorder="1" applyAlignment="1">
      <alignment wrapText="1"/>
    </xf>
    <xf numFmtId="0" fontId="2" fillId="0" borderId="11" xfId="0" applyFont="1" applyBorder="1" applyAlignment="1">
      <alignment horizontal="center" wrapText="1"/>
    </xf>
    <xf numFmtId="0" fontId="2" fillId="0" borderId="4" xfId="0" applyFont="1" applyBorder="1" applyAlignment="1">
      <alignment horizontal="center" wrapText="1"/>
    </xf>
    <xf numFmtId="0" fontId="2" fillId="0" borderId="12" xfId="0" applyFont="1" applyBorder="1" applyAlignment="1">
      <alignment horizontal="center" wrapText="1"/>
    </xf>
  </cellXfs>
  <cellStyles count="23">
    <cellStyle name="Comma" xfId="1" builtinId="3"/>
    <cellStyle name="Comma 10 9" xfId="21"/>
    <cellStyle name="Comma 2" xfId="4"/>
    <cellStyle name="Comma 3" xfId="7"/>
    <cellStyle name="Comma 3 2" xfId="17"/>
    <cellStyle name="Currency 10 2 2 5" xfId="20"/>
    <cellStyle name="Currency 2" xfId="12"/>
    <cellStyle name="Currency 2 2" xfId="18"/>
    <cellStyle name="Normal" xfId="0" builtinId="0"/>
    <cellStyle name="Normal 10 2 2 2" xfId="19"/>
    <cellStyle name="Normal 13" xfId="9"/>
    <cellStyle name="Normal 135" xfId="8"/>
    <cellStyle name="Normal 2" xfId="3"/>
    <cellStyle name="Normal 2 14 2" xfId="22"/>
    <cellStyle name="Normal 2 2 2" xfId="11"/>
    <cellStyle name="Normal 2 3 5" xfId="10"/>
    <cellStyle name="Normal 3" xfId="6"/>
    <cellStyle name="Normal 3 2" xfId="16"/>
    <cellStyle name="Normal 4" xfId="5"/>
    <cellStyle name="Percent" xfId="2" builtinId="5"/>
    <cellStyle name="Percent 2" xfId="15"/>
    <cellStyle name="PSChar" xfId="14"/>
    <cellStyle name="PSInt" xfId="13"/>
  </cellStyles>
  <dxfs count="49">
    <dxf>
      <numFmt numFmtId="35" formatCode="_(* #,##0.00_);_(* \(#,##0.00\);_(* &quot;-&quot;??_);_(@_)"/>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fgColor rgb="FFDDEBF7"/>
          <bgColor rgb="FFDDEBF7"/>
        </patternFill>
      </fill>
      <border>
        <bottom style="thin">
          <color rgb="FF9BC2E6"/>
        </bottom>
      </border>
    </dxf>
    <dxf>
      <fill>
        <patternFill patternType="solid">
          <fgColor rgb="FFDDEBF7"/>
          <bgColor rgb="FFDDEBF7"/>
        </patternFill>
      </fill>
      <border>
        <bottom style="thin">
          <color rgb="FF9BC2E6"/>
        </bottom>
      </border>
    </dxf>
    <dxf>
      <font>
        <b/>
        <color rgb="FF000000"/>
      </font>
    </dxf>
    <dxf>
      <font>
        <b/>
        <color rgb="FF000000"/>
      </font>
      <border>
        <bottom style="thin">
          <color rgb="FF9BC2E6"/>
        </bottom>
      </border>
    </dxf>
    <dxf>
      <font>
        <b/>
        <color rgb="FF000000"/>
      </font>
    </dxf>
    <dxf>
      <font>
        <b/>
        <color rgb="FF000000"/>
      </font>
      <border>
        <top style="thin">
          <color rgb="FF5B9BD5"/>
        </top>
        <bottom style="thin">
          <color rgb="FF5B9BD5"/>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DEBF7"/>
          <bgColor rgb="FFDDEBF7"/>
        </patternFill>
      </fill>
      <border>
        <top style="thin">
          <color rgb="FF9BC2E6"/>
        </top>
      </border>
    </dxf>
    <dxf>
      <font>
        <b/>
        <color rgb="FF000000"/>
      </font>
      <fill>
        <patternFill patternType="solid">
          <fgColor rgb="FFDDEBF7"/>
          <bgColor rgb="FFDDEBF7"/>
        </patternFill>
      </fill>
      <border>
        <bottom style="thin">
          <color rgb="FF9BC2E6"/>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DEBF7"/>
          <bgColor rgb="FFDDEBF7"/>
        </patternFill>
      </fill>
      <border>
        <bottom style="thin">
          <color rgb="FF9BC2E6"/>
        </bottom>
      </border>
    </dxf>
    <dxf>
      <fill>
        <patternFill patternType="solid">
          <fgColor rgb="FFDDEBF7"/>
          <bgColor rgb="FFDDEBF7"/>
        </patternFill>
      </fill>
      <border>
        <bottom style="thin">
          <color rgb="FF9BC2E6"/>
        </bottom>
      </border>
    </dxf>
    <dxf>
      <font>
        <b/>
        <color rgb="FF000000"/>
      </font>
    </dxf>
    <dxf>
      <font>
        <b/>
        <color rgb="FF000000"/>
      </font>
      <border>
        <bottom style="thin">
          <color rgb="FF9BC2E6"/>
        </bottom>
      </border>
    </dxf>
    <dxf>
      <font>
        <b/>
        <color rgb="FF000000"/>
      </font>
    </dxf>
    <dxf>
      <font>
        <b/>
        <color rgb="FF000000"/>
      </font>
      <border>
        <top style="thin">
          <color rgb="FF5B9BD5"/>
        </top>
        <bottom style="thin">
          <color rgb="FF5B9BD5"/>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DEBF7"/>
          <bgColor rgb="FFDDEBF7"/>
        </patternFill>
      </fill>
      <border>
        <top style="thin">
          <color rgb="FF9BC2E6"/>
        </top>
      </border>
    </dxf>
    <dxf>
      <font>
        <b/>
        <color rgb="FF000000"/>
      </font>
      <fill>
        <patternFill patternType="solid">
          <fgColor rgb="FFDDEBF7"/>
          <bgColor rgb="FFDDEBF7"/>
        </patternFill>
      </fill>
      <border>
        <bottom style="thin">
          <color rgb="FF9BC2E6"/>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4">
    <tableStyle name="PivotStyleLight16 2" table="0" count="11">
      <tableStyleElement type="headerRow" dxfId="48"/>
      <tableStyleElement type="totalRow" dxfId="47"/>
      <tableStyleElement type="firstRowStripe" dxfId="46"/>
      <tableStyleElement type="firstColumnStripe" dxfId="45"/>
      <tableStyleElement type="firstSubtotalColumn" dxfId="44"/>
      <tableStyleElement type="firstSubtotalRow" dxfId="43"/>
      <tableStyleElement type="secondSubtotalRow" dxfId="42"/>
      <tableStyleElement type="firstRowSubheading" dxfId="41"/>
      <tableStyleElement type="secondRowSubheading" dxfId="40"/>
      <tableStyleElement type="pageFieldLabels" dxfId="39"/>
      <tableStyleElement type="pageFieldValues" dxfId="38"/>
    </tableStyle>
    <tableStyle name="PivotStyleLight16 3" table="0" count="11">
      <tableStyleElement type="headerRow" dxfId="37"/>
      <tableStyleElement type="totalRow" dxfId="36"/>
      <tableStyleElement type="firstRowStripe" dxfId="35"/>
      <tableStyleElement type="firstColumnStripe" dxfId="34"/>
      <tableStyleElement type="firstSubtotalColumn" dxfId="33"/>
      <tableStyleElement type="firstSubtotalRow" dxfId="32"/>
      <tableStyleElement type="secondSubtotalRow" dxfId="31"/>
      <tableStyleElement type="firstRowSubheading" dxfId="30"/>
      <tableStyleElement type="secondRowSubheading" dxfId="29"/>
      <tableStyleElement type="pageFieldLabels" dxfId="28"/>
      <tableStyleElement type="pageFieldValues" dxfId="27"/>
    </tableStyle>
    <tableStyle name="PivotStyleLight16 4" table="0" count="11">
      <tableStyleElement type="headerRow" dxfId="26"/>
      <tableStyleElement type="totalRow" dxfId="25"/>
      <tableStyleElement type="firstRowStripe" dxfId="24"/>
      <tableStyleElement type="firstColumnStripe" dxfId="23"/>
      <tableStyleElement type="firstSubtotalColumn" dxfId="22"/>
      <tableStyleElement type="firstSubtotalRow" dxfId="21"/>
      <tableStyleElement type="secondSubtotalRow" dxfId="20"/>
      <tableStyleElement type="firstRowSubheading" dxfId="19"/>
      <tableStyleElement type="secondRowSubheading" dxfId="18"/>
      <tableStyleElement type="pageFieldLabels" dxfId="17"/>
      <tableStyleElement type="pageFieldValues" dxfId="16"/>
    </tableStyle>
    <tableStyle name="PivotStyleLight16 5" table="0" count="11">
      <tableStyleElement type="headerRow" dxfId="15"/>
      <tableStyleElement type="totalRow" dxfId="14"/>
      <tableStyleElement type="firstRowStripe" dxfId="13"/>
      <tableStyleElement type="firstColumnStripe" dxfId="12"/>
      <tableStyleElement type="firstSubtotalColumn" dxfId="11"/>
      <tableStyleElement type="firstSubtotalRow" dxfId="10"/>
      <tableStyleElement type="secondSubtotalRow" dxfId="9"/>
      <tableStyleElement type="firstRowSubheading" dxfId="8"/>
      <tableStyleElement type="secondRowSubheading" dxfId="7"/>
      <tableStyleElement type="pageFieldLabels" dxfId="6"/>
      <tableStyleElement type="pageFieldValues"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pivotCacheDefinition" Target="pivotCache/pivotCacheDefinition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69"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7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146050</xdr:rowOff>
    </xdr:from>
    <xdr:to>
      <xdr:col>5</xdr:col>
      <xdr:colOff>1140100</xdr:colOff>
      <xdr:row>34</xdr:row>
      <xdr:rowOff>37357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1098550"/>
          <a:ext cx="6083575" cy="4587132"/>
        </a:xfrm>
        <a:prstGeom prst="rect">
          <a:avLst/>
        </a:prstGeom>
      </xdr:spPr>
    </xdr:pic>
    <xdr:clientData/>
  </xdr:twoCellAnchor>
  <xdr:twoCellAnchor editAs="oneCell">
    <xdr:from>
      <xdr:col>1</xdr:col>
      <xdr:colOff>158750</xdr:colOff>
      <xdr:row>35</xdr:row>
      <xdr:rowOff>12700</xdr:rowOff>
    </xdr:from>
    <xdr:to>
      <xdr:col>5</xdr:col>
      <xdr:colOff>1140466</xdr:colOff>
      <xdr:row>50</xdr:row>
      <xdr:rowOff>37702</xdr:rowOff>
    </xdr:to>
    <xdr:pic>
      <xdr:nvPicPr>
        <xdr:cNvPr id="3" name="Picture 2"/>
        <xdr:cNvPicPr>
          <a:picLocks noChangeAspect="1"/>
        </xdr:cNvPicPr>
      </xdr:nvPicPr>
      <xdr:blipFill>
        <a:blip xmlns:r="http://schemas.openxmlformats.org/officeDocument/2006/relationships" r:embed="rId2"/>
        <a:stretch>
          <a:fillRect/>
        </a:stretch>
      </xdr:blipFill>
      <xdr:spPr>
        <a:xfrm>
          <a:off x="301625" y="5822950"/>
          <a:ext cx="5782316" cy="24538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11</xdr:col>
      <xdr:colOff>548359</xdr:colOff>
      <xdr:row>41</xdr:row>
      <xdr:rowOff>40548</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1133475"/>
          <a:ext cx="7044409" cy="570792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T:\Regulatory%20Accounting%20Services\Kentucky%20-%20Base%20Cases\2020%20KY%20Rate%20Case%20-%20March%2031%20Test%20Year\Adjustments\Payroll,%20Incentives%20and%20Severance\Incentive%20and%20Payroll\TYE%2003-31-20%20-%20WXX-_XX_Incentive%20Payroll.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280569" refreshedDate="43955.818374768518" createdVersion="6" refreshedVersion="6" minRefreshableVersion="3" recordCount="74">
  <cacheSource type="worksheet">
    <worksheetSource ref="A3:J77" sheet="Salaries above SS Limits" r:id="rId2"/>
  </cacheSource>
  <cacheFields count="10">
    <cacheField name="Year" numFmtId="0">
      <sharedItems containsSemiMixedTypes="0" containsString="0" containsNumber="1" containsInteger="1" minValue="2019" maxValue="2019"/>
    </cacheField>
    <cacheField name="Co" numFmtId="49">
      <sharedItems/>
    </cacheField>
    <cacheField name="Business Unit" numFmtId="49">
      <sharedItems count="2">
        <s v="DR110"/>
        <s v="GR117"/>
      </sharedItems>
    </cacheField>
    <cacheField name="Type" numFmtId="49">
      <sharedItems/>
    </cacheField>
    <cacheField name="Cost Center" numFmtId="49">
      <sharedItems count="22">
        <s v="13580"/>
        <s v="13453"/>
        <s v="12396"/>
        <s v="12392"/>
        <s v="13655"/>
        <s v="11783"/>
        <s v="11439"/>
        <s v="10216"/>
        <s v="13448"/>
        <s v="12682"/>
        <s v="11683"/>
        <s v="13454"/>
        <s v="13449"/>
        <s v="11685"/>
        <s v="10695"/>
        <s v="11680"/>
        <s v="13450"/>
        <s v="12390"/>
        <s v="12394"/>
        <s v="10218"/>
        <s v="10594"/>
        <s v="10642"/>
      </sharedItems>
    </cacheField>
    <cacheField name="Tax Loc" numFmtId="49">
      <sharedItems/>
    </cacheField>
    <cacheField name="W-2 State" numFmtId="49">
      <sharedItems/>
    </cacheField>
    <cacheField name="Box" numFmtId="49">
      <sharedItems/>
    </cacheField>
    <cacheField name="W-2 Amt" numFmtId="43">
      <sharedItems containsSemiMixedTypes="0" containsString="0" containsNumber="1" minValue="133496.53" maxValue="381246.04"/>
    </cacheField>
    <cacheField name="Amount over Limit" numFmtId="43">
      <sharedItems containsSemiMixedTypes="0" containsString="0" containsNumber="1" minValue="596.53" maxValue="248346.0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4">
  <r>
    <n v="2019"/>
    <s v="E03"/>
    <x v="0"/>
    <s v="S"/>
    <x v="0"/>
    <s v="038"/>
    <s v="KY"/>
    <s v="05"/>
    <n v="146261.41"/>
    <n v="13361.41"/>
  </r>
  <r>
    <n v="2019"/>
    <s v="E03"/>
    <x v="0"/>
    <s v="S"/>
    <x v="1"/>
    <s v="180"/>
    <s v="KY"/>
    <s v="05"/>
    <n v="205593.65"/>
    <n v="72693.649999999994"/>
  </r>
  <r>
    <n v="2019"/>
    <s v="E03"/>
    <x v="0"/>
    <s v="S"/>
    <x v="2"/>
    <s v="180"/>
    <s v="KY"/>
    <s v="05"/>
    <n v="152013.21"/>
    <n v="19113.21"/>
  </r>
  <r>
    <n v="2019"/>
    <s v="E03"/>
    <x v="0"/>
    <s v="S"/>
    <x v="3"/>
    <s v="180"/>
    <s v="KY"/>
    <s v="05"/>
    <n v="367530.74"/>
    <n v="234630.74"/>
  </r>
  <r>
    <n v="2019"/>
    <s v="E03"/>
    <x v="0"/>
    <s v="S"/>
    <x v="2"/>
    <s v="180"/>
    <s v="KY"/>
    <s v="05"/>
    <n v="359455.32"/>
    <n v="226555.32"/>
  </r>
  <r>
    <n v="2019"/>
    <s v="E03"/>
    <x v="0"/>
    <s v="S"/>
    <x v="4"/>
    <s v="180"/>
    <s v="KY"/>
    <s v="05"/>
    <n v="145678.15"/>
    <n v="12778.15"/>
  </r>
  <r>
    <n v="2019"/>
    <s v="E03"/>
    <x v="0"/>
    <s v="S"/>
    <x v="1"/>
    <s v="180"/>
    <s v="KY"/>
    <s v="05"/>
    <n v="148909.01"/>
    <n v="16009.01"/>
  </r>
  <r>
    <n v="2019"/>
    <s v="E03"/>
    <x v="0"/>
    <s v="S"/>
    <x v="5"/>
    <s v="180"/>
    <s v="KY"/>
    <s v="05"/>
    <n v="206757.02"/>
    <n v="73857.02"/>
  </r>
  <r>
    <n v="2019"/>
    <s v="E03"/>
    <x v="0"/>
    <s v="S"/>
    <x v="6"/>
    <s v="180"/>
    <s v="KY"/>
    <s v="05"/>
    <n v="381246.04"/>
    <n v="248346.04"/>
  </r>
  <r>
    <n v="2019"/>
    <s v="E03"/>
    <x v="0"/>
    <s v="E"/>
    <x v="7"/>
    <s v="182"/>
    <s v="KY"/>
    <s v="05"/>
    <n v="142043.79999999999"/>
    <n v="9143.7999999999993"/>
  </r>
  <r>
    <n v="2019"/>
    <s v="E03"/>
    <x v="0"/>
    <s v="E"/>
    <x v="7"/>
    <s v="182"/>
    <s v="KY"/>
    <s v="05"/>
    <n v="133496.53"/>
    <n v="596.53"/>
  </r>
  <r>
    <n v="2019"/>
    <s v="E03"/>
    <x v="0"/>
    <s v="S"/>
    <x v="8"/>
    <s v="182"/>
    <s v="KY"/>
    <s v="05"/>
    <n v="143048.26"/>
    <n v="10148.26"/>
  </r>
  <r>
    <n v="2019"/>
    <s v="E03"/>
    <x v="0"/>
    <s v="S"/>
    <x v="9"/>
    <s v="182"/>
    <s v="KY"/>
    <s v="05"/>
    <n v="138405.20000000001"/>
    <n v="5505.2"/>
  </r>
  <r>
    <n v="2019"/>
    <s v="E03"/>
    <x v="0"/>
    <s v="S"/>
    <x v="2"/>
    <s v="182"/>
    <s v="KY"/>
    <s v="05"/>
    <n v="198439.44"/>
    <n v="65539.44"/>
  </r>
  <r>
    <n v="2019"/>
    <s v="E03"/>
    <x v="0"/>
    <s v="E"/>
    <x v="10"/>
    <s v="189"/>
    <s v="KY"/>
    <s v="05"/>
    <n v="134631.06"/>
    <n v="1731.06"/>
  </r>
  <r>
    <n v="2019"/>
    <s v="E03"/>
    <x v="0"/>
    <s v="E"/>
    <x v="10"/>
    <s v="189"/>
    <s v="KY"/>
    <s v="05"/>
    <n v="133588.10999999999"/>
    <n v="688.11"/>
  </r>
  <r>
    <n v="2019"/>
    <s v="E03"/>
    <x v="0"/>
    <s v="E"/>
    <x v="10"/>
    <s v="189"/>
    <s v="KY"/>
    <s v="05"/>
    <n v="164219.76999999999"/>
    <n v="31319.77"/>
  </r>
  <r>
    <n v="2019"/>
    <s v="E03"/>
    <x v="0"/>
    <s v="E"/>
    <x v="10"/>
    <s v="189"/>
    <s v="KY"/>
    <s v="05"/>
    <n v="137399.47"/>
    <n v="4499.47"/>
  </r>
  <r>
    <n v="2019"/>
    <s v="E03"/>
    <x v="0"/>
    <s v="E"/>
    <x v="10"/>
    <s v="189"/>
    <s v="KY"/>
    <s v="05"/>
    <n v="162576.66"/>
    <n v="29676.66"/>
  </r>
  <r>
    <n v="2019"/>
    <s v="E03"/>
    <x v="0"/>
    <s v="S"/>
    <x v="11"/>
    <s v="189"/>
    <s v="KY"/>
    <s v="05"/>
    <n v="164088.63"/>
    <n v="31188.63"/>
  </r>
  <r>
    <n v="2019"/>
    <s v="E03"/>
    <x v="0"/>
    <s v="S"/>
    <x v="12"/>
    <s v="189"/>
    <s v="KY"/>
    <s v="05"/>
    <n v="137942.79"/>
    <n v="5042.79"/>
  </r>
  <r>
    <n v="2019"/>
    <s v="E03"/>
    <x v="0"/>
    <s v="E"/>
    <x v="13"/>
    <s v="191"/>
    <s v="KY"/>
    <s v="05"/>
    <n v="157922.1"/>
    <n v="25022.1"/>
  </r>
  <r>
    <n v="2019"/>
    <s v="E03"/>
    <x v="0"/>
    <s v="E"/>
    <x v="14"/>
    <s v="193"/>
    <s v="KY"/>
    <s v="05"/>
    <n v="135955.54"/>
    <n v="3055.54"/>
  </r>
  <r>
    <n v="2019"/>
    <s v="E03"/>
    <x v="0"/>
    <s v="E"/>
    <x v="14"/>
    <s v="193"/>
    <s v="KY"/>
    <s v="05"/>
    <n v="141318.26999999999"/>
    <n v="8418.27"/>
  </r>
  <r>
    <n v="2019"/>
    <s v="E03"/>
    <x v="0"/>
    <s v="E"/>
    <x v="14"/>
    <s v="193"/>
    <s v="KY"/>
    <s v="05"/>
    <n v="136387.69"/>
    <n v="3487.69"/>
  </r>
  <r>
    <n v="2019"/>
    <s v="E03"/>
    <x v="0"/>
    <s v="E"/>
    <x v="14"/>
    <s v="193"/>
    <s v="KY"/>
    <s v="05"/>
    <n v="145553.09"/>
    <n v="12653.09"/>
  </r>
  <r>
    <n v="2019"/>
    <s v="E03"/>
    <x v="0"/>
    <s v="E"/>
    <x v="14"/>
    <s v="193"/>
    <s v="KY"/>
    <s v="05"/>
    <n v="138188.47"/>
    <n v="5288.47"/>
  </r>
  <r>
    <n v="2019"/>
    <s v="E03"/>
    <x v="0"/>
    <s v="E"/>
    <x v="15"/>
    <s v="193"/>
    <s v="KY"/>
    <s v="05"/>
    <n v="140715.46"/>
    <n v="7815.46"/>
  </r>
  <r>
    <n v="2019"/>
    <s v="E03"/>
    <x v="0"/>
    <s v="E"/>
    <x v="15"/>
    <s v="193"/>
    <s v="KY"/>
    <s v="05"/>
    <n v="134738.35999999999"/>
    <n v="1838.36"/>
  </r>
  <r>
    <n v="2019"/>
    <s v="E03"/>
    <x v="0"/>
    <s v="E"/>
    <x v="14"/>
    <s v="193"/>
    <s v="KY"/>
    <s v="05"/>
    <n v="135036.69"/>
    <n v="2136.69"/>
  </r>
  <r>
    <n v="2019"/>
    <s v="E03"/>
    <x v="0"/>
    <s v="E"/>
    <x v="14"/>
    <s v="193"/>
    <s v="KY"/>
    <s v="05"/>
    <n v="143020.44"/>
    <n v="10120.44"/>
  </r>
  <r>
    <n v="2019"/>
    <s v="E03"/>
    <x v="0"/>
    <s v="S"/>
    <x v="16"/>
    <s v="193"/>
    <s v="KY"/>
    <s v="05"/>
    <n v="142590.10999999999"/>
    <n v="9690.11"/>
  </r>
  <r>
    <n v="2019"/>
    <s v="E03"/>
    <x v="0"/>
    <s v="S"/>
    <x v="17"/>
    <s v="193"/>
    <s v="KY"/>
    <s v="05"/>
    <n v="163686.37"/>
    <n v="30786.37"/>
  </r>
  <r>
    <n v="2019"/>
    <s v="E03"/>
    <x v="0"/>
    <s v="S"/>
    <x v="18"/>
    <s v="180"/>
    <s v="WV"/>
    <s v="05"/>
    <n v="145656.89000000001"/>
    <n v="12756.89"/>
  </r>
  <r>
    <n v="2019"/>
    <s v="E03"/>
    <x v="0"/>
    <s v="E"/>
    <x v="13"/>
    <s v="193"/>
    <s v="WV"/>
    <s v="05"/>
    <n v="134593.70000000001"/>
    <n v="1693.7"/>
  </r>
  <r>
    <n v="2019"/>
    <s v="E03"/>
    <x v="0"/>
    <s v="E"/>
    <x v="14"/>
    <s v="193"/>
    <s v="WV"/>
    <s v="05"/>
    <n v="142748.20000000001"/>
    <n v="9848.2000000000007"/>
  </r>
  <r>
    <n v="2019"/>
    <s v="E03"/>
    <x v="1"/>
    <s v="S"/>
    <x v="19"/>
    <s v="183"/>
    <s v="KY"/>
    <s v="05"/>
    <n v="195300.98"/>
    <n v="62400.98"/>
  </r>
  <r>
    <n v="2019"/>
    <s v="E03"/>
    <x v="1"/>
    <s v="S"/>
    <x v="19"/>
    <s v="183"/>
    <s v="KY"/>
    <s v="05"/>
    <n v="140398.95000000001"/>
    <n v="7498.95"/>
  </r>
  <r>
    <n v="2019"/>
    <s v="E03"/>
    <x v="1"/>
    <s v="S"/>
    <x v="20"/>
    <s v="183"/>
    <s v="KY"/>
    <s v="05"/>
    <n v="136482.53"/>
    <n v="3582.53"/>
  </r>
  <r>
    <n v="2019"/>
    <s v="E03"/>
    <x v="1"/>
    <s v="S"/>
    <x v="19"/>
    <s v="183"/>
    <s v="KY"/>
    <s v="05"/>
    <n v="137302.81"/>
    <n v="4402.8100000000004"/>
  </r>
  <r>
    <n v="2019"/>
    <s v="E03"/>
    <x v="1"/>
    <s v="S"/>
    <x v="19"/>
    <s v="183"/>
    <s v="KY"/>
    <s v="05"/>
    <n v="139712.22"/>
    <n v="6812.22"/>
  </r>
  <r>
    <n v="2019"/>
    <s v="E03"/>
    <x v="1"/>
    <s v="E"/>
    <x v="21"/>
    <s v="314"/>
    <s v="OH"/>
    <s v="05"/>
    <n v="136074.56"/>
    <n v="3174.56"/>
  </r>
  <r>
    <n v="2019"/>
    <s v="E03"/>
    <x v="1"/>
    <s v="S"/>
    <x v="21"/>
    <s v="314"/>
    <s v="OH"/>
    <s v="05"/>
    <n v="152299.41"/>
    <n v="19399.41"/>
  </r>
  <r>
    <n v="2019"/>
    <s v="E03"/>
    <x v="1"/>
    <s v="S"/>
    <x v="21"/>
    <s v="314"/>
    <s v="OH"/>
    <s v="05"/>
    <n v="142360.44"/>
    <n v="9460.44"/>
  </r>
  <r>
    <n v="2019"/>
    <s v="E03"/>
    <x v="1"/>
    <s v="S"/>
    <x v="21"/>
    <s v="314"/>
    <s v="OH"/>
    <s v="05"/>
    <n v="136015.37"/>
    <n v="3115.37"/>
  </r>
  <r>
    <n v="2019"/>
    <s v="E03"/>
    <x v="1"/>
    <s v="S"/>
    <x v="21"/>
    <s v="314"/>
    <s v="OH"/>
    <s v="05"/>
    <n v="139721.85"/>
    <n v="6821.85"/>
  </r>
  <r>
    <n v="2019"/>
    <s v="E03"/>
    <x v="1"/>
    <s v="S"/>
    <x v="21"/>
    <s v="314"/>
    <s v="OH"/>
    <s v="05"/>
    <n v="184068.77"/>
    <n v="51168.77"/>
  </r>
  <r>
    <n v="2019"/>
    <s v="E03"/>
    <x v="1"/>
    <s v="S"/>
    <x v="21"/>
    <s v="314"/>
    <s v="OH"/>
    <s v="05"/>
    <n v="151927.20000000001"/>
    <n v="19027.2"/>
  </r>
  <r>
    <n v="2019"/>
    <s v="E03"/>
    <x v="1"/>
    <s v="S"/>
    <x v="21"/>
    <s v="314"/>
    <s v="OH"/>
    <s v="05"/>
    <n v="144518.39999999999"/>
    <n v="11618.4"/>
  </r>
  <r>
    <n v="2019"/>
    <s v="E03"/>
    <x v="1"/>
    <s v="S"/>
    <x v="21"/>
    <s v="314"/>
    <s v="OH"/>
    <s v="05"/>
    <n v="136316.79999999999"/>
    <n v="3416.8"/>
  </r>
  <r>
    <n v="2019"/>
    <s v="E03"/>
    <x v="1"/>
    <s v="S"/>
    <x v="21"/>
    <s v="314"/>
    <s v="OH"/>
    <s v="05"/>
    <n v="225409.5"/>
    <n v="92509.5"/>
  </r>
  <r>
    <n v="2019"/>
    <s v="E03"/>
    <x v="1"/>
    <s v="S"/>
    <x v="21"/>
    <s v="314"/>
    <s v="OH"/>
    <s v="05"/>
    <n v="158196.03"/>
    <n v="25296.03"/>
  </r>
  <r>
    <n v="2019"/>
    <s v="E03"/>
    <x v="1"/>
    <s v="S"/>
    <x v="21"/>
    <s v="314"/>
    <s v="OH"/>
    <s v="05"/>
    <n v="143881.37"/>
    <n v="10981.37"/>
  </r>
  <r>
    <n v="2019"/>
    <s v="E03"/>
    <x v="1"/>
    <s v="S"/>
    <x v="21"/>
    <s v="314"/>
    <s v="OH"/>
    <s v="05"/>
    <n v="145555.29"/>
    <n v="12655.29"/>
  </r>
  <r>
    <n v="2019"/>
    <s v="E03"/>
    <x v="1"/>
    <s v="S"/>
    <x v="21"/>
    <s v="314"/>
    <s v="OH"/>
    <s v="05"/>
    <n v="143197.13"/>
    <n v="10297.129999999999"/>
  </r>
  <r>
    <n v="2019"/>
    <s v="E03"/>
    <x v="1"/>
    <s v="S"/>
    <x v="19"/>
    <s v="183"/>
    <s v="WV"/>
    <s v="05"/>
    <n v="224650.53"/>
    <n v="91750.53"/>
  </r>
  <r>
    <n v="2019"/>
    <s v="E03"/>
    <x v="1"/>
    <s v="E"/>
    <x v="21"/>
    <s v="314"/>
    <s v="WV"/>
    <s v="05"/>
    <n v="143525.5"/>
    <n v="10625.5"/>
  </r>
  <r>
    <n v="2019"/>
    <s v="E03"/>
    <x v="1"/>
    <s v="E"/>
    <x v="21"/>
    <s v="314"/>
    <s v="WV"/>
    <s v="05"/>
    <n v="153266.97"/>
    <n v="20366.97"/>
  </r>
  <r>
    <n v="2019"/>
    <s v="E03"/>
    <x v="1"/>
    <s v="E"/>
    <x v="21"/>
    <s v="314"/>
    <s v="WV"/>
    <s v="05"/>
    <n v="148870.73000000001"/>
    <n v="15970.73"/>
  </r>
  <r>
    <n v="2019"/>
    <s v="E03"/>
    <x v="1"/>
    <s v="E"/>
    <x v="21"/>
    <s v="314"/>
    <s v="WV"/>
    <s v="05"/>
    <n v="136935.12"/>
    <n v="4035.12"/>
  </r>
  <r>
    <n v="2019"/>
    <s v="E03"/>
    <x v="1"/>
    <s v="S"/>
    <x v="21"/>
    <s v="314"/>
    <s v="WV"/>
    <s v="05"/>
    <n v="158490.76999999999"/>
    <n v="25590.77"/>
  </r>
  <r>
    <n v="2019"/>
    <s v="E03"/>
    <x v="1"/>
    <s v="S"/>
    <x v="21"/>
    <s v="314"/>
    <s v="WV"/>
    <s v="05"/>
    <n v="135833.76999999999"/>
    <n v="2933.77"/>
  </r>
  <r>
    <n v="2019"/>
    <s v="E03"/>
    <x v="1"/>
    <s v="S"/>
    <x v="21"/>
    <s v="314"/>
    <s v="WV"/>
    <s v="05"/>
    <n v="150032.99"/>
    <n v="17132.990000000002"/>
  </r>
  <r>
    <n v="2019"/>
    <s v="E03"/>
    <x v="1"/>
    <s v="S"/>
    <x v="21"/>
    <s v="314"/>
    <s v="WV"/>
    <s v="05"/>
    <n v="138420.29999999999"/>
    <n v="5520.3"/>
  </r>
  <r>
    <n v="2019"/>
    <s v="E03"/>
    <x v="1"/>
    <s v="S"/>
    <x v="21"/>
    <s v="314"/>
    <s v="WV"/>
    <s v="05"/>
    <n v="154313.89000000001"/>
    <n v="21413.89"/>
  </r>
  <r>
    <n v="2019"/>
    <s v="E03"/>
    <x v="1"/>
    <s v="S"/>
    <x v="21"/>
    <s v="314"/>
    <s v="WV"/>
    <s v="05"/>
    <n v="148482.26"/>
    <n v="15582.26"/>
  </r>
  <r>
    <n v="2019"/>
    <s v="E03"/>
    <x v="1"/>
    <s v="S"/>
    <x v="21"/>
    <s v="314"/>
    <s v="WV"/>
    <s v="05"/>
    <n v="151521.64000000001"/>
    <n v="18621.64"/>
  </r>
  <r>
    <n v="2019"/>
    <s v="E03"/>
    <x v="1"/>
    <s v="S"/>
    <x v="21"/>
    <s v="314"/>
    <s v="WV"/>
    <s v="05"/>
    <n v="287322.8"/>
    <n v="154422.79999999999"/>
  </r>
  <r>
    <n v="2019"/>
    <s v="E03"/>
    <x v="1"/>
    <s v="S"/>
    <x v="21"/>
    <s v="314"/>
    <s v="WV"/>
    <s v="05"/>
    <n v="151322.99"/>
    <n v="18422.990000000002"/>
  </r>
  <r>
    <n v="2019"/>
    <s v="E03"/>
    <x v="1"/>
    <s v="S"/>
    <x v="21"/>
    <s v="314"/>
    <s v="WV"/>
    <s v="05"/>
    <n v="165263.22"/>
    <n v="32363.22"/>
  </r>
  <r>
    <n v="2019"/>
    <s v="E03"/>
    <x v="1"/>
    <s v="S"/>
    <x v="21"/>
    <s v="314"/>
    <s v="WV"/>
    <s v="05"/>
    <n v="150040.46"/>
    <n v="17140.46"/>
  </r>
  <r>
    <n v="2019"/>
    <s v="E03"/>
    <x v="1"/>
    <s v="S"/>
    <x v="21"/>
    <s v="314"/>
    <s v="WV"/>
    <s v="05"/>
    <n v="147786.85999999999"/>
    <n v="14886.86"/>
  </r>
  <r>
    <n v="2019"/>
    <s v="E03"/>
    <x v="1"/>
    <s v="S"/>
    <x v="21"/>
    <s v="314"/>
    <s v="WV"/>
    <s v="05"/>
    <n v="143852.47"/>
    <n v="10952.47"/>
  </r>
  <r>
    <n v="2019"/>
    <s v="E03"/>
    <x v="1"/>
    <s v="S"/>
    <x v="21"/>
    <s v="314"/>
    <s v="WV"/>
    <s v="05"/>
    <n v="136120.43"/>
    <n v="3220.4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O6:P31" firstHeaderRow="1" firstDataRow="1" firstDataCol="1"/>
  <pivotFields count="10">
    <pivotField showAll="0"/>
    <pivotField showAll="0"/>
    <pivotField axis="axisRow" showAll="0">
      <items count="3">
        <item x="0"/>
        <item x="1"/>
        <item t="default"/>
      </items>
    </pivotField>
    <pivotField showAll="0"/>
    <pivotField axis="axisRow" showAll="0">
      <items count="23">
        <item x="7"/>
        <item x="19"/>
        <item x="20"/>
        <item x="21"/>
        <item x="14"/>
        <item x="6"/>
        <item x="15"/>
        <item x="10"/>
        <item x="13"/>
        <item x="5"/>
        <item x="17"/>
        <item x="3"/>
        <item x="18"/>
        <item x="2"/>
        <item x="9"/>
        <item x="8"/>
        <item x="12"/>
        <item x="16"/>
        <item x="1"/>
        <item x="11"/>
        <item x="0"/>
        <item x="4"/>
        <item t="default"/>
      </items>
    </pivotField>
    <pivotField showAll="0"/>
    <pivotField showAll="0"/>
    <pivotField showAll="0"/>
    <pivotField numFmtId="43" showAll="0"/>
    <pivotField dataField="1" numFmtId="43" showAll="0"/>
  </pivotFields>
  <rowFields count="2">
    <field x="2"/>
    <field x="4"/>
  </rowFields>
  <rowItems count="25">
    <i>
      <x/>
    </i>
    <i r="1">
      <x/>
    </i>
    <i r="1">
      <x v="4"/>
    </i>
    <i r="1">
      <x v="5"/>
    </i>
    <i r="1">
      <x v="6"/>
    </i>
    <i r="1">
      <x v="7"/>
    </i>
    <i r="1">
      <x v="8"/>
    </i>
    <i r="1">
      <x v="9"/>
    </i>
    <i r="1">
      <x v="10"/>
    </i>
    <i r="1">
      <x v="11"/>
    </i>
    <i r="1">
      <x v="12"/>
    </i>
    <i r="1">
      <x v="13"/>
    </i>
    <i r="1">
      <x v="14"/>
    </i>
    <i r="1">
      <x v="15"/>
    </i>
    <i r="1">
      <x v="16"/>
    </i>
    <i r="1">
      <x v="17"/>
    </i>
    <i r="1">
      <x v="18"/>
    </i>
    <i r="1">
      <x v="19"/>
    </i>
    <i r="1">
      <x v="20"/>
    </i>
    <i r="1">
      <x v="21"/>
    </i>
    <i>
      <x v="1"/>
    </i>
    <i r="1">
      <x v="1"/>
    </i>
    <i r="1">
      <x v="2"/>
    </i>
    <i r="1">
      <x v="3"/>
    </i>
    <i t="grand">
      <x/>
    </i>
  </rowItems>
  <colItems count="1">
    <i/>
  </colItems>
  <dataFields count="1">
    <dataField name="Sum of Amount over Limit" fld="9" baseField="2" baseItem="0" numFmtId="43"/>
  </dataFields>
  <formats count="3">
    <format dxfId="2">
      <pivotArea collapsedLevelsAreSubtotals="1" fieldPosition="0">
        <references count="2">
          <reference field="2" count="1" selected="0">
            <x v="1"/>
          </reference>
          <reference field="4" count="1">
            <x v="3"/>
          </reference>
        </references>
      </pivotArea>
    </format>
    <format dxfId="1">
      <pivotArea dataOnly="0" labelOnly="1" fieldPosition="0">
        <references count="2">
          <reference field="2" count="1" selected="0">
            <x v="1"/>
          </reference>
          <reference field="4" count="1">
            <x v="3"/>
          </reference>
        </references>
      </pivotArea>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8"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L6:M31" firstHeaderRow="1" firstDataRow="1" firstDataCol="1"/>
  <pivotFields count="10">
    <pivotField showAll="0"/>
    <pivotField showAll="0"/>
    <pivotField axis="axisRow" showAll="0">
      <items count="3">
        <item x="0"/>
        <item x="1"/>
        <item t="default"/>
      </items>
    </pivotField>
    <pivotField showAll="0"/>
    <pivotField axis="axisRow" showAll="0">
      <items count="23">
        <item x="7"/>
        <item x="19"/>
        <item x="20"/>
        <item x="21"/>
        <item x="14"/>
        <item x="6"/>
        <item x="15"/>
        <item x="10"/>
        <item x="13"/>
        <item x="5"/>
        <item x="17"/>
        <item x="3"/>
        <item x="18"/>
        <item x="2"/>
        <item x="9"/>
        <item x="8"/>
        <item x="12"/>
        <item x="16"/>
        <item x="1"/>
        <item x="11"/>
        <item x="0"/>
        <item x="4"/>
        <item t="default"/>
      </items>
    </pivotField>
    <pivotField showAll="0"/>
    <pivotField showAll="0"/>
    <pivotField showAll="0"/>
    <pivotField numFmtId="43" showAll="0"/>
    <pivotField dataField="1" numFmtId="43" showAll="0"/>
  </pivotFields>
  <rowFields count="2">
    <field x="2"/>
    <field x="4"/>
  </rowFields>
  <rowItems count="25">
    <i>
      <x/>
    </i>
    <i r="1">
      <x/>
    </i>
    <i r="1">
      <x v="4"/>
    </i>
    <i r="1">
      <x v="5"/>
    </i>
    <i r="1">
      <x v="6"/>
    </i>
    <i r="1">
      <x v="7"/>
    </i>
    <i r="1">
      <x v="8"/>
    </i>
    <i r="1">
      <x v="9"/>
    </i>
    <i r="1">
      <x v="10"/>
    </i>
    <i r="1">
      <x v="11"/>
    </i>
    <i r="1">
      <x v="12"/>
    </i>
    <i r="1">
      <x v="13"/>
    </i>
    <i r="1">
      <x v="14"/>
    </i>
    <i r="1">
      <x v="15"/>
    </i>
    <i r="1">
      <x v="16"/>
    </i>
    <i r="1">
      <x v="17"/>
    </i>
    <i r="1">
      <x v="18"/>
    </i>
    <i r="1">
      <x v="19"/>
    </i>
    <i r="1">
      <x v="20"/>
    </i>
    <i r="1">
      <x v="21"/>
    </i>
    <i>
      <x v="1"/>
    </i>
    <i r="1">
      <x v="1"/>
    </i>
    <i r="1">
      <x v="2"/>
    </i>
    <i r="1">
      <x v="3"/>
    </i>
    <i t="grand">
      <x/>
    </i>
  </rowItems>
  <colItems count="1">
    <i/>
  </colItems>
  <dataFields count="1">
    <dataField name="Count of Amount over Limit" fld="9" subtotal="count" baseField="2" baseItem="0"/>
  </dataFields>
  <formats count="2">
    <format dxfId="4">
      <pivotArea collapsedLevelsAreSubtotals="1" fieldPosition="0">
        <references count="2">
          <reference field="2" count="1" selected="0">
            <x v="1"/>
          </reference>
          <reference field="4" count="1">
            <x v="3"/>
          </reference>
        </references>
      </pivotArea>
    </format>
    <format dxfId="3">
      <pivotArea dataOnly="0" labelOnly="1" fieldPosition="0">
        <references count="2">
          <reference field="2" count="1" selected="0">
            <x v="1"/>
          </reference>
          <reference field="4" count="1">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1"/>
  <sheetViews>
    <sheetView tabSelected="1" showRuler="0" zoomScaleNormal="100" workbookViewId="0">
      <selection activeCell="B44" sqref="B44"/>
    </sheetView>
  </sheetViews>
  <sheetFormatPr defaultColWidth="13.6640625" defaultRowHeight="13.2"/>
  <cols>
    <col min="1" max="1" width="14.33203125" customWidth="1"/>
    <col min="2" max="2" width="84" bestFit="1" customWidth="1"/>
    <col min="3" max="3" width="23" bestFit="1" customWidth="1"/>
  </cols>
  <sheetData>
    <row r="1" spans="1:3" ht="16.649999999999999" customHeight="1">
      <c r="A1" s="486" t="s">
        <v>0</v>
      </c>
      <c r="B1" s="486"/>
      <c r="C1" s="486"/>
    </row>
    <row r="2" spans="1:3" ht="16.649999999999999" customHeight="1">
      <c r="A2" s="486" t="s">
        <v>1</v>
      </c>
      <c r="B2" s="487"/>
      <c r="C2" s="487"/>
    </row>
    <row r="3" spans="1:3" ht="16.649999999999999" customHeight="1">
      <c r="A3" s="1" t="s">
        <v>2</v>
      </c>
      <c r="B3" s="1" t="s">
        <v>3</v>
      </c>
    </row>
    <row r="5" spans="1:3" ht="54.75" customHeight="1">
      <c r="A5" s="2" t="s">
        <v>4</v>
      </c>
      <c r="B5" s="1" t="s">
        <v>5</v>
      </c>
      <c r="C5" s="1" t="s">
        <v>6</v>
      </c>
    </row>
    <row r="6" spans="1:3" ht="16.649999999999999" customHeight="1">
      <c r="A6" s="3" t="s">
        <v>7</v>
      </c>
      <c r="B6" s="4" t="s">
        <v>8</v>
      </c>
      <c r="C6" s="4" t="s">
        <v>9</v>
      </c>
    </row>
    <row r="7" spans="1:3" ht="16.649999999999999" customHeight="1">
      <c r="A7" s="3" t="s">
        <v>10</v>
      </c>
      <c r="B7" s="4" t="s">
        <v>11</v>
      </c>
      <c r="C7" s="4" t="s">
        <v>12</v>
      </c>
    </row>
    <row r="8" spans="1:3" ht="16.649999999999999" customHeight="1">
      <c r="A8" s="3" t="s">
        <v>13</v>
      </c>
      <c r="B8" s="4" t="s">
        <v>14</v>
      </c>
      <c r="C8" s="4" t="s">
        <v>15</v>
      </c>
    </row>
    <row r="9" spans="1:3" ht="16.649999999999999" customHeight="1">
      <c r="A9" s="3" t="s">
        <v>16</v>
      </c>
      <c r="B9" s="4" t="s">
        <v>17</v>
      </c>
      <c r="C9" s="4" t="s">
        <v>18</v>
      </c>
    </row>
    <row r="10" spans="1:3" ht="16.649999999999999" customHeight="1">
      <c r="A10" s="3" t="s">
        <v>19</v>
      </c>
      <c r="B10" s="4" t="s">
        <v>20</v>
      </c>
      <c r="C10" s="4" t="s">
        <v>21</v>
      </c>
    </row>
    <row r="11" spans="1:3" ht="16.649999999999999" customHeight="1">
      <c r="A11" s="3" t="s">
        <v>22</v>
      </c>
      <c r="B11" s="4" t="s">
        <v>23</v>
      </c>
      <c r="C11" s="4" t="s">
        <v>24</v>
      </c>
    </row>
    <row r="12" spans="1:3" ht="16.649999999999999" customHeight="1">
      <c r="A12" s="3" t="s">
        <v>25</v>
      </c>
      <c r="B12" s="4" t="s">
        <v>26</v>
      </c>
      <c r="C12" s="4" t="s">
        <v>27</v>
      </c>
    </row>
    <row r="13" spans="1:3" ht="16.649999999999999" customHeight="1">
      <c r="A13" s="3" t="s">
        <v>28</v>
      </c>
      <c r="B13" s="4" t="s">
        <v>29</v>
      </c>
      <c r="C13" s="4" t="s">
        <v>30</v>
      </c>
    </row>
    <row r="14" spans="1:3" ht="16.649999999999999" customHeight="1">
      <c r="A14" s="3" t="s">
        <v>31</v>
      </c>
      <c r="B14" s="4" t="s">
        <v>32</v>
      </c>
      <c r="C14" s="4" t="s">
        <v>33</v>
      </c>
    </row>
    <row r="15" spans="1:3" ht="16.649999999999999" customHeight="1">
      <c r="A15" s="3" t="s">
        <v>34</v>
      </c>
      <c r="B15" s="4" t="s">
        <v>35</v>
      </c>
      <c r="C15" s="4" t="s">
        <v>36</v>
      </c>
    </row>
    <row r="16" spans="1:3" ht="16.649999999999999" customHeight="1">
      <c r="A16" s="3" t="s">
        <v>37</v>
      </c>
      <c r="B16" s="4" t="s">
        <v>38</v>
      </c>
      <c r="C16" s="4" t="s">
        <v>39</v>
      </c>
    </row>
    <row r="17" spans="1:3" ht="16.649999999999999" customHeight="1">
      <c r="A17" s="3" t="s">
        <v>40</v>
      </c>
      <c r="B17" s="4" t="s">
        <v>41</v>
      </c>
      <c r="C17" s="4" t="s">
        <v>42</v>
      </c>
    </row>
    <row r="18" spans="1:3" ht="16.649999999999999" customHeight="1">
      <c r="A18" s="3" t="s">
        <v>780</v>
      </c>
      <c r="B18" s="4" t="s">
        <v>781</v>
      </c>
      <c r="C18" s="4" t="s">
        <v>782</v>
      </c>
    </row>
    <row r="19" spans="1:3" ht="16.649999999999999" customHeight="1">
      <c r="A19" s="3" t="s">
        <v>43</v>
      </c>
      <c r="B19" s="4" t="s">
        <v>44</v>
      </c>
      <c r="C19" s="440" t="s">
        <v>45</v>
      </c>
    </row>
    <row r="20" spans="1:3" ht="16.649999999999999" customHeight="1">
      <c r="A20" s="3" t="s">
        <v>46</v>
      </c>
      <c r="B20" s="4" t="s">
        <v>47</v>
      </c>
      <c r="C20" s="4" t="s">
        <v>48</v>
      </c>
    </row>
    <row r="21" spans="1:3" ht="16.649999999999999" customHeight="1">
      <c r="A21" s="3" t="s">
        <v>49</v>
      </c>
      <c r="B21" s="4" t="s">
        <v>50</v>
      </c>
      <c r="C21" s="4" t="s">
        <v>51</v>
      </c>
    </row>
    <row r="22" spans="1:3" ht="16.649999999999999" customHeight="1">
      <c r="A22" s="3" t="s">
        <v>52</v>
      </c>
      <c r="B22" s="4" t="s">
        <v>53</v>
      </c>
      <c r="C22" s="440" t="s">
        <v>1049</v>
      </c>
    </row>
    <row r="23" spans="1:3" ht="16.649999999999999" customHeight="1">
      <c r="A23" s="3" t="s">
        <v>54</v>
      </c>
      <c r="B23" s="4" t="s">
        <v>55</v>
      </c>
      <c r="C23" s="440" t="s">
        <v>1049</v>
      </c>
    </row>
    <row r="24" spans="1:3" ht="16.649999999999999" customHeight="1">
      <c r="A24" s="3" t="s">
        <v>56</v>
      </c>
      <c r="B24" s="4" t="s">
        <v>57</v>
      </c>
      <c r="C24" s="4" t="s">
        <v>58</v>
      </c>
    </row>
    <row r="25" spans="1:3" ht="16.649999999999999" customHeight="1">
      <c r="A25" s="3" t="s">
        <v>59</v>
      </c>
      <c r="B25" s="4" t="s">
        <v>60</v>
      </c>
      <c r="C25" s="4" t="s">
        <v>61</v>
      </c>
    </row>
    <row r="26" spans="1:3" ht="16.649999999999999" customHeight="1">
      <c r="A26" s="3" t="s">
        <v>62</v>
      </c>
      <c r="B26" s="4" t="s">
        <v>63</v>
      </c>
      <c r="C26" s="4" t="s">
        <v>64</v>
      </c>
    </row>
    <row r="27" spans="1:3" ht="16.649999999999999" customHeight="1">
      <c r="A27" s="3" t="s">
        <v>65</v>
      </c>
      <c r="B27" s="4" t="s">
        <v>66</v>
      </c>
      <c r="C27" s="4" t="s">
        <v>67</v>
      </c>
    </row>
    <row r="28" spans="1:3" ht="16.649999999999999" customHeight="1">
      <c r="A28" s="3" t="s">
        <v>68</v>
      </c>
      <c r="B28" s="4" t="s">
        <v>69</v>
      </c>
      <c r="C28" s="4" t="s">
        <v>70</v>
      </c>
    </row>
    <row r="29" spans="1:3" ht="16.649999999999999" customHeight="1">
      <c r="A29" s="3" t="s">
        <v>71</v>
      </c>
      <c r="B29" s="4" t="s">
        <v>72</v>
      </c>
      <c r="C29" s="4" t="s">
        <v>73</v>
      </c>
    </row>
    <row r="30" spans="1:3" ht="16.649999999999999" customHeight="1">
      <c r="A30" s="3" t="s">
        <v>74</v>
      </c>
      <c r="B30" s="4" t="s">
        <v>75</v>
      </c>
      <c r="C30" s="440" t="s">
        <v>1049</v>
      </c>
    </row>
    <row r="31" spans="1:3" ht="16.649999999999999" customHeight="1">
      <c r="A31" s="3" t="s">
        <v>76</v>
      </c>
      <c r="B31" s="4" t="s">
        <v>77</v>
      </c>
      <c r="C31" s="440" t="s">
        <v>1049</v>
      </c>
    </row>
    <row r="32" spans="1:3" ht="16.649999999999999" customHeight="1">
      <c r="A32" s="3" t="s">
        <v>78</v>
      </c>
      <c r="B32" s="4" t="s">
        <v>79</v>
      </c>
      <c r="C32" s="4" t="s">
        <v>80</v>
      </c>
    </row>
    <row r="33" spans="1:3" ht="16.649999999999999" customHeight="1">
      <c r="A33" s="3" t="s">
        <v>81</v>
      </c>
      <c r="B33" s="4" t="s">
        <v>82</v>
      </c>
      <c r="C33" s="4" t="s">
        <v>83</v>
      </c>
    </row>
    <row r="34" spans="1:3" ht="16.649999999999999" customHeight="1">
      <c r="A34" s="3" t="s">
        <v>84</v>
      </c>
      <c r="B34" s="4" t="s">
        <v>85</v>
      </c>
      <c r="C34" s="4" t="s">
        <v>86</v>
      </c>
    </row>
    <row r="35" spans="1:3" ht="16.649999999999999" customHeight="1">
      <c r="A35" s="3" t="s">
        <v>87</v>
      </c>
      <c r="B35" s="4" t="s">
        <v>88</v>
      </c>
      <c r="C35" s="4" t="s">
        <v>89</v>
      </c>
    </row>
    <row r="36" spans="1:3" ht="16.649999999999999" customHeight="1">
      <c r="A36" s="3" t="s">
        <v>90</v>
      </c>
      <c r="B36" s="4" t="s">
        <v>91</v>
      </c>
      <c r="C36" s="4" t="s">
        <v>92</v>
      </c>
    </row>
    <row r="37" spans="1:3" ht="16.649999999999999" customHeight="1">
      <c r="A37" s="3" t="s">
        <v>93</v>
      </c>
      <c r="B37" s="4" t="s">
        <v>94</v>
      </c>
      <c r="C37" s="4" t="s">
        <v>95</v>
      </c>
    </row>
    <row r="38" spans="1:3" ht="16.649999999999999" customHeight="1">
      <c r="A38" s="3" t="s">
        <v>96</v>
      </c>
      <c r="B38" s="4" t="s">
        <v>97</v>
      </c>
      <c r="C38" s="440" t="s">
        <v>1049</v>
      </c>
    </row>
    <row r="39" spans="1:3" ht="16.649999999999999" customHeight="1">
      <c r="A39" s="3" t="s">
        <v>98</v>
      </c>
      <c r="B39" s="4" t="s">
        <v>99</v>
      </c>
      <c r="C39" s="440" t="s">
        <v>1049</v>
      </c>
    </row>
    <row r="40" spans="1:3" ht="16.649999999999999" customHeight="1">
      <c r="A40" s="3" t="s">
        <v>100</v>
      </c>
      <c r="B40" s="4" t="s">
        <v>101</v>
      </c>
      <c r="C40" s="440" t="s">
        <v>1049</v>
      </c>
    </row>
    <row r="41" spans="1:3" ht="16.649999999999999" customHeight="1">
      <c r="A41" s="3" t="s">
        <v>102</v>
      </c>
      <c r="B41" s="4" t="s">
        <v>103</v>
      </c>
      <c r="C41" s="4" t="s">
        <v>104</v>
      </c>
    </row>
  </sheetData>
  <mergeCells count="2">
    <mergeCell ref="A1:C1"/>
    <mergeCell ref="A2:C2"/>
  </mergeCells>
  <pageMargins left="0.75" right="0.75" top="1" bottom="1" header="0.5" footer="0.5"/>
  <pageSetup scale="74"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showRuler="0" workbookViewId="0">
      <selection activeCell="M39" sqref="M39"/>
    </sheetView>
  </sheetViews>
  <sheetFormatPr defaultColWidth="13.6640625" defaultRowHeight="13.2"/>
  <cols>
    <col min="1" max="1" width="40.88671875" customWidth="1"/>
    <col min="2" max="2" width="20.44140625" customWidth="1"/>
    <col min="3" max="3" width="16" customWidth="1"/>
    <col min="4" max="4" width="17" customWidth="1"/>
  </cols>
  <sheetData>
    <row r="1" spans="1:5">
      <c r="A1" s="489" t="s">
        <v>0</v>
      </c>
      <c r="B1" s="489"/>
      <c r="C1" s="489"/>
      <c r="D1" s="6"/>
    </row>
    <row r="2" spans="1:5">
      <c r="A2" s="490" t="s">
        <v>297</v>
      </c>
      <c r="B2" s="487"/>
      <c r="C2" s="487"/>
      <c r="D2" s="487"/>
    </row>
    <row r="3" spans="1:5">
      <c r="A3" s="5" t="s">
        <v>298</v>
      </c>
    </row>
    <row r="4" spans="1:5">
      <c r="A4" s="489" t="s">
        <v>107</v>
      </c>
      <c r="B4" s="489"/>
      <c r="C4" s="489"/>
      <c r="D4" s="489"/>
    </row>
    <row r="5" spans="1:5" ht="16.649999999999999" customHeight="1"/>
    <row r="6" spans="1:5" ht="16.649999999999999" customHeight="1">
      <c r="A6" s="493" t="s">
        <v>299</v>
      </c>
      <c r="B6" s="491" t="s">
        <v>108</v>
      </c>
      <c r="C6" s="29" t="s">
        <v>300</v>
      </c>
      <c r="D6" s="29" t="s">
        <v>300</v>
      </c>
      <c r="E6" s="21"/>
    </row>
    <row r="7" spans="1:5">
      <c r="A7" s="493"/>
      <c r="B7" s="492"/>
      <c r="C7" s="64" t="s">
        <v>301</v>
      </c>
      <c r="D7" s="64" t="s">
        <v>302</v>
      </c>
      <c r="E7" s="21"/>
    </row>
    <row r="8" spans="1:5">
      <c r="A8" s="9" t="s">
        <v>303</v>
      </c>
      <c r="B8" s="9" t="s">
        <v>120</v>
      </c>
      <c r="C8" s="10">
        <v>40354.15</v>
      </c>
      <c r="D8" s="10">
        <v>40354.15</v>
      </c>
      <c r="E8" s="6"/>
    </row>
    <row r="9" spans="1:5">
      <c r="A9" s="6"/>
      <c r="B9" s="6" t="s">
        <v>121</v>
      </c>
      <c r="C9" s="13">
        <v>40291.300000000003</v>
      </c>
      <c r="D9" s="13">
        <v>40291.300000000003</v>
      </c>
      <c r="E9" s="6"/>
    </row>
    <row r="10" spans="1:5">
      <c r="A10" s="6"/>
      <c r="B10" s="6" t="s">
        <v>122</v>
      </c>
      <c r="C10" s="13">
        <v>40225.629999999997</v>
      </c>
      <c r="D10" s="13">
        <v>40225.629999999997</v>
      </c>
      <c r="E10" s="6"/>
    </row>
    <row r="11" spans="1:5">
      <c r="A11" s="6"/>
      <c r="B11" s="6" t="s">
        <v>123</v>
      </c>
      <c r="C11" s="13">
        <v>40206.58</v>
      </c>
      <c r="D11" s="13">
        <v>40206.58</v>
      </c>
      <c r="E11" s="6"/>
    </row>
    <row r="12" spans="1:5">
      <c r="A12" s="6"/>
      <c r="B12" s="6" t="s">
        <v>124</v>
      </c>
      <c r="C12" s="13">
        <v>40161.03</v>
      </c>
      <c r="D12" s="13">
        <v>40161.03</v>
      </c>
      <c r="E12" s="6"/>
    </row>
    <row r="13" spans="1:5">
      <c r="A13" s="6"/>
      <c r="B13" s="6" t="s">
        <v>125</v>
      </c>
      <c r="C13" s="13">
        <v>40181.919999999998</v>
      </c>
      <c r="D13" s="13">
        <v>40181.919999999998</v>
      </c>
      <c r="E13" s="6"/>
    </row>
    <row r="14" spans="1:5">
      <c r="A14" s="6"/>
      <c r="B14" s="6" t="s">
        <v>126</v>
      </c>
      <c r="C14" s="13">
        <v>40139.660000000003</v>
      </c>
      <c r="D14" s="13">
        <v>40139.660000000003</v>
      </c>
      <c r="E14" s="6"/>
    </row>
    <row r="15" spans="1:5">
      <c r="A15" s="6"/>
      <c r="B15" s="6" t="s">
        <v>127</v>
      </c>
      <c r="C15" s="13">
        <v>40109.120000000003</v>
      </c>
      <c r="D15" s="13">
        <v>40109.120000000003</v>
      </c>
      <c r="E15" s="6"/>
    </row>
    <row r="16" spans="1:5">
      <c r="A16" s="6"/>
      <c r="B16" s="6" t="s">
        <v>128</v>
      </c>
      <c r="C16" s="13">
        <v>40196.17</v>
      </c>
      <c r="D16" s="13">
        <v>40196.17</v>
      </c>
      <c r="E16" s="6"/>
    </row>
    <row r="17" spans="1:5">
      <c r="A17" s="6"/>
      <c r="B17" s="6" t="s">
        <v>129</v>
      </c>
      <c r="C17" s="13">
        <v>40321.08</v>
      </c>
      <c r="D17" s="13">
        <v>40321.08</v>
      </c>
      <c r="E17" s="6"/>
    </row>
    <row r="18" spans="1:5">
      <c r="A18" s="6"/>
      <c r="B18" s="6" t="s">
        <v>130</v>
      </c>
      <c r="C18" s="13">
        <v>40152.51</v>
      </c>
      <c r="D18" s="13">
        <v>40152.51</v>
      </c>
      <c r="E18" s="6"/>
    </row>
    <row r="19" spans="1:5">
      <c r="B19" s="7" t="s">
        <v>131</v>
      </c>
      <c r="C19" s="16">
        <v>40138.86</v>
      </c>
      <c r="D19" s="16">
        <v>40138.86</v>
      </c>
      <c r="E19" s="6"/>
    </row>
    <row r="20" spans="1:5">
      <c r="A20" s="6" t="s">
        <v>143</v>
      </c>
      <c r="B20" s="9"/>
      <c r="C20" s="51">
        <f>SUM(C8:C19)</f>
        <v>482478.01</v>
      </c>
      <c r="D20" s="51">
        <f>SUM(D8:D19)</f>
        <v>482478.01</v>
      </c>
    </row>
    <row r="21" spans="1:5">
      <c r="C21" s="26"/>
      <c r="D21" s="26"/>
    </row>
    <row r="23" spans="1:5" ht="27.6" customHeight="1">
      <c r="A23" s="502" t="s">
        <v>304</v>
      </c>
      <c r="B23" s="502"/>
      <c r="C23" s="21"/>
    </row>
    <row r="24" spans="1:5" ht="27.6" customHeight="1">
      <c r="A24" s="65" t="s">
        <v>305</v>
      </c>
      <c r="B24" s="66">
        <f>-C20</f>
        <v>-482478.01</v>
      </c>
      <c r="C24" s="21"/>
    </row>
    <row r="25" spans="1:5" ht="27.6" customHeight="1">
      <c r="A25" s="65" t="s">
        <v>306</v>
      </c>
      <c r="B25" s="66">
        <f>-D20</f>
        <v>-482478.01</v>
      </c>
      <c r="C25" s="21"/>
    </row>
    <row r="26" spans="1:5">
      <c r="A26" s="9"/>
      <c r="B26" s="9"/>
      <c r="C26" s="6"/>
      <c r="D26" s="6"/>
    </row>
    <row r="28" spans="1:5">
      <c r="A28" s="53" t="s">
        <v>2</v>
      </c>
      <c r="B28" s="5" t="s">
        <v>3</v>
      </c>
    </row>
  </sheetData>
  <mergeCells count="6">
    <mergeCell ref="A23:B23"/>
    <mergeCell ref="A2:D2"/>
    <mergeCell ref="A1:C1"/>
    <mergeCell ref="A4:D4"/>
    <mergeCell ref="A6:A7"/>
    <mergeCell ref="B6:B7"/>
  </mergeCells>
  <pageMargins left="0.75" right="0.75" top="1" bottom="1" header="0.5" footer="0.5"/>
  <pageSetup scale="83"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Ruler="0" workbookViewId="0">
      <selection sqref="A1:C1"/>
    </sheetView>
  </sheetViews>
  <sheetFormatPr defaultColWidth="13.6640625" defaultRowHeight="13.2"/>
  <cols>
    <col min="1" max="1" width="36.88671875" customWidth="1"/>
    <col min="2" max="4" width="14.44140625" customWidth="1"/>
  </cols>
  <sheetData>
    <row r="1" spans="1:6">
      <c r="A1" s="489" t="s">
        <v>0</v>
      </c>
      <c r="B1" s="489"/>
      <c r="C1" s="489"/>
      <c r="D1" s="6"/>
    </row>
    <row r="2" spans="1:6">
      <c r="A2" s="490" t="s">
        <v>307</v>
      </c>
      <c r="B2" s="487"/>
      <c r="C2" s="487"/>
      <c r="D2" s="487"/>
    </row>
    <row r="3" spans="1:6">
      <c r="A3" s="490" t="s">
        <v>308</v>
      </c>
      <c r="B3" s="490"/>
      <c r="C3" s="490"/>
      <c r="D3" s="490"/>
    </row>
    <row r="4" spans="1:6">
      <c r="A4" s="489" t="s">
        <v>107</v>
      </c>
      <c r="B4" s="489"/>
      <c r="C4" s="489"/>
      <c r="D4" s="489"/>
      <c r="E4" s="489"/>
    </row>
    <row r="5" spans="1:6">
      <c r="A5" s="6"/>
      <c r="B5" s="6"/>
      <c r="C5" s="7"/>
      <c r="D5" s="7"/>
    </row>
    <row r="6" spans="1:6">
      <c r="A6" s="7"/>
      <c r="B6" s="44"/>
      <c r="C6" s="503" t="s">
        <v>148</v>
      </c>
      <c r="D6" s="503"/>
      <c r="E6" s="503"/>
      <c r="F6" s="21"/>
    </row>
    <row r="7" spans="1:6">
      <c r="A7" s="8" t="s">
        <v>299</v>
      </c>
      <c r="B7" s="8" t="s">
        <v>108</v>
      </c>
      <c r="C7" s="67">
        <v>4261000</v>
      </c>
      <c r="D7" s="67">
        <v>9080000</v>
      </c>
      <c r="E7" s="67">
        <v>2420088</v>
      </c>
      <c r="F7" s="21"/>
    </row>
    <row r="8" spans="1:6">
      <c r="A8" s="9" t="s">
        <v>309</v>
      </c>
      <c r="B8" s="9" t="s">
        <v>120</v>
      </c>
      <c r="C8" s="10">
        <v>30848.63</v>
      </c>
      <c r="D8" s="10">
        <v>30848.63</v>
      </c>
      <c r="E8" s="10">
        <v>-61697.26</v>
      </c>
    </row>
    <row r="9" spans="1:6">
      <c r="A9" s="6"/>
      <c r="B9" s="6" t="s">
        <v>121</v>
      </c>
      <c r="C9" s="13">
        <v>30910.65</v>
      </c>
      <c r="D9" s="13">
        <v>30910.65</v>
      </c>
      <c r="E9" s="13">
        <v>-61821.3</v>
      </c>
    </row>
    <row r="10" spans="1:6">
      <c r="A10" s="6"/>
      <c r="B10" s="6" t="s">
        <v>122</v>
      </c>
      <c r="C10" s="13">
        <v>30860.32</v>
      </c>
      <c r="D10" s="13">
        <v>30860.32</v>
      </c>
      <c r="E10" s="13">
        <v>-61720.639999999999</v>
      </c>
    </row>
    <row r="11" spans="1:6">
      <c r="A11" s="6"/>
      <c r="B11" s="6" t="s">
        <v>123</v>
      </c>
      <c r="C11" s="13">
        <v>30949.53</v>
      </c>
      <c r="D11" s="13">
        <v>30949.53</v>
      </c>
      <c r="E11" s="13">
        <v>-61899.06</v>
      </c>
    </row>
    <row r="12" spans="1:6">
      <c r="A12" s="6"/>
      <c r="B12" s="6" t="s">
        <v>124</v>
      </c>
      <c r="C12" s="13">
        <v>30905.05</v>
      </c>
      <c r="D12" s="13">
        <v>30905.05</v>
      </c>
      <c r="E12" s="13">
        <v>-61810.1</v>
      </c>
    </row>
    <row r="13" spans="1:6">
      <c r="A13" s="6"/>
      <c r="B13" s="6" t="s">
        <v>125</v>
      </c>
      <c r="C13" s="13">
        <v>30941.67</v>
      </c>
      <c r="D13" s="13">
        <v>30941.67</v>
      </c>
      <c r="E13" s="13">
        <v>-61883.34</v>
      </c>
    </row>
    <row r="14" spans="1:6">
      <c r="A14" s="6"/>
      <c r="B14" s="6" t="s">
        <v>126</v>
      </c>
      <c r="C14" s="13">
        <v>30871.33</v>
      </c>
      <c r="D14" s="13">
        <v>30871.33</v>
      </c>
      <c r="E14" s="13">
        <v>-61742.66</v>
      </c>
    </row>
    <row r="15" spans="1:6">
      <c r="A15" s="6"/>
      <c r="B15" s="6" t="s">
        <v>127</v>
      </c>
      <c r="C15" s="13">
        <v>30802</v>
      </c>
      <c r="D15" s="13">
        <v>30802</v>
      </c>
      <c r="E15" s="13">
        <v>-61604</v>
      </c>
    </row>
    <row r="16" spans="1:6">
      <c r="A16" s="6"/>
      <c r="B16" s="6" t="s">
        <v>128</v>
      </c>
      <c r="C16" s="13">
        <v>30807.43</v>
      </c>
      <c r="D16" s="13">
        <v>30807.43</v>
      </c>
      <c r="E16" s="13">
        <v>-61614.86</v>
      </c>
    </row>
    <row r="17" spans="1:5">
      <c r="A17" s="6"/>
      <c r="B17" s="6" t="s">
        <v>129</v>
      </c>
      <c r="C17" s="13">
        <v>30898.9</v>
      </c>
      <c r="D17" s="13">
        <v>30898.9</v>
      </c>
      <c r="E17" s="13">
        <v>-61797.8</v>
      </c>
    </row>
    <row r="18" spans="1:5">
      <c r="A18" s="6"/>
      <c r="B18" s="6" t="s">
        <v>130</v>
      </c>
      <c r="C18" s="13">
        <v>30722.97</v>
      </c>
      <c r="D18" s="13">
        <v>30722.97</v>
      </c>
      <c r="E18" s="13">
        <v>-61445.94</v>
      </c>
    </row>
    <row r="19" spans="1:5">
      <c r="A19" s="7"/>
      <c r="B19" s="7" t="s">
        <v>131</v>
      </c>
      <c r="C19" s="16">
        <v>30705.13</v>
      </c>
      <c r="D19" s="16">
        <v>30705.13</v>
      </c>
      <c r="E19" s="16">
        <v>-61410.26</v>
      </c>
    </row>
    <row r="20" spans="1:5">
      <c r="A20" s="68" t="s">
        <v>143</v>
      </c>
      <c r="B20" s="68"/>
      <c r="C20" s="25">
        <f>SUM(C8:C19)</f>
        <v>370223.61</v>
      </c>
      <c r="D20" s="25">
        <f>SUM(D8:D19)</f>
        <v>370223.61</v>
      </c>
      <c r="E20" s="25">
        <f>SUM(E8:E19)</f>
        <v>-740447.22</v>
      </c>
    </row>
    <row r="21" spans="1:5">
      <c r="A21" s="73"/>
      <c r="B21" s="73"/>
      <c r="C21" s="26"/>
      <c r="D21" s="26"/>
      <c r="E21" s="26"/>
    </row>
    <row r="22" spans="1:5">
      <c r="A22" s="503" t="s">
        <v>304</v>
      </c>
      <c r="B22" s="503"/>
      <c r="C22" s="69"/>
      <c r="D22" s="33"/>
    </row>
    <row r="23" spans="1:5" ht="42.6" customHeight="1">
      <c r="A23" s="70" t="s">
        <v>310</v>
      </c>
      <c r="B23" s="71">
        <f>-D20</f>
        <v>-370223.61</v>
      </c>
      <c r="C23" s="72"/>
      <c r="D23" s="6"/>
    </row>
    <row r="24" spans="1:5" ht="44.1" customHeight="1">
      <c r="A24" s="70" t="s">
        <v>311</v>
      </c>
      <c r="B24" s="71">
        <f>-D20</f>
        <v>-370223.61</v>
      </c>
      <c r="C24" s="72"/>
      <c r="D24" s="6"/>
    </row>
    <row r="25" spans="1:5">
      <c r="A25" s="9"/>
      <c r="B25" s="9"/>
      <c r="C25" s="6"/>
      <c r="D25" s="6"/>
    </row>
    <row r="27" spans="1:5">
      <c r="A27" s="5" t="s">
        <v>2</v>
      </c>
      <c r="B27" s="5" t="s">
        <v>3</v>
      </c>
      <c r="C27" s="6"/>
      <c r="D27" s="6"/>
    </row>
  </sheetData>
  <mergeCells count="6">
    <mergeCell ref="A22:B22"/>
    <mergeCell ref="A2:D2"/>
    <mergeCell ref="A1:C1"/>
    <mergeCell ref="A4:E4"/>
    <mergeCell ref="A3:D3"/>
    <mergeCell ref="C6:E6"/>
  </mergeCells>
  <pageMargins left="0.75" right="0.75" top="1" bottom="1" header="0.5" footer="0.5"/>
  <pageSetup scale="83"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showRuler="0" workbookViewId="0">
      <selection sqref="A1:C1"/>
    </sheetView>
  </sheetViews>
  <sheetFormatPr defaultColWidth="13.6640625" defaultRowHeight="13.2"/>
  <cols>
    <col min="1" max="1" width="29.5546875" customWidth="1"/>
    <col min="2" max="3" width="24.44140625" customWidth="1"/>
  </cols>
  <sheetData>
    <row r="1" spans="1:4" ht="16.649999999999999" customHeight="1">
      <c r="A1" s="489" t="s">
        <v>0</v>
      </c>
      <c r="B1" s="489"/>
      <c r="C1" s="489"/>
      <c r="D1" s="6"/>
    </row>
    <row r="2" spans="1:4" ht="16.649999999999999" customHeight="1">
      <c r="A2" s="490" t="s">
        <v>312</v>
      </c>
      <c r="B2" s="490"/>
      <c r="C2" s="490"/>
      <c r="D2" s="6"/>
    </row>
    <row r="3" spans="1:4" ht="16.649999999999999" customHeight="1">
      <c r="A3" s="489" t="s">
        <v>107</v>
      </c>
      <c r="B3" s="489"/>
      <c r="C3" s="489"/>
      <c r="D3" s="5"/>
    </row>
    <row r="6" spans="1:4">
      <c r="A6" s="490" t="s">
        <v>313</v>
      </c>
      <c r="B6" s="487"/>
      <c r="C6" s="487"/>
    </row>
    <row r="8" spans="1:4">
      <c r="A8" s="6"/>
      <c r="B8" s="33" t="s">
        <v>314</v>
      </c>
    </row>
    <row r="9" spans="1:4">
      <c r="A9" s="6" t="s">
        <v>315</v>
      </c>
      <c r="B9" s="28">
        <v>2350001</v>
      </c>
    </row>
    <row r="10" spans="1:4">
      <c r="A10" s="5" t="s">
        <v>316</v>
      </c>
      <c r="B10" s="13">
        <v>-30556723.02</v>
      </c>
    </row>
    <row r="11" spans="1:4">
      <c r="A11" s="6" t="s">
        <v>277</v>
      </c>
      <c r="B11" s="13">
        <v>-30556723.02</v>
      </c>
    </row>
    <row r="14" spans="1:4">
      <c r="A14" s="5" t="s">
        <v>2</v>
      </c>
      <c r="B14" s="5" t="s">
        <v>3</v>
      </c>
    </row>
  </sheetData>
  <mergeCells count="4">
    <mergeCell ref="A2:C2"/>
    <mergeCell ref="A1:C1"/>
    <mergeCell ref="A3:C3"/>
    <mergeCell ref="A6:C6"/>
  </mergeCells>
  <pageMargins left="0.75" right="0.75" top="1" bottom="1" header="0.5" footer="0.5"/>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Ruler="0" workbookViewId="0">
      <selection activeCell="C22" sqref="C22"/>
    </sheetView>
  </sheetViews>
  <sheetFormatPr defaultColWidth="13.6640625" defaultRowHeight="13.2"/>
  <cols>
    <col min="1" max="1" width="14.88671875" customWidth="1"/>
    <col min="2" max="2" width="23.6640625" customWidth="1"/>
  </cols>
  <sheetData>
    <row r="1" spans="1:5">
      <c r="A1" s="489" t="s">
        <v>0</v>
      </c>
      <c r="B1" s="489"/>
      <c r="C1" s="489"/>
      <c r="D1" s="6"/>
      <c r="E1" s="6"/>
    </row>
    <row r="2" spans="1:5">
      <c r="A2" s="490" t="s">
        <v>312</v>
      </c>
      <c r="B2" s="490"/>
      <c r="C2" s="490"/>
      <c r="D2" s="490"/>
      <c r="E2" s="6"/>
    </row>
    <row r="3" spans="1:5">
      <c r="A3" s="489" t="s">
        <v>107</v>
      </c>
      <c r="B3" s="489"/>
      <c r="C3" s="489"/>
      <c r="D3" s="489"/>
      <c r="E3" s="489"/>
    </row>
    <row r="6" spans="1:5">
      <c r="A6" s="490" t="s">
        <v>317</v>
      </c>
      <c r="B6" s="490"/>
      <c r="C6" s="490"/>
      <c r="D6" s="487"/>
      <c r="E6" s="487"/>
    </row>
    <row r="8" spans="1:5" ht="16.649999999999999" customHeight="1">
      <c r="A8" s="5"/>
      <c r="B8" s="33"/>
      <c r="C8" s="33" t="s">
        <v>314</v>
      </c>
    </row>
    <row r="9" spans="1:5">
      <c r="A9" s="5" t="s">
        <v>315</v>
      </c>
      <c r="B9" s="6" t="s">
        <v>318</v>
      </c>
      <c r="C9" s="28">
        <v>4310002</v>
      </c>
    </row>
    <row r="10" spans="1:5">
      <c r="A10" s="74">
        <v>2019</v>
      </c>
      <c r="B10" s="14">
        <v>4</v>
      </c>
      <c r="C10" s="13">
        <v>65359.67</v>
      </c>
    </row>
    <row r="11" spans="1:5">
      <c r="A11" s="5"/>
      <c r="B11" s="14">
        <v>5</v>
      </c>
      <c r="C11" s="13">
        <v>67914.509999999995</v>
      </c>
    </row>
    <row r="12" spans="1:5">
      <c r="A12" s="5"/>
      <c r="B12" s="14">
        <v>6</v>
      </c>
      <c r="C12" s="13">
        <v>65852.56</v>
      </c>
    </row>
    <row r="13" spans="1:5">
      <c r="A13" s="5"/>
      <c r="B13" s="14">
        <v>7</v>
      </c>
      <c r="C13" s="13">
        <v>67651.320000000007</v>
      </c>
    </row>
    <row r="14" spans="1:5">
      <c r="A14" s="5"/>
      <c r="B14" s="14">
        <v>8</v>
      </c>
      <c r="C14" s="13">
        <v>67824.33</v>
      </c>
    </row>
    <row r="15" spans="1:5">
      <c r="A15" s="5"/>
      <c r="B15" s="14">
        <v>9</v>
      </c>
      <c r="C15" s="13">
        <v>65348.37</v>
      </c>
    </row>
    <row r="16" spans="1:5">
      <c r="A16" s="5"/>
      <c r="B16" s="14">
        <v>10</v>
      </c>
      <c r="C16" s="13">
        <v>67095.06</v>
      </c>
    </row>
    <row r="17" spans="1:3">
      <c r="A17" s="5"/>
      <c r="B17" s="14">
        <v>11</v>
      </c>
      <c r="C17" s="13">
        <v>65147.57</v>
      </c>
    </row>
    <row r="18" spans="1:3">
      <c r="A18" s="5"/>
      <c r="B18" s="14">
        <v>12</v>
      </c>
      <c r="C18" s="13">
        <v>68228.45</v>
      </c>
    </row>
    <row r="19" spans="1:3">
      <c r="A19" s="5" t="s">
        <v>319</v>
      </c>
      <c r="B19" s="6"/>
      <c r="C19" s="75">
        <v>600421.84</v>
      </c>
    </row>
    <row r="20" spans="1:3">
      <c r="A20" s="74">
        <v>2020</v>
      </c>
      <c r="B20" s="14">
        <v>1</v>
      </c>
      <c r="C20" s="13">
        <v>43353.9</v>
      </c>
    </row>
    <row r="21" spans="1:3">
      <c r="A21" s="5"/>
      <c r="B21" s="14">
        <v>2</v>
      </c>
      <c r="C21" s="13">
        <v>40844.839999999997</v>
      </c>
    </row>
    <row r="22" spans="1:3">
      <c r="A22" s="5"/>
      <c r="B22" s="14">
        <v>3</v>
      </c>
      <c r="C22" s="13">
        <v>43319.77</v>
      </c>
    </row>
    <row r="23" spans="1:3">
      <c r="A23" s="5" t="s">
        <v>320</v>
      </c>
      <c r="B23" s="6"/>
      <c r="C23" s="75">
        <v>127518.51</v>
      </c>
    </row>
    <row r="24" spans="1:3">
      <c r="A24" s="5" t="s">
        <v>277</v>
      </c>
      <c r="B24" s="1"/>
      <c r="C24" s="75">
        <v>727940.35</v>
      </c>
    </row>
    <row r="27" spans="1:3">
      <c r="A27" s="5" t="s">
        <v>2</v>
      </c>
      <c r="B27" s="5" t="s">
        <v>3</v>
      </c>
    </row>
  </sheetData>
  <mergeCells count="4">
    <mergeCell ref="A2:D2"/>
    <mergeCell ref="A1:C1"/>
    <mergeCell ref="A3:E3"/>
    <mergeCell ref="A6:E6"/>
  </mergeCells>
  <pageMargins left="0.75" right="0.75" top="1" bottom="1" header="0.5" footer="0.5"/>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showRuler="0" workbookViewId="0">
      <selection sqref="A1:C1"/>
    </sheetView>
  </sheetViews>
  <sheetFormatPr defaultColWidth="13.6640625" defaultRowHeight="13.2"/>
  <cols>
    <col min="1" max="1" width="20" customWidth="1"/>
    <col min="2" max="2" width="31.109375" customWidth="1"/>
    <col min="3" max="3" width="28" customWidth="1"/>
    <col min="4" max="4" width="18" customWidth="1"/>
  </cols>
  <sheetData>
    <row r="1" spans="1:4">
      <c r="A1" s="489" t="s">
        <v>0</v>
      </c>
      <c r="B1" s="489"/>
      <c r="C1" s="489"/>
    </row>
    <row r="2" spans="1:4">
      <c r="A2" s="490" t="s">
        <v>321</v>
      </c>
      <c r="B2" s="487"/>
      <c r="C2" s="487"/>
    </row>
    <row r="3" spans="1:4">
      <c r="A3" s="490" t="s">
        <v>322</v>
      </c>
      <c r="B3" s="487"/>
      <c r="C3" s="487"/>
    </row>
    <row r="4" spans="1:4">
      <c r="A4" s="489" t="s">
        <v>107</v>
      </c>
      <c r="B4" s="489"/>
      <c r="C4" s="489"/>
      <c r="D4" s="5"/>
    </row>
    <row r="6" spans="1:4">
      <c r="A6" s="6"/>
      <c r="B6" s="6"/>
      <c r="C6" s="6"/>
      <c r="D6" s="6"/>
    </row>
    <row r="7" spans="1:4">
      <c r="A7" s="2" t="s">
        <v>148</v>
      </c>
      <c r="B7" s="2" t="s">
        <v>185</v>
      </c>
      <c r="C7" s="2" t="s">
        <v>323</v>
      </c>
      <c r="D7" s="6"/>
    </row>
    <row r="8" spans="1:4" ht="16.649999999999999" customHeight="1">
      <c r="A8" s="28" t="s">
        <v>324</v>
      </c>
      <c r="B8" s="6" t="s">
        <v>325</v>
      </c>
      <c r="C8" s="27">
        <v>-1749279.59</v>
      </c>
      <c r="D8" s="6"/>
    </row>
    <row r="9" spans="1:4">
      <c r="A9" s="28" t="s">
        <v>326</v>
      </c>
      <c r="B9" s="6" t="s">
        <v>327</v>
      </c>
      <c r="C9" s="27">
        <v>3541730.57</v>
      </c>
      <c r="D9" s="6"/>
    </row>
    <row r="10" spans="1:4">
      <c r="A10" s="28" t="s">
        <v>328</v>
      </c>
      <c r="B10" s="6" t="s">
        <v>329</v>
      </c>
      <c r="C10" s="27">
        <v>-2107047.09</v>
      </c>
      <c r="D10" s="6"/>
    </row>
    <row r="11" spans="1:4">
      <c r="A11" s="28" t="s">
        <v>330</v>
      </c>
      <c r="B11" s="6" t="s">
        <v>331</v>
      </c>
      <c r="C11" s="27">
        <v>1038595.87</v>
      </c>
      <c r="D11" s="6"/>
    </row>
    <row r="12" spans="1:4">
      <c r="A12" s="28" t="s">
        <v>332</v>
      </c>
      <c r="B12" s="6" t="s">
        <v>333</v>
      </c>
      <c r="C12" s="50">
        <v>359437.53</v>
      </c>
      <c r="D12" s="6"/>
    </row>
    <row r="13" spans="1:4" ht="16.649999999999999" customHeight="1">
      <c r="A13" s="486" t="s">
        <v>334</v>
      </c>
      <c r="B13" s="486"/>
      <c r="C13" s="76">
        <f>SUM(C8:C12)</f>
        <v>1083437.29</v>
      </c>
      <c r="D13" s="6" t="s">
        <v>335</v>
      </c>
    </row>
    <row r="14" spans="1:4">
      <c r="A14" s="6"/>
      <c r="B14" s="6"/>
      <c r="C14" s="26"/>
      <c r="D14" s="6"/>
    </row>
    <row r="15" spans="1:4" ht="80.099999999999994" customHeight="1">
      <c r="A15" s="504" t="s">
        <v>336</v>
      </c>
      <c r="B15" s="504"/>
      <c r="C15" s="504"/>
      <c r="D15" s="6"/>
    </row>
    <row r="16" spans="1:4">
      <c r="A16" s="6"/>
      <c r="B16" s="6"/>
      <c r="C16" s="6"/>
      <c r="D16" s="6"/>
    </row>
    <row r="17" spans="1:4">
      <c r="A17" s="6"/>
      <c r="B17" s="6"/>
      <c r="C17" s="6"/>
      <c r="D17" s="6"/>
    </row>
    <row r="18" spans="1:4">
      <c r="A18" s="6"/>
      <c r="B18" s="6"/>
      <c r="C18" s="6"/>
      <c r="D18" s="6"/>
    </row>
    <row r="19" spans="1:4">
      <c r="A19" s="5" t="s">
        <v>2</v>
      </c>
      <c r="B19" s="5" t="s">
        <v>3</v>
      </c>
    </row>
  </sheetData>
  <mergeCells count="6">
    <mergeCell ref="A15:C15"/>
    <mergeCell ref="A3:C3"/>
    <mergeCell ref="A2:C2"/>
    <mergeCell ref="A1:C1"/>
    <mergeCell ref="A4:C4"/>
    <mergeCell ref="A13:B13"/>
  </mergeCells>
  <pageMargins left="0.75" right="0.75" top="1" bottom="1" header="0.5" footer="0.5"/>
  <pageSetup scale="93"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showRuler="0" workbookViewId="0">
      <selection activeCell="C43" sqref="C43"/>
    </sheetView>
  </sheetViews>
  <sheetFormatPr defaultColWidth="13.6640625" defaultRowHeight="13.2"/>
  <sheetData>
    <row r="1" spans="1:5">
      <c r="A1" s="489" t="s">
        <v>0</v>
      </c>
      <c r="B1" s="489"/>
      <c r="C1" s="489"/>
      <c r="D1" s="489"/>
      <c r="E1" s="489"/>
    </row>
    <row r="2" spans="1:5">
      <c r="A2" s="489" t="s">
        <v>337</v>
      </c>
      <c r="B2" s="489"/>
      <c r="C2" s="489"/>
      <c r="D2" s="489"/>
      <c r="E2" s="489"/>
    </row>
    <row r="3" spans="1:5">
      <c r="A3" s="489" t="s">
        <v>338</v>
      </c>
      <c r="B3" s="489"/>
      <c r="C3" s="489"/>
      <c r="D3" s="489"/>
      <c r="E3" s="489"/>
    </row>
    <row r="4" spans="1:5">
      <c r="A4" s="489" t="s">
        <v>107</v>
      </c>
      <c r="B4" s="489"/>
      <c r="C4" s="489"/>
      <c r="D4" s="489"/>
      <c r="E4" s="489"/>
    </row>
    <row r="6" spans="1:5" ht="27.6" customHeight="1">
      <c r="A6" s="77" t="s">
        <v>134</v>
      </c>
      <c r="B6" s="77" t="s">
        <v>339</v>
      </c>
      <c r="C6" s="78" t="s">
        <v>340</v>
      </c>
      <c r="D6" s="79"/>
    </row>
    <row r="7" spans="1:5">
      <c r="A7" s="80">
        <v>500</v>
      </c>
      <c r="B7" s="81">
        <f>SUMIF(W20_PG_2_of_3!$P$13:$P$20,A7,W20_PG_2_of_3!$N$13:$N$20)+SUMIF(W20_PG_3_of_3!$A$13:$A$83,A7,W20_PG_3_of_3!$N$13:$N$83)</f>
        <v>1631.38</v>
      </c>
      <c r="C7" s="81">
        <f>SUMIF(W20_PG_2_of_3!$P$13:$P$20,A7,W20_PG_2_of_3!$M$13:$M$20)+SUMIF(W20_PG_3_of_3!$A$13:$A$83,A7,W20_PG_3_of_3!$M$13:$M$83)</f>
        <v>1026.47</v>
      </c>
      <c r="D7" s="82"/>
    </row>
    <row r="8" spans="1:5">
      <c r="A8" s="80">
        <v>501</v>
      </c>
      <c r="B8" s="81">
        <f>SUMIF(W20_PG_2_of_3!$P$13:$P$20,A8,W20_PG_2_of_3!$N$13:$N$20)+SUMIF(W20_PG_3_of_3!$A$13:$A$83,A8,W20_PG_3_of_3!$N$13:$N$83)</f>
        <v>8885.4399999999987</v>
      </c>
      <c r="C8" s="81">
        <f>SUMIF(W20_PG_2_of_3!$P$13:$P$20,A8,W20_PG_2_of_3!$M$13:$M$20)+SUMIF(W20_PG_3_of_3!$A$13:$A$83,A8,W20_PG_3_of_3!$M$13:$M$83)</f>
        <v>438.96</v>
      </c>
      <c r="D8" s="82"/>
    </row>
    <row r="9" spans="1:5">
      <c r="A9" s="80">
        <v>502</v>
      </c>
      <c r="B9" s="81">
        <f>SUMIF(W20_PG_2_of_3!$P$13:$P$20,A9,W20_PG_2_of_3!$N$13:$N$20)+SUMIF(W20_PG_3_of_3!$A$13:$A$83,A9,W20_PG_3_of_3!$N$13:$N$83)</f>
        <v>3364.8399999999997</v>
      </c>
      <c r="C9" s="81">
        <f>SUMIF(W20_PG_2_of_3!$P$13:$P$20,A9,W20_PG_2_of_3!$M$13:$M$20)+SUMIF(W20_PG_3_of_3!$A$13:$A$83,A9,W20_PG_3_of_3!$M$13:$M$83)</f>
        <v>160.01</v>
      </c>
      <c r="D9" s="82"/>
    </row>
    <row r="10" spans="1:5">
      <c r="A10" s="80">
        <v>506</v>
      </c>
      <c r="B10" s="81">
        <f>SUMIF(W20_PG_2_of_3!$P$13:$P$20,A10,W20_PG_2_of_3!$N$13:$N$20)+SUMIF(W20_PG_3_of_3!$A$13:$A$83,A10,W20_PG_3_of_3!$N$13:$N$83)</f>
        <v>89669.39</v>
      </c>
      <c r="C10" s="81">
        <f>SUMIF(W20_PG_2_of_3!$P$13:$P$20,A10,W20_PG_2_of_3!$M$13:$M$20)+SUMIF(W20_PG_3_of_3!$A$13:$A$83,A10,W20_PG_3_of_3!$M$13:$M$83)</f>
        <v>4724.38</v>
      </c>
      <c r="D10" s="82"/>
    </row>
    <row r="11" spans="1:5">
      <c r="A11" s="80">
        <v>510</v>
      </c>
      <c r="B11" s="81">
        <f>SUMIF(W20_PG_2_of_3!$P$13:$P$20,A11,W20_PG_2_of_3!$N$13:$N$20)+SUMIF(W20_PG_3_of_3!$A$13:$A$83,A11,W20_PG_3_of_3!$N$13:$N$83)</f>
        <v>11192.7</v>
      </c>
      <c r="C11" s="81">
        <f>SUMIF(W20_PG_2_of_3!$P$13:$P$20,A11,W20_PG_2_of_3!$M$13:$M$20)+SUMIF(W20_PG_3_of_3!$A$13:$A$83,A11,W20_PG_3_of_3!$M$13:$M$83)</f>
        <v>465.6</v>
      </c>
      <c r="D11" s="82"/>
    </row>
    <row r="12" spans="1:5">
      <c r="A12" s="80">
        <v>511</v>
      </c>
      <c r="B12" s="81">
        <f>SUMIF(W20_PG_2_of_3!$P$13:$P$20,A12,W20_PG_2_of_3!$N$13:$N$20)+SUMIF(W20_PG_3_of_3!$A$13:$A$83,A12,W20_PG_3_of_3!$N$13:$N$83)</f>
        <v>159.9199999999999</v>
      </c>
      <c r="C12" s="81">
        <f>SUMIF(W20_PG_2_of_3!$P$13:$P$20,A12,W20_PG_2_of_3!$M$13:$M$20)+SUMIF(W20_PG_3_of_3!$A$13:$A$83,A12,W20_PG_3_of_3!$M$13:$M$83)</f>
        <v>111.58</v>
      </c>
      <c r="D12" s="82"/>
    </row>
    <row r="13" spans="1:5">
      <c r="A13" s="80">
        <v>512</v>
      </c>
      <c r="B13" s="81">
        <f>SUMIF(W20_PG_2_of_3!$P$13:$P$20,A13,W20_PG_2_of_3!$N$13:$N$20)+SUMIF(W20_PG_3_of_3!$A$13:$A$83,A13,W20_PG_3_of_3!$N$13:$N$83)</f>
        <v>10765.170000000002</v>
      </c>
      <c r="C13" s="81">
        <f>SUMIF(W20_PG_2_of_3!$P$13:$P$20,A13,W20_PG_2_of_3!$M$13:$M$20)+SUMIF(W20_PG_3_of_3!$A$13:$A$83,A13,W20_PG_3_of_3!$M$13:$M$83)</f>
        <v>398.78</v>
      </c>
      <c r="D13" s="82"/>
    </row>
    <row r="14" spans="1:5">
      <c r="A14" s="80">
        <v>513</v>
      </c>
      <c r="B14" s="81">
        <f>SUMIF(W20_PG_2_of_3!$P$13:$P$20,A14,W20_PG_2_of_3!$N$13:$N$20)+SUMIF(W20_PG_3_of_3!$A$13:$A$83,A14,W20_PG_3_of_3!$N$13:$N$83)</f>
        <v>5562.75</v>
      </c>
      <c r="C14" s="81">
        <f>SUMIF(W20_PG_2_of_3!$P$13:$P$20,A14,W20_PG_2_of_3!$M$13:$M$20)+SUMIF(W20_PG_3_of_3!$A$13:$A$83,A14,W20_PG_3_of_3!$M$13:$M$83)</f>
        <v>158.28</v>
      </c>
      <c r="D14" s="82"/>
    </row>
    <row r="15" spans="1:5">
      <c r="A15" s="80">
        <v>514</v>
      </c>
      <c r="B15" s="81">
        <f>SUMIF(W20_PG_2_of_3!$P$13:$P$20,A15,W20_PG_2_of_3!$N$13:$N$20)+SUMIF(W20_PG_3_of_3!$A$13:$A$83,A15,W20_PG_3_of_3!$N$13:$N$83)</f>
        <v>5116.87</v>
      </c>
      <c r="C15" s="81">
        <f>SUMIF(W20_PG_2_of_3!$P$13:$P$20,A15,W20_PG_2_of_3!$M$13:$M$20)+SUMIF(W20_PG_3_of_3!$A$13:$A$83,A15,W20_PG_3_of_3!$M$13:$M$83)</f>
        <v>74.95</v>
      </c>
      <c r="D15" s="82"/>
    </row>
    <row r="16" spans="1:5">
      <c r="A16" s="80">
        <v>566</v>
      </c>
      <c r="B16" s="81">
        <f>SUMIF(W20_PG_2_of_3!$P$13:$P$20,A16,W20_PG_2_of_3!$N$13:$N$20)+SUMIF(W20_PG_3_of_3!$A$13:$A$83,A16,W20_PG_3_of_3!$N$13:$N$83)</f>
        <v>2242.89</v>
      </c>
      <c r="C16" s="81">
        <f>SUMIF(W20_PG_2_of_3!$P$13:$P$20,A16,W20_PG_2_of_3!$M$13:$M$20)+SUMIF(W20_PG_3_of_3!$A$13:$A$83,A16,W20_PG_3_of_3!$M$13:$M$83)</f>
        <v>188.7</v>
      </c>
      <c r="D16" s="82"/>
    </row>
    <row r="17" spans="1:4">
      <c r="A17" s="80">
        <v>570</v>
      </c>
      <c r="B17" s="81">
        <f>SUMIF(W20_PG_2_of_3!$P$13:$P$20,A17,W20_PG_2_of_3!$N$13:$N$20)+SUMIF(W20_PG_3_of_3!$A$13:$A$83,A17,W20_PG_3_of_3!$N$13:$N$83)</f>
        <v>57.33</v>
      </c>
      <c r="C17" s="81">
        <f>SUMIF(W20_PG_2_of_3!$P$13:$P$20,A17,W20_PG_2_of_3!$M$13:$M$20)+SUMIF(W20_PG_3_of_3!$A$13:$A$83,A17,W20_PG_3_of_3!$M$13:$M$83)</f>
        <v>0</v>
      </c>
      <c r="D17" s="82"/>
    </row>
    <row r="18" spans="1:4">
      <c r="A18" s="80">
        <v>580</v>
      </c>
      <c r="B18" s="81">
        <f>SUMIF(W20_PG_2_of_3!$P$13:$P$20,A18,W20_PG_2_of_3!$N$13:$N$20)+SUMIF(W20_PG_3_of_3!$A$13:$A$83,A18,W20_PG_3_of_3!$N$13:$N$83)</f>
        <v>5696.55</v>
      </c>
      <c r="C18" s="81">
        <f>SUMIF(W20_PG_2_of_3!$P$13:$P$20,A18,W20_PG_2_of_3!$M$13:$M$20)+SUMIF(W20_PG_3_of_3!$A$13:$A$83,A18,W20_PG_3_of_3!$M$13:$M$83)</f>
        <v>380.83</v>
      </c>
      <c r="D18" s="82"/>
    </row>
    <row r="19" spans="1:4">
      <c r="A19" s="80">
        <v>583</v>
      </c>
      <c r="B19" s="81">
        <f>SUMIF(W20_PG_2_of_3!$P$13:$P$20,A19,W20_PG_2_of_3!$N$13:$N$20)+SUMIF(W20_PG_3_of_3!$A$13:$A$83,A19,W20_PG_3_of_3!$N$13:$N$83)</f>
        <v>43262.2</v>
      </c>
      <c r="C19" s="81">
        <f>SUMIF(W20_PG_2_of_3!$P$13:$P$20,A19,W20_PG_2_of_3!$M$13:$M$20)+SUMIF(W20_PG_3_of_3!$A$13:$A$83,A19,W20_PG_3_of_3!$M$13:$M$83)</f>
        <v>5028.0200000000004</v>
      </c>
      <c r="D19" s="82"/>
    </row>
    <row r="20" spans="1:4">
      <c r="A20" s="80">
        <v>584</v>
      </c>
      <c r="B20" s="81">
        <f>SUMIF(W20_PG_2_of_3!$P$13:$P$20,A20,W20_PG_2_of_3!$N$13:$N$20)+SUMIF(W20_PG_3_of_3!$A$13:$A$83,A20,W20_PG_3_of_3!$N$13:$N$83)</f>
        <v>67.41</v>
      </c>
      <c r="C20" s="81">
        <f>SUMIF(W20_PG_2_of_3!$P$13:$P$20,A20,W20_PG_2_of_3!$M$13:$M$20)+SUMIF(W20_PG_3_of_3!$A$13:$A$83,A20,W20_PG_3_of_3!$M$13:$M$83)</f>
        <v>0</v>
      </c>
      <c r="D20" s="82"/>
    </row>
    <row r="21" spans="1:4">
      <c r="A21" s="80">
        <v>585</v>
      </c>
      <c r="B21" s="81">
        <f>SUMIF(W20_PG_2_of_3!$P$13:$P$20,A21,W20_PG_2_of_3!$N$13:$N$20)+SUMIF(W20_PG_3_of_3!$A$13:$A$83,A21,W20_PG_3_of_3!$N$13:$N$83)</f>
        <v>870.27</v>
      </c>
      <c r="C21" s="81">
        <f>SUMIF(W20_PG_2_of_3!$P$13:$P$20,A21,W20_PG_2_of_3!$M$13:$M$20)+SUMIF(W20_PG_3_of_3!$A$13:$A$83,A21,W20_PG_3_of_3!$M$13:$M$83)</f>
        <v>29.09</v>
      </c>
      <c r="D21" s="82"/>
    </row>
    <row r="22" spans="1:4">
      <c r="A22" s="80">
        <v>586</v>
      </c>
      <c r="B22" s="81">
        <f>SUMIF(W20_PG_2_of_3!$P$13:$P$20,A22,W20_PG_2_of_3!$N$13:$N$20)+SUMIF(W20_PG_3_of_3!$A$13:$A$83,A22,W20_PG_3_of_3!$N$13:$N$83)</f>
        <v>66161.42</v>
      </c>
      <c r="C22" s="81">
        <f>SUMIF(W20_PG_2_of_3!$P$13:$P$20,A22,W20_PG_2_of_3!$M$13:$M$20)+SUMIF(W20_PG_3_of_3!$A$13:$A$83,A22,W20_PG_3_of_3!$M$13:$M$83)</f>
        <v>7531.47</v>
      </c>
      <c r="D22" s="82"/>
    </row>
    <row r="23" spans="1:4">
      <c r="A23" s="80">
        <v>587</v>
      </c>
      <c r="B23" s="81">
        <f>SUMIF(W20_PG_2_of_3!$P$13:$P$20,A23,W20_PG_2_of_3!$N$13:$N$20)+SUMIF(W20_PG_3_of_3!$A$13:$A$83,A23,W20_PG_3_of_3!$N$13:$N$83)</f>
        <v>3079.21</v>
      </c>
      <c r="C23" s="81">
        <f>SUMIF(W20_PG_2_of_3!$P$13:$P$20,A23,W20_PG_2_of_3!$M$13:$M$20)+SUMIF(W20_PG_3_of_3!$A$13:$A$83,A23,W20_PG_3_of_3!$M$13:$M$83)</f>
        <v>383.57</v>
      </c>
      <c r="D23" s="82"/>
    </row>
    <row r="24" spans="1:4">
      <c r="A24" s="80">
        <v>588</v>
      </c>
      <c r="B24" s="81">
        <f>SUMIF(W20_PG_2_of_3!$P$13:$P$20,A24,W20_PG_2_of_3!$N$13:$N$20)+SUMIF(W20_PG_3_of_3!$A$13:$A$83,A24,W20_PG_3_of_3!$N$13:$N$83)</f>
        <v>109585.09000000001</v>
      </c>
      <c r="C24" s="81">
        <f>SUMIF(W20_PG_2_of_3!$P$13:$P$20,A24,W20_PG_2_of_3!$M$13:$M$20)+SUMIF(W20_PG_3_of_3!$A$13:$A$83,A24,W20_PG_3_of_3!$M$13:$M$83)</f>
        <v>8085.88</v>
      </c>
      <c r="D24" s="82"/>
    </row>
    <row r="25" spans="1:4">
      <c r="A25" s="80">
        <v>592</v>
      </c>
      <c r="B25" s="81">
        <f>SUMIF(W20_PG_2_of_3!$P$13:$P$20,A25,W20_PG_2_of_3!$N$13:$N$20)+SUMIF(W20_PG_3_of_3!$A$13:$A$83,A25,W20_PG_3_of_3!$N$13:$N$83)</f>
        <v>554.29</v>
      </c>
      <c r="C25" s="81">
        <f>SUMIF(W20_PG_2_of_3!$P$13:$P$20,A25,W20_PG_2_of_3!$M$13:$M$20)+SUMIF(W20_PG_3_of_3!$A$13:$A$83,A25,W20_PG_3_of_3!$M$13:$M$83)</f>
        <v>0</v>
      </c>
      <c r="D25" s="82"/>
    </row>
    <row r="26" spans="1:4">
      <c r="A26" s="80">
        <v>593</v>
      </c>
      <c r="B26" s="81">
        <f>SUMIF(W20_PG_2_of_3!$P$13:$P$20,A26,W20_PG_2_of_3!$N$13:$N$20)+SUMIF(W20_PG_3_of_3!$A$13:$A$83,A26,W20_PG_3_of_3!$N$13:$N$83)</f>
        <v>357957.07000000007</v>
      </c>
      <c r="C26" s="81">
        <f>SUMIF(W20_PG_2_of_3!$P$13:$P$20,A26,W20_PG_2_of_3!$M$13:$M$20)+SUMIF(W20_PG_3_of_3!$A$13:$A$83,A26,W20_PG_3_of_3!$M$13:$M$83)</f>
        <v>18222.900000000001</v>
      </c>
      <c r="D26" s="82"/>
    </row>
    <row r="27" spans="1:4">
      <c r="A27" s="80">
        <v>594</v>
      </c>
      <c r="B27" s="81">
        <f>SUMIF(W20_PG_2_of_3!$P$13:$P$20,A27,W20_PG_2_of_3!$N$13:$N$20)+SUMIF(W20_PG_3_of_3!$A$13:$A$83,A27,W20_PG_3_of_3!$N$13:$N$83)</f>
        <v>1097.3400000000001</v>
      </c>
      <c r="C27" s="81">
        <f>SUMIF(W20_PG_2_of_3!$P$13:$P$20,A27,W20_PG_2_of_3!$M$13:$M$20)+SUMIF(W20_PG_3_of_3!$A$13:$A$83,A27,W20_PG_3_of_3!$M$13:$M$83)</f>
        <v>35.25</v>
      </c>
      <c r="D27" s="82"/>
    </row>
    <row r="28" spans="1:4">
      <c r="A28" s="80">
        <v>595</v>
      </c>
      <c r="B28" s="81">
        <f>SUMIF(W20_PG_2_of_3!$P$13:$P$20,A28,W20_PG_2_of_3!$N$13:$N$20)+SUMIF(W20_PG_3_of_3!$A$13:$A$83,A28,W20_PG_3_of_3!$N$13:$N$83)</f>
        <v>3074.94</v>
      </c>
      <c r="C28" s="81">
        <f>SUMIF(W20_PG_2_of_3!$P$13:$P$20,A28,W20_PG_2_of_3!$M$13:$M$20)+SUMIF(W20_PG_3_of_3!$A$13:$A$83,A28,W20_PG_3_of_3!$M$13:$M$83)</f>
        <v>104.42</v>
      </c>
      <c r="D28" s="82"/>
    </row>
    <row r="29" spans="1:4">
      <c r="A29" s="80">
        <v>596</v>
      </c>
      <c r="B29" s="81">
        <f>SUMIF(W20_PG_2_of_3!$P$13:$P$20,A29,W20_PG_2_of_3!$N$13:$N$20)+SUMIF(W20_PG_3_of_3!$A$13:$A$83,A29,W20_PG_3_of_3!$N$13:$N$83)</f>
        <v>1794.62</v>
      </c>
      <c r="C29" s="81">
        <f>SUMIF(W20_PG_2_of_3!$P$13:$P$20,A29,W20_PG_2_of_3!$M$13:$M$20)+SUMIF(W20_PG_3_of_3!$A$13:$A$83,A29,W20_PG_3_of_3!$M$13:$M$83)</f>
        <v>342.63</v>
      </c>
      <c r="D29" s="82"/>
    </row>
    <row r="30" spans="1:4">
      <c r="A30" s="80">
        <v>597</v>
      </c>
      <c r="B30" s="81">
        <f>SUMIF(W20_PG_2_of_3!$P$13:$P$20,A30,W20_PG_2_of_3!$N$13:$N$20)+SUMIF(W20_PG_3_of_3!$A$13:$A$83,A30,W20_PG_3_of_3!$N$13:$N$83)</f>
        <v>1869.1100000000004</v>
      </c>
      <c r="C30" s="81">
        <f>SUMIF(W20_PG_2_of_3!$P$13:$P$20,A30,W20_PG_2_of_3!$M$13:$M$20)+SUMIF(W20_PG_3_of_3!$A$13:$A$83,A30,W20_PG_3_of_3!$M$13:$M$83)</f>
        <v>161.94</v>
      </c>
      <c r="D30" s="82"/>
    </row>
    <row r="31" spans="1:4">
      <c r="A31" s="80">
        <v>598</v>
      </c>
      <c r="B31" s="81">
        <f>SUMIF(W20_PG_2_of_3!$P$13:$P$20,A31,W20_PG_2_of_3!$N$13:$N$20)+SUMIF(W20_PG_3_of_3!$A$13:$A$83,A31,W20_PG_3_of_3!$N$13:$N$83)</f>
        <v>194.62</v>
      </c>
      <c r="C31" s="81">
        <f>SUMIF(W20_PG_2_of_3!$P$13:$P$20,A31,W20_PG_2_of_3!$M$13:$M$20)+SUMIF(W20_PG_3_of_3!$A$13:$A$83,A31,W20_PG_3_of_3!$M$13:$M$83)</f>
        <v>139.22</v>
      </c>
      <c r="D31" s="82"/>
    </row>
    <row r="32" spans="1:4">
      <c r="A32" s="80">
        <v>901</v>
      </c>
      <c r="B32" s="81">
        <f>SUMIF(W20_PG_2_of_3!$P$13:$P$20,A32,W20_PG_2_of_3!$N$13:$N$20)+SUMIF(W20_PG_3_of_3!$A$13:$A$83,A32,W20_PG_3_of_3!$N$13:$N$83)</f>
        <v>257.17</v>
      </c>
      <c r="C32" s="81">
        <f>SUMIF(W20_PG_2_of_3!$P$13:$P$20,A32,W20_PG_2_of_3!$M$13:$M$20)+SUMIF(W20_PG_3_of_3!$A$13:$A$83,A32,W20_PG_3_of_3!$M$13:$M$83)</f>
        <v>0</v>
      </c>
      <c r="D32" s="82"/>
    </row>
    <row r="33" spans="1:4">
      <c r="A33" s="80">
        <v>902</v>
      </c>
      <c r="B33" s="81">
        <f>SUMIF(W20_PG_2_of_3!$P$13:$P$20,A33,W20_PG_2_of_3!$N$13:$N$20)+SUMIF(W20_PG_3_of_3!$A$13:$A$83,A33,W20_PG_3_of_3!$N$13:$N$83)</f>
        <v>19654.940000000002</v>
      </c>
      <c r="C33" s="81">
        <f>SUMIF(W20_PG_2_of_3!$P$13:$P$20,A33,W20_PG_2_of_3!$M$13:$M$20)+SUMIF(W20_PG_3_of_3!$A$13:$A$83,A33,W20_PG_3_of_3!$M$13:$M$83)</f>
        <v>1393.77</v>
      </c>
      <c r="D33" s="82"/>
    </row>
    <row r="34" spans="1:4">
      <c r="A34" s="80">
        <v>903</v>
      </c>
      <c r="B34" s="81">
        <f>SUMIF(W20_PG_2_of_3!$P$13:$P$20,A34,W20_PG_2_of_3!$N$13:$N$20)+SUMIF(W20_PG_3_of_3!$A$13:$A$83,A34,W20_PG_3_of_3!$N$13:$N$83)</f>
        <v>56294.07</v>
      </c>
      <c r="C34" s="81">
        <f>SUMIF(W20_PG_2_of_3!$P$13:$P$20,A34,W20_PG_2_of_3!$M$13:$M$20)+SUMIF(W20_PG_3_of_3!$A$13:$A$83,A34,W20_PG_3_of_3!$M$13:$M$83)</f>
        <v>3452.29</v>
      </c>
      <c r="D34" s="82"/>
    </row>
    <row r="35" spans="1:4">
      <c r="A35" s="80">
        <v>907</v>
      </c>
      <c r="B35" s="81">
        <f>SUMIF(W20_PG_2_of_3!$P$13:$P$20,A35,W20_PG_2_of_3!$N$13:$N$20)+SUMIF(W20_PG_3_of_3!$A$13:$A$83,A35,W20_PG_3_of_3!$N$13:$N$83)</f>
        <v>167.66</v>
      </c>
      <c r="C35" s="81">
        <f>SUMIF(W20_PG_2_of_3!$P$13:$P$20,A35,W20_PG_2_of_3!$M$13:$M$20)+SUMIF(W20_PG_3_of_3!$A$13:$A$83,A35,W20_PG_3_of_3!$M$13:$M$83)</f>
        <v>3</v>
      </c>
      <c r="D35" s="82"/>
    </row>
    <row r="36" spans="1:4">
      <c r="A36" s="80">
        <v>908</v>
      </c>
      <c r="B36" s="81">
        <f>SUMIF(W20_PG_2_of_3!$P$13:$P$20,A36,W20_PG_2_of_3!$N$13:$N$20)+SUMIF(W20_PG_3_of_3!$A$13:$A$83,A36,W20_PG_3_of_3!$N$13:$N$83)</f>
        <v>2488.06</v>
      </c>
      <c r="C36" s="81">
        <f>SUMIF(W20_PG_2_of_3!$P$13:$P$20,A36,W20_PG_2_of_3!$M$13:$M$20)+SUMIF(W20_PG_3_of_3!$A$13:$A$83,A36,W20_PG_3_of_3!$M$13:$M$83)</f>
        <v>152.92000000000002</v>
      </c>
      <c r="D36" s="82"/>
    </row>
    <row r="37" spans="1:4">
      <c r="A37" s="80">
        <v>910</v>
      </c>
      <c r="B37" s="81">
        <f>SUMIF(W20_PG_2_of_3!$P$13:$P$20,A37,W20_PG_2_of_3!$N$13:$N$20)+SUMIF(W20_PG_3_of_3!$A$13:$A$83,A37,W20_PG_3_of_3!$N$13:$N$83)</f>
        <v>19.52</v>
      </c>
      <c r="C37" s="81">
        <f>SUMIF(W20_PG_2_of_3!$P$13:$P$20,A37,W20_PG_2_of_3!$M$13:$M$20)+SUMIF(W20_PG_3_of_3!$A$13:$A$83,A37,W20_PG_3_of_3!$M$13:$M$83)</f>
        <v>0</v>
      </c>
      <c r="D37" s="82"/>
    </row>
    <row r="38" spans="1:4">
      <c r="A38" s="80">
        <v>920</v>
      </c>
      <c r="B38" s="81">
        <f>SUMIF(W20_PG_2_of_3!$P$13:$P$20,A38,W20_PG_2_of_3!$N$13:$N$20)+SUMIF(W20_PG_3_of_3!$A$13:$A$83,A38,W20_PG_3_of_3!$N$13:$N$83)</f>
        <v>3511.1600000000003</v>
      </c>
      <c r="C38" s="81">
        <f>SUMIF(W20_PG_2_of_3!$P$13:$P$20,A38,W20_PG_2_of_3!$M$13:$M$20)+SUMIF(W20_PG_3_of_3!$A$13:$A$83,A38,W20_PG_3_of_3!$M$13:$M$83)</f>
        <v>518.82000000000005</v>
      </c>
      <c r="D38" s="82"/>
    </row>
    <row r="39" spans="1:4">
      <c r="A39" s="80">
        <v>921</v>
      </c>
      <c r="B39" s="81">
        <f>SUMIF(W20_PG_2_of_3!$P$13:$P$20,A39,W20_PG_2_of_3!$N$13:$N$20)+SUMIF(W20_PG_3_of_3!$A$13:$A$83,A39,W20_PG_3_of_3!$N$13:$N$83)</f>
        <v>14503.630000000001</v>
      </c>
      <c r="C39" s="81">
        <f>SUMIF(W20_PG_2_of_3!$P$13:$P$20,A39,W20_PG_2_of_3!$M$13:$M$20)+SUMIF(W20_PG_3_of_3!$A$13:$A$83,A39,W20_PG_3_of_3!$M$13:$M$83)</f>
        <v>1197.28</v>
      </c>
      <c r="D39" s="82"/>
    </row>
    <row r="40" spans="1:4">
      <c r="A40" s="80">
        <v>926</v>
      </c>
      <c r="B40" s="81">
        <f>SUMIF(W20_PG_2_of_3!$P$13:$P$20,A40,W20_PG_2_of_3!$N$13:$N$20)+SUMIF(W20_PG_3_of_3!$A$13:$A$83,A40,W20_PG_3_of_3!$N$13:$N$83)</f>
        <v>58.58</v>
      </c>
      <c r="C40" s="81">
        <f>SUMIF(W20_PG_2_of_3!$P$13:$P$20,A40,W20_PG_2_of_3!$M$13:$M$20)+SUMIF(W20_PG_3_of_3!$A$13:$A$83,A40,W20_PG_3_of_3!$M$13:$M$83)</f>
        <v>6.84</v>
      </c>
      <c r="D40" s="82"/>
    </row>
    <row r="41" spans="1:4">
      <c r="A41" s="80">
        <v>928</v>
      </c>
      <c r="B41" s="81">
        <f>SUMIF(W20_PG_2_of_3!$P$13:$P$20,A41,W20_PG_2_of_3!$N$13:$N$20)+SUMIF(W20_PG_3_of_3!$A$13:$A$83,A41,W20_PG_3_of_3!$N$13:$N$83)</f>
        <v>35.42</v>
      </c>
      <c r="C41" s="81">
        <f>SUMIF(W20_PG_2_of_3!$P$13:$P$20,A41,W20_PG_2_of_3!$M$13:$M$20)+SUMIF(W20_PG_3_of_3!$A$13:$A$83,A41,W20_PG_3_of_3!$M$13:$M$83)</f>
        <v>16.48</v>
      </c>
      <c r="D41" s="82"/>
    </row>
    <row r="42" spans="1:4">
      <c r="A42" s="80">
        <v>930</v>
      </c>
      <c r="B42" s="81">
        <f>SUMIF(W20_PG_2_of_3!$P$13:$P$20,A42,W20_PG_2_of_3!$N$13:$N$20)+SUMIF(W20_PG_3_of_3!$A$13:$A$83,A42,W20_PG_3_of_3!$N$13:$N$83)</f>
        <v>696.83999999999992</v>
      </c>
      <c r="C42" s="81">
        <f>SUMIF(W20_PG_2_of_3!$P$13:$P$20,A42,W20_PG_2_of_3!$M$13:$M$20)+SUMIF(W20_PG_3_of_3!$A$13:$A$83,A42,W20_PG_3_of_3!$M$13:$M$83)</f>
        <v>0</v>
      </c>
      <c r="D42" s="82"/>
    </row>
    <row r="43" spans="1:4">
      <c r="A43" s="80">
        <v>931</v>
      </c>
      <c r="B43" s="81">
        <f>SUMIF(W20_PG_2_of_3!$P$13:$P$20,A43,W20_PG_2_of_3!$N$13:$N$20)+SUMIF(W20_PG_3_of_3!$A$13:$A$83,A43,W20_PG_3_of_3!$N$13:$N$83)</f>
        <v>181102.24000000002</v>
      </c>
      <c r="C43" s="81">
        <f>SUMIF(W20_PG_2_of_3!$P$13:$P$20,A43,W20_PG_2_of_3!$M$13:$M$20)+SUMIF(W20_PG_3_of_3!$A$13:$A$83,A43,W20_PG_3_of_3!$M$13:$M$83)-W20_PG_2_of_3!M23</f>
        <v>14659.77</v>
      </c>
      <c r="D43" s="83" t="s">
        <v>335</v>
      </c>
    </row>
    <row r="44" spans="1:4">
      <c r="A44" s="80">
        <v>935</v>
      </c>
      <c r="B44" s="81">
        <f>SUMIF(W20_PG_2_of_3!$P$13:$P$20,A44,W20_PG_2_of_3!$N$13:$N$20)+SUMIF(W20_PG_3_of_3!$A$13:$A$83,A44,W20_PG_3_of_3!$N$13:$N$83)</f>
        <v>140324.31</v>
      </c>
      <c r="C44" s="81">
        <f>SUMIF(W20_PG_2_of_3!$P$13:$P$20,A44,W20_PG_2_of_3!$M$13:$M$20)+SUMIF(W20_PG_3_of_3!$A$13:$A$83,A44,W20_PG_3_of_3!$M$13:$M$83)</f>
        <v>17368.64</v>
      </c>
      <c r="D44" s="82"/>
    </row>
    <row r="45" spans="1:4">
      <c r="A45" s="84"/>
      <c r="B45" s="85"/>
      <c r="C45" s="85"/>
      <c r="D45" s="86"/>
    </row>
    <row r="46" spans="1:4">
      <c r="A46" s="87"/>
      <c r="B46" s="88">
        <f>SUM(B7:B45)</f>
        <v>1153026.42</v>
      </c>
      <c r="C46" s="88">
        <f>SUM(C7:C45)</f>
        <v>86962.739999999991</v>
      </c>
      <c r="D46" s="89"/>
    </row>
    <row r="47" spans="1:4">
      <c r="A47" s="89"/>
      <c r="B47" s="90"/>
      <c r="C47" s="90"/>
      <c r="D47" s="89"/>
    </row>
    <row r="48" spans="1:4" ht="50.1" customHeight="1">
      <c r="A48" s="505" t="s">
        <v>341</v>
      </c>
      <c r="B48" s="505"/>
      <c r="C48" s="505"/>
      <c r="D48" s="505"/>
    </row>
    <row r="49" spans="1:4">
      <c r="A49" s="6"/>
      <c r="B49" s="6"/>
      <c r="C49" s="6"/>
      <c r="D49" s="6"/>
    </row>
    <row r="50" spans="1:4">
      <c r="A50" s="5" t="s">
        <v>2</v>
      </c>
      <c r="B50" s="489" t="s">
        <v>3</v>
      </c>
      <c r="C50" s="489"/>
      <c r="D50" s="489"/>
    </row>
  </sheetData>
  <mergeCells count="6">
    <mergeCell ref="B50:D50"/>
    <mergeCell ref="A1:E1"/>
    <mergeCell ref="A2:E2"/>
    <mergeCell ref="A3:E3"/>
    <mergeCell ref="A4:E4"/>
    <mergeCell ref="A48:D48"/>
  </mergeCells>
  <pageMargins left="0.75" right="0.75" top="1" bottom="1" header="0.5" footer="0.5"/>
  <pageSetup scale="96"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showRuler="0" workbookViewId="0">
      <selection activeCell="H31" sqref="H31"/>
    </sheetView>
  </sheetViews>
  <sheetFormatPr defaultColWidth="13.6640625" defaultRowHeight="13.2"/>
  <cols>
    <col min="1" max="1" width="15.109375" customWidth="1"/>
    <col min="2" max="14" width="12" customWidth="1"/>
    <col min="15" max="15" width="3.109375" customWidth="1"/>
    <col min="16" max="16" width="14.109375" customWidth="1"/>
  </cols>
  <sheetData>
    <row r="1" spans="1:16">
      <c r="A1" s="489" t="s">
        <v>0</v>
      </c>
      <c r="B1" s="489"/>
      <c r="C1" s="489"/>
      <c r="D1" s="487"/>
      <c r="E1" s="487"/>
    </row>
    <row r="2" spans="1:16">
      <c r="A2" s="489" t="s">
        <v>337</v>
      </c>
      <c r="B2" s="487"/>
      <c r="C2" s="487"/>
      <c r="D2" s="487"/>
      <c r="E2" s="487"/>
    </row>
    <row r="3" spans="1:16">
      <c r="A3" s="489" t="s">
        <v>342</v>
      </c>
      <c r="B3" s="487"/>
      <c r="C3" s="487"/>
      <c r="D3" s="487"/>
      <c r="E3" s="487"/>
    </row>
    <row r="4" spans="1:16">
      <c r="A4" s="489" t="s">
        <v>107</v>
      </c>
      <c r="B4" s="489"/>
      <c r="C4" s="489"/>
      <c r="D4" s="489"/>
      <c r="E4" s="489"/>
    </row>
    <row r="7" spans="1:16">
      <c r="A7" s="7"/>
      <c r="B7" s="7"/>
      <c r="C7" s="6"/>
      <c r="D7" s="6"/>
      <c r="E7" s="6"/>
      <c r="F7" s="6"/>
      <c r="G7" s="6"/>
      <c r="H7" s="6"/>
      <c r="I7" s="6"/>
      <c r="J7" s="6"/>
      <c r="K7" s="6"/>
      <c r="L7" s="6"/>
      <c r="M7" s="6"/>
      <c r="N7" s="6"/>
    </row>
    <row r="8" spans="1:16">
      <c r="A8" s="91" t="s">
        <v>343</v>
      </c>
      <c r="B8" s="91" t="s">
        <v>344</v>
      </c>
      <c r="C8" s="21"/>
      <c r="D8" s="6"/>
      <c r="E8" s="6"/>
      <c r="F8" s="6"/>
      <c r="G8" s="6"/>
      <c r="H8" s="6"/>
      <c r="I8" s="6"/>
      <c r="J8" s="6"/>
      <c r="K8" s="6"/>
      <c r="L8" s="6"/>
      <c r="M8" s="6"/>
      <c r="N8" s="6"/>
    </row>
    <row r="9" spans="1:16">
      <c r="A9" s="91" t="s">
        <v>345</v>
      </c>
      <c r="B9" s="91" t="s">
        <v>344</v>
      </c>
      <c r="C9" s="21"/>
      <c r="D9" s="6"/>
      <c r="E9" s="6"/>
      <c r="F9" s="6"/>
      <c r="G9" s="6"/>
      <c r="H9" s="6"/>
      <c r="I9" s="6"/>
      <c r="J9" s="6"/>
      <c r="K9" s="6"/>
      <c r="L9" s="6"/>
      <c r="M9" s="6"/>
      <c r="N9" s="6"/>
    </row>
    <row r="10" spans="1:16">
      <c r="A10" s="22"/>
      <c r="B10" s="22"/>
      <c r="C10" s="6"/>
      <c r="D10" s="6"/>
      <c r="E10" s="6"/>
      <c r="F10" s="6"/>
      <c r="G10" s="6"/>
      <c r="H10" s="6"/>
      <c r="I10" s="6"/>
      <c r="J10" s="6"/>
      <c r="K10" s="6"/>
      <c r="L10" s="6"/>
      <c r="M10" s="6"/>
      <c r="N10" s="6"/>
    </row>
    <row r="11" spans="1:16">
      <c r="A11" s="91" t="s">
        <v>346</v>
      </c>
      <c r="B11" s="91" t="s">
        <v>347</v>
      </c>
      <c r="C11" s="57"/>
      <c r="D11" s="7"/>
      <c r="E11" s="7"/>
      <c r="F11" s="7"/>
      <c r="G11" s="7"/>
      <c r="H11" s="7"/>
      <c r="I11" s="7"/>
      <c r="J11" s="7"/>
      <c r="K11" s="7"/>
      <c r="L11" s="7"/>
      <c r="M11" s="7"/>
      <c r="N11" s="7"/>
    </row>
    <row r="12" spans="1:16">
      <c r="A12" s="91" t="s">
        <v>348</v>
      </c>
      <c r="B12" s="91" t="s">
        <v>349</v>
      </c>
      <c r="C12" s="91" t="s">
        <v>350</v>
      </c>
      <c r="D12" s="92" t="s">
        <v>351</v>
      </c>
      <c r="E12" s="91" t="s">
        <v>352</v>
      </c>
      <c r="F12" s="91" t="s">
        <v>353</v>
      </c>
      <c r="G12" s="91" t="s">
        <v>354</v>
      </c>
      <c r="H12" s="91" t="s">
        <v>355</v>
      </c>
      <c r="I12" s="91" t="s">
        <v>356</v>
      </c>
      <c r="J12" s="91" t="s">
        <v>357</v>
      </c>
      <c r="K12" s="91" t="s">
        <v>358</v>
      </c>
      <c r="L12" s="91" t="s">
        <v>359</v>
      </c>
      <c r="M12" s="91" t="s">
        <v>360</v>
      </c>
      <c r="N12" s="91" t="s">
        <v>277</v>
      </c>
      <c r="O12" s="21"/>
      <c r="P12" s="6" t="s">
        <v>134</v>
      </c>
    </row>
    <row r="13" spans="1:16">
      <c r="A13" s="30">
        <v>5060000</v>
      </c>
      <c r="B13" s="10">
        <v>8064.12</v>
      </c>
      <c r="C13" s="10">
        <v>9306.85</v>
      </c>
      <c r="D13" s="10">
        <v>9297.5499999999993</v>
      </c>
      <c r="E13" s="10">
        <v>9297.5499999999993</v>
      </c>
      <c r="F13" s="10">
        <v>3353.19</v>
      </c>
      <c r="G13" s="10">
        <v>3353.19</v>
      </c>
      <c r="H13" s="10">
        <v>3353.19</v>
      </c>
      <c r="I13" s="10">
        <v>3353.19</v>
      </c>
      <c r="J13" s="10">
        <v>2646.63</v>
      </c>
      <c r="K13" s="10">
        <v>3353.19</v>
      </c>
      <c r="L13" s="10">
        <v>3239.11</v>
      </c>
      <c r="M13" s="10">
        <v>3239.11</v>
      </c>
      <c r="N13" s="10">
        <v>61856.87</v>
      </c>
      <c r="P13" s="37" t="str">
        <f t="shared" ref="P13:P20" si="0">LEFT(A13,3)</f>
        <v>506</v>
      </c>
    </row>
    <row r="14" spans="1:16">
      <c r="A14" s="28">
        <v>5100000</v>
      </c>
      <c r="B14" s="13">
        <v>477</v>
      </c>
      <c r="C14" s="13">
        <v>477</v>
      </c>
      <c r="D14" s="13">
        <v>477</v>
      </c>
      <c r="E14" s="13">
        <v>477</v>
      </c>
      <c r="F14" s="13">
        <v>477</v>
      </c>
      <c r="G14" s="13">
        <v>477</v>
      </c>
      <c r="H14" s="13">
        <v>477</v>
      </c>
      <c r="I14" s="13">
        <v>477</v>
      </c>
      <c r="J14" s="13">
        <v>477</v>
      </c>
      <c r="K14" s="13">
        <v>477</v>
      </c>
      <c r="L14" s="13">
        <v>477</v>
      </c>
      <c r="M14" s="6"/>
      <c r="N14" s="13">
        <v>5247</v>
      </c>
      <c r="P14" s="37" t="str">
        <f t="shared" si="0"/>
        <v>510</v>
      </c>
    </row>
    <row r="15" spans="1:16">
      <c r="A15" s="28">
        <v>5660000</v>
      </c>
      <c r="B15" s="13">
        <v>190.63</v>
      </c>
      <c r="C15" s="13">
        <v>190.65</v>
      </c>
      <c r="D15" s="13">
        <v>190.65</v>
      </c>
      <c r="E15" s="13">
        <v>190.65</v>
      </c>
      <c r="F15" s="13">
        <v>190.64</v>
      </c>
      <c r="G15" s="13">
        <v>183.89</v>
      </c>
      <c r="H15" s="13">
        <v>183.92</v>
      </c>
      <c r="I15" s="13">
        <v>197.74</v>
      </c>
      <c r="J15" s="13">
        <v>163.54</v>
      </c>
      <c r="K15" s="13">
        <v>178.57</v>
      </c>
      <c r="L15" s="13">
        <v>193.31</v>
      </c>
      <c r="M15" s="13">
        <v>188.7</v>
      </c>
      <c r="N15" s="13">
        <v>2242.89</v>
      </c>
      <c r="P15" s="37" t="str">
        <f t="shared" si="0"/>
        <v>566</v>
      </c>
    </row>
    <row r="16" spans="1:16">
      <c r="A16" s="28">
        <v>5880000</v>
      </c>
      <c r="B16" s="13">
        <v>2819.95</v>
      </c>
      <c r="C16" s="13">
        <v>2819.92</v>
      </c>
      <c r="D16" s="13">
        <v>2764.51</v>
      </c>
      <c r="E16" s="13">
        <v>2764.53</v>
      </c>
      <c r="F16" s="13">
        <v>2764.53</v>
      </c>
      <c r="G16" s="13">
        <v>2720.33</v>
      </c>
      <c r="H16" s="13">
        <v>2720.33</v>
      </c>
      <c r="I16" s="13">
        <v>2720.29</v>
      </c>
      <c r="J16" s="13">
        <v>2918.73</v>
      </c>
      <c r="K16" s="13">
        <v>3158.27</v>
      </c>
      <c r="L16" s="13">
        <v>3011.96</v>
      </c>
      <c r="M16" s="13">
        <v>3117.7</v>
      </c>
      <c r="N16" s="13">
        <v>34301.050000000003</v>
      </c>
      <c r="P16" s="37" t="str">
        <f t="shared" si="0"/>
        <v>588</v>
      </c>
    </row>
    <row r="17" spans="1:16">
      <c r="A17" s="28">
        <v>9310001</v>
      </c>
      <c r="B17" s="13">
        <v>11507.68</v>
      </c>
      <c r="C17" s="13">
        <v>11507.68</v>
      </c>
      <c r="D17" s="13">
        <v>11507.68</v>
      </c>
      <c r="E17" s="13">
        <v>11507.68</v>
      </c>
      <c r="F17" s="13">
        <v>11507.68</v>
      </c>
      <c r="G17" s="13">
        <v>3691.68</v>
      </c>
      <c r="H17" s="13">
        <v>3691.68</v>
      </c>
      <c r="I17" s="13">
        <v>3691.68</v>
      </c>
      <c r="J17" s="13">
        <v>3691.68</v>
      </c>
      <c r="K17" s="13">
        <v>3691.68</v>
      </c>
      <c r="L17" s="13">
        <v>3691.68</v>
      </c>
      <c r="M17" s="13">
        <v>3691.68</v>
      </c>
      <c r="N17" s="13">
        <v>83380.160000000003</v>
      </c>
      <c r="P17" s="37" t="str">
        <f t="shared" si="0"/>
        <v>931</v>
      </c>
    </row>
    <row r="18" spans="1:16">
      <c r="A18" s="28">
        <v>9310002</v>
      </c>
      <c r="B18" s="13">
        <v>2961.43</v>
      </c>
      <c r="C18" s="13">
        <v>2835.32</v>
      </c>
      <c r="D18" s="13">
        <v>2903.5</v>
      </c>
      <c r="E18" s="13">
        <v>2185.77</v>
      </c>
      <c r="F18" s="13">
        <v>2398.77</v>
      </c>
      <c r="G18" s="13">
        <v>2615.15</v>
      </c>
      <c r="H18" s="13">
        <v>4779.43</v>
      </c>
      <c r="I18" s="13">
        <v>5045.1499999999996</v>
      </c>
      <c r="J18" s="13">
        <v>10309.09</v>
      </c>
      <c r="K18" s="13">
        <v>23083.8</v>
      </c>
      <c r="L18" s="13">
        <v>12173.82</v>
      </c>
      <c r="M18" s="13">
        <v>14068.09</v>
      </c>
      <c r="N18" s="13">
        <v>85359.32</v>
      </c>
      <c r="P18" s="37" t="str">
        <f t="shared" si="0"/>
        <v>931</v>
      </c>
    </row>
    <row r="19" spans="1:16">
      <c r="A19" s="28">
        <v>9310005</v>
      </c>
      <c r="B19" s="6"/>
      <c r="C19" s="6"/>
      <c r="D19" s="6"/>
      <c r="E19" s="6"/>
      <c r="F19" s="6"/>
      <c r="G19" s="6"/>
      <c r="H19" s="6"/>
      <c r="I19" s="6"/>
      <c r="J19" s="13">
        <v>12362.76</v>
      </c>
      <c r="K19" s="6"/>
      <c r="L19" s="6"/>
      <c r="M19" s="6"/>
      <c r="N19" s="13">
        <v>12362.76</v>
      </c>
      <c r="P19" s="37" t="str">
        <f t="shared" si="0"/>
        <v>931</v>
      </c>
    </row>
    <row r="20" spans="1:16">
      <c r="A20" s="28">
        <v>9350013</v>
      </c>
      <c r="B20" s="16">
        <v>8555.57</v>
      </c>
      <c r="C20" s="16">
        <v>9058.25</v>
      </c>
      <c r="D20" s="16">
        <v>5840.79</v>
      </c>
      <c r="E20" s="16">
        <v>5840.78</v>
      </c>
      <c r="F20" s="16">
        <v>5840.84</v>
      </c>
      <c r="G20" s="16">
        <v>5840.84</v>
      </c>
      <c r="H20" s="16">
        <v>5840.88</v>
      </c>
      <c r="I20" s="16">
        <v>5840.99</v>
      </c>
      <c r="J20" s="16">
        <v>5841.01</v>
      </c>
      <c r="K20" s="16">
        <v>5841.04</v>
      </c>
      <c r="L20" s="16">
        <v>5841.05</v>
      </c>
      <c r="M20" s="16">
        <v>12463.77</v>
      </c>
      <c r="N20" s="16">
        <v>82645.81</v>
      </c>
      <c r="P20" s="37" t="str">
        <f t="shared" si="0"/>
        <v>935</v>
      </c>
    </row>
    <row r="21" spans="1:16">
      <c r="A21" s="1" t="s">
        <v>277</v>
      </c>
      <c r="B21" s="55">
        <v>34576.379999999997</v>
      </c>
      <c r="C21" s="55">
        <v>36195.67</v>
      </c>
      <c r="D21" s="55">
        <v>32981.68</v>
      </c>
      <c r="E21" s="55">
        <v>32263.96</v>
      </c>
      <c r="F21" s="55">
        <v>26532.65</v>
      </c>
      <c r="G21" s="55">
        <v>18882.080000000002</v>
      </c>
      <c r="H21" s="55">
        <v>21046.43</v>
      </c>
      <c r="I21" s="55">
        <v>21326.04</v>
      </c>
      <c r="J21" s="55">
        <v>38410.44</v>
      </c>
      <c r="K21" s="55">
        <v>39783.550000000003</v>
      </c>
      <c r="L21" s="55">
        <v>28627.93</v>
      </c>
      <c r="M21" s="55">
        <v>36769.050000000003</v>
      </c>
      <c r="N21" s="55">
        <v>367395.86</v>
      </c>
    </row>
    <row r="22" spans="1:16">
      <c r="A22" s="6"/>
      <c r="B22" s="26"/>
      <c r="C22" s="26"/>
      <c r="D22" s="26"/>
      <c r="E22" s="26"/>
      <c r="F22" s="26"/>
      <c r="G22" s="26"/>
      <c r="H22" s="26"/>
      <c r="I22" s="26"/>
      <c r="J22" s="26"/>
      <c r="K22" s="26"/>
      <c r="L22" s="26"/>
      <c r="M22" s="26"/>
      <c r="N22" s="26"/>
    </row>
    <row r="23" spans="1:16" ht="39.6">
      <c r="A23" s="28">
        <v>9310001</v>
      </c>
      <c r="B23" s="28">
        <v>3100</v>
      </c>
      <c r="C23" s="28">
        <v>3100</v>
      </c>
      <c r="D23" s="28">
        <v>3100</v>
      </c>
      <c r="E23" s="28">
        <v>3100</v>
      </c>
      <c r="F23" s="28">
        <v>3100</v>
      </c>
      <c r="G23" s="28">
        <v>3100</v>
      </c>
      <c r="H23" s="28">
        <v>3100</v>
      </c>
      <c r="I23" s="28">
        <v>3100</v>
      </c>
      <c r="J23" s="28">
        <v>3100</v>
      </c>
      <c r="K23" s="28">
        <v>3100</v>
      </c>
      <c r="L23" s="28">
        <v>3100</v>
      </c>
      <c r="M23" s="28">
        <v>3100</v>
      </c>
      <c r="N23" s="28">
        <v>37200</v>
      </c>
      <c r="O23" s="187" t="s">
        <v>335</v>
      </c>
    </row>
    <row r="25" spans="1:16">
      <c r="A25" s="188" t="s">
        <v>335</v>
      </c>
      <c r="B25" s="490" t="s">
        <v>361</v>
      </c>
      <c r="C25" s="487"/>
      <c r="D25" s="487"/>
      <c r="E25" s="487"/>
      <c r="F25" s="487"/>
      <c r="G25" s="487"/>
      <c r="H25" s="487"/>
      <c r="I25" s="487"/>
      <c r="J25" s="487"/>
      <c r="K25" s="487"/>
      <c r="L25" s="487"/>
      <c r="M25" s="487"/>
      <c r="N25" s="487"/>
    </row>
    <row r="27" spans="1:16">
      <c r="A27" s="5" t="s">
        <v>2</v>
      </c>
      <c r="B27" s="489" t="s">
        <v>3</v>
      </c>
      <c r="C27" s="487"/>
      <c r="D27" s="487"/>
    </row>
  </sheetData>
  <mergeCells count="6">
    <mergeCell ref="A1:E1"/>
    <mergeCell ref="A2:E2"/>
    <mergeCell ref="A3:E3"/>
    <mergeCell ref="A4:E4"/>
    <mergeCell ref="B27:D27"/>
    <mergeCell ref="B25:N25"/>
  </mergeCells>
  <pageMargins left="0.75" right="0.75" top="1" bottom="1" header="0.5" footer="0.5"/>
  <pageSetup scale="65"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7"/>
  <sheetViews>
    <sheetView showRuler="0" zoomScaleNormal="100" workbookViewId="0">
      <selection sqref="A1:E1"/>
    </sheetView>
  </sheetViews>
  <sheetFormatPr defaultColWidth="13.6640625" defaultRowHeight="13.2"/>
  <cols>
    <col min="1" max="1" width="19.88671875" customWidth="1"/>
    <col min="2" max="2" width="18.5546875" customWidth="1"/>
    <col min="4" max="5" width="13.6640625" customWidth="1"/>
    <col min="8" max="9" width="13.6640625" customWidth="1"/>
    <col min="10" max="10" width="14.88671875" customWidth="1"/>
    <col min="11" max="13" width="13.6640625" customWidth="1"/>
    <col min="14" max="14" width="16" customWidth="1"/>
  </cols>
  <sheetData>
    <row r="1" spans="1:15">
      <c r="A1" s="494" t="s">
        <v>0</v>
      </c>
      <c r="B1" s="494"/>
      <c r="C1" s="494"/>
      <c r="D1" s="494"/>
      <c r="E1" s="494"/>
    </row>
    <row r="2" spans="1:15">
      <c r="A2" s="494" t="s">
        <v>337</v>
      </c>
      <c r="B2" s="494"/>
      <c r="C2" s="494"/>
      <c r="D2" s="494"/>
      <c r="E2" s="494"/>
    </row>
    <row r="3" spans="1:15">
      <c r="A3" s="494" t="s">
        <v>362</v>
      </c>
      <c r="B3" s="494"/>
      <c r="C3" s="494"/>
      <c r="D3" s="494"/>
      <c r="E3" s="494"/>
    </row>
    <row r="4" spans="1:15">
      <c r="A4" s="494" t="s">
        <v>107</v>
      </c>
      <c r="B4" s="494"/>
      <c r="C4" s="494"/>
      <c r="D4" s="494"/>
      <c r="E4" s="494"/>
    </row>
    <row r="6" spans="1:15">
      <c r="A6" s="93"/>
      <c r="B6" s="34" t="s">
        <v>120</v>
      </c>
      <c r="C6" s="62" t="s">
        <v>121</v>
      </c>
      <c r="D6" s="62" t="s">
        <v>122</v>
      </c>
      <c r="E6" s="62" t="s">
        <v>123</v>
      </c>
      <c r="F6" s="62" t="s">
        <v>124</v>
      </c>
      <c r="G6" s="62" t="s">
        <v>125</v>
      </c>
      <c r="H6" s="62" t="s">
        <v>126</v>
      </c>
      <c r="I6" s="62" t="s">
        <v>127</v>
      </c>
      <c r="J6" s="62" t="s">
        <v>128</v>
      </c>
      <c r="K6" s="62" t="s">
        <v>129</v>
      </c>
      <c r="L6" s="62" t="s">
        <v>130</v>
      </c>
      <c r="M6" s="62" t="s">
        <v>131</v>
      </c>
      <c r="N6" s="62" t="s">
        <v>143</v>
      </c>
      <c r="O6" s="21"/>
    </row>
    <row r="7" spans="1:15">
      <c r="A7" s="94" t="s">
        <v>363</v>
      </c>
      <c r="B7" s="66">
        <v>-200136.52</v>
      </c>
      <c r="C7" s="66">
        <v>-200630.76</v>
      </c>
      <c r="D7" s="66">
        <v>-207466.82</v>
      </c>
      <c r="E7" s="66">
        <v>-202596.94</v>
      </c>
      <c r="F7" s="66">
        <v>-208407.45</v>
      </c>
      <c r="G7" s="66">
        <v>-203371.88</v>
      </c>
      <c r="H7" s="66">
        <v>-203705.25</v>
      </c>
      <c r="I7" s="66">
        <v>-203686.93</v>
      </c>
      <c r="J7" s="66">
        <v>-186109.83</v>
      </c>
      <c r="K7" s="66">
        <v>-203685.28</v>
      </c>
      <c r="L7" s="66">
        <v>-206411.09</v>
      </c>
      <c r="M7" s="66">
        <v>-210421.57</v>
      </c>
      <c r="N7" s="66">
        <v>-2436630.3199999998</v>
      </c>
      <c r="O7" s="21"/>
    </row>
    <row r="8" spans="1:15">
      <c r="A8" s="95"/>
      <c r="B8" s="20"/>
      <c r="C8" s="95"/>
      <c r="D8" s="95"/>
      <c r="E8" s="95"/>
      <c r="F8" s="95"/>
      <c r="G8" s="95"/>
      <c r="H8" s="95"/>
      <c r="I8" s="95"/>
      <c r="J8" s="95"/>
      <c r="K8" s="95"/>
      <c r="L8" s="95"/>
      <c r="M8" s="95"/>
      <c r="N8" s="95"/>
      <c r="O8" s="1"/>
    </row>
    <row r="9" spans="1:15">
      <c r="A9" s="6"/>
      <c r="B9" s="7"/>
      <c r="C9" s="7"/>
      <c r="D9" s="7"/>
      <c r="E9" s="7"/>
      <c r="F9" s="7"/>
      <c r="G9" s="7"/>
      <c r="H9" s="7"/>
      <c r="I9" s="7"/>
      <c r="J9" s="7"/>
      <c r="K9" s="7"/>
      <c r="L9" s="7"/>
      <c r="M9" s="7"/>
      <c r="N9" s="7"/>
      <c r="O9" s="6"/>
    </row>
    <row r="10" spans="1:15">
      <c r="A10" s="23"/>
      <c r="B10" s="506" t="s">
        <v>364</v>
      </c>
      <c r="C10" s="506"/>
      <c r="D10" s="506"/>
      <c r="E10" s="506"/>
      <c r="F10" s="506"/>
      <c r="G10" s="506"/>
      <c r="H10" s="506"/>
      <c r="I10" s="506"/>
      <c r="J10" s="506"/>
      <c r="K10" s="506"/>
      <c r="L10" s="506"/>
      <c r="M10" s="506"/>
      <c r="N10" s="506"/>
      <c r="O10" s="21"/>
    </row>
    <row r="11" spans="1:15">
      <c r="A11" s="7"/>
      <c r="B11" s="22"/>
      <c r="C11" s="22"/>
      <c r="D11" s="22"/>
      <c r="E11" s="22"/>
      <c r="F11" s="22"/>
      <c r="G11" s="22"/>
      <c r="H11" s="22"/>
      <c r="I11" s="22"/>
      <c r="J11" s="22"/>
      <c r="K11" s="22"/>
      <c r="L11" s="22"/>
      <c r="M11" s="22"/>
      <c r="N11" s="22"/>
      <c r="O11" s="6"/>
    </row>
    <row r="12" spans="1:15">
      <c r="A12" s="34" t="s">
        <v>134</v>
      </c>
      <c r="B12" s="34" t="s">
        <v>120</v>
      </c>
      <c r="C12" s="62" t="s">
        <v>121</v>
      </c>
      <c r="D12" s="62" t="s">
        <v>122</v>
      </c>
      <c r="E12" s="62" t="s">
        <v>123</v>
      </c>
      <c r="F12" s="62" t="s">
        <v>124</v>
      </c>
      <c r="G12" s="62" t="s">
        <v>125</v>
      </c>
      <c r="H12" s="62" t="s">
        <v>126</v>
      </c>
      <c r="I12" s="62" t="s">
        <v>127</v>
      </c>
      <c r="J12" s="62" t="s">
        <v>128</v>
      </c>
      <c r="K12" s="62" t="s">
        <v>129</v>
      </c>
      <c r="L12" s="62" t="s">
        <v>130</v>
      </c>
      <c r="M12" s="62" t="s">
        <v>131</v>
      </c>
      <c r="N12" s="62" t="s">
        <v>143</v>
      </c>
      <c r="O12" s="21"/>
    </row>
    <row r="13" spans="1:15">
      <c r="A13" s="96">
        <v>107</v>
      </c>
      <c r="B13" s="10">
        <v>2414.87</v>
      </c>
      <c r="C13" s="10">
        <v>1220.3599999999999</v>
      </c>
      <c r="D13" s="10">
        <v>1975.33</v>
      </c>
      <c r="E13" s="10">
        <v>2125.21</v>
      </c>
      <c r="F13" s="10">
        <v>1263.1500000000001</v>
      </c>
      <c r="G13" s="10">
        <v>1312.9</v>
      </c>
      <c r="H13" s="10">
        <v>2768.27</v>
      </c>
      <c r="I13" s="10">
        <v>2268.4499999999998</v>
      </c>
      <c r="J13" s="10">
        <v>1034.8699999999999</v>
      </c>
      <c r="K13" s="10">
        <v>447.07</v>
      </c>
      <c r="L13" s="10">
        <v>635.63</v>
      </c>
      <c r="M13" s="10">
        <v>478.36</v>
      </c>
      <c r="N13" s="10">
        <f t="shared" ref="N13:N44" si="0">SUM(B13:M13)</f>
        <v>17944.47</v>
      </c>
      <c r="O13" s="6"/>
    </row>
    <row r="14" spans="1:15">
      <c r="A14" s="37">
        <v>107</v>
      </c>
      <c r="B14" s="13">
        <v>39223.39</v>
      </c>
      <c r="C14" s="13">
        <v>40095.39</v>
      </c>
      <c r="D14" s="13">
        <v>41690.18</v>
      </c>
      <c r="E14" s="13">
        <v>36818.9</v>
      </c>
      <c r="F14" s="13">
        <v>47865.71</v>
      </c>
      <c r="G14" s="13">
        <v>48469.49</v>
      </c>
      <c r="H14" s="13">
        <v>45370.16</v>
      </c>
      <c r="I14" s="13">
        <v>46560.4</v>
      </c>
      <c r="J14" s="13">
        <v>43434.29</v>
      </c>
      <c r="K14" s="13">
        <v>53341.14</v>
      </c>
      <c r="L14" s="13">
        <v>56857.4</v>
      </c>
      <c r="M14" s="13">
        <v>60486.42</v>
      </c>
      <c r="N14" s="13">
        <f t="shared" si="0"/>
        <v>560212.87</v>
      </c>
      <c r="O14" s="6"/>
    </row>
    <row r="15" spans="1:15">
      <c r="A15" s="37">
        <v>108</v>
      </c>
      <c r="B15" s="13">
        <v>51.48</v>
      </c>
      <c r="C15" s="13">
        <v>0</v>
      </c>
      <c r="D15" s="13">
        <v>0</v>
      </c>
      <c r="E15" s="13">
        <v>0</v>
      </c>
      <c r="F15" s="13">
        <v>0</v>
      </c>
      <c r="G15" s="13">
        <v>0</v>
      </c>
      <c r="H15" s="13">
        <v>0</v>
      </c>
      <c r="I15" s="13">
        <v>0</v>
      </c>
      <c r="J15" s="13">
        <v>0</v>
      </c>
      <c r="K15" s="13">
        <v>0</v>
      </c>
      <c r="L15" s="13">
        <v>0</v>
      </c>
      <c r="M15" s="13">
        <v>0</v>
      </c>
      <c r="N15" s="13">
        <f t="shared" si="0"/>
        <v>51.48</v>
      </c>
      <c r="O15" s="6"/>
    </row>
    <row r="16" spans="1:15">
      <c r="A16" s="37">
        <v>108</v>
      </c>
      <c r="B16" s="13">
        <v>8566.7800000000007</v>
      </c>
      <c r="C16" s="13">
        <v>8323.59</v>
      </c>
      <c r="D16" s="13">
        <v>6933.59</v>
      </c>
      <c r="E16" s="13">
        <v>6304.74</v>
      </c>
      <c r="F16" s="13">
        <v>9514.2900000000009</v>
      </c>
      <c r="G16" s="13">
        <v>7528.15</v>
      </c>
      <c r="H16" s="13">
        <v>7645.93</v>
      </c>
      <c r="I16" s="13">
        <v>7573.06</v>
      </c>
      <c r="J16" s="13">
        <v>7292.64</v>
      </c>
      <c r="K16" s="13">
        <v>8993.98</v>
      </c>
      <c r="L16" s="13">
        <v>10489.22</v>
      </c>
      <c r="M16" s="13">
        <v>13597.45</v>
      </c>
      <c r="N16" s="13">
        <f t="shared" si="0"/>
        <v>102763.42</v>
      </c>
      <c r="O16" s="6"/>
    </row>
    <row r="17" spans="1:15">
      <c r="A17" s="37">
        <v>146</v>
      </c>
      <c r="B17" s="13">
        <v>93381.75</v>
      </c>
      <c r="C17" s="13">
        <v>93522.98</v>
      </c>
      <c r="D17" s="13">
        <v>84600.88</v>
      </c>
      <c r="E17" s="13">
        <v>88278.55</v>
      </c>
      <c r="F17" s="13">
        <v>82721.070000000007</v>
      </c>
      <c r="G17" s="13">
        <v>67082.33</v>
      </c>
      <c r="H17" s="13">
        <v>86258.48</v>
      </c>
      <c r="I17" s="13">
        <v>76264.89</v>
      </c>
      <c r="J17" s="13">
        <v>80213.47</v>
      </c>
      <c r="K17" s="13">
        <v>76989.350000000006</v>
      </c>
      <c r="L17" s="13">
        <v>77285.05</v>
      </c>
      <c r="M17" s="13">
        <v>81806.41</v>
      </c>
      <c r="N17" s="13">
        <f t="shared" si="0"/>
        <v>988405.21000000008</v>
      </c>
      <c r="O17" s="6"/>
    </row>
    <row r="18" spans="1:15">
      <c r="A18" s="37">
        <v>152</v>
      </c>
      <c r="B18" s="13">
        <v>794.37</v>
      </c>
      <c r="C18" s="13">
        <v>867.8</v>
      </c>
      <c r="D18" s="13">
        <v>295.08</v>
      </c>
      <c r="E18" s="13">
        <v>431.06</v>
      </c>
      <c r="F18" s="13">
        <v>642.22</v>
      </c>
      <c r="G18" s="13">
        <v>553.54</v>
      </c>
      <c r="H18" s="13">
        <v>501.92</v>
      </c>
      <c r="I18" s="13">
        <v>528.91</v>
      </c>
      <c r="J18" s="13">
        <v>612.11</v>
      </c>
      <c r="K18" s="13">
        <v>236.59</v>
      </c>
      <c r="L18" s="13">
        <v>821.67</v>
      </c>
      <c r="M18" s="13">
        <v>301.61</v>
      </c>
      <c r="N18" s="13">
        <f t="shared" si="0"/>
        <v>6586.8799999999992</v>
      </c>
      <c r="O18" s="6"/>
    </row>
    <row r="19" spans="1:15">
      <c r="A19" s="37">
        <v>163</v>
      </c>
      <c r="B19" s="13">
        <v>2762.83</v>
      </c>
      <c r="C19" s="13">
        <v>5025.22</v>
      </c>
      <c r="D19" s="13">
        <v>5245.56</v>
      </c>
      <c r="E19" s="13">
        <v>5577.82</v>
      </c>
      <c r="F19" s="13">
        <v>4922.1499999999996</v>
      </c>
      <c r="G19" s="13">
        <v>5029.42</v>
      </c>
      <c r="H19" s="13">
        <v>5734.26</v>
      </c>
      <c r="I19" s="13">
        <v>6659.04</v>
      </c>
      <c r="J19" s="13">
        <v>7010.29</v>
      </c>
      <c r="K19" s="13">
        <v>4862.03</v>
      </c>
      <c r="L19" s="13">
        <v>6261.2</v>
      </c>
      <c r="M19" s="13">
        <v>6115.24</v>
      </c>
      <c r="N19" s="13">
        <f t="shared" si="0"/>
        <v>65205.06</v>
      </c>
      <c r="O19" s="6"/>
    </row>
    <row r="20" spans="1:15">
      <c r="A20" s="37">
        <v>163</v>
      </c>
      <c r="B20" s="13">
        <v>0</v>
      </c>
      <c r="C20" s="13">
        <v>0</v>
      </c>
      <c r="D20" s="13">
        <v>0</v>
      </c>
      <c r="E20" s="13">
        <v>0</v>
      </c>
      <c r="F20" s="13">
        <v>0</v>
      </c>
      <c r="G20" s="13">
        <v>0</v>
      </c>
      <c r="H20" s="13">
        <v>0</v>
      </c>
      <c r="I20" s="13">
        <v>0</v>
      </c>
      <c r="J20" s="13">
        <v>0</v>
      </c>
      <c r="K20" s="13">
        <v>0</v>
      </c>
      <c r="L20" s="13">
        <v>55.7</v>
      </c>
      <c r="M20" s="13">
        <v>50.72</v>
      </c>
      <c r="N20" s="13">
        <f t="shared" si="0"/>
        <v>106.42</v>
      </c>
      <c r="O20" s="6"/>
    </row>
    <row r="21" spans="1:15">
      <c r="A21" s="37">
        <v>163</v>
      </c>
      <c r="B21" s="13">
        <v>17.8</v>
      </c>
      <c r="C21" s="13">
        <v>10.24</v>
      </c>
      <c r="D21" s="13">
        <v>12.7</v>
      </c>
      <c r="E21" s="13">
        <v>43.28</v>
      </c>
      <c r="F21" s="13">
        <v>168.95</v>
      </c>
      <c r="G21" s="13">
        <v>48.19</v>
      </c>
      <c r="H21" s="13">
        <v>14.97</v>
      </c>
      <c r="I21" s="13">
        <v>16.989999999999998</v>
      </c>
      <c r="J21" s="13">
        <v>21.1</v>
      </c>
      <c r="K21" s="13">
        <v>12.14</v>
      </c>
      <c r="L21" s="13">
        <v>27.47</v>
      </c>
      <c r="M21" s="13">
        <v>15.52</v>
      </c>
      <c r="N21" s="13">
        <f t="shared" si="0"/>
        <v>409.35</v>
      </c>
      <c r="O21" s="6"/>
    </row>
    <row r="22" spans="1:15">
      <c r="A22" s="37">
        <v>163</v>
      </c>
      <c r="B22" s="13">
        <v>0.36</v>
      </c>
      <c r="C22" s="13">
        <v>6.63</v>
      </c>
      <c r="D22" s="13">
        <v>98.18</v>
      </c>
      <c r="E22" s="13">
        <v>504.12</v>
      </c>
      <c r="F22" s="13">
        <v>0</v>
      </c>
      <c r="G22" s="13">
        <v>0</v>
      </c>
      <c r="H22" s="13">
        <v>0</v>
      </c>
      <c r="I22" s="13">
        <v>0</v>
      </c>
      <c r="J22" s="13">
        <v>38.450000000000003</v>
      </c>
      <c r="K22" s="13">
        <v>0</v>
      </c>
      <c r="L22" s="13">
        <v>0</v>
      </c>
      <c r="M22" s="13">
        <v>3.02</v>
      </c>
      <c r="N22" s="13">
        <f t="shared" si="0"/>
        <v>650.76</v>
      </c>
      <c r="O22" s="6"/>
    </row>
    <row r="23" spans="1:15">
      <c r="A23" s="37">
        <v>183</v>
      </c>
      <c r="B23" s="13">
        <v>0</v>
      </c>
      <c r="C23" s="13">
        <v>0</v>
      </c>
      <c r="D23" s="13">
        <v>0</v>
      </c>
      <c r="E23" s="13">
        <v>0</v>
      </c>
      <c r="F23" s="13">
        <v>0.19</v>
      </c>
      <c r="G23" s="13">
        <v>7.64</v>
      </c>
      <c r="H23" s="13">
        <v>0</v>
      </c>
      <c r="I23" s="13">
        <v>16.25</v>
      </c>
      <c r="J23" s="13">
        <v>0</v>
      </c>
      <c r="K23" s="13">
        <v>0</v>
      </c>
      <c r="L23" s="13">
        <v>0</v>
      </c>
      <c r="M23" s="13">
        <v>0</v>
      </c>
      <c r="N23" s="13">
        <f t="shared" si="0"/>
        <v>24.08</v>
      </c>
      <c r="O23" s="6"/>
    </row>
    <row r="24" spans="1:15">
      <c r="A24" s="37">
        <v>184</v>
      </c>
      <c r="B24" s="13">
        <v>0</v>
      </c>
      <c r="C24" s="13">
        <v>0</v>
      </c>
      <c r="D24" s="13">
        <v>0</v>
      </c>
      <c r="E24" s="13">
        <v>0</v>
      </c>
      <c r="F24" s="13">
        <v>0</v>
      </c>
      <c r="G24" s="13">
        <v>0</v>
      </c>
      <c r="H24" s="13">
        <v>31.14</v>
      </c>
      <c r="I24" s="13">
        <v>0</v>
      </c>
      <c r="J24" s="13">
        <v>0</v>
      </c>
      <c r="K24" s="13">
        <v>0</v>
      </c>
      <c r="L24" s="13">
        <v>0</v>
      </c>
      <c r="M24" s="13">
        <v>0</v>
      </c>
      <c r="N24" s="13">
        <f t="shared" si="0"/>
        <v>31.14</v>
      </c>
      <c r="O24" s="6"/>
    </row>
    <row r="25" spans="1:15">
      <c r="A25" s="37">
        <v>184</v>
      </c>
      <c r="B25" s="13">
        <v>8.93</v>
      </c>
      <c r="C25" s="13">
        <v>94.54</v>
      </c>
      <c r="D25" s="13">
        <v>8.89</v>
      </c>
      <c r="E25" s="13">
        <v>32.06</v>
      </c>
      <c r="F25" s="13">
        <v>7.23</v>
      </c>
      <c r="G25" s="13">
        <v>0</v>
      </c>
      <c r="H25" s="13">
        <v>0</v>
      </c>
      <c r="I25" s="13">
        <v>0</v>
      </c>
      <c r="J25" s="13">
        <v>71.38</v>
      </c>
      <c r="K25" s="13">
        <v>0</v>
      </c>
      <c r="L25" s="13">
        <v>19.559999999999999</v>
      </c>
      <c r="M25" s="13">
        <v>68.45</v>
      </c>
      <c r="N25" s="13">
        <f t="shared" si="0"/>
        <v>311.04000000000002</v>
      </c>
      <c r="O25" s="6"/>
    </row>
    <row r="26" spans="1:15">
      <c r="A26" s="37">
        <v>185</v>
      </c>
      <c r="B26" s="13">
        <v>126.21</v>
      </c>
      <c r="C26" s="13">
        <v>254.71</v>
      </c>
      <c r="D26" s="13">
        <v>236.26</v>
      </c>
      <c r="E26" s="13">
        <v>236.59</v>
      </c>
      <c r="F26" s="13">
        <v>437.72</v>
      </c>
      <c r="G26" s="13">
        <v>452.7</v>
      </c>
      <c r="H26" s="13">
        <v>229.15</v>
      </c>
      <c r="I26" s="13">
        <v>670.3</v>
      </c>
      <c r="J26" s="13">
        <v>257.57</v>
      </c>
      <c r="K26" s="13">
        <v>290.98</v>
      </c>
      <c r="L26" s="13">
        <v>223.02</v>
      </c>
      <c r="M26" s="13">
        <v>90.14</v>
      </c>
      <c r="N26" s="13">
        <f t="shared" si="0"/>
        <v>3505.3500000000004</v>
      </c>
      <c r="O26" s="6"/>
    </row>
    <row r="27" spans="1:15">
      <c r="A27" s="37">
        <v>186</v>
      </c>
      <c r="B27" s="13">
        <v>0</v>
      </c>
      <c r="C27" s="13">
        <v>43.44</v>
      </c>
      <c r="D27" s="13">
        <v>0</v>
      </c>
      <c r="E27" s="13">
        <v>0</v>
      </c>
      <c r="F27" s="13">
        <v>0</v>
      </c>
      <c r="G27" s="13">
        <v>0</v>
      </c>
      <c r="H27" s="13">
        <v>0</v>
      </c>
      <c r="I27" s="13">
        <v>0</v>
      </c>
      <c r="J27" s="13">
        <v>0</v>
      </c>
      <c r="K27" s="13">
        <v>0</v>
      </c>
      <c r="L27" s="13">
        <v>0</v>
      </c>
      <c r="M27" s="13">
        <v>0</v>
      </c>
      <c r="N27" s="13">
        <f t="shared" si="0"/>
        <v>43.44</v>
      </c>
      <c r="O27" s="6"/>
    </row>
    <row r="28" spans="1:15">
      <c r="A28" s="37">
        <v>186</v>
      </c>
      <c r="B28" s="13">
        <v>171.03</v>
      </c>
      <c r="C28" s="13">
        <v>743.18</v>
      </c>
      <c r="D28" s="13">
        <v>316.25</v>
      </c>
      <c r="E28" s="13">
        <v>447.28</v>
      </c>
      <c r="F28" s="13">
        <v>452.9</v>
      </c>
      <c r="G28" s="13">
        <v>19918.91</v>
      </c>
      <c r="H28" s="13">
        <v>253.64</v>
      </c>
      <c r="I28" s="13">
        <v>339.02</v>
      </c>
      <c r="J28" s="13">
        <v>463.01</v>
      </c>
      <c r="K28" s="13">
        <v>274.60000000000002</v>
      </c>
      <c r="L28" s="13">
        <v>125.29</v>
      </c>
      <c r="M28" s="13">
        <v>528.17999999999995</v>
      </c>
      <c r="N28" s="13">
        <f t="shared" si="0"/>
        <v>24033.289999999997</v>
      </c>
      <c r="O28" s="6"/>
    </row>
    <row r="29" spans="1:15">
      <c r="A29" s="37">
        <v>234</v>
      </c>
      <c r="B29" s="13">
        <v>-12512.81</v>
      </c>
      <c r="C29" s="13">
        <v>-17355.740000000002</v>
      </c>
      <c r="D29" s="13">
        <v>-5318.36</v>
      </c>
      <c r="E29" s="13">
        <v>-6839.47</v>
      </c>
      <c r="F29" s="13">
        <v>-12266.55</v>
      </c>
      <c r="G29" s="13">
        <v>-12731.18</v>
      </c>
      <c r="H29" s="13">
        <v>-9485.49</v>
      </c>
      <c r="I29" s="13">
        <v>-9905.49</v>
      </c>
      <c r="J29" s="13">
        <v>-11035.46</v>
      </c>
      <c r="K29" s="13">
        <v>-7510.52</v>
      </c>
      <c r="L29" s="13">
        <v>-8142.01</v>
      </c>
      <c r="M29" s="13">
        <v>-6419.02</v>
      </c>
      <c r="N29" s="13">
        <f t="shared" si="0"/>
        <v>-119522.10000000002</v>
      </c>
      <c r="O29" s="6"/>
    </row>
    <row r="30" spans="1:15">
      <c r="A30" s="37">
        <v>401</v>
      </c>
      <c r="B30" s="13">
        <v>0</v>
      </c>
      <c r="C30" s="13">
        <v>0</v>
      </c>
      <c r="D30" s="13">
        <v>0</v>
      </c>
      <c r="E30" s="13">
        <v>0</v>
      </c>
      <c r="F30" s="13">
        <v>1.1599999999999999</v>
      </c>
      <c r="G30" s="13">
        <v>0</v>
      </c>
      <c r="H30" s="13">
        <v>0</v>
      </c>
      <c r="I30" s="13">
        <v>3.73</v>
      </c>
      <c r="J30" s="13">
        <v>0</v>
      </c>
      <c r="K30" s="13">
        <v>0</v>
      </c>
      <c r="L30" s="13">
        <v>0</v>
      </c>
      <c r="M30" s="13">
        <v>0.54</v>
      </c>
      <c r="N30" s="13">
        <f t="shared" si="0"/>
        <v>5.43</v>
      </c>
      <c r="O30" s="6"/>
    </row>
    <row r="31" spans="1:15">
      <c r="A31" s="37">
        <v>426</v>
      </c>
      <c r="B31" s="13">
        <v>45.43</v>
      </c>
      <c r="C31" s="13">
        <v>0</v>
      </c>
      <c r="D31" s="13">
        <v>0</v>
      </c>
      <c r="E31" s="13">
        <v>0</v>
      </c>
      <c r="F31" s="13">
        <v>0</v>
      </c>
      <c r="G31" s="13">
        <v>4.1399999999999997</v>
      </c>
      <c r="H31" s="13">
        <v>6.05</v>
      </c>
      <c r="I31" s="13">
        <v>45.05</v>
      </c>
      <c r="J31" s="13">
        <v>0</v>
      </c>
      <c r="K31" s="13">
        <v>2.41</v>
      </c>
      <c r="L31" s="13">
        <v>12.98</v>
      </c>
      <c r="M31" s="13">
        <v>4.84</v>
      </c>
      <c r="N31" s="13">
        <f t="shared" si="0"/>
        <v>120.89999999999999</v>
      </c>
      <c r="O31" s="6"/>
    </row>
    <row r="32" spans="1:15">
      <c r="A32" s="37">
        <v>500</v>
      </c>
      <c r="B32" s="13">
        <v>92.5</v>
      </c>
      <c r="C32" s="13">
        <v>329.36</v>
      </c>
      <c r="D32" s="13">
        <v>84.32</v>
      </c>
      <c r="E32" s="13">
        <v>100.89</v>
      </c>
      <c r="F32" s="13">
        <v>105.21</v>
      </c>
      <c r="G32" s="13">
        <v>121.42</v>
      </c>
      <c r="H32" s="13">
        <v>53.46</v>
      </c>
      <c r="I32" s="13">
        <v>48.1</v>
      </c>
      <c r="J32" s="13">
        <v>55.13</v>
      </c>
      <c r="K32" s="13">
        <v>737.76</v>
      </c>
      <c r="L32" s="13">
        <v>-1123.24</v>
      </c>
      <c r="M32" s="13">
        <v>1026.47</v>
      </c>
      <c r="N32" s="13">
        <f t="shared" si="0"/>
        <v>1631.38</v>
      </c>
      <c r="O32" s="6"/>
    </row>
    <row r="33" spans="1:15">
      <c r="A33" s="37">
        <v>501</v>
      </c>
      <c r="B33" s="13">
        <v>839.58</v>
      </c>
      <c r="C33" s="13">
        <v>854.64</v>
      </c>
      <c r="D33" s="13">
        <v>334.55</v>
      </c>
      <c r="E33" s="13">
        <v>508.32</v>
      </c>
      <c r="F33" s="13">
        <v>800.74</v>
      </c>
      <c r="G33" s="13">
        <v>698.14</v>
      </c>
      <c r="H33" s="13">
        <v>628.49</v>
      </c>
      <c r="I33" s="13">
        <v>476.9</v>
      </c>
      <c r="J33" s="13">
        <v>654.83000000000004</v>
      </c>
      <c r="K33" s="13">
        <v>306.02</v>
      </c>
      <c r="L33" s="13">
        <v>977.29</v>
      </c>
      <c r="M33" s="13">
        <v>344.52</v>
      </c>
      <c r="N33" s="13">
        <f t="shared" si="0"/>
        <v>7424.0199999999986</v>
      </c>
      <c r="O33" s="6"/>
    </row>
    <row r="34" spans="1:15">
      <c r="A34" s="37">
        <v>501</v>
      </c>
      <c r="B34" s="13">
        <v>125.52</v>
      </c>
      <c r="C34" s="13">
        <v>147.94</v>
      </c>
      <c r="D34" s="13">
        <v>56.42</v>
      </c>
      <c r="E34" s="13">
        <v>86.14</v>
      </c>
      <c r="F34" s="13">
        <v>202.53</v>
      </c>
      <c r="G34" s="13">
        <v>133.54</v>
      </c>
      <c r="H34" s="13">
        <v>123.44</v>
      </c>
      <c r="I34" s="13">
        <v>89.81</v>
      </c>
      <c r="J34" s="13">
        <v>143.16999999999999</v>
      </c>
      <c r="K34" s="13">
        <v>65.099999999999994</v>
      </c>
      <c r="L34" s="13">
        <v>193.37</v>
      </c>
      <c r="M34" s="13">
        <v>94.44</v>
      </c>
      <c r="N34" s="13">
        <f t="shared" si="0"/>
        <v>1461.42</v>
      </c>
      <c r="O34" s="6"/>
    </row>
    <row r="35" spans="1:15">
      <c r="A35" s="37">
        <v>502</v>
      </c>
      <c r="B35" s="13">
        <v>353.39</v>
      </c>
      <c r="C35" s="13">
        <v>374.58</v>
      </c>
      <c r="D35" s="13">
        <v>170.17</v>
      </c>
      <c r="E35" s="13">
        <v>191.07</v>
      </c>
      <c r="F35" s="13">
        <v>234.42</v>
      </c>
      <c r="G35" s="13">
        <v>208.94</v>
      </c>
      <c r="H35" s="13">
        <v>203.99</v>
      </c>
      <c r="I35" s="13">
        <v>180.96</v>
      </c>
      <c r="J35" s="13">
        <v>188.57</v>
      </c>
      <c r="K35" s="13">
        <v>117.41</v>
      </c>
      <c r="L35" s="13">
        <v>341.78</v>
      </c>
      <c r="M35" s="13">
        <v>134.72</v>
      </c>
      <c r="N35" s="13">
        <f t="shared" si="0"/>
        <v>2699.9999999999995</v>
      </c>
      <c r="O35" s="6"/>
    </row>
    <row r="36" spans="1:15">
      <c r="A36" s="37">
        <v>502</v>
      </c>
      <c r="B36" s="13">
        <v>68.72</v>
      </c>
      <c r="C36" s="13">
        <v>47.44</v>
      </c>
      <c r="D36" s="13">
        <v>13.61</v>
      </c>
      <c r="E36" s="13">
        <v>31.33</v>
      </c>
      <c r="F36" s="13">
        <v>117.76</v>
      </c>
      <c r="G36" s="13">
        <v>83.12</v>
      </c>
      <c r="H36" s="13">
        <v>96.32</v>
      </c>
      <c r="I36" s="13">
        <v>36.99</v>
      </c>
      <c r="J36" s="13">
        <v>51.12</v>
      </c>
      <c r="K36" s="13">
        <v>19.739999999999998</v>
      </c>
      <c r="L36" s="13">
        <v>47.14</v>
      </c>
      <c r="M36" s="13">
        <v>20.04</v>
      </c>
      <c r="N36" s="13">
        <f t="shared" si="0"/>
        <v>633.32999999999993</v>
      </c>
      <c r="O36" s="6"/>
    </row>
    <row r="37" spans="1:15">
      <c r="A37" s="37">
        <v>502</v>
      </c>
      <c r="B37" s="13">
        <v>0</v>
      </c>
      <c r="C37" s="13">
        <v>0</v>
      </c>
      <c r="D37" s="13">
        <v>0</v>
      </c>
      <c r="E37" s="13">
        <v>0</v>
      </c>
      <c r="F37" s="13">
        <v>6.56</v>
      </c>
      <c r="G37" s="13">
        <v>4.26</v>
      </c>
      <c r="H37" s="13">
        <v>5.59</v>
      </c>
      <c r="I37" s="13">
        <v>7</v>
      </c>
      <c r="J37" s="13">
        <v>2.85</v>
      </c>
      <c r="K37" s="13">
        <v>0</v>
      </c>
      <c r="L37" s="13">
        <v>0</v>
      </c>
      <c r="M37" s="13">
        <v>5.25</v>
      </c>
      <c r="N37" s="13">
        <f t="shared" si="0"/>
        <v>31.51</v>
      </c>
      <c r="O37" s="6"/>
    </row>
    <row r="38" spans="1:15">
      <c r="A38" s="37">
        <v>506</v>
      </c>
      <c r="B38" s="13">
        <v>1618.1</v>
      </c>
      <c r="C38" s="13">
        <v>4137.0200000000004</v>
      </c>
      <c r="D38" s="13">
        <v>1712.11</v>
      </c>
      <c r="E38" s="13">
        <v>1821.52</v>
      </c>
      <c r="F38" s="13">
        <v>2845.27</v>
      </c>
      <c r="G38" s="13">
        <v>3703.59</v>
      </c>
      <c r="H38" s="13">
        <v>1662.19</v>
      </c>
      <c r="I38" s="13">
        <v>1775.51</v>
      </c>
      <c r="J38" s="13">
        <v>3285.6</v>
      </c>
      <c r="K38" s="13">
        <v>2222.61</v>
      </c>
      <c r="L38" s="13">
        <v>1543.73</v>
      </c>
      <c r="M38" s="13">
        <v>1485.27</v>
      </c>
      <c r="N38" s="13">
        <f t="shared" si="0"/>
        <v>27812.519999999997</v>
      </c>
      <c r="O38" s="6"/>
    </row>
    <row r="39" spans="1:15">
      <c r="A39" s="37">
        <v>510</v>
      </c>
      <c r="B39" s="13">
        <v>637.64</v>
      </c>
      <c r="C39" s="13">
        <v>635.17999999999995</v>
      </c>
      <c r="D39" s="13">
        <v>173.65</v>
      </c>
      <c r="E39" s="13">
        <v>318.70999999999998</v>
      </c>
      <c r="F39" s="13">
        <v>514.89</v>
      </c>
      <c r="G39" s="13">
        <v>481.17</v>
      </c>
      <c r="H39" s="13">
        <v>454.63</v>
      </c>
      <c r="I39" s="13">
        <v>627.79</v>
      </c>
      <c r="J39" s="13">
        <v>699.72</v>
      </c>
      <c r="K39" s="13">
        <v>899.03</v>
      </c>
      <c r="L39" s="13">
        <v>37.69</v>
      </c>
      <c r="M39" s="13">
        <v>465.6</v>
      </c>
      <c r="N39" s="13">
        <f t="shared" si="0"/>
        <v>5945.7</v>
      </c>
      <c r="O39" s="6"/>
    </row>
    <row r="40" spans="1:15">
      <c r="A40" s="37">
        <v>511</v>
      </c>
      <c r="B40" s="13">
        <v>52.26</v>
      </c>
      <c r="C40" s="13">
        <v>66.819999999999993</v>
      </c>
      <c r="D40" s="13">
        <v>12.13</v>
      </c>
      <c r="E40" s="13">
        <v>18.7</v>
      </c>
      <c r="F40" s="13">
        <v>59.41</v>
      </c>
      <c r="G40" s="13">
        <v>24.85</v>
      </c>
      <c r="H40" s="13">
        <v>28.9</v>
      </c>
      <c r="I40" s="13">
        <v>93.86</v>
      </c>
      <c r="J40" s="13">
        <v>59.35</v>
      </c>
      <c r="K40" s="13">
        <v>96.05</v>
      </c>
      <c r="L40" s="13">
        <v>-463.99</v>
      </c>
      <c r="M40" s="13">
        <v>111.58</v>
      </c>
      <c r="N40" s="13">
        <f t="shared" si="0"/>
        <v>159.9199999999999</v>
      </c>
      <c r="O40" s="6"/>
    </row>
    <row r="41" spans="1:15">
      <c r="A41" s="37">
        <v>512</v>
      </c>
      <c r="B41" s="13">
        <v>1433.62</v>
      </c>
      <c r="C41" s="13">
        <v>1602.47</v>
      </c>
      <c r="D41" s="13">
        <v>468.97</v>
      </c>
      <c r="E41" s="13">
        <v>566.1</v>
      </c>
      <c r="F41" s="13">
        <v>1134.3399999999999</v>
      </c>
      <c r="G41" s="13">
        <v>989.63</v>
      </c>
      <c r="H41" s="13">
        <v>928.35</v>
      </c>
      <c r="I41" s="13">
        <v>999.82</v>
      </c>
      <c r="J41" s="13">
        <v>1018.57</v>
      </c>
      <c r="K41" s="13">
        <v>706.5</v>
      </c>
      <c r="L41" s="13">
        <v>518.02</v>
      </c>
      <c r="M41" s="13">
        <v>398.78</v>
      </c>
      <c r="N41" s="13">
        <f t="shared" si="0"/>
        <v>10765.170000000002</v>
      </c>
      <c r="O41" s="6"/>
    </row>
    <row r="42" spans="1:15">
      <c r="A42" s="37">
        <v>513</v>
      </c>
      <c r="B42" s="13">
        <v>784.31</v>
      </c>
      <c r="C42" s="13">
        <v>624.08000000000004</v>
      </c>
      <c r="D42" s="13">
        <v>264.63</v>
      </c>
      <c r="E42" s="13">
        <v>294.76</v>
      </c>
      <c r="F42" s="13">
        <v>466.12</v>
      </c>
      <c r="G42" s="13">
        <v>593.87</v>
      </c>
      <c r="H42" s="13">
        <v>469.1</v>
      </c>
      <c r="I42" s="13">
        <v>628.62</v>
      </c>
      <c r="J42" s="13">
        <v>563.1</v>
      </c>
      <c r="K42" s="13">
        <v>308.57</v>
      </c>
      <c r="L42" s="13">
        <v>407.31</v>
      </c>
      <c r="M42" s="13">
        <v>158.28</v>
      </c>
      <c r="N42" s="13">
        <f t="shared" si="0"/>
        <v>5562.75</v>
      </c>
      <c r="O42" s="6"/>
    </row>
    <row r="43" spans="1:15">
      <c r="A43" s="37">
        <v>514</v>
      </c>
      <c r="B43" s="13">
        <v>269.54000000000002</v>
      </c>
      <c r="C43" s="13">
        <v>1083.04</v>
      </c>
      <c r="D43" s="13">
        <v>384.69</v>
      </c>
      <c r="E43" s="13">
        <v>524.29999999999995</v>
      </c>
      <c r="F43" s="13">
        <v>559.9</v>
      </c>
      <c r="G43" s="13">
        <v>613.71</v>
      </c>
      <c r="H43" s="13">
        <v>241.09</v>
      </c>
      <c r="I43" s="13">
        <v>307.56</v>
      </c>
      <c r="J43" s="13">
        <v>476.26</v>
      </c>
      <c r="K43" s="13">
        <v>314.94</v>
      </c>
      <c r="L43" s="13">
        <v>266.89</v>
      </c>
      <c r="M43" s="13">
        <v>74.95</v>
      </c>
      <c r="N43" s="13">
        <f t="shared" si="0"/>
        <v>5116.87</v>
      </c>
      <c r="O43" s="6"/>
    </row>
    <row r="44" spans="1:15">
      <c r="A44" s="37">
        <v>537</v>
      </c>
      <c r="B44" s="13">
        <v>0</v>
      </c>
      <c r="C44" s="13">
        <v>0</v>
      </c>
      <c r="D44" s="13">
        <v>0</v>
      </c>
      <c r="E44" s="13">
        <v>0</v>
      </c>
      <c r="F44" s="13">
        <v>0</v>
      </c>
      <c r="G44" s="13">
        <v>0</v>
      </c>
      <c r="H44" s="13">
        <v>0</v>
      </c>
      <c r="I44" s="13">
        <v>0</v>
      </c>
      <c r="J44" s="13">
        <v>0</v>
      </c>
      <c r="K44" s="13">
        <v>0.68</v>
      </c>
      <c r="L44" s="13">
        <v>0</v>
      </c>
      <c r="M44" s="13">
        <v>0</v>
      </c>
      <c r="N44" s="13">
        <f t="shared" si="0"/>
        <v>0.68</v>
      </c>
      <c r="O44" s="6"/>
    </row>
    <row r="45" spans="1:15">
      <c r="A45" s="37">
        <v>546</v>
      </c>
      <c r="B45" s="13">
        <v>4.24</v>
      </c>
      <c r="C45" s="13">
        <v>24.24</v>
      </c>
      <c r="D45" s="13">
        <v>6.5</v>
      </c>
      <c r="E45" s="13">
        <v>0</v>
      </c>
      <c r="F45" s="13">
        <v>0</v>
      </c>
      <c r="G45" s="13">
        <v>0</v>
      </c>
      <c r="H45" s="13">
        <v>12.65</v>
      </c>
      <c r="I45" s="13">
        <v>9.75</v>
      </c>
      <c r="J45" s="13">
        <v>31.26</v>
      </c>
      <c r="K45" s="13">
        <v>13.51</v>
      </c>
      <c r="L45" s="13">
        <v>8.57</v>
      </c>
      <c r="M45" s="13">
        <v>0</v>
      </c>
      <c r="N45" s="13">
        <f t="shared" ref="N45:N76" si="1">SUM(B45:M45)</f>
        <v>110.72</v>
      </c>
      <c r="O45" s="6"/>
    </row>
    <row r="46" spans="1:15">
      <c r="A46" s="37">
        <v>570</v>
      </c>
      <c r="B46" s="13">
        <v>0</v>
      </c>
      <c r="C46" s="13">
        <v>0</v>
      </c>
      <c r="D46" s="13">
        <v>0</v>
      </c>
      <c r="E46" s="13">
        <v>0</v>
      </c>
      <c r="F46" s="13">
        <v>0</v>
      </c>
      <c r="G46" s="13">
        <v>0</v>
      </c>
      <c r="H46" s="13">
        <v>0</v>
      </c>
      <c r="I46" s="13">
        <v>57.33</v>
      </c>
      <c r="J46" s="13">
        <v>0</v>
      </c>
      <c r="K46" s="13">
        <v>0</v>
      </c>
      <c r="L46" s="13">
        <v>0</v>
      </c>
      <c r="M46" s="13">
        <v>0</v>
      </c>
      <c r="N46" s="13">
        <f t="shared" si="1"/>
        <v>57.33</v>
      </c>
      <c r="O46" s="6"/>
    </row>
    <row r="47" spans="1:15">
      <c r="A47" s="37">
        <v>580</v>
      </c>
      <c r="B47" s="13">
        <v>556.82000000000005</v>
      </c>
      <c r="C47" s="13">
        <v>629.12</v>
      </c>
      <c r="D47" s="13">
        <v>393.51</v>
      </c>
      <c r="E47" s="13">
        <v>502.24</v>
      </c>
      <c r="F47" s="13">
        <v>583.97</v>
      </c>
      <c r="G47" s="13">
        <v>541.24</v>
      </c>
      <c r="H47" s="13">
        <v>568.63</v>
      </c>
      <c r="I47" s="13">
        <v>511</v>
      </c>
      <c r="J47" s="13">
        <v>481.31</v>
      </c>
      <c r="K47" s="13">
        <v>268.52999999999997</v>
      </c>
      <c r="L47" s="13">
        <v>279.35000000000002</v>
      </c>
      <c r="M47" s="13">
        <v>380.83</v>
      </c>
      <c r="N47" s="13">
        <f t="shared" si="1"/>
        <v>5696.55</v>
      </c>
      <c r="O47" s="6"/>
    </row>
    <row r="48" spans="1:15">
      <c r="A48" s="37">
        <v>583</v>
      </c>
      <c r="B48" s="13">
        <v>4807.5600000000004</v>
      </c>
      <c r="C48" s="13">
        <v>3555.24</v>
      </c>
      <c r="D48" s="13">
        <v>4016.37</v>
      </c>
      <c r="E48" s="13">
        <v>3127.67</v>
      </c>
      <c r="F48" s="13">
        <v>3460.57</v>
      </c>
      <c r="G48" s="13">
        <v>4033.14</v>
      </c>
      <c r="H48" s="13">
        <v>2767.79</v>
      </c>
      <c r="I48" s="13">
        <v>3369.81</v>
      </c>
      <c r="J48" s="13">
        <v>2201.6</v>
      </c>
      <c r="K48" s="13">
        <v>2656.43</v>
      </c>
      <c r="L48" s="13">
        <v>4238</v>
      </c>
      <c r="M48" s="13">
        <v>5028.0200000000004</v>
      </c>
      <c r="N48" s="13">
        <f t="shared" si="1"/>
        <v>43262.2</v>
      </c>
      <c r="O48" s="6"/>
    </row>
    <row r="49" spans="1:15">
      <c r="A49" s="37">
        <v>584</v>
      </c>
      <c r="B49" s="13">
        <v>0</v>
      </c>
      <c r="C49" s="13">
        <v>0</v>
      </c>
      <c r="D49" s="13">
        <v>0</v>
      </c>
      <c r="E49" s="13">
        <v>0</v>
      </c>
      <c r="F49" s="13">
        <v>29.38</v>
      </c>
      <c r="G49" s="13">
        <v>0</v>
      </c>
      <c r="H49" s="13">
        <v>0</v>
      </c>
      <c r="I49" s="13">
        <v>38.03</v>
      </c>
      <c r="J49" s="13">
        <v>0</v>
      </c>
      <c r="K49" s="13">
        <v>0</v>
      </c>
      <c r="L49" s="13">
        <v>0</v>
      </c>
      <c r="M49" s="13">
        <v>0</v>
      </c>
      <c r="N49" s="13">
        <f t="shared" si="1"/>
        <v>67.41</v>
      </c>
      <c r="O49" s="6"/>
    </row>
    <row r="50" spans="1:15">
      <c r="A50" s="37">
        <v>585</v>
      </c>
      <c r="B50" s="13">
        <v>0</v>
      </c>
      <c r="C50" s="13">
        <v>0</v>
      </c>
      <c r="D50" s="13">
        <v>18.420000000000002</v>
      </c>
      <c r="E50" s="13">
        <v>0</v>
      </c>
      <c r="F50" s="13">
        <v>64.790000000000006</v>
      </c>
      <c r="G50" s="13">
        <v>21.06</v>
      </c>
      <c r="H50" s="13">
        <v>52.15</v>
      </c>
      <c r="I50" s="13">
        <v>329.52</v>
      </c>
      <c r="J50" s="13">
        <v>0.78</v>
      </c>
      <c r="K50" s="13">
        <v>125.17</v>
      </c>
      <c r="L50" s="13">
        <v>229.29</v>
      </c>
      <c r="M50" s="13">
        <v>29.09</v>
      </c>
      <c r="N50" s="13">
        <f t="shared" si="1"/>
        <v>870.27</v>
      </c>
      <c r="O50" s="6"/>
    </row>
    <row r="51" spans="1:15">
      <c r="A51" s="37">
        <v>586</v>
      </c>
      <c r="B51" s="13">
        <v>5155.82</v>
      </c>
      <c r="C51" s="13">
        <v>5244.54</v>
      </c>
      <c r="D51" s="13">
        <v>4957.67</v>
      </c>
      <c r="E51" s="13">
        <v>4597.33</v>
      </c>
      <c r="F51" s="13">
        <v>5543.03</v>
      </c>
      <c r="G51" s="13">
        <v>5234.68</v>
      </c>
      <c r="H51" s="13">
        <v>6019.87</v>
      </c>
      <c r="I51" s="13">
        <v>5159.93</v>
      </c>
      <c r="J51" s="13">
        <v>2865.08</v>
      </c>
      <c r="K51" s="13">
        <v>6104.27</v>
      </c>
      <c r="L51" s="13">
        <v>7747.73</v>
      </c>
      <c r="M51" s="13">
        <v>7531.47</v>
      </c>
      <c r="N51" s="13">
        <f t="shared" si="1"/>
        <v>66161.42</v>
      </c>
      <c r="O51" s="6"/>
    </row>
    <row r="52" spans="1:15">
      <c r="A52" s="37">
        <v>587</v>
      </c>
      <c r="B52" s="13">
        <v>246.62</v>
      </c>
      <c r="C52" s="13">
        <v>235.51</v>
      </c>
      <c r="D52" s="13">
        <v>120.77</v>
      </c>
      <c r="E52" s="13">
        <v>214.15</v>
      </c>
      <c r="F52" s="13">
        <v>290.52999999999997</v>
      </c>
      <c r="G52" s="13">
        <v>338.45</v>
      </c>
      <c r="H52" s="13">
        <v>244.75</v>
      </c>
      <c r="I52" s="13">
        <v>240.78</v>
      </c>
      <c r="J52" s="13">
        <v>247.47</v>
      </c>
      <c r="K52" s="13">
        <v>242.4</v>
      </c>
      <c r="L52" s="13">
        <v>274.20999999999998</v>
      </c>
      <c r="M52" s="13">
        <v>383.57</v>
      </c>
      <c r="N52" s="13">
        <f t="shared" si="1"/>
        <v>3079.21</v>
      </c>
      <c r="O52" s="6"/>
    </row>
    <row r="53" spans="1:15">
      <c r="A53" s="37">
        <v>588</v>
      </c>
      <c r="B53" s="13">
        <v>5446.2</v>
      </c>
      <c r="C53" s="13">
        <v>6411.52</v>
      </c>
      <c r="D53" s="13">
        <v>5374.56</v>
      </c>
      <c r="E53" s="13">
        <v>4803.66</v>
      </c>
      <c r="F53" s="13">
        <v>7185.49</v>
      </c>
      <c r="G53" s="13">
        <v>8300.48</v>
      </c>
      <c r="H53" s="13">
        <v>7277.73</v>
      </c>
      <c r="I53" s="13">
        <v>7659.27</v>
      </c>
      <c r="J53" s="13">
        <v>5856.59</v>
      </c>
      <c r="K53" s="13">
        <v>5108.68</v>
      </c>
      <c r="L53" s="13">
        <v>6891.68</v>
      </c>
      <c r="M53" s="13">
        <v>4968.18</v>
      </c>
      <c r="N53" s="13">
        <f t="shared" si="1"/>
        <v>75284.040000000008</v>
      </c>
      <c r="O53" s="6"/>
    </row>
    <row r="54" spans="1:15">
      <c r="A54" s="37">
        <v>592</v>
      </c>
      <c r="B54" s="13">
        <v>0</v>
      </c>
      <c r="C54" s="13">
        <v>0</v>
      </c>
      <c r="D54" s="13">
        <v>0</v>
      </c>
      <c r="E54" s="13">
        <v>0</v>
      </c>
      <c r="F54" s="13">
        <v>0</v>
      </c>
      <c r="G54" s="13">
        <v>0</v>
      </c>
      <c r="H54" s="13">
        <v>0</v>
      </c>
      <c r="I54" s="13">
        <v>554.29</v>
      </c>
      <c r="J54" s="13">
        <v>0</v>
      </c>
      <c r="K54" s="13">
        <v>0</v>
      </c>
      <c r="L54" s="13">
        <v>0</v>
      </c>
      <c r="M54" s="13">
        <v>0</v>
      </c>
      <c r="N54" s="13">
        <f t="shared" si="1"/>
        <v>554.29</v>
      </c>
      <c r="O54" s="6"/>
    </row>
    <row r="55" spans="1:15">
      <c r="A55" s="37">
        <v>593</v>
      </c>
      <c r="B55" s="13">
        <v>26852.21</v>
      </c>
      <c r="C55" s="13">
        <v>26659.22</v>
      </c>
      <c r="D55" s="13">
        <v>37980.239999999998</v>
      </c>
      <c r="E55" s="13">
        <v>39344.949999999997</v>
      </c>
      <c r="F55" s="13">
        <v>34782.94</v>
      </c>
      <c r="G55" s="13">
        <v>25666.65</v>
      </c>
      <c r="H55" s="13">
        <v>25118.47</v>
      </c>
      <c r="I55" s="13">
        <v>35603.480000000003</v>
      </c>
      <c r="J55" s="13">
        <v>25024.62</v>
      </c>
      <c r="K55" s="13">
        <v>30457.59</v>
      </c>
      <c r="L55" s="13">
        <v>21979.68</v>
      </c>
      <c r="M55" s="13">
        <v>17133.59</v>
      </c>
      <c r="N55" s="13">
        <f t="shared" si="1"/>
        <v>346603.64000000007</v>
      </c>
      <c r="O55" s="6"/>
    </row>
    <row r="56" spans="1:15">
      <c r="A56" s="37">
        <v>593</v>
      </c>
      <c r="B56" s="13">
        <v>1303.3800000000001</v>
      </c>
      <c r="C56" s="13">
        <v>951.06</v>
      </c>
      <c r="D56" s="13">
        <v>826.42</v>
      </c>
      <c r="E56" s="13">
        <v>839.99</v>
      </c>
      <c r="F56" s="13">
        <v>836.56</v>
      </c>
      <c r="G56" s="13">
        <v>837.79</v>
      </c>
      <c r="H56" s="13">
        <v>1207.3399999999999</v>
      </c>
      <c r="I56" s="13">
        <v>935.25</v>
      </c>
      <c r="J56" s="13">
        <v>913.37</v>
      </c>
      <c r="K56" s="13">
        <v>698.42</v>
      </c>
      <c r="L56" s="13">
        <v>914.54</v>
      </c>
      <c r="M56" s="13">
        <v>1089.31</v>
      </c>
      <c r="N56" s="13">
        <f t="shared" si="1"/>
        <v>11353.429999999998</v>
      </c>
      <c r="O56" s="6"/>
    </row>
    <row r="57" spans="1:15">
      <c r="A57" s="37">
        <v>594</v>
      </c>
      <c r="B57" s="13">
        <v>173.48</v>
      </c>
      <c r="C57" s="13">
        <v>89.47</v>
      </c>
      <c r="D57" s="13">
        <v>293.95</v>
      </c>
      <c r="E57" s="13">
        <v>138.58000000000001</v>
      </c>
      <c r="F57" s="13">
        <v>62.46</v>
      </c>
      <c r="G57" s="13">
        <v>0</v>
      </c>
      <c r="H57" s="13">
        <v>28.11</v>
      </c>
      <c r="I57" s="13">
        <v>0</v>
      </c>
      <c r="J57" s="13">
        <v>57.59</v>
      </c>
      <c r="K57" s="13">
        <v>28.52</v>
      </c>
      <c r="L57" s="13">
        <v>189.93</v>
      </c>
      <c r="M57" s="13">
        <v>35.25</v>
      </c>
      <c r="N57" s="13">
        <f t="shared" si="1"/>
        <v>1097.3400000000001</v>
      </c>
      <c r="O57" s="6"/>
    </row>
    <row r="58" spans="1:15">
      <c r="A58" s="37">
        <v>595</v>
      </c>
      <c r="B58" s="13">
        <v>251.79</v>
      </c>
      <c r="C58" s="13">
        <v>248.88</v>
      </c>
      <c r="D58" s="13">
        <v>360.56</v>
      </c>
      <c r="E58" s="13">
        <v>381.82</v>
      </c>
      <c r="F58" s="13">
        <v>339.5</v>
      </c>
      <c r="G58" s="13">
        <v>187</v>
      </c>
      <c r="H58" s="13">
        <v>134.91</v>
      </c>
      <c r="I58" s="13">
        <v>328.05</v>
      </c>
      <c r="J58" s="13">
        <v>322.3</v>
      </c>
      <c r="K58" s="13">
        <v>305.99</v>
      </c>
      <c r="L58" s="13">
        <v>109.72</v>
      </c>
      <c r="M58" s="13">
        <v>104.42</v>
      </c>
      <c r="N58" s="13">
        <f t="shared" si="1"/>
        <v>3074.94</v>
      </c>
      <c r="O58" s="6"/>
    </row>
    <row r="59" spans="1:15">
      <c r="A59" s="37">
        <v>596</v>
      </c>
      <c r="B59" s="13">
        <v>36.69</v>
      </c>
      <c r="C59" s="13">
        <v>113.8</v>
      </c>
      <c r="D59" s="13">
        <v>179.55</v>
      </c>
      <c r="E59" s="13">
        <v>24.97</v>
      </c>
      <c r="F59" s="13">
        <v>20.84</v>
      </c>
      <c r="G59" s="13">
        <v>169.33</v>
      </c>
      <c r="H59" s="13">
        <v>87.76</v>
      </c>
      <c r="I59" s="13">
        <v>54.21</v>
      </c>
      <c r="J59" s="13">
        <v>91.76</v>
      </c>
      <c r="K59" s="13">
        <v>336.06</v>
      </c>
      <c r="L59" s="13">
        <v>337.02</v>
      </c>
      <c r="M59" s="13">
        <v>342.63</v>
      </c>
      <c r="N59" s="13">
        <f t="shared" si="1"/>
        <v>1794.62</v>
      </c>
      <c r="O59" s="6"/>
    </row>
    <row r="60" spans="1:15">
      <c r="A60" s="37">
        <v>597</v>
      </c>
      <c r="B60" s="13">
        <v>171.66</v>
      </c>
      <c r="C60" s="13">
        <v>96.29</v>
      </c>
      <c r="D60" s="13">
        <v>130.68</v>
      </c>
      <c r="E60" s="13">
        <v>228.56</v>
      </c>
      <c r="F60" s="13">
        <v>127.71</v>
      </c>
      <c r="G60" s="13">
        <v>170.56</v>
      </c>
      <c r="H60" s="13">
        <v>164.61</v>
      </c>
      <c r="I60" s="13">
        <v>100.98</v>
      </c>
      <c r="J60" s="13">
        <v>55.68</v>
      </c>
      <c r="K60" s="13">
        <v>104.97</v>
      </c>
      <c r="L60" s="13">
        <v>355.47</v>
      </c>
      <c r="M60" s="13">
        <v>161.94</v>
      </c>
      <c r="N60" s="13">
        <f t="shared" si="1"/>
        <v>1869.1100000000004</v>
      </c>
    </row>
    <row r="61" spans="1:15">
      <c r="A61" s="37">
        <v>598</v>
      </c>
      <c r="B61" s="13">
        <v>0</v>
      </c>
      <c r="C61" s="13">
        <v>0</v>
      </c>
      <c r="D61" s="13">
        <v>0</v>
      </c>
      <c r="E61" s="13">
        <v>0</v>
      </c>
      <c r="F61" s="13">
        <v>0</v>
      </c>
      <c r="G61" s="13">
        <v>0</v>
      </c>
      <c r="H61" s="13">
        <v>55.4</v>
      </c>
      <c r="I61" s="13">
        <v>0</v>
      </c>
      <c r="J61" s="13">
        <v>0</v>
      </c>
      <c r="K61" s="13">
        <v>0</v>
      </c>
      <c r="L61" s="13">
        <v>0</v>
      </c>
      <c r="M61" s="13">
        <v>139.22</v>
      </c>
      <c r="N61" s="13">
        <f t="shared" si="1"/>
        <v>194.62</v>
      </c>
    </row>
    <row r="62" spans="1:15">
      <c r="A62" s="37">
        <v>901</v>
      </c>
      <c r="B62" s="13">
        <v>141.61000000000001</v>
      </c>
      <c r="C62" s="13">
        <v>115.56</v>
      </c>
      <c r="D62" s="13">
        <v>0</v>
      </c>
      <c r="E62" s="13">
        <v>0</v>
      </c>
      <c r="F62" s="13">
        <v>0</v>
      </c>
      <c r="G62" s="13">
        <v>0</v>
      </c>
      <c r="H62" s="13">
        <v>0</v>
      </c>
      <c r="I62" s="13">
        <v>0</v>
      </c>
      <c r="J62" s="13">
        <v>0</v>
      </c>
      <c r="K62" s="13">
        <v>0</v>
      </c>
      <c r="L62" s="13">
        <v>0</v>
      </c>
      <c r="M62" s="13">
        <v>0</v>
      </c>
      <c r="N62" s="13">
        <f t="shared" si="1"/>
        <v>257.17</v>
      </c>
    </row>
    <row r="63" spans="1:15">
      <c r="A63" s="37">
        <v>902</v>
      </c>
      <c r="B63" s="13">
        <v>5.13</v>
      </c>
      <c r="C63" s="13">
        <v>0</v>
      </c>
      <c r="D63" s="13">
        <v>0</v>
      </c>
      <c r="E63" s="13">
        <v>0</v>
      </c>
      <c r="F63" s="13">
        <v>8.09</v>
      </c>
      <c r="G63" s="13">
        <v>0</v>
      </c>
      <c r="H63" s="13">
        <v>0</v>
      </c>
      <c r="I63" s="13">
        <v>0</v>
      </c>
      <c r="J63" s="13">
        <v>0</v>
      </c>
      <c r="K63" s="13">
        <v>0</v>
      </c>
      <c r="L63" s="13">
        <v>43.22</v>
      </c>
      <c r="M63" s="13">
        <v>20.87</v>
      </c>
      <c r="N63" s="13">
        <f t="shared" si="1"/>
        <v>77.31</v>
      </c>
    </row>
    <row r="64" spans="1:15">
      <c r="A64" s="37">
        <v>902</v>
      </c>
      <c r="B64" s="13">
        <v>1404.81</v>
      </c>
      <c r="C64" s="13">
        <v>1213.33</v>
      </c>
      <c r="D64" s="13">
        <v>2516.87</v>
      </c>
      <c r="E64" s="13">
        <v>1468.24</v>
      </c>
      <c r="F64" s="13">
        <v>1680.19</v>
      </c>
      <c r="G64" s="13">
        <v>1545.61</v>
      </c>
      <c r="H64" s="13">
        <v>1952.48</v>
      </c>
      <c r="I64" s="13">
        <v>1610.16</v>
      </c>
      <c r="J64" s="13">
        <v>518.49</v>
      </c>
      <c r="K64" s="13">
        <v>2069.6</v>
      </c>
      <c r="L64" s="13">
        <v>2167.5700000000002</v>
      </c>
      <c r="M64" s="13">
        <v>1354.66</v>
      </c>
      <c r="N64" s="13">
        <f t="shared" si="1"/>
        <v>19502.010000000002</v>
      </c>
    </row>
    <row r="65" spans="1:14">
      <c r="A65" s="37">
        <v>902</v>
      </c>
      <c r="B65" s="13">
        <v>0</v>
      </c>
      <c r="C65" s="13">
        <v>0</v>
      </c>
      <c r="D65" s="13">
        <v>0</v>
      </c>
      <c r="E65" s="13">
        <v>0</v>
      </c>
      <c r="F65" s="13">
        <v>13.1</v>
      </c>
      <c r="G65" s="13">
        <v>0</v>
      </c>
      <c r="H65" s="13">
        <v>0</v>
      </c>
      <c r="I65" s="13">
        <v>26.97</v>
      </c>
      <c r="J65" s="13">
        <v>0</v>
      </c>
      <c r="K65" s="13">
        <v>1.87</v>
      </c>
      <c r="L65" s="13">
        <v>15.44</v>
      </c>
      <c r="M65" s="13">
        <v>18.239999999999998</v>
      </c>
      <c r="N65" s="13">
        <f t="shared" si="1"/>
        <v>75.61999999999999</v>
      </c>
    </row>
    <row r="66" spans="1:14">
      <c r="A66" s="37">
        <v>903</v>
      </c>
      <c r="B66" s="13">
        <v>9.23</v>
      </c>
      <c r="C66" s="13">
        <v>9.2200000000000006</v>
      </c>
      <c r="D66" s="13">
        <v>7.72</v>
      </c>
      <c r="E66" s="13">
        <v>8.7799999999999994</v>
      </c>
      <c r="F66" s="13">
        <v>8.17</v>
      </c>
      <c r="G66" s="13">
        <v>6.91</v>
      </c>
      <c r="H66" s="13">
        <v>8.49</v>
      </c>
      <c r="I66" s="13">
        <v>5.65</v>
      </c>
      <c r="J66" s="13">
        <v>11.18</v>
      </c>
      <c r="K66" s="13">
        <v>5.38</v>
      </c>
      <c r="L66" s="13">
        <v>6.72</v>
      </c>
      <c r="M66" s="13">
        <v>22.39</v>
      </c>
      <c r="N66" s="13">
        <f t="shared" si="1"/>
        <v>109.83999999999999</v>
      </c>
    </row>
    <row r="67" spans="1:14">
      <c r="A67" s="37">
        <v>903</v>
      </c>
      <c r="B67" s="13">
        <v>433.72</v>
      </c>
      <c r="C67" s="13">
        <v>611.33000000000004</v>
      </c>
      <c r="D67" s="13">
        <v>482.49</v>
      </c>
      <c r="E67" s="13">
        <v>477.3</v>
      </c>
      <c r="F67" s="13">
        <v>592.69000000000005</v>
      </c>
      <c r="G67" s="13">
        <v>491.27</v>
      </c>
      <c r="H67" s="13">
        <v>684.85</v>
      </c>
      <c r="I67" s="13">
        <v>621</v>
      </c>
      <c r="J67" s="13">
        <v>673.72</v>
      </c>
      <c r="K67" s="13">
        <v>466.35</v>
      </c>
      <c r="L67" s="13">
        <v>651.34</v>
      </c>
      <c r="M67" s="13">
        <v>617.69000000000005</v>
      </c>
      <c r="N67" s="13">
        <f t="shared" si="1"/>
        <v>6803.75</v>
      </c>
    </row>
    <row r="68" spans="1:14">
      <c r="A68" s="37">
        <v>903</v>
      </c>
      <c r="B68" s="13">
        <v>4820.09</v>
      </c>
      <c r="C68" s="13">
        <v>5069.2</v>
      </c>
      <c r="D68" s="13">
        <v>5785.94</v>
      </c>
      <c r="E68" s="13">
        <v>3262.94</v>
      </c>
      <c r="F68" s="13">
        <v>3677.38</v>
      </c>
      <c r="G68" s="13">
        <v>2925.7</v>
      </c>
      <c r="H68" s="13">
        <v>4789.63</v>
      </c>
      <c r="I68" s="13">
        <v>4182.21</v>
      </c>
      <c r="J68" s="13">
        <v>1674.46</v>
      </c>
      <c r="K68" s="13">
        <v>4446.9399999999996</v>
      </c>
      <c r="L68" s="13">
        <v>5499.95</v>
      </c>
      <c r="M68" s="13">
        <v>2734.33</v>
      </c>
      <c r="N68" s="13">
        <f t="shared" si="1"/>
        <v>48868.770000000004</v>
      </c>
    </row>
    <row r="69" spans="1:14">
      <c r="A69" s="37">
        <v>903</v>
      </c>
      <c r="B69" s="13">
        <v>81.52</v>
      </c>
      <c r="C69" s="13">
        <v>8.02</v>
      </c>
      <c r="D69" s="13">
        <v>6.99</v>
      </c>
      <c r="E69" s="13">
        <v>46.17</v>
      </c>
      <c r="F69" s="13">
        <v>30.53</v>
      </c>
      <c r="G69" s="13">
        <v>22.45</v>
      </c>
      <c r="H69" s="13">
        <v>34.58</v>
      </c>
      <c r="I69" s="13">
        <v>44.75</v>
      </c>
      <c r="J69" s="13">
        <v>94.61</v>
      </c>
      <c r="K69" s="13">
        <v>27.43</v>
      </c>
      <c r="L69" s="13">
        <v>36.78</v>
      </c>
      <c r="M69" s="13">
        <v>77.88</v>
      </c>
      <c r="N69" s="13">
        <f t="shared" si="1"/>
        <v>511.71000000000004</v>
      </c>
    </row>
    <row r="70" spans="1:14">
      <c r="A70" s="37">
        <v>907</v>
      </c>
      <c r="B70" s="13">
        <v>88.29</v>
      </c>
      <c r="C70" s="13">
        <v>54.35</v>
      </c>
      <c r="D70" s="13">
        <v>0</v>
      </c>
      <c r="E70" s="13">
        <v>0</v>
      </c>
      <c r="F70" s="13">
        <v>0</v>
      </c>
      <c r="G70" s="13">
        <v>0</v>
      </c>
      <c r="H70" s="13">
        <v>2.35</v>
      </c>
      <c r="I70" s="13">
        <v>5.13</v>
      </c>
      <c r="J70" s="13">
        <v>7.63</v>
      </c>
      <c r="K70" s="13">
        <v>0</v>
      </c>
      <c r="L70" s="13">
        <v>6.91</v>
      </c>
      <c r="M70" s="13">
        <v>3</v>
      </c>
      <c r="N70" s="13">
        <f t="shared" si="1"/>
        <v>167.66</v>
      </c>
    </row>
    <row r="71" spans="1:14">
      <c r="A71" s="37">
        <v>908</v>
      </c>
      <c r="B71" s="13">
        <v>175.25</v>
      </c>
      <c r="C71" s="13">
        <v>208.67</v>
      </c>
      <c r="D71" s="13">
        <v>128.53</v>
      </c>
      <c r="E71" s="13">
        <v>142.57</v>
      </c>
      <c r="F71" s="13">
        <v>193.34</v>
      </c>
      <c r="G71" s="13">
        <v>202.61</v>
      </c>
      <c r="H71" s="13">
        <v>275.79000000000002</v>
      </c>
      <c r="I71" s="13">
        <v>209.03</v>
      </c>
      <c r="J71" s="13">
        <v>288.45</v>
      </c>
      <c r="K71" s="13">
        <v>192.05</v>
      </c>
      <c r="L71" s="13">
        <v>195</v>
      </c>
      <c r="M71" s="13">
        <v>150.12</v>
      </c>
      <c r="N71" s="13">
        <f t="shared" si="1"/>
        <v>2361.41</v>
      </c>
    </row>
    <row r="72" spans="1:14">
      <c r="A72" s="37">
        <v>908</v>
      </c>
      <c r="B72" s="13">
        <v>22.32</v>
      </c>
      <c r="C72" s="13">
        <v>7.23</v>
      </c>
      <c r="D72" s="13">
        <v>0</v>
      </c>
      <c r="E72" s="13">
        <v>9.33</v>
      </c>
      <c r="F72" s="13">
        <v>4.51</v>
      </c>
      <c r="G72" s="13">
        <v>29.02</v>
      </c>
      <c r="H72" s="13">
        <v>32.130000000000003</v>
      </c>
      <c r="I72" s="13">
        <v>8.01</v>
      </c>
      <c r="J72" s="13">
        <v>9.67</v>
      </c>
      <c r="K72" s="13">
        <v>1.63</v>
      </c>
      <c r="L72" s="13">
        <v>0</v>
      </c>
      <c r="M72" s="13">
        <v>2.8</v>
      </c>
      <c r="N72" s="13">
        <f t="shared" si="1"/>
        <v>126.64999999999999</v>
      </c>
    </row>
    <row r="73" spans="1:14">
      <c r="A73" s="37">
        <v>910</v>
      </c>
      <c r="B73" s="13">
        <v>0</v>
      </c>
      <c r="C73" s="13">
        <v>0</v>
      </c>
      <c r="D73" s="13">
        <v>0</v>
      </c>
      <c r="E73" s="13">
        <v>0</v>
      </c>
      <c r="F73" s="13">
        <v>0</v>
      </c>
      <c r="G73" s="13">
        <v>0</v>
      </c>
      <c r="H73" s="13">
        <v>19.52</v>
      </c>
      <c r="I73" s="13">
        <v>0</v>
      </c>
      <c r="J73" s="13">
        <v>0</v>
      </c>
      <c r="K73" s="13">
        <v>0</v>
      </c>
      <c r="L73" s="13">
        <v>0</v>
      </c>
      <c r="M73" s="13">
        <v>0</v>
      </c>
      <c r="N73" s="13">
        <f t="shared" si="1"/>
        <v>19.52</v>
      </c>
    </row>
    <row r="74" spans="1:14">
      <c r="A74" s="37">
        <v>920</v>
      </c>
      <c r="B74" s="13">
        <v>0</v>
      </c>
      <c r="C74" s="13">
        <v>0</v>
      </c>
      <c r="D74" s="13">
        <v>0</v>
      </c>
      <c r="E74" s="13">
        <v>0</v>
      </c>
      <c r="F74" s="13">
        <v>14.46</v>
      </c>
      <c r="G74" s="13">
        <v>104.93</v>
      </c>
      <c r="H74" s="13">
        <v>73.59</v>
      </c>
      <c r="I74" s="13">
        <v>221.47</v>
      </c>
      <c r="J74" s="13">
        <v>1033.71</v>
      </c>
      <c r="K74" s="13">
        <v>560.28</v>
      </c>
      <c r="L74" s="13">
        <v>983.9</v>
      </c>
      <c r="M74" s="13">
        <v>518.82000000000005</v>
      </c>
      <c r="N74" s="13">
        <f t="shared" si="1"/>
        <v>3511.1600000000003</v>
      </c>
    </row>
    <row r="75" spans="1:14">
      <c r="A75" s="37">
        <v>921</v>
      </c>
      <c r="B75" s="13">
        <v>1233.31</v>
      </c>
      <c r="C75" s="13">
        <v>1309.52</v>
      </c>
      <c r="D75" s="13">
        <v>1036.76</v>
      </c>
      <c r="E75" s="13">
        <v>1199.82</v>
      </c>
      <c r="F75" s="13">
        <v>1015.95</v>
      </c>
      <c r="G75" s="13">
        <v>1186.93</v>
      </c>
      <c r="H75" s="13">
        <v>1467.71</v>
      </c>
      <c r="I75" s="13">
        <v>1261.6300000000001</v>
      </c>
      <c r="J75" s="13">
        <v>1528.33</v>
      </c>
      <c r="K75" s="13">
        <v>1038.6300000000001</v>
      </c>
      <c r="L75" s="13">
        <v>1027.76</v>
      </c>
      <c r="M75" s="13">
        <v>1197.28</v>
      </c>
      <c r="N75" s="13">
        <f t="shared" si="1"/>
        <v>14503.630000000001</v>
      </c>
    </row>
    <row r="76" spans="1:14">
      <c r="A76" s="37">
        <v>926</v>
      </c>
      <c r="B76" s="13">
        <v>12.13</v>
      </c>
      <c r="C76" s="13">
        <v>7.28</v>
      </c>
      <c r="D76" s="13">
        <v>1.28</v>
      </c>
      <c r="E76" s="13">
        <v>1.1000000000000001</v>
      </c>
      <c r="F76" s="13">
        <v>4</v>
      </c>
      <c r="G76" s="13">
        <v>3.93</v>
      </c>
      <c r="H76" s="13">
        <v>0</v>
      </c>
      <c r="I76" s="13">
        <v>6.64</v>
      </c>
      <c r="J76" s="13">
        <v>4.26</v>
      </c>
      <c r="K76" s="13">
        <v>4.58</v>
      </c>
      <c r="L76" s="13">
        <v>6.54</v>
      </c>
      <c r="M76" s="13">
        <v>6.84</v>
      </c>
      <c r="N76" s="13">
        <f t="shared" si="1"/>
        <v>58.58</v>
      </c>
    </row>
    <row r="77" spans="1:14">
      <c r="A77" s="37">
        <v>928</v>
      </c>
      <c r="B77" s="13">
        <v>0</v>
      </c>
      <c r="C77" s="13">
        <v>0</v>
      </c>
      <c r="D77" s="13">
        <v>0</v>
      </c>
      <c r="E77" s="13">
        <v>0</v>
      </c>
      <c r="F77" s="13">
        <v>0</v>
      </c>
      <c r="G77" s="13">
        <v>0</v>
      </c>
      <c r="H77" s="13">
        <v>0</v>
      </c>
      <c r="I77" s="13">
        <v>6.5</v>
      </c>
      <c r="J77" s="13">
        <v>4.62</v>
      </c>
      <c r="K77" s="13">
        <v>0</v>
      </c>
      <c r="L77" s="13">
        <v>7.82</v>
      </c>
      <c r="M77" s="13">
        <v>16.48</v>
      </c>
      <c r="N77" s="13">
        <f t="shared" ref="N77:N83" si="2">SUM(B77:M77)</f>
        <v>35.42</v>
      </c>
    </row>
    <row r="78" spans="1:14">
      <c r="A78" s="37">
        <v>930</v>
      </c>
      <c r="B78" s="13">
        <v>24.1</v>
      </c>
      <c r="C78" s="13">
        <v>0</v>
      </c>
      <c r="D78" s="13">
        <v>0</v>
      </c>
      <c r="E78" s="13">
        <v>0</v>
      </c>
      <c r="F78" s="13">
        <v>0</v>
      </c>
      <c r="G78" s="13">
        <v>0</v>
      </c>
      <c r="H78" s="13">
        <v>0</v>
      </c>
      <c r="I78" s="13">
        <v>0</v>
      </c>
      <c r="J78" s="13">
        <v>0</v>
      </c>
      <c r="K78" s="13">
        <v>0</v>
      </c>
      <c r="L78" s="13">
        <v>0</v>
      </c>
      <c r="M78" s="13">
        <v>0</v>
      </c>
      <c r="N78" s="13">
        <f t="shared" si="2"/>
        <v>24.1</v>
      </c>
    </row>
    <row r="79" spans="1:14">
      <c r="A79" s="37">
        <v>930</v>
      </c>
      <c r="B79" s="13">
        <v>0</v>
      </c>
      <c r="C79" s="13">
        <v>0</v>
      </c>
      <c r="D79" s="13">
        <v>0</v>
      </c>
      <c r="E79" s="13">
        <v>0</v>
      </c>
      <c r="F79" s="13">
        <v>12.35</v>
      </c>
      <c r="G79" s="13">
        <v>0</v>
      </c>
      <c r="H79" s="13">
        <v>0</v>
      </c>
      <c r="I79" s="13">
        <v>0</v>
      </c>
      <c r="J79" s="13">
        <v>0</v>
      </c>
      <c r="K79" s="13">
        <v>0</v>
      </c>
      <c r="L79" s="13">
        <v>0</v>
      </c>
      <c r="M79" s="13">
        <v>0</v>
      </c>
      <c r="N79" s="13">
        <f t="shared" si="2"/>
        <v>12.35</v>
      </c>
    </row>
    <row r="80" spans="1:14">
      <c r="A80" s="37">
        <v>930</v>
      </c>
      <c r="B80" s="13">
        <v>131.16999999999999</v>
      </c>
      <c r="C80" s="13">
        <v>50.02</v>
      </c>
      <c r="D80" s="13">
        <v>0</v>
      </c>
      <c r="E80" s="13">
        <v>0</v>
      </c>
      <c r="F80" s="13">
        <v>0</v>
      </c>
      <c r="G80" s="13">
        <v>26.03</v>
      </c>
      <c r="H80" s="13">
        <v>320.82</v>
      </c>
      <c r="I80" s="13">
        <v>0</v>
      </c>
      <c r="J80" s="13">
        <v>68.31</v>
      </c>
      <c r="K80" s="13">
        <v>0</v>
      </c>
      <c r="L80" s="13">
        <v>64.040000000000006</v>
      </c>
      <c r="M80" s="13">
        <v>0</v>
      </c>
      <c r="N80" s="13">
        <f t="shared" si="2"/>
        <v>660.38999999999987</v>
      </c>
    </row>
    <row r="81" spans="1:14">
      <c r="A81" s="37">
        <v>935</v>
      </c>
      <c r="B81" s="13">
        <v>0</v>
      </c>
      <c r="C81" s="13">
        <v>0</v>
      </c>
      <c r="D81" s="13">
        <v>0</v>
      </c>
      <c r="E81" s="13">
        <v>0</v>
      </c>
      <c r="F81" s="13">
        <v>0</v>
      </c>
      <c r="G81" s="13">
        <v>0</v>
      </c>
      <c r="H81" s="13">
        <v>0</v>
      </c>
      <c r="I81" s="13">
        <v>0</v>
      </c>
      <c r="J81" s="13">
        <v>0</v>
      </c>
      <c r="K81" s="13">
        <v>0</v>
      </c>
      <c r="L81" s="13">
        <v>0</v>
      </c>
      <c r="M81" s="13">
        <v>66.489999999999995</v>
      </c>
      <c r="N81" s="13">
        <f t="shared" si="2"/>
        <v>66.489999999999995</v>
      </c>
    </row>
    <row r="82" spans="1:14">
      <c r="A82" s="37">
        <v>935</v>
      </c>
      <c r="B82" s="13">
        <v>5219.78</v>
      </c>
      <c r="C82" s="13">
        <v>4711.8100000000004</v>
      </c>
      <c r="D82" s="13">
        <v>3071.27</v>
      </c>
      <c r="E82" s="13">
        <v>3331.1</v>
      </c>
      <c r="F82" s="13">
        <v>5004.9399999999996</v>
      </c>
      <c r="G82" s="13">
        <v>5929.99</v>
      </c>
      <c r="H82" s="13">
        <v>6045.08</v>
      </c>
      <c r="I82" s="13">
        <v>4212.6000000000004</v>
      </c>
      <c r="J82" s="13">
        <v>5411.88</v>
      </c>
      <c r="K82" s="13">
        <v>4574.6000000000004</v>
      </c>
      <c r="L82" s="13">
        <v>4702.03</v>
      </c>
      <c r="M82" s="13">
        <v>4838.38</v>
      </c>
      <c r="N82" s="13">
        <f t="shared" si="2"/>
        <v>57053.459999999992</v>
      </c>
    </row>
    <row r="83" spans="1:14">
      <c r="A83" s="37">
        <v>935</v>
      </c>
      <c r="B83" s="13">
        <v>0</v>
      </c>
      <c r="C83" s="13">
        <v>241.42</v>
      </c>
      <c r="D83" s="13">
        <v>0</v>
      </c>
      <c r="E83" s="13">
        <v>23.69</v>
      </c>
      <c r="F83" s="13">
        <v>42.63</v>
      </c>
      <c r="G83" s="13">
        <v>63.65</v>
      </c>
      <c r="H83" s="13">
        <v>34.04</v>
      </c>
      <c r="I83" s="13">
        <v>0</v>
      </c>
      <c r="J83" s="13">
        <v>19.12</v>
      </c>
      <c r="K83" s="13">
        <v>111.25</v>
      </c>
      <c r="L83" s="13">
        <v>22.75</v>
      </c>
      <c r="M83" s="13">
        <v>0</v>
      </c>
      <c r="N83" s="13">
        <f t="shared" si="2"/>
        <v>558.54999999999995</v>
      </c>
    </row>
    <row r="84" spans="1:14">
      <c r="A84" s="6"/>
      <c r="B84" s="6"/>
      <c r="C84" s="6"/>
      <c r="D84" s="6"/>
      <c r="E84" s="6"/>
      <c r="F84" s="6"/>
      <c r="G84" s="6"/>
      <c r="H84" s="6"/>
      <c r="I84" s="6"/>
      <c r="J84" s="6"/>
      <c r="K84" s="6"/>
      <c r="L84" s="6"/>
      <c r="M84" s="6"/>
      <c r="N84" s="6"/>
    </row>
    <row r="85" spans="1:14">
      <c r="A85" s="6" t="s">
        <v>143</v>
      </c>
      <c r="B85" s="13">
        <f t="shared" ref="B85:N85" si="3">SUM(B13:B83)</f>
        <v>200136.53000000003</v>
      </c>
      <c r="C85" s="13">
        <f t="shared" si="3"/>
        <v>200630.75999999995</v>
      </c>
      <c r="D85" s="13">
        <f t="shared" si="3"/>
        <v>207466.84000000003</v>
      </c>
      <c r="E85" s="13">
        <f t="shared" si="3"/>
        <v>202596.93999999997</v>
      </c>
      <c r="F85" s="13">
        <f t="shared" si="3"/>
        <v>208407.44000000006</v>
      </c>
      <c r="G85" s="13">
        <f t="shared" si="3"/>
        <v>203371.88</v>
      </c>
      <c r="H85" s="13">
        <f t="shared" si="3"/>
        <v>203705.26</v>
      </c>
      <c r="I85" s="13">
        <f t="shared" si="3"/>
        <v>203686.94999999992</v>
      </c>
      <c r="J85" s="13">
        <f t="shared" si="3"/>
        <v>186109.84000000005</v>
      </c>
      <c r="K85" s="13">
        <f t="shared" si="3"/>
        <v>203685.31</v>
      </c>
      <c r="L85" s="13">
        <f t="shared" si="3"/>
        <v>206411.13000000012</v>
      </c>
      <c r="M85" s="13">
        <f t="shared" si="3"/>
        <v>210421.56999999998</v>
      </c>
      <c r="N85" s="13">
        <f t="shared" si="3"/>
        <v>2436630.4500000002</v>
      </c>
    </row>
    <row r="87" spans="1:14">
      <c r="A87" s="5" t="s">
        <v>2</v>
      </c>
      <c r="B87" s="489" t="s">
        <v>3</v>
      </c>
      <c r="C87" s="489"/>
      <c r="D87" s="489"/>
    </row>
  </sheetData>
  <mergeCells count="6">
    <mergeCell ref="B87:D87"/>
    <mergeCell ref="A1:E1"/>
    <mergeCell ref="A2:E2"/>
    <mergeCell ref="A3:E3"/>
    <mergeCell ref="A4:E4"/>
    <mergeCell ref="B10:N10"/>
  </mergeCells>
  <pageMargins left="0.75" right="0.75" top="1" bottom="1" header="0.5" footer="0.5"/>
  <pageSetup scale="55" fitToHeight="100"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showRuler="0" zoomScaleNormal="100" workbookViewId="0">
      <selection activeCell="H31" sqref="H31"/>
    </sheetView>
  </sheetViews>
  <sheetFormatPr defaultColWidth="13.6640625" defaultRowHeight="13.2"/>
  <cols>
    <col min="1" max="1" width="41.88671875" customWidth="1"/>
    <col min="2" max="2" width="40" customWidth="1"/>
    <col min="3" max="3" width="13.88671875" customWidth="1"/>
    <col min="4" max="4" width="13.6640625" customWidth="1"/>
    <col min="5" max="5" width="13.88671875" customWidth="1"/>
    <col min="6" max="6" width="13.6640625" customWidth="1"/>
    <col min="7" max="7" width="13.88671875" customWidth="1"/>
    <col min="8" max="8" width="13.6640625" customWidth="1"/>
    <col min="9" max="9" width="4.33203125" customWidth="1"/>
    <col min="10" max="10" width="48.88671875" customWidth="1"/>
  </cols>
  <sheetData>
    <row r="1" spans="1:14">
      <c r="A1" s="489" t="s">
        <v>0</v>
      </c>
      <c r="B1" s="489"/>
      <c r="C1" s="489"/>
      <c r="D1" s="6"/>
      <c r="E1" s="6"/>
    </row>
    <row r="2" spans="1:14">
      <c r="A2" s="490" t="s">
        <v>365</v>
      </c>
      <c r="B2" s="490"/>
      <c r="C2" s="490"/>
      <c r="D2" s="490"/>
      <c r="E2" s="6"/>
    </row>
    <row r="3" spans="1:14">
      <c r="A3" s="490" t="s">
        <v>366</v>
      </c>
      <c r="B3" s="490"/>
      <c r="C3" s="490"/>
      <c r="D3" s="6"/>
      <c r="E3" s="6"/>
    </row>
    <row r="4" spans="1:14">
      <c r="A4" s="489" t="s">
        <v>107</v>
      </c>
      <c r="B4" s="489"/>
      <c r="C4" s="507"/>
      <c r="D4" s="507"/>
      <c r="E4" s="507"/>
    </row>
    <row r="5" spans="1:14">
      <c r="A5" s="7"/>
      <c r="B5" s="44"/>
      <c r="C5" s="508" t="s">
        <v>367</v>
      </c>
      <c r="D5" s="508"/>
      <c r="E5" s="508" t="s">
        <v>368</v>
      </c>
      <c r="F5" s="508"/>
      <c r="G5" s="508" t="s">
        <v>369</v>
      </c>
      <c r="H5" s="508"/>
      <c r="I5" s="98"/>
      <c r="J5" s="509" t="s">
        <v>148</v>
      </c>
      <c r="K5" s="508" t="s">
        <v>370</v>
      </c>
      <c r="L5" s="508"/>
      <c r="M5" s="508"/>
      <c r="N5" s="21"/>
    </row>
    <row r="6" spans="1:14" ht="27.6" customHeight="1">
      <c r="A6" s="91" t="s">
        <v>371</v>
      </c>
      <c r="B6" s="91" t="s">
        <v>148</v>
      </c>
      <c r="C6" s="99" t="s">
        <v>372</v>
      </c>
      <c r="D6" s="99" t="s">
        <v>370</v>
      </c>
      <c r="E6" s="99" t="s">
        <v>372</v>
      </c>
      <c r="F6" s="99" t="s">
        <v>370</v>
      </c>
      <c r="G6" s="99" t="s">
        <v>372</v>
      </c>
      <c r="H6" s="99" t="s">
        <v>370</v>
      </c>
      <c r="I6" s="98"/>
      <c r="J6" s="509"/>
      <c r="K6" s="99" t="s">
        <v>373</v>
      </c>
      <c r="L6" s="99" t="s">
        <v>374</v>
      </c>
      <c r="M6" s="99" t="s">
        <v>375</v>
      </c>
      <c r="N6" s="21"/>
    </row>
    <row r="7" spans="1:14">
      <c r="A7" s="9" t="s">
        <v>376</v>
      </c>
      <c r="B7" s="9" t="s">
        <v>377</v>
      </c>
      <c r="C7" s="11">
        <v>1295133</v>
      </c>
      <c r="D7" s="11">
        <f>(C7/12)*9</f>
        <v>971349.75</v>
      </c>
      <c r="E7" s="11">
        <v>880459</v>
      </c>
      <c r="F7" s="11">
        <f>(E7/12)*9</f>
        <v>660344.25</v>
      </c>
      <c r="G7" s="11">
        <v>0</v>
      </c>
      <c r="H7" s="11">
        <f>(G7/12)*9</f>
        <v>0</v>
      </c>
      <c r="I7" s="6"/>
      <c r="J7" s="9" t="s">
        <v>378</v>
      </c>
      <c r="K7" s="11">
        <f>D9</f>
        <v>1355190.75</v>
      </c>
      <c r="L7" s="11">
        <f>F9</f>
        <v>880471.25</v>
      </c>
      <c r="M7" s="11">
        <f>H9</f>
        <v>0</v>
      </c>
    </row>
    <row r="8" spans="1:14">
      <c r="A8" s="6" t="s">
        <v>379</v>
      </c>
      <c r="B8" s="6" t="s">
        <v>377</v>
      </c>
      <c r="C8" s="100">
        <v>383841</v>
      </c>
      <c r="D8" s="100">
        <f>C8</f>
        <v>383841</v>
      </c>
      <c r="E8" s="100">
        <v>220127</v>
      </c>
      <c r="F8" s="100">
        <f>E8</f>
        <v>220127</v>
      </c>
      <c r="G8" s="100">
        <v>0</v>
      </c>
      <c r="H8" s="100">
        <f>G8</f>
        <v>0</v>
      </c>
      <c r="I8" s="6"/>
      <c r="J8" s="6" t="s">
        <v>380</v>
      </c>
      <c r="K8" s="14">
        <f>D13</f>
        <v>70186.25</v>
      </c>
      <c r="L8" s="14">
        <f>F13</f>
        <v>-806929.75</v>
      </c>
      <c r="M8" s="14">
        <f>H13</f>
        <v>88138</v>
      </c>
    </row>
    <row r="9" spans="1:14">
      <c r="A9" s="6"/>
      <c r="B9" s="6" t="s">
        <v>143</v>
      </c>
      <c r="C9" s="101">
        <f t="shared" ref="C9:H9" si="0">SUM(C7:C8)</f>
        <v>1678974</v>
      </c>
      <c r="D9" s="101">
        <f t="shared" si="0"/>
        <v>1355190.75</v>
      </c>
      <c r="E9" s="101">
        <f t="shared" si="0"/>
        <v>1100586</v>
      </c>
      <c r="F9" s="101">
        <f t="shared" si="0"/>
        <v>880471.25</v>
      </c>
      <c r="G9" s="101">
        <f t="shared" si="0"/>
        <v>0</v>
      </c>
      <c r="H9" s="101">
        <f t="shared" si="0"/>
        <v>0</v>
      </c>
      <c r="I9" s="6"/>
      <c r="J9" s="6" t="s">
        <v>381</v>
      </c>
      <c r="K9" s="14">
        <f>D17</f>
        <v>2292.75</v>
      </c>
      <c r="L9" s="14">
        <f>F17</f>
        <v>70.75</v>
      </c>
      <c r="M9" s="14">
        <f>H17</f>
        <v>0</v>
      </c>
    </row>
    <row r="10" spans="1:14">
      <c r="A10" s="6"/>
      <c r="B10" s="6"/>
      <c r="C10" s="26"/>
      <c r="D10" s="26"/>
      <c r="E10" s="26"/>
      <c r="F10" s="26"/>
      <c r="G10" s="26"/>
      <c r="H10" s="26"/>
      <c r="I10" s="6"/>
      <c r="J10" s="6" t="s">
        <v>382</v>
      </c>
      <c r="K10" s="14">
        <f>D21</f>
        <v>3318.75</v>
      </c>
      <c r="L10" s="14">
        <f>F21</f>
        <v>42.75</v>
      </c>
      <c r="M10" s="14">
        <f>H21</f>
        <v>0</v>
      </c>
    </row>
    <row r="11" spans="1:14">
      <c r="A11" s="6" t="s">
        <v>376</v>
      </c>
      <c r="B11" s="6" t="s">
        <v>383</v>
      </c>
      <c r="C11" s="14">
        <v>-60733</v>
      </c>
      <c r="D11" s="14">
        <f>(C11/12)*9</f>
        <v>-45549.75</v>
      </c>
      <c r="E11" s="14">
        <v>-864705</v>
      </c>
      <c r="F11" s="14">
        <f>(E11/12)*9</f>
        <v>-648528.75</v>
      </c>
      <c r="G11" s="14">
        <v>85364</v>
      </c>
      <c r="H11" s="14">
        <f>(G11/12)*9</f>
        <v>64023</v>
      </c>
      <c r="I11" s="6"/>
      <c r="J11" s="6" t="s">
        <v>384</v>
      </c>
      <c r="K11" s="14">
        <f>D25</f>
        <v>106247.75</v>
      </c>
      <c r="L11" s="14">
        <f>F25</f>
        <v>92394</v>
      </c>
      <c r="M11" s="14">
        <f>H25</f>
        <v>0</v>
      </c>
    </row>
    <row r="12" spans="1:14">
      <c r="A12" s="6" t="s">
        <v>379</v>
      </c>
      <c r="B12" s="6" t="s">
        <v>383</v>
      </c>
      <c r="C12" s="100">
        <v>115736</v>
      </c>
      <c r="D12" s="100">
        <f>C12</f>
        <v>115736</v>
      </c>
      <c r="E12" s="100">
        <v>-158401</v>
      </c>
      <c r="F12" s="100">
        <f>E12</f>
        <v>-158401</v>
      </c>
      <c r="G12" s="100">
        <v>24115</v>
      </c>
      <c r="H12" s="100">
        <f>G12</f>
        <v>24115</v>
      </c>
      <c r="I12" s="6"/>
      <c r="J12" s="6" t="s">
        <v>385</v>
      </c>
      <c r="K12" s="14">
        <f>D29</f>
        <v>-1684525.25</v>
      </c>
      <c r="L12" s="14">
        <f>F29</f>
        <v>-1326309.5</v>
      </c>
      <c r="M12" s="14">
        <f>H29</f>
        <v>-220083.5</v>
      </c>
    </row>
    <row r="13" spans="1:14">
      <c r="A13" s="6"/>
      <c r="B13" s="6" t="s">
        <v>143</v>
      </c>
      <c r="C13" s="101">
        <f t="shared" ref="C13:H13" si="1">SUM(C11:C12)</f>
        <v>55003</v>
      </c>
      <c r="D13" s="101">
        <f t="shared" si="1"/>
        <v>70186.25</v>
      </c>
      <c r="E13" s="101">
        <f t="shared" si="1"/>
        <v>-1023106</v>
      </c>
      <c r="F13" s="101">
        <f t="shared" si="1"/>
        <v>-806929.75</v>
      </c>
      <c r="G13" s="101">
        <f t="shared" si="1"/>
        <v>109479</v>
      </c>
      <c r="H13" s="101">
        <f t="shared" si="1"/>
        <v>88138</v>
      </c>
      <c r="I13" s="6"/>
      <c r="J13" s="6" t="s">
        <v>143</v>
      </c>
      <c r="K13" s="14">
        <f>SUM(K7:K12)</f>
        <v>-147289</v>
      </c>
      <c r="L13" s="14">
        <f>SUM(L7:L12)</f>
        <v>-1160260.5</v>
      </c>
      <c r="M13" s="14">
        <f>SUM(M7:M12)</f>
        <v>-131945.5</v>
      </c>
    </row>
    <row r="14" spans="1:14">
      <c r="A14" s="6"/>
      <c r="B14" s="6"/>
      <c r="C14" s="26"/>
      <c r="D14" s="26"/>
      <c r="E14" s="26"/>
      <c r="F14" s="26"/>
      <c r="G14" s="26"/>
      <c r="H14" s="26"/>
      <c r="I14" s="6"/>
      <c r="J14" s="6"/>
      <c r="K14" s="6"/>
      <c r="L14" s="6"/>
      <c r="M14" s="6"/>
    </row>
    <row r="15" spans="1:14">
      <c r="A15" s="6" t="s">
        <v>376</v>
      </c>
      <c r="B15" s="6" t="s">
        <v>386</v>
      </c>
      <c r="C15" s="14">
        <v>2097</v>
      </c>
      <c r="D15" s="14">
        <f>(C15/12)*9</f>
        <v>1572.75</v>
      </c>
      <c r="E15" s="14">
        <v>9</v>
      </c>
      <c r="F15" s="14">
        <f>(E15/12)*9</f>
        <v>6.75</v>
      </c>
      <c r="G15" s="14">
        <v>0</v>
      </c>
      <c r="H15" s="14">
        <f>(G15/12)*9</f>
        <v>0</v>
      </c>
      <c r="I15" s="6"/>
      <c r="J15" s="7"/>
      <c r="K15" s="7"/>
      <c r="L15" s="7"/>
      <c r="M15" s="7"/>
    </row>
    <row r="16" spans="1:14">
      <c r="A16" s="6" t="s">
        <v>379</v>
      </c>
      <c r="B16" s="6" t="s">
        <v>386</v>
      </c>
      <c r="C16" s="100">
        <v>720</v>
      </c>
      <c r="D16" s="100">
        <f>C16</f>
        <v>720</v>
      </c>
      <c r="E16" s="100">
        <v>64</v>
      </c>
      <c r="F16" s="100">
        <f>E16</f>
        <v>64</v>
      </c>
      <c r="G16" s="100">
        <v>0</v>
      </c>
      <c r="H16" s="100">
        <f>G16</f>
        <v>0</v>
      </c>
      <c r="I16" s="23"/>
      <c r="J16" s="509" t="s">
        <v>148</v>
      </c>
      <c r="K16" s="508" t="s">
        <v>387</v>
      </c>
      <c r="L16" s="508"/>
      <c r="M16" s="508"/>
      <c r="N16" s="21"/>
    </row>
    <row r="17" spans="1:14">
      <c r="A17" s="6"/>
      <c r="B17" s="6" t="s">
        <v>143</v>
      </c>
      <c r="C17" s="101">
        <f t="shared" ref="C17:H17" si="2">SUM(C15:C16)</f>
        <v>2817</v>
      </c>
      <c r="D17" s="101">
        <f t="shared" si="2"/>
        <v>2292.75</v>
      </c>
      <c r="E17" s="101">
        <f t="shared" si="2"/>
        <v>73</v>
      </c>
      <c r="F17" s="101">
        <f t="shared" si="2"/>
        <v>70.75</v>
      </c>
      <c r="G17" s="101">
        <f t="shared" si="2"/>
        <v>0</v>
      </c>
      <c r="H17" s="101">
        <f t="shared" si="2"/>
        <v>0</v>
      </c>
      <c r="I17" s="23"/>
      <c r="J17" s="509"/>
      <c r="K17" s="97" t="s">
        <v>373</v>
      </c>
      <c r="L17" s="97" t="s">
        <v>374</v>
      </c>
      <c r="M17" s="97" t="s">
        <v>375</v>
      </c>
      <c r="N17" s="21"/>
    </row>
    <row r="18" spans="1:14">
      <c r="A18" s="6"/>
      <c r="B18" s="6"/>
      <c r="C18" s="26"/>
      <c r="D18" s="26"/>
      <c r="E18" s="26"/>
      <c r="F18" s="26"/>
      <c r="G18" s="26"/>
      <c r="H18" s="26"/>
      <c r="I18" s="6"/>
      <c r="J18" s="9" t="s">
        <v>378</v>
      </c>
      <c r="K18" s="11">
        <f>C8*4</f>
        <v>1535364</v>
      </c>
      <c r="L18" s="11">
        <f>E8*4</f>
        <v>880508</v>
      </c>
      <c r="M18" s="11">
        <f>G8*4</f>
        <v>0</v>
      </c>
    </row>
    <row r="19" spans="1:14">
      <c r="A19" s="6" t="s">
        <v>376</v>
      </c>
      <c r="B19" s="6" t="s">
        <v>388</v>
      </c>
      <c r="C19" s="14">
        <v>3061</v>
      </c>
      <c r="D19" s="14">
        <f>(C19/12)*9</f>
        <v>2295.75</v>
      </c>
      <c r="E19" s="14">
        <v>1</v>
      </c>
      <c r="F19" s="14">
        <f>(E19/12)*9</f>
        <v>0.75</v>
      </c>
      <c r="G19" s="14">
        <v>0</v>
      </c>
      <c r="H19" s="14">
        <f>(G19/12)*9</f>
        <v>0</v>
      </c>
      <c r="I19" s="6"/>
      <c r="J19" s="6" t="s">
        <v>380</v>
      </c>
      <c r="K19" s="14">
        <f>C12*4</f>
        <v>462944</v>
      </c>
      <c r="L19" s="14">
        <f>E12*4</f>
        <v>-633604</v>
      </c>
      <c r="M19" s="14">
        <f>G12*4</f>
        <v>96460</v>
      </c>
    </row>
    <row r="20" spans="1:14">
      <c r="A20" s="6" t="s">
        <v>379</v>
      </c>
      <c r="B20" s="6" t="s">
        <v>388</v>
      </c>
      <c r="C20" s="100">
        <v>1023</v>
      </c>
      <c r="D20" s="100">
        <f>C20</f>
        <v>1023</v>
      </c>
      <c r="E20" s="100">
        <v>42</v>
      </c>
      <c r="F20" s="100">
        <f>E20</f>
        <v>42</v>
      </c>
      <c r="G20" s="100">
        <v>0</v>
      </c>
      <c r="H20" s="100">
        <f>G20</f>
        <v>0</v>
      </c>
      <c r="I20" s="6"/>
      <c r="J20" s="6" t="s">
        <v>381</v>
      </c>
      <c r="K20" s="14">
        <f>C16*4</f>
        <v>2880</v>
      </c>
      <c r="L20" s="14">
        <f>E16*4</f>
        <v>256</v>
      </c>
      <c r="M20" s="14">
        <f>G16*4</f>
        <v>0</v>
      </c>
    </row>
    <row r="21" spans="1:14">
      <c r="A21" s="6"/>
      <c r="B21" s="6" t="s">
        <v>143</v>
      </c>
      <c r="C21" s="101">
        <f t="shared" ref="C21:H21" si="3">SUM(C19:C20)</f>
        <v>4084</v>
      </c>
      <c r="D21" s="101">
        <f t="shared" si="3"/>
        <v>3318.75</v>
      </c>
      <c r="E21" s="101">
        <f t="shared" si="3"/>
        <v>43</v>
      </c>
      <c r="F21" s="101">
        <f t="shared" si="3"/>
        <v>42.75</v>
      </c>
      <c r="G21" s="101">
        <f t="shared" si="3"/>
        <v>0</v>
      </c>
      <c r="H21" s="101">
        <f t="shared" si="3"/>
        <v>0</v>
      </c>
      <c r="I21" s="6"/>
      <c r="J21" s="6" t="s">
        <v>382</v>
      </c>
      <c r="K21" s="14">
        <f>C20*4</f>
        <v>4092</v>
      </c>
      <c r="L21" s="14">
        <f>E20*4</f>
        <v>168</v>
      </c>
      <c r="M21" s="14">
        <f>G20*4</f>
        <v>0</v>
      </c>
    </row>
    <row r="22" spans="1:14">
      <c r="A22" s="6"/>
      <c r="B22" s="6"/>
      <c r="C22" s="26"/>
      <c r="D22" s="26"/>
      <c r="E22" s="26"/>
      <c r="F22" s="26"/>
      <c r="G22" s="26"/>
      <c r="H22" s="26"/>
      <c r="I22" s="6"/>
      <c r="J22" s="6" t="s">
        <v>384</v>
      </c>
      <c r="K22" s="14">
        <f>C24*4</f>
        <v>120884</v>
      </c>
      <c r="L22" s="14">
        <f>E24*4</f>
        <v>99060</v>
      </c>
      <c r="M22" s="14">
        <f>G24*4</f>
        <v>0</v>
      </c>
    </row>
    <row r="23" spans="1:14">
      <c r="A23" s="6" t="s">
        <v>376</v>
      </c>
      <c r="B23" s="6" t="s">
        <v>389</v>
      </c>
      <c r="C23" s="14">
        <v>101369</v>
      </c>
      <c r="D23" s="14">
        <f>(C23/12)*9</f>
        <v>76026.75</v>
      </c>
      <c r="E23" s="14">
        <v>90172</v>
      </c>
      <c r="F23" s="14">
        <f>(E23/12)*9</f>
        <v>67629</v>
      </c>
      <c r="G23" s="14">
        <v>0</v>
      </c>
      <c r="H23" s="14">
        <f>(G23/12)*9</f>
        <v>0</v>
      </c>
      <c r="I23" s="6"/>
      <c r="J23" s="6" t="s">
        <v>385</v>
      </c>
      <c r="K23" s="14">
        <f>C28*4</f>
        <v>-2018768</v>
      </c>
      <c r="L23" s="14">
        <f>E28*4</f>
        <v>-1733408</v>
      </c>
      <c r="M23" s="14">
        <f>G28*4</f>
        <v>-233432</v>
      </c>
    </row>
    <row r="24" spans="1:14">
      <c r="A24" s="6" t="s">
        <v>379</v>
      </c>
      <c r="B24" s="6" t="s">
        <v>389</v>
      </c>
      <c r="C24" s="100">
        <v>30221</v>
      </c>
      <c r="D24" s="100">
        <f>C24</f>
        <v>30221</v>
      </c>
      <c r="E24" s="100">
        <v>24765</v>
      </c>
      <c r="F24" s="100">
        <f>E24</f>
        <v>24765</v>
      </c>
      <c r="G24" s="100">
        <v>0</v>
      </c>
      <c r="H24" s="100">
        <f>G24</f>
        <v>0</v>
      </c>
      <c r="I24" s="6"/>
      <c r="J24" s="6" t="s">
        <v>143</v>
      </c>
      <c r="K24" s="14">
        <f>SUM(K18:K23)</f>
        <v>107396</v>
      </c>
      <c r="L24" s="14">
        <f>SUM(L18:L23)</f>
        <v>-1387020</v>
      </c>
      <c r="M24" s="14">
        <f>SUM(M18:M23)</f>
        <v>-136972</v>
      </c>
    </row>
    <row r="25" spans="1:14">
      <c r="A25" s="6"/>
      <c r="B25" s="6" t="s">
        <v>143</v>
      </c>
      <c r="C25" s="101">
        <f t="shared" ref="C25:H25" si="4">SUM(C23:C24)</f>
        <v>131590</v>
      </c>
      <c r="D25" s="101">
        <f t="shared" si="4"/>
        <v>106247.75</v>
      </c>
      <c r="E25" s="101">
        <f t="shared" si="4"/>
        <v>114937</v>
      </c>
      <c r="F25" s="101">
        <f t="shared" si="4"/>
        <v>92394</v>
      </c>
      <c r="G25" s="101">
        <f t="shared" si="4"/>
        <v>0</v>
      </c>
      <c r="H25" s="101">
        <f t="shared" si="4"/>
        <v>0</v>
      </c>
      <c r="I25" s="6"/>
      <c r="J25" s="6"/>
      <c r="K25" s="6"/>
      <c r="L25" s="6"/>
      <c r="M25" s="6"/>
    </row>
    <row r="26" spans="1:14">
      <c r="A26" s="6"/>
      <c r="B26" s="6"/>
      <c r="C26" s="26"/>
      <c r="D26" s="26"/>
      <c r="E26" s="26"/>
      <c r="F26" s="26"/>
      <c r="G26" s="26"/>
      <c r="H26" s="26"/>
      <c r="I26" s="6"/>
      <c r="J26" s="6"/>
      <c r="K26" s="6"/>
      <c r="L26" s="6"/>
      <c r="M26" s="6"/>
    </row>
    <row r="27" spans="1:14">
      <c r="A27" s="6" t="s">
        <v>376</v>
      </c>
      <c r="B27" s="6" t="s">
        <v>390</v>
      </c>
      <c r="C27" s="14">
        <v>-1573111</v>
      </c>
      <c r="D27" s="14">
        <f>(C27/12)*9</f>
        <v>-1179833.25</v>
      </c>
      <c r="E27" s="14">
        <v>-1190610</v>
      </c>
      <c r="F27" s="14">
        <f>(E27/12)*9</f>
        <v>-892957.5</v>
      </c>
      <c r="G27" s="14">
        <v>-215634</v>
      </c>
      <c r="H27" s="14">
        <f>(G27/12)*9</f>
        <v>-161725.5</v>
      </c>
      <c r="I27" s="6"/>
      <c r="J27" s="6"/>
      <c r="K27" s="6"/>
      <c r="L27" s="6"/>
      <c r="M27" s="6"/>
    </row>
    <row r="28" spans="1:14">
      <c r="A28" s="6" t="s">
        <v>379</v>
      </c>
      <c r="B28" s="6" t="s">
        <v>390</v>
      </c>
      <c r="C28" s="100">
        <v>-504692</v>
      </c>
      <c r="D28" s="100">
        <f>C28</f>
        <v>-504692</v>
      </c>
      <c r="E28" s="100">
        <v>-433352</v>
      </c>
      <c r="F28" s="100">
        <f>E28</f>
        <v>-433352</v>
      </c>
      <c r="G28" s="100">
        <v>-58358</v>
      </c>
      <c r="H28" s="100">
        <f>G28</f>
        <v>-58358</v>
      </c>
      <c r="I28" s="6"/>
      <c r="J28" s="6"/>
      <c r="K28" s="6"/>
      <c r="L28" s="6"/>
      <c r="M28" s="6"/>
    </row>
    <row r="29" spans="1:14">
      <c r="A29" s="6"/>
      <c r="B29" s="6" t="s">
        <v>143</v>
      </c>
      <c r="C29" s="101">
        <f t="shared" ref="C29:H29" si="5">SUM(C27:C28)</f>
        <v>-2077803</v>
      </c>
      <c r="D29" s="101">
        <f t="shared" si="5"/>
        <v>-1684525.25</v>
      </c>
      <c r="E29" s="101">
        <f t="shared" si="5"/>
        <v>-1623962</v>
      </c>
      <c r="F29" s="101">
        <f t="shared" si="5"/>
        <v>-1326309.5</v>
      </c>
      <c r="G29" s="101">
        <f t="shared" si="5"/>
        <v>-273992</v>
      </c>
      <c r="H29" s="101">
        <f t="shared" si="5"/>
        <v>-220083.5</v>
      </c>
      <c r="I29" s="6"/>
      <c r="J29" s="6"/>
      <c r="K29" s="6"/>
      <c r="L29" s="6"/>
      <c r="M29" s="6"/>
    </row>
    <row r="30" spans="1:14">
      <c r="A30" s="6"/>
      <c r="B30" s="6"/>
      <c r="C30" s="26"/>
      <c r="D30" s="26"/>
      <c r="E30" s="26"/>
      <c r="F30" s="26"/>
      <c r="G30" s="26"/>
      <c r="H30" s="26"/>
      <c r="I30" s="6"/>
      <c r="J30" s="6"/>
      <c r="K30" s="6"/>
      <c r="L30" s="6"/>
      <c r="M30" s="6"/>
    </row>
    <row r="31" spans="1:14">
      <c r="A31" s="6"/>
      <c r="B31" s="1" t="s">
        <v>143</v>
      </c>
      <c r="C31" s="102">
        <f t="shared" ref="C31:H31" si="6">C9+C13+C17+C21+C25+C29</f>
        <v>-205335</v>
      </c>
      <c r="D31" s="102">
        <f t="shared" si="6"/>
        <v>-147289</v>
      </c>
      <c r="E31" s="102">
        <f t="shared" si="6"/>
        <v>-1431429</v>
      </c>
      <c r="F31" s="102">
        <f t="shared" si="6"/>
        <v>-1160260.5</v>
      </c>
      <c r="G31" s="102">
        <f t="shared" si="6"/>
        <v>-164513</v>
      </c>
      <c r="H31" s="102">
        <f t="shared" si="6"/>
        <v>-131945.5</v>
      </c>
      <c r="I31" s="6"/>
      <c r="J31" s="6"/>
      <c r="K31" s="6"/>
      <c r="L31" s="6"/>
      <c r="M31" s="6"/>
    </row>
    <row r="34" spans="1:2">
      <c r="A34" s="5" t="s">
        <v>2</v>
      </c>
      <c r="B34" s="5" t="s">
        <v>3</v>
      </c>
    </row>
  </sheetData>
  <mergeCells count="11">
    <mergeCell ref="G5:H5"/>
    <mergeCell ref="K5:M5"/>
    <mergeCell ref="J5:J6"/>
    <mergeCell ref="K16:M16"/>
    <mergeCell ref="J16:J17"/>
    <mergeCell ref="A2:D2"/>
    <mergeCell ref="A1:C1"/>
    <mergeCell ref="A4:E4"/>
    <mergeCell ref="A3:C3"/>
    <mergeCell ref="C5:D5"/>
    <mergeCell ref="E5:F5"/>
  </mergeCells>
  <pageMargins left="0.75" right="0.75" top="1" bottom="1" header="0.5" footer="0.5"/>
  <pageSetup paperSize="5" scale="59"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showRuler="0" workbookViewId="0">
      <selection activeCell="G53" sqref="G53"/>
    </sheetView>
  </sheetViews>
  <sheetFormatPr defaultColWidth="13.6640625" defaultRowHeight="13.2"/>
  <cols>
    <col min="1" max="1" width="22.44140625" customWidth="1"/>
    <col min="3" max="3" width="23.6640625" customWidth="1"/>
  </cols>
  <sheetData>
    <row r="1" spans="1:7">
      <c r="A1" s="489" t="s">
        <v>0</v>
      </c>
      <c r="B1" s="489"/>
      <c r="C1" s="489"/>
      <c r="D1" s="6"/>
      <c r="E1" s="6"/>
    </row>
    <row r="2" spans="1:7">
      <c r="A2" s="490" t="s">
        <v>365</v>
      </c>
      <c r="B2" s="490"/>
      <c r="C2" s="490"/>
      <c r="D2" s="490"/>
      <c r="E2" s="6"/>
    </row>
    <row r="3" spans="1:7">
      <c r="A3" s="490" t="s">
        <v>391</v>
      </c>
      <c r="B3" s="490"/>
      <c r="C3" s="490"/>
      <c r="D3" s="6"/>
      <c r="E3" s="6"/>
    </row>
    <row r="4" spans="1:7">
      <c r="A4" s="489" t="s">
        <v>107</v>
      </c>
      <c r="B4" s="489"/>
      <c r="C4" s="489"/>
      <c r="D4" s="489"/>
      <c r="E4" s="489"/>
    </row>
    <row r="7" spans="1:7">
      <c r="A7" s="7"/>
      <c r="B7" s="6"/>
      <c r="C7" s="6"/>
      <c r="D7" s="7"/>
      <c r="E7" s="7"/>
      <c r="F7" s="7"/>
    </row>
    <row r="8" spans="1:7" ht="27.6" customHeight="1">
      <c r="A8" s="65" t="s">
        <v>279</v>
      </c>
      <c r="B8" s="57"/>
      <c r="C8" s="44"/>
      <c r="D8" s="493" t="s">
        <v>392</v>
      </c>
      <c r="E8" s="493"/>
      <c r="F8" s="493"/>
      <c r="G8" s="21"/>
    </row>
    <row r="9" spans="1:7" ht="16.649999999999999" customHeight="1">
      <c r="A9" s="65" t="s">
        <v>314</v>
      </c>
      <c r="B9" s="65" t="s">
        <v>315</v>
      </c>
      <c r="C9" s="65" t="s">
        <v>318</v>
      </c>
      <c r="D9" s="65" t="s">
        <v>373</v>
      </c>
      <c r="E9" s="65" t="s">
        <v>374</v>
      </c>
      <c r="F9" s="65" t="s">
        <v>277</v>
      </c>
      <c r="G9" s="21"/>
    </row>
    <row r="10" spans="1:7" ht="27.6" customHeight="1">
      <c r="A10" s="9" t="s">
        <v>393</v>
      </c>
      <c r="B10" s="30">
        <v>2019</v>
      </c>
      <c r="C10" s="30">
        <v>1</v>
      </c>
      <c r="D10" s="10">
        <v>-41898.620000000003</v>
      </c>
      <c r="E10" s="10">
        <v>-11338.56</v>
      </c>
      <c r="F10" s="10">
        <v>-53237.18</v>
      </c>
    </row>
    <row r="11" spans="1:7" ht="16.649999999999999" customHeight="1">
      <c r="A11" s="6"/>
      <c r="B11" s="6"/>
      <c r="C11" s="28">
        <v>2</v>
      </c>
      <c r="D11" s="13">
        <v>-55631.21</v>
      </c>
      <c r="E11" s="13">
        <v>-12414.46</v>
      </c>
      <c r="F11" s="13">
        <v>-68045.67</v>
      </c>
    </row>
    <row r="12" spans="1:7" ht="16.649999999999999" customHeight="1">
      <c r="A12" s="6"/>
      <c r="B12" s="6"/>
      <c r="C12" s="28">
        <v>3</v>
      </c>
      <c r="D12" s="13">
        <v>-75316.479999999996</v>
      </c>
      <c r="E12" s="13">
        <v>-21348.85</v>
      </c>
      <c r="F12" s="13">
        <v>-96665.33</v>
      </c>
    </row>
    <row r="13" spans="1:7" ht="16.649999999999999" customHeight="1">
      <c r="A13" s="6"/>
      <c r="B13" s="6"/>
      <c r="C13" s="28">
        <v>4</v>
      </c>
      <c r="D13" s="13">
        <v>-43113.85</v>
      </c>
      <c r="E13" s="13">
        <v>-13500.28</v>
      </c>
      <c r="F13" s="13">
        <v>-56614.13</v>
      </c>
    </row>
    <row r="14" spans="1:7" ht="16.649999999999999" customHeight="1">
      <c r="A14" s="6"/>
      <c r="B14" s="6"/>
      <c r="C14" s="28">
        <v>5</v>
      </c>
      <c r="D14" s="13">
        <v>-61324.99</v>
      </c>
      <c r="E14" s="13">
        <v>-14009.6</v>
      </c>
      <c r="F14" s="13">
        <v>-75334.59</v>
      </c>
    </row>
    <row r="15" spans="1:7" ht="16.649999999999999" customHeight="1">
      <c r="A15" s="6"/>
      <c r="B15" s="6"/>
      <c r="C15" s="28">
        <v>6</v>
      </c>
      <c r="D15" s="13">
        <v>-48184.33</v>
      </c>
      <c r="E15" s="13">
        <v>-11497.25</v>
      </c>
      <c r="F15" s="13">
        <v>-59681.58</v>
      </c>
    </row>
    <row r="16" spans="1:7" ht="16.649999999999999" customHeight="1">
      <c r="A16" s="6"/>
      <c r="B16" s="6"/>
      <c r="C16" s="28">
        <v>7</v>
      </c>
      <c r="D16" s="13">
        <v>-51375.519999999997</v>
      </c>
      <c r="E16" s="13">
        <v>-13859.09</v>
      </c>
      <c r="F16" s="13">
        <v>-65234.61</v>
      </c>
    </row>
    <row r="17" spans="1:6" ht="16.649999999999999" customHeight="1">
      <c r="A17" s="6"/>
      <c r="B17" s="6"/>
      <c r="C17" s="28">
        <v>8</v>
      </c>
      <c r="D17" s="13">
        <v>-88928.38</v>
      </c>
      <c r="E17" s="13">
        <v>-20850.87</v>
      </c>
      <c r="F17" s="13">
        <v>-109779.25</v>
      </c>
    </row>
    <row r="18" spans="1:6" ht="16.649999999999999" customHeight="1">
      <c r="A18" s="6"/>
      <c r="B18" s="6"/>
      <c r="C18" s="28">
        <v>9</v>
      </c>
      <c r="D18" s="13">
        <v>-57742.75</v>
      </c>
      <c r="E18" s="13">
        <v>-12271.32</v>
      </c>
      <c r="F18" s="13">
        <v>-70014.070000000007</v>
      </c>
    </row>
    <row r="19" spans="1:6" ht="16.649999999999999" customHeight="1">
      <c r="A19" s="6"/>
      <c r="B19" s="6"/>
      <c r="C19" s="28">
        <v>10</v>
      </c>
      <c r="D19" s="13">
        <v>-56594.83</v>
      </c>
      <c r="E19" s="13">
        <v>-13281.97</v>
      </c>
      <c r="F19" s="13">
        <v>-69876.800000000003</v>
      </c>
    </row>
    <row r="20" spans="1:6" ht="16.649999999999999" customHeight="1">
      <c r="A20" s="6"/>
      <c r="B20" s="6"/>
      <c r="C20" s="28">
        <v>11</v>
      </c>
      <c r="D20" s="13">
        <v>-55108.639999999999</v>
      </c>
      <c r="E20" s="13">
        <v>-15269.26</v>
      </c>
      <c r="F20" s="13">
        <v>-70377.899999999994</v>
      </c>
    </row>
    <row r="21" spans="1:6" ht="16.649999999999999" customHeight="1">
      <c r="A21" s="6"/>
      <c r="B21" s="6"/>
      <c r="C21" s="28">
        <v>12</v>
      </c>
      <c r="D21" s="13">
        <v>-53811.49</v>
      </c>
      <c r="E21" s="13">
        <v>-11375.33</v>
      </c>
      <c r="F21" s="13">
        <v>-65186.82</v>
      </c>
    </row>
    <row r="22" spans="1:6" ht="26.4">
      <c r="A22" s="6" t="s">
        <v>394</v>
      </c>
      <c r="B22" s="6" t="s">
        <v>319</v>
      </c>
      <c r="C22" s="6"/>
      <c r="D22" s="13">
        <f>SUM(D10:D21)</f>
        <v>-689031.09000000008</v>
      </c>
      <c r="E22" s="13">
        <f>SUM(E10:E21)</f>
        <v>-171016.84</v>
      </c>
      <c r="F22" s="13">
        <f>SUM(F10:F21)</f>
        <v>-860047.93000000017</v>
      </c>
    </row>
    <row r="23" spans="1:6" ht="27.6" customHeight="1">
      <c r="B23" s="6"/>
      <c r="C23" s="6"/>
      <c r="D23" s="13"/>
      <c r="E23" s="13"/>
      <c r="F23" s="13"/>
    </row>
    <row r="24" spans="1:6" ht="27.6" customHeight="1">
      <c r="A24" s="6" t="s">
        <v>395</v>
      </c>
      <c r="B24" s="28">
        <v>2019</v>
      </c>
      <c r="C24" s="28">
        <v>1</v>
      </c>
      <c r="D24" s="13">
        <v>-8211.61</v>
      </c>
      <c r="E24" s="13">
        <v>-1881.53</v>
      </c>
      <c r="F24" s="13">
        <v>-10093.14</v>
      </c>
    </row>
    <row r="25" spans="1:6" ht="16.649999999999999" customHeight="1">
      <c r="A25" s="6"/>
      <c r="B25" s="6"/>
      <c r="C25" s="28">
        <v>2</v>
      </c>
      <c r="D25" s="13">
        <v>-10903.04</v>
      </c>
      <c r="E25" s="13">
        <v>-2060.12</v>
      </c>
      <c r="F25" s="13">
        <v>-12963.16</v>
      </c>
    </row>
    <row r="26" spans="1:6" ht="16.649999999999999" customHeight="1">
      <c r="A26" s="6"/>
      <c r="B26" s="6"/>
      <c r="C26" s="28">
        <v>3</v>
      </c>
      <c r="D26" s="13">
        <v>-14761.1</v>
      </c>
      <c r="E26" s="13">
        <v>-3542.7</v>
      </c>
      <c r="F26" s="13">
        <v>-18303.8</v>
      </c>
    </row>
    <row r="27" spans="1:6" ht="16.649999999999999" customHeight="1">
      <c r="A27" s="6"/>
      <c r="B27" s="6"/>
      <c r="C27" s="28">
        <v>4</v>
      </c>
      <c r="D27" s="13">
        <v>-7684.07</v>
      </c>
      <c r="E27" s="13">
        <v>-1251.5</v>
      </c>
      <c r="F27" s="13">
        <v>-8935.57</v>
      </c>
    </row>
    <row r="28" spans="1:6" ht="16.649999999999999" customHeight="1">
      <c r="A28" s="6"/>
      <c r="B28" s="6"/>
      <c r="C28" s="28">
        <v>5</v>
      </c>
      <c r="D28" s="13">
        <v>-11180.5</v>
      </c>
      <c r="E28" s="13">
        <v>-1298.74</v>
      </c>
      <c r="F28" s="13">
        <v>-12479.24</v>
      </c>
    </row>
    <row r="29" spans="1:6" ht="16.649999999999999" customHeight="1">
      <c r="A29" s="6"/>
      <c r="B29" s="6"/>
      <c r="C29" s="28">
        <v>6</v>
      </c>
      <c r="D29" s="13">
        <v>-8588.01</v>
      </c>
      <c r="E29" s="13">
        <v>-1065.8399999999999</v>
      </c>
      <c r="F29" s="13">
        <v>-9653.85</v>
      </c>
    </row>
    <row r="30" spans="1:6" ht="16.649999999999999" customHeight="1">
      <c r="A30" s="6"/>
      <c r="B30" s="6"/>
      <c r="C30" s="28">
        <v>7</v>
      </c>
      <c r="D30" s="13">
        <v>-9039.4</v>
      </c>
      <c r="E30" s="13">
        <v>-1285.6500000000001</v>
      </c>
      <c r="F30" s="13">
        <v>-10325.049999999999</v>
      </c>
    </row>
    <row r="31" spans="1:6" ht="16.649999999999999" customHeight="1">
      <c r="A31" s="6"/>
      <c r="B31" s="6"/>
      <c r="C31" s="28">
        <v>8</v>
      </c>
      <c r="D31" s="13">
        <v>-15647.24</v>
      </c>
      <c r="E31" s="13">
        <v>-1934.21</v>
      </c>
      <c r="F31" s="13">
        <v>-17581.45</v>
      </c>
    </row>
    <row r="32" spans="1:6" ht="16.649999999999999" customHeight="1">
      <c r="A32" s="6"/>
      <c r="B32" s="6"/>
      <c r="C32" s="28">
        <v>9</v>
      </c>
      <c r="D32" s="13">
        <v>-10160.030000000001</v>
      </c>
      <c r="E32" s="13">
        <v>-1138.3800000000001</v>
      </c>
      <c r="F32" s="13">
        <v>-11298.41</v>
      </c>
    </row>
    <row r="33" spans="1:7" ht="16.649999999999999" customHeight="1">
      <c r="A33" s="6"/>
      <c r="B33" s="6"/>
      <c r="C33" s="28">
        <v>10</v>
      </c>
      <c r="D33" s="13">
        <v>-10033.98</v>
      </c>
      <c r="E33" s="13">
        <v>-1231.17</v>
      </c>
      <c r="F33" s="13">
        <v>-11265.15</v>
      </c>
    </row>
    <row r="34" spans="1:7" ht="16.649999999999999" customHeight="1">
      <c r="A34" s="6"/>
      <c r="B34" s="6"/>
      <c r="C34" s="28">
        <v>11</v>
      </c>
      <c r="D34" s="13">
        <v>-9770.51</v>
      </c>
      <c r="E34" s="13">
        <v>-1415.36</v>
      </c>
      <c r="F34" s="13">
        <v>-11185.87</v>
      </c>
    </row>
    <row r="35" spans="1:7" ht="16.649999999999999" customHeight="1">
      <c r="A35" s="6"/>
      <c r="B35" s="6"/>
      <c r="C35" s="28">
        <v>12</v>
      </c>
      <c r="D35" s="13">
        <v>-9540.43</v>
      </c>
      <c r="E35" s="13">
        <v>-1054.4100000000001</v>
      </c>
      <c r="F35" s="13">
        <v>-10594.84</v>
      </c>
    </row>
    <row r="36" spans="1:7" ht="26.4">
      <c r="A36" s="6" t="s">
        <v>396</v>
      </c>
      <c r="B36" s="6" t="s">
        <v>319</v>
      </c>
      <c r="C36" s="6"/>
      <c r="D36" s="13">
        <f>SUM(D24:D35)</f>
        <v>-125519.91999999998</v>
      </c>
      <c r="E36" s="13">
        <f>SUM(E24:E35)</f>
        <v>-19159.609999999997</v>
      </c>
      <c r="F36" s="13">
        <f>SUM(F24:F35)</f>
        <v>-144679.53</v>
      </c>
    </row>
    <row r="37" spans="1:7" ht="27.6" customHeight="1">
      <c r="B37" s="6"/>
      <c r="C37" s="6"/>
      <c r="D37" s="13"/>
      <c r="E37" s="13"/>
      <c r="F37" s="13"/>
    </row>
    <row r="38" spans="1:7" ht="16.649999999999999" customHeight="1">
      <c r="A38" s="6" t="s">
        <v>277</v>
      </c>
      <c r="B38" s="6"/>
      <c r="C38" s="6"/>
      <c r="D38" s="13">
        <f>D22+D36</f>
        <v>-814551.01</v>
      </c>
      <c r="E38" s="13">
        <f>E22+E36</f>
        <v>-190176.44999999998</v>
      </c>
      <c r="F38" s="13">
        <f>F22+F36</f>
        <v>-1004727.4600000002</v>
      </c>
    </row>
    <row r="40" spans="1:7">
      <c r="A40" s="7"/>
      <c r="B40" s="6"/>
      <c r="C40" s="6"/>
      <c r="D40" s="7"/>
      <c r="E40" s="7"/>
      <c r="F40" s="7"/>
    </row>
    <row r="41" spans="1:7" ht="27.6" customHeight="1">
      <c r="A41" s="8" t="s">
        <v>279</v>
      </c>
      <c r="B41" s="103"/>
      <c r="C41" s="104"/>
      <c r="D41" s="493" t="s">
        <v>392</v>
      </c>
      <c r="E41" s="493"/>
      <c r="F41" s="493"/>
      <c r="G41" s="21"/>
    </row>
    <row r="42" spans="1:7" ht="16.649999999999999" customHeight="1">
      <c r="A42" s="8" t="s">
        <v>314</v>
      </c>
      <c r="B42" s="8" t="s">
        <v>315</v>
      </c>
      <c r="C42" s="8" t="s">
        <v>318</v>
      </c>
      <c r="D42" s="8" t="s">
        <v>373</v>
      </c>
      <c r="E42" s="8" t="s">
        <v>374</v>
      </c>
      <c r="F42" s="8" t="s">
        <v>277</v>
      </c>
      <c r="G42" s="21"/>
    </row>
    <row r="43" spans="1:7" ht="27.6" customHeight="1">
      <c r="A43" s="9" t="s">
        <v>393</v>
      </c>
      <c r="B43" s="30">
        <v>2020</v>
      </c>
      <c r="C43" s="30">
        <v>1</v>
      </c>
      <c r="D43" s="10">
        <v>-90434.74</v>
      </c>
      <c r="E43" s="10">
        <v>-17677.060000000001</v>
      </c>
      <c r="F43" s="10">
        <v>-108111.8</v>
      </c>
    </row>
    <row r="44" spans="1:7">
      <c r="A44" s="6"/>
      <c r="B44" s="6"/>
      <c r="C44" s="28">
        <v>2</v>
      </c>
      <c r="D44" s="13">
        <v>-66803.33</v>
      </c>
      <c r="E44" s="13">
        <v>-12445.73</v>
      </c>
      <c r="F44" s="13">
        <v>-79249.06</v>
      </c>
    </row>
    <row r="45" spans="1:7">
      <c r="A45" s="6"/>
      <c r="B45" s="6"/>
      <c r="C45" s="28">
        <v>3</v>
      </c>
      <c r="D45" s="13">
        <v>-69467.08</v>
      </c>
      <c r="E45" s="13">
        <v>-11616.04</v>
      </c>
      <c r="F45" s="13">
        <v>-81083.12</v>
      </c>
    </row>
    <row r="46" spans="1:7" ht="26.4">
      <c r="A46" s="6" t="s">
        <v>394</v>
      </c>
      <c r="B46" s="6" t="s">
        <v>320</v>
      </c>
      <c r="C46" s="6"/>
      <c r="D46" s="13">
        <f>SUM(D43:D45)</f>
        <v>-226705.15000000002</v>
      </c>
      <c r="E46" s="13">
        <f>SUM(E43:E45)</f>
        <v>-41738.83</v>
      </c>
      <c r="F46" s="13">
        <f>SUM(F43:F45)</f>
        <v>-268443.98</v>
      </c>
    </row>
    <row r="47" spans="1:7" ht="27.6" customHeight="1">
      <c r="B47" s="6"/>
      <c r="C47" s="6"/>
      <c r="D47" s="13"/>
      <c r="E47" s="13"/>
      <c r="F47" s="13"/>
    </row>
    <row r="48" spans="1:7" ht="27.6" customHeight="1">
      <c r="A48" s="6" t="s">
        <v>395</v>
      </c>
      <c r="B48" s="28">
        <v>2020</v>
      </c>
      <c r="C48" s="28">
        <v>1</v>
      </c>
      <c r="D48" s="13">
        <v>-15150.28</v>
      </c>
      <c r="E48" s="13">
        <v>-2562.81</v>
      </c>
      <c r="F48" s="13">
        <v>-17713.09</v>
      </c>
    </row>
    <row r="49" spans="1:6">
      <c r="A49" s="6"/>
      <c r="B49" s="6"/>
      <c r="C49" s="28">
        <v>2</v>
      </c>
      <c r="D49" s="13">
        <v>-11149.36</v>
      </c>
      <c r="E49" s="13">
        <v>-1804.36</v>
      </c>
      <c r="F49" s="13">
        <v>-12953.72</v>
      </c>
    </row>
    <row r="50" spans="1:6">
      <c r="A50" s="6"/>
      <c r="B50" s="6"/>
      <c r="C50" s="28">
        <v>3</v>
      </c>
      <c r="D50" s="13">
        <v>-11586.78</v>
      </c>
      <c r="E50" s="13">
        <v>-1684.07</v>
      </c>
      <c r="F50" s="13">
        <v>-13270.85</v>
      </c>
    </row>
    <row r="51" spans="1:6" ht="26.4">
      <c r="A51" s="6" t="s">
        <v>396</v>
      </c>
      <c r="B51" s="6" t="s">
        <v>320</v>
      </c>
      <c r="C51" s="6"/>
      <c r="D51" s="13">
        <f>SUM(D48:D50)</f>
        <v>-37886.42</v>
      </c>
      <c r="E51" s="13">
        <f>SUM(E48:E50)</f>
        <v>-6051.24</v>
      </c>
      <c r="F51" s="13">
        <f>SUM(F48:F50)</f>
        <v>-43937.659999999996</v>
      </c>
    </row>
    <row r="52" spans="1:6" ht="27.6" customHeight="1">
      <c r="B52" s="6"/>
      <c r="C52" s="6"/>
      <c r="D52" s="13"/>
      <c r="E52" s="13"/>
      <c r="F52" s="13"/>
    </row>
    <row r="53" spans="1:6">
      <c r="A53" s="6" t="s">
        <v>277</v>
      </c>
      <c r="B53" s="6"/>
      <c r="C53" s="6"/>
      <c r="D53" s="13">
        <f>D46+D51</f>
        <v>-264591.57</v>
      </c>
      <c r="E53" s="13">
        <f>E46+E51</f>
        <v>-47790.07</v>
      </c>
      <c r="F53" s="13">
        <f>F46+F51</f>
        <v>-312381.63999999996</v>
      </c>
    </row>
    <row r="55" spans="1:6">
      <c r="A55" s="5" t="s">
        <v>2</v>
      </c>
      <c r="B55" s="5" t="s">
        <v>3</v>
      </c>
    </row>
  </sheetData>
  <mergeCells count="6">
    <mergeCell ref="D41:F41"/>
    <mergeCell ref="A2:D2"/>
    <mergeCell ref="A1:C1"/>
    <mergeCell ref="A4:E4"/>
    <mergeCell ref="A3:C3"/>
    <mergeCell ref="D8:F8"/>
  </mergeCells>
  <pageMargins left="0.75" right="0.75" top="1" bottom="1" header="0.5" footer="0.5"/>
  <pageSetup scale="6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showRuler="0" zoomScaleNormal="100" workbookViewId="0">
      <selection activeCell="C47" sqref="C47"/>
    </sheetView>
  </sheetViews>
  <sheetFormatPr defaultColWidth="13.6640625" defaultRowHeight="13.2"/>
  <cols>
    <col min="1" max="1" width="9.5546875" customWidth="1"/>
    <col min="2" max="2" width="16.44140625" customWidth="1"/>
    <col min="3" max="3" width="16" customWidth="1"/>
    <col min="4" max="12" width="16.6640625" customWidth="1"/>
  </cols>
  <sheetData>
    <row r="1" spans="1:13">
      <c r="A1" s="489" t="s">
        <v>0</v>
      </c>
      <c r="B1" s="489"/>
      <c r="C1" s="489"/>
      <c r="D1" s="6"/>
      <c r="E1" s="6"/>
      <c r="F1" s="6"/>
      <c r="G1" s="6"/>
      <c r="H1" s="6"/>
      <c r="I1" s="6"/>
      <c r="J1" s="6"/>
      <c r="K1" s="6"/>
      <c r="L1" s="6"/>
    </row>
    <row r="2" spans="1:13">
      <c r="A2" s="490" t="s">
        <v>105</v>
      </c>
      <c r="B2" s="490"/>
      <c r="C2" s="487"/>
      <c r="D2" s="487"/>
      <c r="E2" s="487"/>
      <c r="F2" s="487"/>
      <c r="G2" s="487"/>
    </row>
    <row r="3" spans="1:13">
      <c r="A3" s="490" t="s">
        <v>106</v>
      </c>
      <c r="B3" s="490"/>
      <c r="C3" s="490"/>
      <c r="D3" s="490"/>
      <c r="E3" s="490"/>
      <c r="F3" s="490"/>
      <c r="G3" s="490"/>
      <c r="H3" s="6"/>
      <c r="I3" s="6"/>
      <c r="J3" s="6"/>
      <c r="K3" s="6"/>
      <c r="L3" s="6"/>
    </row>
    <row r="4" spans="1:13">
      <c r="A4" s="489" t="s">
        <v>107</v>
      </c>
      <c r="B4" s="489"/>
      <c r="C4" s="489"/>
      <c r="D4" s="489"/>
      <c r="E4" s="489"/>
      <c r="F4" s="489"/>
      <c r="G4" s="489"/>
      <c r="H4" s="6"/>
      <c r="I4" s="6"/>
      <c r="J4" s="6"/>
      <c r="K4" s="6"/>
      <c r="L4" s="6"/>
    </row>
    <row r="5" spans="1:13">
      <c r="A5" s="7"/>
      <c r="B5" s="7"/>
      <c r="C5" s="7"/>
      <c r="D5" s="7"/>
      <c r="E5" s="7"/>
      <c r="F5" s="7"/>
      <c r="G5" s="7"/>
      <c r="H5" s="7"/>
      <c r="I5" s="7"/>
      <c r="J5" s="7"/>
      <c r="K5" s="7"/>
      <c r="L5" s="7"/>
    </row>
    <row r="6" spans="1:13" ht="39.15" customHeight="1">
      <c r="A6" s="8" t="s">
        <v>108</v>
      </c>
      <c r="B6" s="8" t="s">
        <v>109</v>
      </c>
      <c r="C6" s="8" t="s">
        <v>110</v>
      </c>
      <c r="D6" s="8" t="s">
        <v>111</v>
      </c>
      <c r="E6" s="8" t="s">
        <v>112</v>
      </c>
      <c r="F6" s="8" t="s">
        <v>113</v>
      </c>
      <c r="G6" s="8" t="s">
        <v>114</v>
      </c>
      <c r="H6" s="8" t="s">
        <v>115</v>
      </c>
      <c r="I6" s="8" t="s">
        <v>116</v>
      </c>
      <c r="J6" s="8" t="s">
        <v>117</v>
      </c>
      <c r="K6" s="8" t="s">
        <v>118</v>
      </c>
      <c r="L6" s="8" t="s">
        <v>119</v>
      </c>
      <c r="M6" s="21"/>
    </row>
    <row r="7" spans="1:13">
      <c r="A7" s="9" t="s">
        <v>120</v>
      </c>
      <c r="B7" s="10">
        <v>1528049.37</v>
      </c>
      <c r="C7" s="11">
        <v>428145243</v>
      </c>
      <c r="D7" s="12">
        <f t="shared" ref="D7:D18" si="0">B7/C7</f>
        <v>3.5689976590490813E-3</v>
      </c>
      <c r="E7" s="11">
        <v>17783525</v>
      </c>
      <c r="F7" s="11">
        <v>103573766</v>
      </c>
      <c r="G7" s="11">
        <f t="shared" ref="G7:G18" si="1">E7+F7</f>
        <v>121357291</v>
      </c>
      <c r="H7" s="10">
        <f t="shared" ref="H7:H18" si="2">(E7*D7)+(F7*D7)</f>
        <v>433123.88748753816</v>
      </c>
      <c r="I7" s="10">
        <v>-583020.80000000005</v>
      </c>
      <c r="J7" s="10">
        <f t="shared" ref="J7:J18" si="3">I7+H7+B7</f>
        <v>1378152.4574875382</v>
      </c>
      <c r="K7" s="10">
        <v>0</v>
      </c>
      <c r="L7" s="10">
        <f t="shared" ref="L7:L18" si="4">J7*(1-K7)</f>
        <v>1378152.4574875382</v>
      </c>
      <c r="M7" s="6"/>
    </row>
    <row r="8" spans="1:13">
      <c r="A8" s="6" t="s">
        <v>121</v>
      </c>
      <c r="B8" s="13">
        <v>1478380.03</v>
      </c>
      <c r="C8" s="14">
        <v>418675204</v>
      </c>
      <c r="D8" s="15">
        <f t="shared" si="0"/>
        <v>3.53109048703061E-3</v>
      </c>
      <c r="E8" s="14">
        <v>807600</v>
      </c>
      <c r="F8" s="14">
        <v>150028838</v>
      </c>
      <c r="G8" s="14">
        <f t="shared" si="1"/>
        <v>150836438</v>
      </c>
      <c r="H8" s="13">
        <f t="shared" si="2"/>
        <v>532617.11131938233</v>
      </c>
      <c r="I8" s="13">
        <f t="shared" ref="I8:I18" si="5">-H7</f>
        <v>-433123.88748753816</v>
      </c>
      <c r="J8" s="13">
        <f t="shared" si="3"/>
        <v>1577873.2538318443</v>
      </c>
      <c r="K8" s="13">
        <v>0</v>
      </c>
      <c r="L8" s="13">
        <f t="shared" si="4"/>
        <v>1577873.2538318443</v>
      </c>
    </row>
    <row r="9" spans="1:13">
      <c r="A9" s="6" t="s">
        <v>122</v>
      </c>
      <c r="B9" s="13">
        <v>1527719.55</v>
      </c>
      <c r="C9" s="14">
        <v>427513717</v>
      </c>
      <c r="D9" s="15">
        <f t="shared" si="0"/>
        <v>3.5734983212246264E-3</v>
      </c>
      <c r="E9" s="14">
        <v>890049</v>
      </c>
      <c r="F9" s="14">
        <v>157703688</v>
      </c>
      <c r="G9" s="14">
        <f t="shared" si="1"/>
        <v>158593737</v>
      </c>
      <c r="H9" s="13">
        <f t="shared" si="2"/>
        <v>566734.45292623993</v>
      </c>
      <c r="I9" s="13">
        <f t="shared" si="5"/>
        <v>-532617.11131938233</v>
      </c>
      <c r="J9" s="13">
        <f t="shared" si="3"/>
        <v>1561836.8916068575</v>
      </c>
      <c r="K9" s="13">
        <v>0</v>
      </c>
      <c r="L9" s="13">
        <f t="shared" si="4"/>
        <v>1561836.8916068575</v>
      </c>
    </row>
    <row r="10" spans="1:13">
      <c r="A10" s="6" t="s">
        <v>123</v>
      </c>
      <c r="B10" s="13">
        <v>1640431.63</v>
      </c>
      <c r="C10" s="14">
        <v>457113286</v>
      </c>
      <c r="D10" s="15">
        <f t="shared" si="0"/>
        <v>3.5886763308822312E-3</v>
      </c>
      <c r="E10" s="14">
        <v>8026169</v>
      </c>
      <c r="F10" s="14">
        <v>189683748</v>
      </c>
      <c r="G10" s="14">
        <f t="shared" si="1"/>
        <v>197709917</v>
      </c>
      <c r="H10" s="13">
        <f t="shared" si="2"/>
        <v>709516.89951859042</v>
      </c>
      <c r="I10" s="13">
        <f t="shared" si="5"/>
        <v>-566734.45292623993</v>
      </c>
      <c r="J10" s="13">
        <f t="shared" si="3"/>
        <v>1783214.0765923504</v>
      </c>
      <c r="K10" s="13">
        <v>0</v>
      </c>
      <c r="L10" s="13">
        <f t="shared" si="4"/>
        <v>1783214.0765923504</v>
      </c>
    </row>
    <row r="11" spans="1:13">
      <c r="A11" s="6" t="s">
        <v>124</v>
      </c>
      <c r="B11" s="13">
        <v>1733088.92</v>
      </c>
      <c r="C11" s="14">
        <v>480309695</v>
      </c>
      <c r="D11" s="15">
        <f t="shared" si="0"/>
        <v>3.6082738658856344E-3</v>
      </c>
      <c r="E11" s="14">
        <v>262500</v>
      </c>
      <c r="F11" s="14">
        <v>197249636</v>
      </c>
      <c r="G11" s="14">
        <f t="shared" si="1"/>
        <v>197512136</v>
      </c>
      <c r="H11" s="13">
        <f t="shared" si="2"/>
        <v>712677.87852404919</v>
      </c>
      <c r="I11" s="13">
        <f t="shared" si="5"/>
        <v>-709516.89951859042</v>
      </c>
      <c r="J11" s="13">
        <f t="shared" si="3"/>
        <v>1736249.8990054587</v>
      </c>
      <c r="K11" s="13">
        <v>0</v>
      </c>
      <c r="L11" s="13">
        <f t="shared" si="4"/>
        <v>1736249.8990054587</v>
      </c>
    </row>
    <row r="12" spans="1:13">
      <c r="A12" s="6" t="s">
        <v>125</v>
      </c>
      <c r="B12" s="13">
        <v>1686650.72</v>
      </c>
      <c r="C12" s="14">
        <v>459130930</v>
      </c>
      <c r="D12" s="15">
        <f t="shared" si="0"/>
        <v>3.6735724164782364E-3</v>
      </c>
      <c r="E12" s="14">
        <v>4996356</v>
      </c>
      <c r="F12" s="14">
        <v>178235192</v>
      </c>
      <c r="G12" s="14">
        <f t="shared" si="1"/>
        <v>183231548</v>
      </c>
      <c r="H12" s="13">
        <f t="shared" si="2"/>
        <v>673114.36056140799</v>
      </c>
      <c r="I12" s="13">
        <f t="shared" si="5"/>
        <v>-712677.87852404919</v>
      </c>
      <c r="J12" s="13">
        <f t="shared" si="3"/>
        <v>1647087.2020373587</v>
      </c>
      <c r="K12" s="13">
        <v>0</v>
      </c>
      <c r="L12" s="13">
        <f t="shared" si="4"/>
        <v>1647087.2020373587</v>
      </c>
    </row>
    <row r="13" spans="1:13">
      <c r="A13" s="6" t="s">
        <v>126</v>
      </c>
      <c r="B13" s="13">
        <v>1631571.09</v>
      </c>
      <c r="C13" s="14">
        <v>425128037</v>
      </c>
      <c r="D13" s="15">
        <f t="shared" si="0"/>
        <v>3.8378346004029843E-3</v>
      </c>
      <c r="E13" s="14">
        <v>3943687</v>
      </c>
      <c r="F13" s="14">
        <v>164682325</v>
      </c>
      <c r="G13" s="14">
        <f t="shared" si="1"/>
        <v>168626012</v>
      </c>
      <c r="H13" s="13">
        <f t="shared" si="2"/>
        <v>647158.74338156881</v>
      </c>
      <c r="I13" s="13">
        <f t="shared" si="5"/>
        <v>-673114.36056140799</v>
      </c>
      <c r="J13" s="13">
        <f t="shared" si="3"/>
        <v>1605615.4728201609</v>
      </c>
      <c r="K13" s="13">
        <v>0</v>
      </c>
      <c r="L13" s="13">
        <f t="shared" si="4"/>
        <v>1605615.4728201609</v>
      </c>
    </row>
    <row r="14" spans="1:13">
      <c r="A14" s="6" t="s">
        <v>127</v>
      </c>
      <c r="B14" s="13">
        <v>1656364.54</v>
      </c>
      <c r="C14" s="14">
        <v>413569680</v>
      </c>
      <c r="D14" s="15">
        <f t="shared" si="0"/>
        <v>4.0050434548296676E-3</v>
      </c>
      <c r="E14" s="14">
        <v>1787458</v>
      </c>
      <c r="F14" s="14">
        <v>227833047</v>
      </c>
      <c r="G14" s="14">
        <f t="shared" si="1"/>
        <v>229620505</v>
      </c>
      <c r="H14" s="13">
        <f t="shared" si="2"/>
        <v>919640.10064493294</v>
      </c>
      <c r="I14" s="13">
        <f t="shared" si="5"/>
        <v>-647158.74338156881</v>
      </c>
      <c r="J14" s="13">
        <f t="shared" si="3"/>
        <v>1928845.8972633642</v>
      </c>
      <c r="K14" s="13">
        <v>0</v>
      </c>
      <c r="L14" s="13">
        <f t="shared" si="4"/>
        <v>1928845.8972633642</v>
      </c>
    </row>
    <row r="15" spans="1:13">
      <c r="A15" s="6" t="s">
        <v>128</v>
      </c>
      <c r="B15" s="13">
        <v>2041703.83</v>
      </c>
      <c r="C15" s="14">
        <v>496366545</v>
      </c>
      <c r="D15" s="15">
        <f t="shared" si="0"/>
        <v>4.1132986309542676E-3</v>
      </c>
      <c r="E15" s="14">
        <v>15927975</v>
      </c>
      <c r="F15" s="14">
        <v>218485032</v>
      </c>
      <c r="G15" s="14">
        <f t="shared" si="1"/>
        <v>234413007</v>
      </c>
      <c r="H15" s="13">
        <f t="shared" si="2"/>
        <v>964210.70077097311</v>
      </c>
      <c r="I15" s="13">
        <f t="shared" si="5"/>
        <v>-919640.10064493294</v>
      </c>
      <c r="J15" s="13">
        <f t="shared" si="3"/>
        <v>2086274.4301260402</v>
      </c>
      <c r="K15" s="13">
        <v>0</v>
      </c>
      <c r="L15" s="13">
        <f t="shared" si="4"/>
        <v>2086274.4301260402</v>
      </c>
    </row>
    <row r="16" spans="1:13">
      <c r="A16" s="6" t="s">
        <v>129</v>
      </c>
      <c r="B16" s="13">
        <v>2154758.6800000002</v>
      </c>
      <c r="C16" s="14">
        <v>531612584</v>
      </c>
      <c r="D16" s="15">
        <f t="shared" si="0"/>
        <v>4.0532499509078595E-3</v>
      </c>
      <c r="E16" s="14">
        <v>6800100</v>
      </c>
      <c r="F16" s="14">
        <v>202312596</v>
      </c>
      <c r="G16" s="14">
        <f t="shared" si="1"/>
        <v>209112696</v>
      </c>
      <c r="H16" s="13">
        <f t="shared" si="2"/>
        <v>847586.02479621011</v>
      </c>
      <c r="I16" s="13">
        <f t="shared" si="5"/>
        <v>-964210.70077097311</v>
      </c>
      <c r="J16" s="13">
        <f t="shared" si="3"/>
        <v>2038134.0040252372</v>
      </c>
      <c r="K16" s="13">
        <v>0</v>
      </c>
      <c r="L16" s="13">
        <f t="shared" si="4"/>
        <v>2038134.0040252372</v>
      </c>
    </row>
    <row r="17" spans="1:13">
      <c r="A17" s="6" t="s">
        <v>130</v>
      </c>
      <c r="B17" s="13">
        <v>1951726.89</v>
      </c>
      <c r="C17" s="14">
        <v>474730860</v>
      </c>
      <c r="D17" s="15">
        <f t="shared" si="0"/>
        <v>4.1112281809528878E-3</v>
      </c>
      <c r="E17" s="14">
        <v>5725536</v>
      </c>
      <c r="F17" s="14">
        <v>207574459</v>
      </c>
      <c r="G17" s="14">
        <f t="shared" si="1"/>
        <v>213299995</v>
      </c>
      <c r="H17" s="13">
        <f t="shared" si="2"/>
        <v>876924.95044111006</v>
      </c>
      <c r="I17" s="13">
        <f t="shared" si="5"/>
        <v>-847586.02479621011</v>
      </c>
      <c r="J17" s="13">
        <f t="shared" si="3"/>
        <v>1981065.8156448998</v>
      </c>
      <c r="K17" s="13">
        <v>0</v>
      </c>
      <c r="L17" s="13">
        <f t="shared" si="4"/>
        <v>1981065.8156448998</v>
      </c>
    </row>
    <row r="18" spans="1:13">
      <c r="A18" s="6" t="s">
        <v>131</v>
      </c>
      <c r="B18" s="13">
        <v>1886655.26</v>
      </c>
      <c r="C18" s="14">
        <v>463674524</v>
      </c>
      <c r="D18" s="15">
        <f t="shared" si="0"/>
        <v>4.0689215437680589E-3</v>
      </c>
      <c r="E18" s="14">
        <v>1311637</v>
      </c>
      <c r="F18" s="14">
        <v>165077000</v>
      </c>
      <c r="G18" s="14">
        <f t="shared" si="1"/>
        <v>166388637</v>
      </c>
      <c r="H18" s="13">
        <f t="shared" si="2"/>
        <v>677022.30972750322</v>
      </c>
      <c r="I18" s="13">
        <f t="shared" si="5"/>
        <v>-876924.95044111006</v>
      </c>
      <c r="J18" s="13">
        <f t="shared" si="3"/>
        <v>1686752.6192863933</v>
      </c>
      <c r="K18" s="13">
        <v>0</v>
      </c>
      <c r="L18" s="16">
        <f t="shared" si="4"/>
        <v>1686752.6192863933</v>
      </c>
    </row>
    <row r="19" spans="1:13" ht="16.649999999999999" customHeight="1">
      <c r="A19" s="490" t="s">
        <v>132</v>
      </c>
      <c r="B19" s="490"/>
      <c r="C19" s="6"/>
      <c r="D19" s="6"/>
      <c r="E19" s="6"/>
      <c r="F19" s="6"/>
      <c r="G19" s="6"/>
      <c r="H19" s="6"/>
      <c r="I19" s="6"/>
      <c r="J19" s="6"/>
      <c r="K19" s="6"/>
      <c r="L19" s="17">
        <f>SUM(L7:L18)</f>
        <v>21011102.019727502</v>
      </c>
      <c r="M19" s="6"/>
    </row>
    <row r="20" spans="1:13">
      <c r="D20" s="6"/>
      <c r="L20" s="22"/>
    </row>
    <row r="21" spans="1:13">
      <c r="A21" s="6"/>
      <c r="B21" s="6"/>
      <c r="C21" s="6"/>
      <c r="D21" s="6"/>
      <c r="E21" s="6"/>
      <c r="F21" s="6"/>
      <c r="G21" s="6"/>
      <c r="H21" s="6"/>
      <c r="I21" s="6"/>
      <c r="J21" s="488" t="s">
        <v>133</v>
      </c>
      <c r="K21" s="488"/>
      <c r="L21" s="19">
        <f>-L19</f>
        <v>-21011102.019727502</v>
      </c>
      <c r="M21" s="6"/>
    </row>
    <row r="22" spans="1:13">
      <c r="A22" s="6"/>
      <c r="D22" s="6"/>
      <c r="K22" s="18" t="s">
        <v>134</v>
      </c>
      <c r="L22" s="20" t="s">
        <v>135</v>
      </c>
    </row>
    <row r="23" spans="1:13">
      <c r="A23" s="6"/>
      <c r="B23" s="6"/>
      <c r="C23" s="6"/>
      <c r="D23" s="6"/>
      <c r="E23" s="6"/>
      <c r="F23" s="6"/>
      <c r="G23" s="6"/>
      <c r="H23" s="6"/>
      <c r="I23" s="6"/>
      <c r="J23" s="1"/>
      <c r="K23" s="1"/>
      <c r="L23" s="1"/>
    </row>
    <row r="24" spans="1:13">
      <c r="A24" s="5" t="s">
        <v>2</v>
      </c>
      <c r="B24" s="5" t="s">
        <v>3</v>
      </c>
      <c r="D24" s="6"/>
    </row>
    <row r="25" spans="1:13">
      <c r="D25" s="6"/>
    </row>
  </sheetData>
  <mergeCells count="6">
    <mergeCell ref="J21:K21"/>
    <mergeCell ref="A1:C1"/>
    <mergeCell ref="A2:G2"/>
    <mergeCell ref="A3:G3"/>
    <mergeCell ref="A4:G4"/>
    <mergeCell ref="A19:B19"/>
  </mergeCells>
  <pageMargins left="0.75" right="0.75" top="1" bottom="1" header="0.5" footer="0.5"/>
  <pageSetup scale="59" orientation="landscape"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Ruler="0" workbookViewId="0">
      <selection activeCell="C35" sqref="C35"/>
    </sheetView>
  </sheetViews>
  <sheetFormatPr defaultColWidth="13.6640625" defaultRowHeight="13.2"/>
  <cols>
    <col min="2" max="2" width="46.5546875" customWidth="1"/>
    <col min="3" max="4" width="13.33203125" customWidth="1"/>
    <col min="5" max="5" width="13.5546875" customWidth="1"/>
  </cols>
  <sheetData>
    <row r="1" spans="1:6">
      <c r="A1" s="489" t="s">
        <v>0</v>
      </c>
      <c r="B1" s="489"/>
    </row>
    <row r="2" spans="1:6">
      <c r="A2" s="490" t="s">
        <v>397</v>
      </c>
      <c r="B2" s="490"/>
    </row>
    <row r="3" spans="1:6">
      <c r="A3" s="490" t="s">
        <v>398</v>
      </c>
      <c r="B3" s="490"/>
    </row>
    <row r="4" spans="1:6">
      <c r="A4" s="489" t="s">
        <v>107</v>
      </c>
      <c r="B4" s="489"/>
    </row>
    <row r="6" spans="1:6">
      <c r="A6" s="34" t="s">
        <v>399</v>
      </c>
      <c r="B6" s="34" t="s">
        <v>160</v>
      </c>
      <c r="C6" s="34" t="s">
        <v>148</v>
      </c>
      <c r="D6" s="34" t="s">
        <v>400</v>
      </c>
      <c r="E6" s="34" t="s">
        <v>401</v>
      </c>
      <c r="F6" s="21"/>
    </row>
    <row r="7" spans="1:6">
      <c r="A7" s="9"/>
      <c r="B7" s="9"/>
      <c r="C7" s="9"/>
      <c r="D7" s="9"/>
      <c r="E7" s="9"/>
    </row>
    <row r="8" spans="1:6">
      <c r="A8" s="37">
        <v>1</v>
      </c>
      <c r="B8" s="6" t="s">
        <v>402</v>
      </c>
      <c r="C8" s="37" t="s">
        <v>403</v>
      </c>
      <c r="D8" s="14">
        <v>202812</v>
      </c>
      <c r="E8" s="6"/>
    </row>
    <row r="9" spans="1:6">
      <c r="A9" s="37">
        <f>A8+1</f>
        <v>2</v>
      </c>
      <c r="B9" s="6" t="s">
        <v>404</v>
      </c>
      <c r="D9" s="100">
        <v>-43737</v>
      </c>
      <c r="E9" s="6"/>
    </row>
    <row r="10" spans="1:6">
      <c r="A10" s="37">
        <f>A9+1</f>
        <v>3</v>
      </c>
      <c r="B10" s="105" t="s">
        <v>405</v>
      </c>
      <c r="D10" s="9"/>
      <c r="E10" s="14">
        <f>D8+D9</f>
        <v>159075</v>
      </c>
    </row>
    <row r="11" spans="1:6">
      <c r="A11" s="33"/>
      <c r="B11" s="6"/>
      <c r="D11" s="6"/>
      <c r="E11" s="6"/>
    </row>
    <row r="12" spans="1:6">
      <c r="A12" s="37">
        <f>A10+1</f>
        <v>4</v>
      </c>
      <c r="B12" s="6" t="s">
        <v>406</v>
      </c>
      <c r="C12" s="37" t="s">
        <v>407</v>
      </c>
      <c r="D12" s="14">
        <v>5826788</v>
      </c>
      <c r="E12" s="6"/>
    </row>
    <row r="13" spans="1:6">
      <c r="A13" s="37">
        <f>A12+1</f>
        <v>5</v>
      </c>
      <c r="B13" s="6" t="s">
        <v>404</v>
      </c>
      <c r="D13" s="100">
        <v>-1125837</v>
      </c>
      <c r="E13" s="6"/>
    </row>
    <row r="14" spans="1:6">
      <c r="A14" s="37">
        <f>A13+1</f>
        <v>6</v>
      </c>
      <c r="B14" s="105" t="s">
        <v>408</v>
      </c>
      <c r="D14" s="9"/>
      <c r="E14" s="14">
        <f>D12+D13</f>
        <v>4700951</v>
      </c>
    </row>
    <row r="15" spans="1:6">
      <c r="A15" s="33"/>
      <c r="B15" s="6"/>
      <c r="D15" s="6"/>
      <c r="E15" s="6"/>
    </row>
    <row r="16" spans="1:6">
      <c r="A16" s="37">
        <f>A14+1</f>
        <v>7</v>
      </c>
      <c r="B16" s="6" t="s">
        <v>409</v>
      </c>
      <c r="C16" s="37" t="s">
        <v>410</v>
      </c>
      <c r="D16" s="14">
        <v>553429</v>
      </c>
      <c r="E16" s="6"/>
    </row>
    <row r="17" spans="1:5">
      <c r="A17" s="37">
        <f>A16+1</f>
        <v>8</v>
      </c>
      <c r="B17" s="6" t="s">
        <v>404</v>
      </c>
      <c r="D17" s="100">
        <v>-96596</v>
      </c>
      <c r="E17" s="6"/>
    </row>
    <row r="18" spans="1:5">
      <c r="A18" s="37">
        <f>A17+1</f>
        <v>9</v>
      </c>
      <c r="B18" s="105" t="s">
        <v>411</v>
      </c>
      <c r="D18" s="9"/>
      <c r="E18" s="14">
        <f>D16+D17</f>
        <v>456833</v>
      </c>
    </row>
    <row r="19" spans="1:5">
      <c r="A19" s="33"/>
      <c r="B19" s="6"/>
      <c r="D19" s="6"/>
      <c r="E19" s="6"/>
    </row>
    <row r="20" spans="1:5">
      <c r="A20" s="37">
        <f>A18+1</f>
        <v>10</v>
      </c>
      <c r="B20" s="6" t="s">
        <v>412</v>
      </c>
      <c r="C20" s="37" t="s">
        <v>413</v>
      </c>
      <c r="D20" s="14">
        <v>230447</v>
      </c>
      <c r="E20" s="6"/>
    </row>
    <row r="21" spans="1:5">
      <c r="A21" s="37">
        <f>A20+1</f>
        <v>11</v>
      </c>
      <c r="B21" s="6" t="s">
        <v>404</v>
      </c>
      <c r="D21" s="100">
        <v>-45224</v>
      </c>
      <c r="E21" s="6"/>
    </row>
    <row r="22" spans="1:5">
      <c r="A22" s="37">
        <f>A21+1</f>
        <v>12</v>
      </c>
      <c r="B22" s="105" t="s">
        <v>414</v>
      </c>
      <c r="D22" s="9"/>
      <c r="E22" s="14">
        <f>D20+D21</f>
        <v>185223</v>
      </c>
    </row>
    <row r="23" spans="1:5">
      <c r="A23" s="33"/>
      <c r="B23" s="6"/>
      <c r="D23" s="6"/>
      <c r="E23" s="7"/>
    </row>
    <row r="24" spans="1:5" ht="27.6" customHeight="1">
      <c r="A24" s="37">
        <f>A22+1</f>
        <v>13</v>
      </c>
      <c r="B24" s="106" t="s">
        <v>415</v>
      </c>
      <c r="D24" s="6"/>
      <c r="E24" s="101">
        <f>SUM(E10:E23)</f>
        <v>5502082</v>
      </c>
    </row>
    <row r="25" spans="1:5">
      <c r="A25" s="6"/>
      <c r="B25" s="6"/>
      <c r="D25" s="6"/>
      <c r="E25" s="26"/>
    </row>
    <row r="26" spans="1:5">
      <c r="A26" s="6"/>
      <c r="B26" s="6"/>
      <c r="D26" s="6"/>
      <c r="E26" s="6"/>
    </row>
    <row r="27" spans="1:5">
      <c r="A27" s="5" t="s">
        <v>2</v>
      </c>
      <c r="B27" s="5" t="s">
        <v>3</v>
      </c>
      <c r="D27" s="6"/>
      <c r="E27" s="6"/>
    </row>
  </sheetData>
  <mergeCells count="4">
    <mergeCell ref="A2:B2"/>
    <mergeCell ref="A1:B1"/>
    <mergeCell ref="A4:B4"/>
    <mergeCell ref="A3:B3"/>
  </mergeCells>
  <pageMargins left="0.75" right="0.75" top="1" bottom="1" header="0.5" footer="0.5"/>
  <pageSetup scale="7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7" workbookViewId="0">
      <selection activeCell="G54" sqref="G54"/>
    </sheetView>
  </sheetViews>
  <sheetFormatPr defaultColWidth="9.109375" defaultRowHeight="13.2"/>
  <cols>
    <col min="1" max="1" width="4.44140625" style="189" bestFit="1" customWidth="1"/>
    <col min="2" max="2" width="2.6640625" style="190" customWidth="1"/>
    <col min="3" max="3" width="8.6640625" style="190" customWidth="1"/>
    <col min="4" max="4" width="21.5546875" style="190" customWidth="1"/>
    <col min="5" max="5" width="9.44140625" style="190" bestFit="1" customWidth="1"/>
    <col min="6" max="6" width="12.109375" style="191" bestFit="1" customWidth="1"/>
    <col min="7" max="7" width="9.44140625" style="191" bestFit="1" customWidth="1"/>
    <col min="8" max="8" width="11.44140625" style="192" customWidth="1"/>
    <col min="9" max="9" width="13.33203125" style="209" customWidth="1"/>
    <col min="10" max="16384" width="9.109375" style="190"/>
  </cols>
  <sheetData>
    <row r="1" spans="1:10">
      <c r="A1" s="230" t="s">
        <v>0</v>
      </c>
      <c r="B1" s="230"/>
    </row>
    <row r="2" spans="1:10">
      <c r="A2" s="230" t="s">
        <v>397</v>
      </c>
      <c r="B2" s="230"/>
    </row>
    <row r="3" spans="1:10">
      <c r="A3" s="231" t="s">
        <v>646</v>
      </c>
    </row>
    <row r="4" spans="1:10" ht="12.75" customHeight="1">
      <c r="A4" s="230" t="s">
        <v>107</v>
      </c>
      <c r="B4" s="6"/>
      <c r="D4" s="231"/>
      <c r="E4" s="231"/>
      <c r="F4" s="231"/>
      <c r="G4" s="231"/>
      <c r="H4" s="231"/>
      <c r="I4" s="510"/>
      <c r="J4" s="510"/>
    </row>
    <row r="5" spans="1:10">
      <c r="C5" s="231"/>
      <c r="D5" s="231"/>
      <c r="E5" s="231"/>
      <c r="F5" s="231"/>
      <c r="G5" s="231"/>
      <c r="H5" s="231"/>
      <c r="I5" s="510"/>
      <c r="J5" s="510"/>
    </row>
    <row r="6" spans="1:10">
      <c r="C6" s="193"/>
      <c r="D6" s="193"/>
      <c r="E6" s="193"/>
      <c r="F6" s="193"/>
      <c r="G6" s="195" t="s">
        <v>647</v>
      </c>
      <c r="H6" s="196"/>
      <c r="I6" s="194"/>
    </row>
    <row r="7" spans="1:10">
      <c r="E7" s="197" t="s">
        <v>648</v>
      </c>
      <c r="F7" s="198" t="s">
        <v>649</v>
      </c>
      <c r="G7" s="199" t="s">
        <v>650</v>
      </c>
      <c r="H7" s="196" t="s">
        <v>651</v>
      </c>
      <c r="I7" s="196" t="s">
        <v>652</v>
      </c>
    </row>
    <row r="8" spans="1:10" s="202" customFormat="1">
      <c r="A8" s="200" t="s">
        <v>399</v>
      </c>
      <c r="B8" s="511" t="s">
        <v>160</v>
      </c>
      <c r="C8" s="511"/>
      <c r="D8" s="511"/>
      <c r="E8" s="197" t="s">
        <v>653</v>
      </c>
      <c r="F8" s="198" t="s">
        <v>654</v>
      </c>
      <c r="G8" s="198" t="s">
        <v>655</v>
      </c>
      <c r="H8" s="201" t="s">
        <v>656</v>
      </c>
      <c r="I8" s="196" t="s">
        <v>150</v>
      </c>
    </row>
    <row r="9" spans="1:10" s="203" customFormat="1" ht="13.2" customHeight="1">
      <c r="A9" s="203" t="s">
        <v>335</v>
      </c>
      <c r="B9" s="512" t="s">
        <v>657</v>
      </c>
      <c r="C9" s="512"/>
      <c r="D9" s="512"/>
      <c r="E9" s="204" t="s">
        <v>658</v>
      </c>
      <c r="F9" s="205" t="s">
        <v>659</v>
      </c>
      <c r="G9" s="206" t="s">
        <v>660</v>
      </c>
      <c r="H9" s="207" t="s">
        <v>661</v>
      </c>
      <c r="I9" s="204" t="s">
        <v>662</v>
      </c>
    </row>
    <row r="10" spans="1:10">
      <c r="A10" s="208">
        <v>1</v>
      </c>
      <c r="B10" s="190" t="s">
        <v>663</v>
      </c>
    </row>
    <row r="11" spans="1:10">
      <c r="A11" s="208">
        <f t="shared" ref="A11:A38" si="0">1+A10</f>
        <v>2</v>
      </c>
      <c r="B11" s="190" t="s">
        <v>664</v>
      </c>
    </row>
    <row r="12" spans="1:10">
      <c r="A12" s="208">
        <f t="shared" si="0"/>
        <v>3</v>
      </c>
      <c r="C12" s="190" t="s">
        <v>665</v>
      </c>
      <c r="E12" s="210">
        <v>1350.1</v>
      </c>
      <c r="F12" s="191">
        <v>146.12</v>
      </c>
      <c r="G12" s="191">
        <f>+E12-F12</f>
        <v>1203.98</v>
      </c>
      <c r="H12" s="192">
        <f>W22_PG_6_of_6!D16+W22_PG_6_of_6!D29+W22_PG_6_of_6!D42+W22_PG_6_of_6!D68+W22_PG_6_of_6!D81</f>
        <v>65</v>
      </c>
      <c r="I12" s="211">
        <f>ROUND(G12*H12*12,0)</f>
        <v>939104</v>
      </c>
    </row>
    <row r="13" spans="1:10">
      <c r="A13" s="208">
        <f t="shared" si="0"/>
        <v>4</v>
      </c>
      <c r="C13" s="190" t="s">
        <v>666</v>
      </c>
      <c r="E13" s="210">
        <f>E12</f>
        <v>1350.1</v>
      </c>
      <c r="F13" s="191">
        <v>364.68</v>
      </c>
      <c r="G13" s="191">
        <f>+E13-F13</f>
        <v>985.41999999999985</v>
      </c>
      <c r="H13" s="192">
        <f>W22_PG_6_of_6!D17+W22_PG_6_of_6!D30+W22_PG_6_of_6!D43+W22_PG_6_of_6!D69+W22_PG_6_of_6!D82</f>
        <v>91</v>
      </c>
      <c r="I13" s="212">
        <f t="shared" ref="I13:I15" si="1">ROUND(G13*H13*12,0)</f>
        <v>1076079</v>
      </c>
    </row>
    <row r="14" spans="1:10">
      <c r="A14" s="208">
        <f t="shared" si="0"/>
        <v>5</v>
      </c>
      <c r="C14" s="190" t="s">
        <v>667</v>
      </c>
      <c r="E14" s="210">
        <f t="shared" ref="E14:E15" si="2">E13</f>
        <v>1350.1</v>
      </c>
      <c r="F14" s="191">
        <v>286.89999999999998</v>
      </c>
      <c r="G14" s="191">
        <f>+E14-F14</f>
        <v>1063.1999999999998</v>
      </c>
      <c r="H14" s="192">
        <f>W22_PG_6_of_6!D18+W22_PG_6_of_6!D31+W22_PG_6_of_6!D44+W22_PG_6_of_6!D70+W22_PG_6_of_6!D83</f>
        <v>27</v>
      </c>
      <c r="I14" s="212">
        <f t="shared" si="1"/>
        <v>344477</v>
      </c>
    </row>
    <row r="15" spans="1:10">
      <c r="A15" s="208">
        <f t="shared" si="0"/>
        <v>6</v>
      </c>
      <c r="C15" s="190" t="s">
        <v>668</v>
      </c>
      <c r="E15" s="210">
        <f t="shared" si="2"/>
        <v>1350.1</v>
      </c>
      <c r="F15" s="191">
        <v>505.47</v>
      </c>
      <c r="G15" s="191">
        <f>+E15-F15</f>
        <v>844.62999999999988</v>
      </c>
      <c r="H15" s="192">
        <f>W22_PG_6_of_6!D19+W22_PG_6_of_6!D32+W22_PG_6_of_6!D45+W22_PG_6_of_6!D71+W22_PG_6_of_6!D84</f>
        <v>75</v>
      </c>
      <c r="I15" s="212">
        <f t="shared" si="1"/>
        <v>760167</v>
      </c>
    </row>
    <row r="16" spans="1:10">
      <c r="A16" s="208">
        <f t="shared" si="0"/>
        <v>7</v>
      </c>
      <c r="B16" s="190" t="s">
        <v>669</v>
      </c>
      <c r="I16" s="212"/>
    </row>
    <row r="17" spans="1:9">
      <c r="A17" s="208">
        <f t="shared" si="0"/>
        <v>8</v>
      </c>
      <c r="C17" s="190" t="s">
        <v>665</v>
      </c>
      <c r="E17" s="210">
        <v>1240.2</v>
      </c>
      <c r="F17" s="191">
        <v>92.31</v>
      </c>
      <c r="G17" s="191">
        <f>+E17-F17</f>
        <v>1147.8900000000001</v>
      </c>
      <c r="H17" s="192">
        <f>W22_PG_6_of_6!D8+W22_PG_6_of_6!D21+W22_PG_6_of_6!D34+W22_PG_6_of_6!D60+W22_PG_6_of_6!D73</f>
        <v>25</v>
      </c>
      <c r="I17" s="212">
        <f>ROUND(G17*H17*12,0)</f>
        <v>344367</v>
      </c>
    </row>
    <row r="18" spans="1:9">
      <c r="A18" s="208">
        <f t="shared" si="0"/>
        <v>9</v>
      </c>
      <c r="C18" s="190" t="s">
        <v>666</v>
      </c>
      <c r="E18" s="210">
        <f>E17</f>
        <v>1240.2</v>
      </c>
      <c r="F18" s="191">
        <v>236.42</v>
      </c>
      <c r="G18" s="191">
        <f>+E18-F18</f>
        <v>1003.7800000000001</v>
      </c>
      <c r="H18" s="192">
        <f>W22_PG_6_of_6!D9+W22_PG_6_of_6!D22+W22_PG_6_of_6!D35+W22_PG_6_of_6!D61+W22_PG_6_of_6!D74</f>
        <v>21</v>
      </c>
      <c r="I18" s="212">
        <f t="shared" ref="I18:I20" si="3">ROUND(G18*H18*12,0)</f>
        <v>252953</v>
      </c>
    </row>
    <row r="19" spans="1:9">
      <c r="A19" s="208">
        <f t="shared" si="0"/>
        <v>10</v>
      </c>
      <c r="C19" s="190" t="s">
        <v>667</v>
      </c>
      <c r="E19" s="210">
        <f t="shared" ref="E19:E20" si="4">E18</f>
        <v>1240.2</v>
      </c>
      <c r="F19" s="191">
        <v>185.14</v>
      </c>
      <c r="G19" s="191">
        <f>+E19-F19</f>
        <v>1055.06</v>
      </c>
      <c r="H19" s="192">
        <f>W22_PG_6_of_6!D10+W22_PG_6_of_6!D23+W22_PG_6_of_6!D36+W22_PG_6_of_6!D62+W22_PG_6_of_6!D75</f>
        <v>14</v>
      </c>
      <c r="I19" s="212">
        <f t="shared" si="3"/>
        <v>177250</v>
      </c>
    </row>
    <row r="20" spans="1:9">
      <c r="A20" s="208">
        <f t="shared" si="0"/>
        <v>11</v>
      </c>
      <c r="C20" s="190" t="s">
        <v>668</v>
      </c>
      <c r="E20" s="210">
        <f t="shared" si="4"/>
        <v>1240.2</v>
      </c>
      <c r="F20" s="191">
        <v>329.26</v>
      </c>
      <c r="G20" s="191">
        <f>+E20-F20</f>
        <v>910.94</v>
      </c>
      <c r="H20" s="192">
        <f>W22_PG_6_of_6!D11+W22_PG_6_of_6!D24+W22_PG_6_of_6!D37+W22_PG_6_of_6!D63+W22_PG_6_of_6!D76</f>
        <v>43</v>
      </c>
      <c r="I20" s="212">
        <f t="shared" si="3"/>
        <v>470045</v>
      </c>
    </row>
    <row r="21" spans="1:9">
      <c r="A21" s="208">
        <f t="shared" si="0"/>
        <v>12</v>
      </c>
      <c r="B21" s="190" t="s">
        <v>670</v>
      </c>
      <c r="I21" s="212"/>
    </row>
    <row r="22" spans="1:9">
      <c r="A22" s="208">
        <f t="shared" si="0"/>
        <v>13</v>
      </c>
      <c r="C22" s="190" t="s">
        <v>665</v>
      </c>
      <c r="E22" s="210">
        <v>920.06</v>
      </c>
      <c r="F22" s="191">
        <v>35.47</v>
      </c>
      <c r="G22" s="191">
        <f>+E22-F22</f>
        <v>884.58999999999992</v>
      </c>
      <c r="H22" s="192">
        <f>W22_PG_6_of_6!D12+W22_PG_6_of_6!D25+W22_PG_6_of_6!D38+W22_PG_6_of_6!D64+W22_PG_6_of_6!D77</f>
        <v>50</v>
      </c>
      <c r="I22" s="212">
        <f>ROUND(G22*H22*12,0)</f>
        <v>530754</v>
      </c>
    </row>
    <row r="23" spans="1:9">
      <c r="A23" s="208">
        <f t="shared" si="0"/>
        <v>14</v>
      </c>
      <c r="C23" s="190" t="s">
        <v>666</v>
      </c>
      <c r="E23" s="210">
        <f>E22</f>
        <v>920.06</v>
      </c>
      <c r="F23" s="191">
        <v>100.93</v>
      </c>
      <c r="G23" s="191">
        <f>+E23-F23</f>
        <v>819.12999999999988</v>
      </c>
      <c r="H23" s="192">
        <f>W22_PG_6_of_6!D13+W22_PG_6_of_6!D26+W22_PG_6_of_6!D39+W22_PG_6_of_6!D65+W22_PG_6_of_6!D78</f>
        <v>18</v>
      </c>
      <c r="I23" s="212">
        <f t="shared" ref="I23:I25" si="5">ROUND(G23*H23*12,0)</f>
        <v>176932</v>
      </c>
    </row>
    <row r="24" spans="1:9">
      <c r="A24" s="208">
        <f t="shared" si="0"/>
        <v>15</v>
      </c>
      <c r="C24" s="190" t="s">
        <v>667</v>
      </c>
      <c r="E24" s="210">
        <f t="shared" ref="E24:E25" si="6">E23</f>
        <v>920.06</v>
      </c>
      <c r="F24" s="191">
        <v>77.63</v>
      </c>
      <c r="G24" s="191">
        <f>+E24-F24</f>
        <v>842.43</v>
      </c>
      <c r="H24" s="192">
        <f>W22_PG_6_of_6!D14+W22_PG_6_of_6!D27+W22_PG_6_of_6!D40+W22_PG_6_of_6!D66+W22_PG_6_of_6!D79</f>
        <v>13</v>
      </c>
      <c r="I24" s="212">
        <f t="shared" si="5"/>
        <v>131419</v>
      </c>
    </row>
    <row r="25" spans="1:9">
      <c r="A25" s="208">
        <f t="shared" si="0"/>
        <v>16</v>
      </c>
      <c r="C25" s="190" t="s">
        <v>668</v>
      </c>
      <c r="E25" s="210">
        <f t="shared" si="6"/>
        <v>920.06</v>
      </c>
      <c r="F25" s="191">
        <v>143.1</v>
      </c>
      <c r="G25" s="191">
        <f>+E25-F25</f>
        <v>776.95999999999992</v>
      </c>
      <c r="H25" s="192">
        <f>W22_PG_6_of_6!D15+W22_PG_6_of_6!D28+W22_PG_6_of_6!D41+W22_PG_6_of_6!D67+W22_PG_6_of_6!D80</f>
        <v>20</v>
      </c>
      <c r="I25" s="212">
        <f t="shared" si="5"/>
        <v>186470</v>
      </c>
    </row>
    <row r="26" spans="1:9">
      <c r="A26" s="208">
        <f t="shared" si="0"/>
        <v>17</v>
      </c>
      <c r="B26" s="190" t="s">
        <v>671</v>
      </c>
      <c r="I26" s="212"/>
    </row>
    <row r="27" spans="1:9">
      <c r="A27" s="208">
        <f t="shared" si="0"/>
        <v>18</v>
      </c>
      <c r="C27" s="190" t="s">
        <v>665</v>
      </c>
      <c r="E27" s="210">
        <v>73.819999999999993</v>
      </c>
      <c r="F27" s="191">
        <v>12.08</v>
      </c>
      <c r="G27" s="191">
        <f>+E27-F27</f>
        <v>61.739999999999995</v>
      </c>
      <c r="H27" s="192">
        <f>W22_PG_6_of_6!I8+W22_PG_6_of_6!I17+W22_PG_6_of_6!I26+W22_PG_6_of_6!I44+W22_PG_6_of_6!I53</f>
        <v>104</v>
      </c>
      <c r="I27" s="212">
        <f>ROUND(G27*H27*12,0)</f>
        <v>77052</v>
      </c>
    </row>
    <row r="28" spans="1:9">
      <c r="A28" s="208">
        <f t="shared" si="0"/>
        <v>19</v>
      </c>
      <c r="C28" s="190" t="s">
        <v>666</v>
      </c>
      <c r="E28" s="210">
        <f>E27</f>
        <v>73.819999999999993</v>
      </c>
      <c r="F28" s="191">
        <v>24.04</v>
      </c>
      <c r="G28" s="191">
        <f>+E28-F28</f>
        <v>49.779999999999994</v>
      </c>
      <c r="H28" s="192">
        <f>W22_PG_6_of_6!I9+W22_PG_6_of_6!I18+W22_PG_6_of_6!I27+W22_PG_6_of_6!I45+W22_PG_6_of_6!I54</f>
        <v>140</v>
      </c>
      <c r="I28" s="212">
        <f t="shared" ref="I28:I30" si="7">ROUND(G28*H28*12,0)</f>
        <v>83630</v>
      </c>
    </row>
    <row r="29" spans="1:9">
      <c r="A29" s="208">
        <f t="shared" si="0"/>
        <v>20</v>
      </c>
      <c r="C29" s="190" t="s">
        <v>667</v>
      </c>
      <c r="E29" s="210">
        <f t="shared" ref="E29:E30" si="8">E28</f>
        <v>73.819999999999993</v>
      </c>
      <c r="F29" s="191">
        <v>34.51</v>
      </c>
      <c r="G29" s="191">
        <f>+E29-F29</f>
        <v>39.309999999999995</v>
      </c>
      <c r="H29" s="192">
        <f>W22_PG_6_of_6!I10+W22_PG_6_of_6!I19+W22_PG_6_of_6!I28+W22_PG_6_of_6!I46+W22_PG_6_of_6!I55</f>
        <v>48</v>
      </c>
      <c r="I29" s="212">
        <f t="shared" si="7"/>
        <v>22643</v>
      </c>
    </row>
    <row r="30" spans="1:9">
      <c r="A30" s="208">
        <f t="shared" si="0"/>
        <v>21</v>
      </c>
      <c r="C30" s="190" t="s">
        <v>668</v>
      </c>
      <c r="E30" s="210">
        <f t="shared" si="8"/>
        <v>73.819999999999993</v>
      </c>
      <c r="F30" s="191">
        <v>46.58</v>
      </c>
      <c r="G30" s="191">
        <f>+E30-F30</f>
        <v>27.239999999999995</v>
      </c>
      <c r="H30" s="192">
        <f>W22_PG_6_of_6!I11+W22_PG_6_of_6!I20+W22_PG_6_of_6!I29+W22_PG_6_of_6!I47+W22_PG_6_of_6!I56</f>
        <v>161</v>
      </c>
      <c r="I30" s="212">
        <f t="shared" si="7"/>
        <v>52628</v>
      </c>
    </row>
    <row r="31" spans="1:9">
      <c r="A31" s="208">
        <f t="shared" si="0"/>
        <v>22</v>
      </c>
      <c r="B31" s="190" t="s">
        <v>672</v>
      </c>
      <c r="E31" s="210"/>
      <c r="I31" s="212"/>
    </row>
    <row r="32" spans="1:9">
      <c r="A32" s="208">
        <f t="shared" si="0"/>
        <v>23</v>
      </c>
      <c r="C32" s="190" t="s">
        <v>665</v>
      </c>
      <c r="E32" s="210">
        <v>22.09</v>
      </c>
      <c r="F32" s="191">
        <v>8.84</v>
      </c>
      <c r="G32" s="191">
        <f>+E32-F32</f>
        <v>13.25</v>
      </c>
      <c r="H32" s="192">
        <f>W22_PG_6_of_6!I12+W22_PG_6_of_6!I21+W22_PG_6_of_6!I30+W22_PG_6_of_6!I48+W22_PG_6_of_6!I57</f>
        <v>11</v>
      </c>
      <c r="I32" s="212">
        <f>ROUND(G32*H32*12,0)</f>
        <v>1749</v>
      </c>
    </row>
    <row r="33" spans="1:9">
      <c r="A33" s="208">
        <f t="shared" si="0"/>
        <v>24</v>
      </c>
      <c r="C33" s="190" t="s">
        <v>666</v>
      </c>
      <c r="E33" s="210">
        <v>44.19</v>
      </c>
      <c r="F33" s="191">
        <v>18.12</v>
      </c>
      <c r="G33" s="191">
        <f>+E33-F33</f>
        <v>26.069999999999997</v>
      </c>
      <c r="H33" s="192">
        <f>W22_PG_6_of_6!I13+W22_PG_6_of_6!I22+W22_PG_6_of_6!I31+W22_PG_6_of_6!I49+W22_PG_6_of_6!I58</f>
        <v>5</v>
      </c>
      <c r="I33" s="212">
        <f>ROUND(G33*H33*12,0)</f>
        <v>1564</v>
      </c>
    </row>
    <row r="34" spans="1:9">
      <c r="A34" s="208">
        <f t="shared" si="0"/>
        <v>25</v>
      </c>
      <c r="C34" s="190" t="s">
        <v>667</v>
      </c>
      <c r="E34" s="210">
        <v>49.7</v>
      </c>
      <c r="F34" s="191">
        <v>20.43</v>
      </c>
      <c r="G34" s="191">
        <f t="shared" ref="G34:G35" si="9">+E34-F34</f>
        <v>29.270000000000003</v>
      </c>
      <c r="H34" s="192">
        <f>W22_PG_6_of_6!I14+W22_PG_6_of_6!I23+W22_PG_6_of_6!I32+W22_PG_6_of_6!I50+W22_PG_6_of_6!I59</f>
        <v>0</v>
      </c>
      <c r="I34" s="212">
        <f t="shared" ref="I34:I35" si="10">ROUND(G34*H34*12,0)</f>
        <v>0</v>
      </c>
    </row>
    <row r="35" spans="1:9">
      <c r="A35" s="208">
        <f t="shared" si="0"/>
        <v>26</v>
      </c>
      <c r="C35" s="190" t="s">
        <v>668</v>
      </c>
      <c r="E35" s="210">
        <v>71.8</v>
      </c>
      <c r="F35" s="191">
        <v>29.71</v>
      </c>
      <c r="G35" s="191">
        <f t="shared" si="9"/>
        <v>42.089999999999996</v>
      </c>
      <c r="H35" s="192">
        <f>W22_PG_6_of_6!I15+W22_PG_6_of_6!I24+W22_PG_6_of_6!I33+W22_PG_6_of_6!I51+W22_PG_6_of_6!I60</f>
        <v>2</v>
      </c>
      <c r="I35" s="212">
        <f t="shared" si="10"/>
        <v>1010</v>
      </c>
    </row>
    <row r="36" spans="1:9">
      <c r="A36" s="208">
        <f t="shared" si="0"/>
        <v>27</v>
      </c>
      <c r="B36" s="190" t="s">
        <v>673</v>
      </c>
      <c r="E36" s="210"/>
      <c r="I36" s="212"/>
    </row>
    <row r="37" spans="1:9">
      <c r="A37" s="208">
        <f t="shared" si="0"/>
        <v>28</v>
      </c>
      <c r="C37" s="190" t="s">
        <v>674</v>
      </c>
      <c r="E37" s="210">
        <v>1.04</v>
      </c>
      <c r="G37" s="191">
        <f>+E37-F37</f>
        <v>1.04</v>
      </c>
      <c r="H37" s="192">
        <v>498</v>
      </c>
      <c r="I37" s="212">
        <f>ROUND(G37*H37*12,0)</f>
        <v>6215</v>
      </c>
    </row>
    <row r="38" spans="1:9">
      <c r="A38" s="208">
        <f t="shared" si="0"/>
        <v>29</v>
      </c>
      <c r="C38" s="190" t="s">
        <v>675</v>
      </c>
      <c r="E38" s="210">
        <v>0.5</v>
      </c>
      <c r="G38" s="191">
        <f>+E38-F38</f>
        <v>0.5</v>
      </c>
      <c r="H38" s="192">
        <v>498</v>
      </c>
      <c r="I38" s="212">
        <f>ROUND(G38*H38*12,0)</f>
        <v>2988</v>
      </c>
    </row>
    <row r="39" spans="1:9" ht="6" customHeight="1">
      <c r="A39" s="208"/>
      <c r="I39" s="212"/>
    </row>
    <row r="40" spans="1:9">
      <c r="A40" s="208">
        <f>1+A38</f>
        <v>30</v>
      </c>
      <c r="B40" s="190" t="s">
        <v>676</v>
      </c>
      <c r="E40" s="210"/>
      <c r="I40" s="212">
        <v>127050</v>
      </c>
    </row>
    <row r="41" spans="1:9">
      <c r="A41" s="208"/>
      <c r="C41" s="190" t="s">
        <v>677</v>
      </c>
      <c r="E41" s="210"/>
      <c r="I41" s="212"/>
    </row>
    <row r="42" spans="1:9" ht="6" customHeight="1">
      <c r="A42" s="208"/>
      <c r="I42" s="212"/>
    </row>
    <row r="43" spans="1:9">
      <c r="A43" s="208">
        <f>1+A40</f>
        <v>31</v>
      </c>
      <c r="B43" s="190" t="s">
        <v>678</v>
      </c>
      <c r="E43" s="210">
        <v>2.85</v>
      </c>
      <c r="G43" s="191">
        <f>+E43-F43</f>
        <v>2.85</v>
      </c>
      <c r="H43" s="192">
        <v>515</v>
      </c>
      <c r="I43" s="212">
        <f>ROUND(G43*H43*12,0)</f>
        <v>17613</v>
      </c>
    </row>
    <row r="44" spans="1:9" ht="6" customHeight="1">
      <c r="A44" s="208"/>
      <c r="I44" s="212"/>
    </row>
    <row r="45" spans="1:9">
      <c r="A45" s="208">
        <f>1+A43</f>
        <v>32</v>
      </c>
      <c r="B45" s="190" t="s">
        <v>679</v>
      </c>
      <c r="H45" s="213" t="s">
        <v>680</v>
      </c>
      <c r="I45" s="212"/>
    </row>
    <row r="46" spans="1:9">
      <c r="A46" s="208">
        <f t="shared" ref="A46:A48" si="11">1+A45</f>
        <v>33</v>
      </c>
      <c r="C46" s="190" t="s">
        <v>681</v>
      </c>
      <c r="G46" s="214">
        <v>0.156</v>
      </c>
      <c r="H46" s="192">
        <v>86052</v>
      </c>
      <c r="I46" s="212">
        <f>ROUND(G46*H46*12,0)</f>
        <v>161089</v>
      </c>
    </row>
    <row r="47" spans="1:9">
      <c r="A47" s="208">
        <f t="shared" si="11"/>
        <v>34</v>
      </c>
      <c r="C47" s="190" t="s">
        <v>682</v>
      </c>
      <c r="G47" s="214">
        <v>1.7999999999999999E-2</v>
      </c>
      <c r="H47" s="192">
        <v>83431</v>
      </c>
      <c r="I47" s="212">
        <f>ROUND(G47*H47*12,0)</f>
        <v>18021</v>
      </c>
    </row>
    <row r="48" spans="1:9">
      <c r="A48" s="208">
        <f t="shared" si="11"/>
        <v>35</v>
      </c>
      <c r="C48" s="190" t="s">
        <v>683</v>
      </c>
      <c r="G48" s="214">
        <v>2.1000000000000001E-2</v>
      </c>
      <c r="H48" s="192">
        <v>18963</v>
      </c>
      <c r="I48" s="212">
        <f>ROUND(G48*H48*12,0)</f>
        <v>4779</v>
      </c>
    </row>
    <row r="49" spans="1:9" ht="6" customHeight="1">
      <c r="A49" s="208"/>
    </row>
    <row r="50" spans="1:9" ht="13.8" thickBot="1">
      <c r="A50" s="208">
        <f>1+A48</f>
        <v>36</v>
      </c>
      <c r="B50" s="190" t="s">
        <v>684</v>
      </c>
      <c r="I50" s="215">
        <f>SUM(I10:I49)</f>
        <v>5968048</v>
      </c>
    </row>
    <row r="51" spans="1:9" ht="13.8" thickTop="1">
      <c r="A51" s="208"/>
    </row>
    <row r="52" spans="1:9">
      <c r="A52" s="208"/>
    </row>
    <row r="53" spans="1:9">
      <c r="A53" s="190"/>
      <c r="C53" s="232" t="s">
        <v>2</v>
      </c>
      <c r="D53" s="232" t="s">
        <v>3</v>
      </c>
    </row>
  </sheetData>
  <mergeCells count="4">
    <mergeCell ref="I4:J4"/>
    <mergeCell ref="I5:J5"/>
    <mergeCell ref="B8:D8"/>
    <mergeCell ref="B9:D9"/>
  </mergeCells>
  <pageMargins left="0.3" right="0.3" top="0.5" bottom="0.3"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A7" zoomScaleNormal="100" workbookViewId="0">
      <selection activeCell="D59" sqref="D59"/>
    </sheetView>
  </sheetViews>
  <sheetFormatPr defaultColWidth="9.109375" defaultRowHeight="13.2"/>
  <cols>
    <col min="1" max="1" width="6.5546875" style="189" bestFit="1" customWidth="1"/>
    <col min="2" max="2" width="2.6640625" style="190" customWidth="1"/>
    <col min="3" max="3" width="8.6640625" style="190" customWidth="1"/>
    <col min="4" max="4" width="21.5546875" style="190" customWidth="1"/>
    <col min="5" max="5" width="9.44140625" style="190" bestFit="1" customWidth="1"/>
    <col min="6" max="6" width="12.109375" style="191" bestFit="1" customWidth="1"/>
    <col min="7" max="7" width="9.44140625" style="191" bestFit="1" customWidth="1"/>
    <col min="8" max="8" width="11.44140625" style="192" customWidth="1"/>
    <col min="9" max="9" width="13.5546875" style="209" bestFit="1" customWidth="1"/>
    <col min="10" max="16384" width="9.109375" style="190"/>
  </cols>
  <sheetData>
    <row r="1" spans="1:9">
      <c r="A1" s="230" t="s">
        <v>0</v>
      </c>
    </row>
    <row r="2" spans="1:9">
      <c r="A2" s="230" t="s">
        <v>397</v>
      </c>
    </row>
    <row r="3" spans="1:9">
      <c r="A3" s="231" t="s">
        <v>685</v>
      </c>
    </row>
    <row r="4" spans="1:9">
      <c r="A4" s="230" t="s">
        <v>107</v>
      </c>
    </row>
    <row r="5" spans="1:9">
      <c r="C5" s="513"/>
      <c r="D5" s="513"/>
      <c r="E5" s="513"/>
      <c r="F5" s="513"/>
      <c r="G5" s="513"/>
      <c r="H5" s="513"/>
      <c r="I5" s="194"/>
    </row>
    <row r="6" spans="1:9">
      <c r="C6" s="193"/>
      <c r="D6" s="193"/>
      <c r="E6" s="193"/>
      <c r="F6" s="193"/>
      <c r="G6" s="195" t="s">
        <v>647</v>
      </c>
      <c r="H6" s="196"/>
      <c r="I6" s="194"/>
    </row>
    <row r="7" spans="1:9">
      <c r="E7" s="197" t="s">
        <v>648</v>
      </c>
      <c r="F7" s="198" t="s">
        <v>649</v>
      </c>
      <c r="G7" s="199" t="s">
        <v>650</v>
      </c>
      <c r="H7" s="196" t="s">
        <v>651</v>
      </c>
      <c r="I7" s="196" t="s">
        <v>652</v>
      </c>
    </row>
    <row r="8" spans="1:9" s="202" customFormat="1">
      <c r="A8" s="200" t="s">
        <v>399</v>
      </c>
      <c r="B8" s="511" t="s">
        <v>160</v>
      </c>
      <c r="C8" s="511"/>
      <c r="D8" s="511"/>
      <c r="E8" s="197" t="s">
        <v>653</v>
      </c>
      <c r="F8" s="198" t="s">
        <v>654</v>
      </c>
      <c r="G8" s="198" t="s">
        <v>655</v>
      </c>
      <c r="H8" s="201" t="s">
        <v>656</v>
      </c>
      <c r="I8" s="196" t="s">
        <v>150</v>
      </c>
    </row>
    <row r="9" spans="1:9" s="203" customFormat="1" ht="13.2" customHeight="1">
      <c r="A9" s="203" t="s">
        <v>335</v>
      </c>
      <c r="B9" s="512" t="s">
        <v>657</v>
      </c>
      <c r="C9" s="512"/>
      <c r="D9" s="512"/>
      <c r="E9" s="204" t="s">
        <v>658</v>
      </c>
      <c r="F9" s="205" t="s">
        <v>659</v>
      </c>
      <c r="G9" s="206" t="s">
        <v>660</v>
      </c>
      <c r="H9" s="207" t="s">
        <v>661</v>
      </c>
      <c r="I9" s="204" t="s">
        <v>662</v>
      </c>
    </row>
    <row r="10" spans="1:9">
      <c r="A10" s="208">
        <v>1</v>
      </c>
      <c r="B10" s="190" t="s">
        <v>663</v>
      </c>
    </row>
    <row r="11" spans="1:9">
      <c r="A11" s="208">
        <f t="shared" ref="A11:A38" si="0">1+A10</f>
        <v>2</v>
      </c>
      <c r="B11" s="190" t="s">
        <v>664</v>
      </c>
    </row>
    <row r="12" spans="1:9">
      <c r="A12" s="208">
        <f t="shared" si="0"/>
        <v>3</v>
      </c>
      <c r="C12" s="190" t="s">
        <v>665</v>
      </c>
      <c r="E12" s="210">
        <f>W22_PG_2_of_6!E12</f>
        <v>1350.1</v>
      </c>
      <c r="F12" s="210">
        <f>W22_PG_2_of_6!F12</f>
        <v>146.12</v>
      </c>
      <c r="G12" s="191">
        <f>+E12-F12</f>
        <v>1203.98</v>
      </c>
      <c r="H12" s="192">
        <f>W22_PG_6_of_6!D68</f>
        <v>17</v>
      </c>
      <c r="I12" s="216">
        <f>ROUND(G12*H12*12,0)</f>
        <v>245612</v>
      </c>
    </row>
    <row r="13" spans="1:9">
      <c r="A13" s="208">
        <f t="shared" si="0"/>
        <v>4</v>
      </c>
      <c r="C13" s="190" t="s">
        <v>666</v>
      </c>
      <c r="E13" s="210">
        <f>E12</f>
        <v>1350.1</v>
      </c>
      <c r="F13" s="210">
        <f>W22_PG_2_of_6!F13</f>
        <v>364.68</v>
      </c>
      <c r="G13" s="191">
        <f>+E13-F13</f>
        <v>985.41999999999985</v>
      </c>
      <c r="H13" s="192">
        <f>W22_PG_6_of_6!D69</f>
        <v>28</v>
      </c>
      <c r="I13" s="212">
        <f t="shared" ref="I13:I15" si="1">ROUND(G13*H13*12,0)</f>
        <v>331101</v>
      </c>
    </row>
    <row r="14" spans="1:9">
      <c r="A14" s="208">
        <f t="shared" si="0"/>
        <v>5</v>
      </c>
      <c r="C14" s="190" t="s">
        <v>667</v>
      </c>
      <c r="E14" s="210">
        <f t="shared" ref="E14:E15" si="2">E13</f>
        <v>1350.1</v>
      </c>
      <c r="F14" s="210">
        <f>W22_PG_2_of_6!F14</f>
        <v>286.89999999999998</v>
      </c>
      <c r="G14" s="191">
        <f>+E14-F14</f>
        <v>1063.1999999999998</v>
      </c>
      <c r="H14" s="192">
        <f>W22_PG_6_of_6!D70</f>
        <v>9</v>
      </c>
      <c r="I14" s="212">
        <f t="shared" si="1"/>
        <v>114826</v>
      </c>
    </row>
    <row r="15" spans="1:9">
      <c r="A15" s="208">
        <f t="shared" si="0"/>
        <v>6</v>
      </c>
      <c r="C15" s="190" t="s">
        <v>668</v>
      </c>
      <c r="E15" s="210">
        <f t="shared" si="2"/>
        <v>1350.1</v>
      </c>
      <c r="F15" s="210">
        <f>W22_PG_2_of_6!F15</f>
        <v>505.47</v>
      </c>
      <c r="G15" s="191">
        <f>+E15-F15</f>
        <v>844.62999999999988</v>
      </c>
      <c r="H15" s="192">
        <f>W22_PG_6_of_6!D71</f>
        <v>30</v>
      </c>
      <c r="I15" s="212">
        <f t="shared" si="1"/>
        <v>304067</v>
      </c>
    </row>
    <row r="16" spans="1:9">
      <c r="A16" s="208">
        <f t="shared" si="0"/>
        <v>7</v>
      </c>
      <c r="B16" s="190" t="s">
        <v>669</v>
      </c>
      <c r="I16" s="212"/>
    </row>
    <row r="17" spans="1:9">
      <c r="A17" s="208">
        <f t="shared" si="0"/>
        <v>8</v>
      </c>
      <c r="C17" s="190" t="s">
        <v>665</v>
      </c>
      <c r="E17" s="210">
        <f>W22_PG_2_of_6!E17</f>
        <v>1240.2</v>
      </c>
      <c r="F17" s="210">
        <f>W22_PG_2_of_6!F17</f>
        <v>92.31</v>
      </c>
      <c r="G17" s="191">
        <f>+E17-F17</f>
        <v>1147.8900000000001</v>
      </c>
      <c r="H17" s="192">
        <f>W22_PG_6_of_6!D60</f>
        <v>9</v>
      </c>
      <c r="I17" s="212">
        <f>ROUND(G17*H17*12,0)</f>
        <v>123972</v>
      </c>
    </row>
    <row r="18" spans="1:9">
      <c r="A18" s="208">
        <f t="shared" si="0"/>
        <v>9</v>
      </c>
      <c r="C18" s="190" t="s">
        <v>666</v>
      </c>
      <c r="E18" s="210">
        <f>E17</f>
        <v>1240.2</v>
      </c>
      <c r="F18" s="210">
        <f>W22_PG_2_of_6!F18</f>
        <v>236.42</v>
      </c>
      <c r="G18" s="191">
        <f>+E18-F18</f>
        <v>1003.7800000000001</v>
      </c>
      <c r="H18" s="192">
        <f>W22_PG_6_of_6!D61</f>
        <v>13</v>
      </c>
      <c r="I18" s="212">
        <f t="shared" ref="I18:I20" si="3">ROUND(G18*H18*12,0)</f>
        <v>156590</v>
      </c>
    </row>
    <row r="19" spans="1:9">
      <c r="A19" s="208">
        <f t="shared" si="0"/>
        <v>10</v>
      </c>
      <c r="C19" s="190" t="s">
        <v>667</v>
      </c>
      <c r="E19" s="210">
        <f t="shared" ref="E19:E20" si="4">E18</f>
        <v>1240.2</v>
      </c>
      <c r="F19" s="210">
        <f>W22_PG_2_of_6!F19</f>
        <v>185.14</v>
      </c>
      <c r="G19" s="191">
        <f>+E19-F19</f>
        <v>1055.06</v>
      </c>
      <c r="H19" s="192">
        <f>W22_PG_6_of_6!D62</f>
        <v>9</v>
      </c>
      <c r="I19" s="212">
        <f t="shared" si="3"/>
        <v>113946</v>
      </c>
    </row>
    <row r="20" spans="1:9">
      <c r="A20" s="208">
        <f t="shared" si="0"/>
        <v>11</v>
      </c>
      <c r="C20" s="190" t="s">
        <v>668</v>
      </c>
      <c r="E20" s="210">
        <f t="shared" si="4"/>
        <v>1240.2</v>
      </c>
      <c r="F20" s="210">
        <f>W22_PG_2_of_6!F20</f>
        <v>329.26</v>
      </c>
      <c r="G20" s="191">
        <f>+E20-F20</f>
        <v>910.94</v>
      </c>
      <c r="H20" s="192">
        <f>W22_PG_6_of_6!D63</f>
        <v>23</v>
      </c>
      <c r="I20" s="212">
        <f t="shared" si="3"/>
        <v>251419</v>
      </c>
    </row>
    <row r="21" spans="1:9">
      <c r="A21" s="208">
        <f t="shared" si="0"/>
        <v>12</v>
      </c>
      <c r="B21" s="190" t="s">
        <v>670</v>
      </c>
      <c r="I21" s="212"/>
    </row>
    <row r="22" spans="1:9">
      <c r="A22" s="208">
        <f t="shared" si="0"/>
        <v>13</v>
      </c>
      <c r="C22" s="190" t="s">
        <v>665</v>
      </c>
      <c r="E22" s="210">
        <f>W22_PG_2_of_6!E22</f>
        <v>920.06</v>
      </c>
      <c r="F22" s="210">
        <f>W22_PG_2_of_6!F22</f>
        <v>35.47</v>
      </c>
      <c r="G22" s="191">
        <f>+E22-F22</f>
        <v>884.58999999999992</v>
      </c>
      <c r="H22" s="192">
        <f>W22_PG_6_of_6!D64</f>
        <v>13</v>
      </c>
      <c r="I22" s="212">
        <f>ROUND(G22*H22*12,0)</f>
        <v>137996</v>
      </c>
    </row>
    <row r="23" spans="1:9">
      <c r="A23" s="208">
        <f t="shared" si="0"/>
        <v>14</v>
      </c>
      <c r="C23" s="190" t="s">
        <v>666</v>
      </c>
      <c r="E23" s="210">
        <f>E22</f>
        <v>920.06</v>
      </c>
      <c r="F23" s="210">
        <f>W22_PG_2_of_6!F23</f>
        <v>100.93</v>
      </c>
      <c r="G23" s="191">
        <f>+E23-F23</f>
        <v>819.12999999999988</v>
      </c>
      <c r="H23" s="192">
        <f>W22_PG_6_of_6!D65</f>
        <v>8</v>
      </c>
      <c r="I23" s="212">
        <f t="shared" ref="I23:I25" si="5">ROUND(G23*H23*12,0)</f>
        <v>78636</v>
      </c>
    </row>
    <row r="24" spans="1:9">
      <c r="A24" s="208">
        <f t="shared" si="0"/>
        <v>15</v>
      </c>
      <c r="C24" s="190" t="s">
        <v>667</v>
      </c>
      <c r="E24" s="210">
        <f t="shared" ref="E24:E25" si="6">E23</f>
        <v>920.06</v>
      </c>
      <c r="F24" s="210">
        <f>W22_PG_2_of_6!F24</f>
        <v>77.63</v>
      </c>
      <c r="G24" s="191">
        <f>+E24-F24</f>
        <v>842.43</v>
      </c>
      <c r="H24" s="192">
        <f>W22_PG_6_of_6!D66</f>
        <v>4</v>
      </c>
      <c r="I24" s="212">
        <f t="shared" si="5"/>
        <v>40437</v>
      </c>
    </row>
    <row r="25" spans="1:9">
      <c r="A25" s="208">
        <f t="shared" si="0"/>
        <v>16</v>
      </c>
      <c r="C25" s="190" t="s">
        <v>668</v>
      </c>
      <c r="E25" s="210">
        <f t="shared" si="6"/>
        <v>920.06</v>
      </c>
      <c r="F25" s="210">
        <f>W22_PG_2_of_6!F25</f>
        <v>143.1</v>
      </c>
      <c r="G25" s="191">
        <f>+E25-F25</f>
        <v>776.95999999999992</v>
      </c>
      <c r="H25" s="192">
        <f>W22_PG_6_of_6!D67</f>
        <v>13</v>
      </c>
      <c r="I25" s="212">
        <f t="shared" si="5"/>
        <v>121206</v>
      </c>
    </row>
    <row r="26" spans="1:9">
      <c r="A26" s="208">
        <f t="shared" si="0"/>
        <v>17</v>
      </c>
      <c r="B26" s="190" t="s">
        <v>671</v>
      </c>
      <c r="I26" s="212"/>
    </row>
    <row r="27" spans="1:9">
      <c r="A27" s="208">
        <f t="shared" si="0"/>
        <v>18</v>
      </c>
      <c r="C27" s="190" t="s">
        <v>665</v>
      </c>
      <c r="E27" s="210">
        <f>W22_PG_2_of_6!E27</f>
        <v>73.819999999999993</v>
      </c>
      <c r="F27" s="210">
        <f>W22_PG_2_of_6!F27</f>
        <v>12.08</v>
      </c>
      <c r="G27" s="191">
        <f>+E27-F27</f>
        <v>61.739999999999995</v>
      </c>
      <c r="H27" s="192">
        <f>W22_PG_6_of_6!I44</f>
        <v>37</v>
      </c>
      <c r="I27" s="212">
        <f>ROUND(G27*H27*12,0)</f>
        <v>27413</v>
      </c>
    </row>
    <row r="28" spans="1:9">
      <c r="A28" s="208">
        <f t="shared" si="0"/>
        <v>19</v>
      </c>
      <c r="C28" s="190" t="s">
        <v>666</v>
      </c>
      <c r="E28" s="210">
        <f>E27</f>
        <v>73.819999999999993</v>
      </c>
      <c r="F28" s="210">
        <f>W22_PG_2_of_6!F28</f>
        <v>24.04</v>
      </c>
      <c r="G28" s="191">
        <f>+E28-F28</f>
        <v>49.779999999999994</v>
      </c>
      <c r="H28" s="192">
        <f>W22_PG_6_of_6!I45</f>
        <v>50</v>
      </c>
      <c r="I28" s="212">
        <f t="shared" ref="I28:I30" si="7">ROUND(G28*H28*12,0)</f>
        <v>29868</v>
      </c>
    </row>
    <row r="29" spans="1:9">
      <c r="A29" s="208">
        <f t="shared" si="0"/>
        <v>20</v>
      </c>
      <c r="C29" s="190" t="s">
        <v>667</v>
      </c>
      <c r="E29" s="210">
        <f t="shared" ref="E29:E30" si="8">E28</f>
        <v>73.819999999999993</v>
      </c>
      <c r="F29" s="210">
        <f>W22_PG_2_of_6!F29</f>
        <v>34.51</v>
      </c>
      <c r="G29" s="191">
        <f>+E29-F29</f>
        <v>39.309999999999995</v>
      </c>
      <c r="H29" s="192">
        <f>W22_PG_6_of_6!I46</f>
        <v>19</v>
      </c>
      <c r="I29" s="212">
        <f t="shared" si="7"/>
        <v>8963</v>
      </c>
    </row>
    <row r="30" spans="1:9">
      <c r="A30" s="208">
        <f t="shared" si="0"/>
        <v>21</v>
      </c>
      <c r="C30" s="190" t="s">
        <v>668</v>
      </c>
      <c r="E30" s="210">
        <f t="shared" si="8"/>
        <v>73.819999999999993</v>
      </c>
      <c r="F30" s="210">
        <f>W22_PG_2_of_6!F30</f>
        <v>46.58</v>
      </c>
      <c r="G30" s="191">
        <f>+E30-F30</f>
        <v>27.239999999999995</v>
      </c>
      <c r="H30" s="192">
        <f>W22_PG_6_of_6!I47</f>
        <v>75</v>
      </c>
      <c r="I30" s="212">
        <f t="shared" si="7"/>
        <v>24516</v>
      </c>
    </row>
    <row r="31" spans="1:9">
      <c r="A31" s="208">
        <f t="shared" si="0"/>
        <v>22</v>
      </c>
      <c r="B31" s="190" t="s">
        <v>672</v>
      </c>
      <c r="E31" s="210"/>
      <c r="I31" s="212"/>
    </row>
    <row r="32" spans="1:9">
      <c r="A32" s="208">
        <f t="shared" si="0"/>
        <v>23</v>
      </c>
      <c r="C32" s="190" t="s">
        <v>665</v>
      </c>
      <c r="E32" s="210">
        <f>W22_PG_2_of_6!E32</f>
        <v>22.09</v>
      </c>
      <c r="F32" s="191">
        <v>8.84</v>
      </c>
      <c r="G32" s="191">
        <f>+E32-F32</f>
        <v>13.25</v>
      </c>
      <c r="H32" s="192">
        <f>W22_PG_6_of_6!I48</f>
        <v>0</v>
      </c>
      <c r="I32" s="212">
        <f>ROUND(G32*H32*12,0)</f>
        <v>0</v>
      </c>
    </row>
    <row r="33" spans="1:9">
      <c r="A33" s="208">
        <f t="shared" si="0"/>
        <v>24</v>
      </c>
      <c r="C33" s="190" t="s">
        <v>666</v>
      </c>
      <c r="E33" s="210">
        <f>W22_PG_2_of_6!E33</f>
        <v>44.19</v>
      </c>
      <c r="F33" s="191">
        <v>18.12</v>
      </c>
      <c r="G33" s="191">
        <f>+E33-F33</f>
        <v>26.069999999999997</v>
      </c>
      <c r="H33" s="192">
        <f>W22_PG_6_of_6!I49</f>
        <v>0</v>
      </c>
      <c r="I33" s="212">
        <f>ROUND(G33*H33*12,0)</f>
        <v>0</v>
      </c>
    </row>
    <row r="34" spans="1:9">
      <c r="A34" s="208">
        <f t="shared" si="0"/>
        <v>25</v>
      </c>
      <c r="C34" s="190" t="s">
        <v>667</v>
      </c>
      <c r="E34" s="210">
        <f>W22_PG_2_of_6!E34</f>
        <v>49.7</v>
      </c>
      <c r="F34" s="191">
        <v>20.43</v>
      </c>
      <c r="G34" s="191">
        <f t="shared" ref="G34:G35" si="9">+E34-F34</f>
        <v>29.270000000000003</v>
      </c>
      <c r="H34" s="192">
        <f>W22_PG_6_of_6!I50</f>
        <v>0</v>
      </c>
      <c r="I34" s="212">
        <f t="shared" ref="I34:I35" si="10">ROUND(G34*H34*12,0)</f>
        <v>0</v>
      </c>
    </row>
    <row r="35" spans="1:9">
      <c r="A35" s="208">
        <f t="shared" si="0"/>
        <v>26</v>
      </c>
      <c r="C35" s="190" t="s">
        <v>668</v>
      </c>
      <c r="E35" s="210">
        <f>W22_PG_2_of_6!E35</f>
        <v>71.8</v>
      </c>
      <c r="F35" s="191">
        <v>29.71</v>
      </c>
      <c r="G35" s="191">
        <f t="shared" si="9"/>
        <v>42.089999999999996</v>
      </c>
      <c r="H35" s="192">
        <f>W22_PG_6_of_6!I51</f>
        <v>1</v>
      </c>
      <c r="I35" s="212">
        <f t="shared" si="10"/>
        <v>505</v>
      </c>
    </row>
    <row r="36" spans="1:9">
      <c r="A36" s="208"/>
      <c r="B36" s="190" t="s">
        <v>673</v>
      </c>
      <c r="E36" s="210"/>
      <c r="I36" s="212"/>
    </row>
    <row r="37" spans="1:9">
      <c r="A37" s="208">
        <f>A35+1</f>
        <v>27</v>
      </c>
      <c r="C37" s="190" t="s">
        <v>674</v>
      </c>
      <c r="E37" s="210">
        <f>W22_PG_2_of_6!E37</f>
        <v>1.04</v>
      </c>
      <c r="G37" s="191">
        <f>+E37-F37</f>
        <v>1.04</v>
      </c>
      <c r="H37" s="192">
        <v>196</v>
      </c>
      <c r="I37" s="212">
        <f>ROUND(G37*H37*12,0)</f>
        <v>2446</v>
      </c>
    </row>
    <row r="38" spans="1:9">
      <c r="A38" s="208">
        <f t="shared" si="0"/>
        <v>28</v>
      </c>
      <c r="C38" s="190" t="s">
        <v>675</v>
      </c>
      <c r="E38" s="210">
        <f>W22_PG_2_of_6!E38</f>
        <v>0.5</v>
      </c>
      <c r="G38" s="191">
        <f>+E38-F38</f>
        <v>0.5</v>
      </c>
      <c r="H38" s="192">
        <f>+H37</f>
        <v>196</v>
      </c>
      <c r="I38" s="212">
        <f>ROUND(G38*H38*12,0)</f>
        <v>1176</v>
      </c>
    </row>
    <row r="39" spans="1:9" ht="6" customHeight="1">
      <c r="A39" s="208"/>
      <c r="I39" s="212"/>
    </row>
    <row r="40" spans="1:9">
      <c r="A40" s="208">
        <f>1+A38</f>
        <v>29</v>
      </c>
      <c r="B40" s="190" t="s">
        <v>676</v>
      </c>
      <c r="E40" s="210"/>
      <c r="I40" s="212">
        <v>50150</v>
      </c>
    </row>
    <row r="41" spans="1:9">
      <c r="A41" s="208"/>
      <c r="C41" s="190" t="s">
        <v>677</v>
      </c>
      <c r="E41" s="210"/>
      <c r="I41" s="212"/>
    </row>
    <row r="42" spans="1:9" ht="6" customHeight="1">
      <c r="A42" s="208"/>
      <c r="I42" s="212"/>
    </row>
    <row r="43" spans="1:9">
      <c r="A43" s="208">
        <f>1+A40</f>
        <v>30</v>
      </c>
      <c r="B43" s="190" t="s">
        <v>678</v>
      </c>
      <c r="E43" s="210">
        <f>W22_PG_2_of_6!E43</f>
        <v>2.85</v>
      </c>
      <c r="G43" s="191">
        <f>+E43-F43</f>
        <v>2.85</v>
      </c>
      <c r="H43" s="192">
        <v>203</v>
      </c>
      <c r="I43" s="212">
        <f>ROUND(G43*H43*12,0)</f>
        <v>6943</v>
      </c>
    </row>
    <row r="44" spans="1:9">
      <c r="A44" s="208"/>
      <c r="I44" s="212"/>
    </row>
    <row r="45" spans="1:9">
      <c r="A45" s="208">
        <f>1+A43</f>
        <v>31</v>
      </c>
      <c r="B45" s="190" t="s">
        <v>679</v>
      </c>
      <c r="H45" s="213" t="s">
        <v>680</v>
      </c>
      <c r="I45" s="212"/>
    </row>
    <row r="46" spans="1:9">
      <c r="A46" s="208">
        <f t="shared" ref="A46:A48" si="11">1+A45</f>
        <v>32</v>
      </c>
      <c r="C46" s="190" t="s">
        <v>681</v>
      </c>
      <c r="G46" s="214">
        <f>W22_PG_2_of_6!G46</f>
        <v>0.156</v>
      </c>
      <c r="H46" s="192">
        <v>36477</v>
      </c>
      <c r="I46" s="212">
        <f>ROUND(G46*H46*12,0)</f>
        <v>68285</v>
      </c>
    </row>
    <row r="47" spans="1:9">
      <c r="A47" s="208">
        <f t="shared" si="11"/>
        <v>33</v>
      </c>
      <c r="C47" s="190" t="s">
        <v>682</v>
      </c>
      <c r="G47" s="214">
        <f>W22_PG_2_of_6!G47</f>
        <v>1.7999999999999999E-2</v>
      </c>
      <c r="H47" s="192">
        <v>35711</v>
      </c>
      <c r="I47" s="212">
        <f>ROUND(G47*H47*12,0)</f>
        <v>7714</v>
      </c>
    </row>
    <row r="48" spans="1:9">
      <c r="A48" s="208">
        <f t="shared" si="11"/>
        <v>34</v>
      </c>
      <c r="C48" s="190" t="s">
        <v>683</v>
      </c>
      <c r="G48" s="214">
        <f>W22_PG_2_of_6!G48</f>
        <v>2.1000000000000001E-2</v>
      </c>
      <c r="H48" s="192">
        <v>16888</v>
      </c>
      <c r="I48" s="212">
        <f>ROUND(G48*H48*12,0)</f>
        <v>4256</v>
      </c>
    </row>
    <row r="49" spans="1:9" ht="6" customHeight="1">
      <c r="A49" s="208"/>
    </row>
    <row r="50" spans="1:9">
      <c r="A50" s="208">
        <f>1+A48</f>
        <v>35</v>
      </c>
      <c r="B50" s="190" t="s">
        <v>686</v>
      </c>
      <c r="I50" s="217">
        <f>SUM(I10:I49)</f>
        <v>2252043</v>
      </c>
    </row>
    <row r="51" spans="1:9">
      <c r="A51" s="208"/>
    </row>
    <row r="52" spans="1:9" ht="13.8" thickBot="1">
      <c r="A52" s="208">
        <f>1+A50</f>
        <v>36</v>
      </c>
      <c r="B52" s="190" t="s">
        <v>687</v>
      </c>
      <c r="I52" s="218">
        <f>ROUND(I50*0.5,0)</f>
        <v>1126022</v>
      </c>
    </row>
    <row r="53" spans="1:9" ht="13.8" thickTop="1">
      <c r="A53" s="208"/>
    </row>
    <row r="54" spans="1:9">
      <c r="A54" s="208"/>
    </row>
    <row r="55" spans="1:9">
      <c r="A55" s="232"/>
      <c r="B55" s="232"/>
      <c r="C55" s="232" t="s">
        <v>2</v>
      </c>
      <c r="D55" s="232" t="s">
        <v>3</v>
      </c>
    </row>
  </sheetData>
  <mergeCells count="3">
    <mergeCell ref="C5:H5"/>
    <mergeCell ref="B8:D8"/>
    <mergeCell ref="B9:D9"/>
  </mergeCells>
  <pageMargins left="0.3" right="0.3" top="0.5" bottom="0.3"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zoomScaleNormal="100" workbookViewId="0">
      <selection activeCell="B53" sqref="B53:C53"/>
    </sheetView>
  </sheetViews>
  <sheetFormatPr defaultColWidth="8.88671875" defaultRowHeight="13.2"/>
  <cols>
    <col min="1" max="1" width="2.109375" style="219" customWidth="1"/>
    <col min="2" max="2" width="27.88671875" style="219" customWidth="1"/>
    <col min="3" max="3" width="17" style="219" customWidth="1"/>
    <col min="4" max="4" width="15.33203125" style="219" bestFit="1" customWidth="1"/>
    <col min="5" max="5" width="11.88671875" style="219" customWidth="1"/>
    <col min="6" max="6" width="17.109375" style="219" customWidth="1"/>
    <col min="7" max="7" width="2.44140625" style="219" customWidth="1"/>
    <col min="8" max="16384" width="8.88671875" style="219"/>
  </cols>
  <sheetData>
    <row r="1" spans="1:6">
      <c r="A1" s="230" t="s">
        <v>0</v>
      </c>
      <c r="F1" s="194"/>
    </row>
    <row r="2" spans="1:6">
      <c r="A2" s="230" t="s">
        <v>397</v>
      </c>
      <c r="F2" s="220"/>
    </row>
    <row r="3" spans="1:6">
      <c r="A3" s="231" t="s">
        <v>719</v>
      </c>
      <c r="F3" s="220"/>
    </row>
    <row r="4" spans="1:6" ht="12" customHeight="1">
      <c r="A4" s="230" t="s">
        <v>107</v>
      </c>
      <c r="F4" s="220"/>
    </row>
    <row r="5" spans="1:6" ht="12" customHeight="1"/>
    <row r="53" spans="2:3">
      <c r="B53" s="233" t="s">
        <v>2</v>
      </c>
      <c r="C53" s="232" t="s">
        <v>3</v>
      </c>
    </row>
  </sheetData>
  <pageMargins left="0.45" right="0.45" top="0.5" bottom="0.45" header="0.3" footer="0.3"/>
  <pageSetup scale="107"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workbookViewId="0">
      <selection activeCell="A44" sqref="A44:B44"/>
    </sheetView>
  </sheetViews>
  <sheetFormatPr defaultColWidth="8.88671875" defaultRowHeight="13.2"/>
  <cols>
    <col min="1" max="8" width="8.88671875" style="219"/>
    <col min="9" max="9" width="8.88671875" style="219" customWidth="1"/>
    <col min="10" max="13" width="8.88671875" style="219"/>
    <col min="14" max="14" width="7.33203125" style="219" customWidth="1"/>
    <col min="15" max="16384" width="8.88671875" style="219"/>
  </cols>
  <sheetData>
    <row r="1" spans="1:14">
      <c r="A1" s="230" t="s">
        <v>0</v>
      </c>
      <c r="N1" s="194"/>
    </row>
    <row r="2" spans="1:14">
      <c r="A2" s="230" t="s">
        <v>397</v>
      </c>
      <c r="N2" s="220"/>
    </row>
    <row r="3" spans="1:14">
      <c r="A3" s="231" t="s">
        <v>720</v>
      </c>
      <c r="N3" s="220"/>
    </row>
    <row r="4" spans="1:14">
      <c r="A4" s="230" t="s">
        <v>107</v>
      </c>
      <c r="N4" s="220"/>
    </row>
    <row r="28" spans="13:13">
      <c r="M28" s="219" t="s">
        <v>721</v>
      </c>
    </row>
    <row r="44" spans="1:2">
      <c r="A44" s="233" t="s">
        <v>2</v>
      </c>
      <c r="B44" s="232" t="s">
        <v>3</v>
      </c>
    </row>
  </sheetData>
  <pageMargins left="0.45" right="0.45" top="0.5" bottom="0.5" header="0.3" footer="0.3"/>
  <pageSetup scale="8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8"/>
  <sheetViews>
    <sheetView zoomScaleNormal="100" workbookViewId="0">
      <selection activeCell="T32" sqref="T32"/>
    </sheetView>
  </sheetViews>
  <sheetFormatPr defaultColWidth="9.109375" defaultRowHeight="13.2"/>
  <cols>
    <col min="1" max="1" width="19.88671875" style="190" bestFit="1" customWidth="1"/>
    <col min="2" max="2" width="9.6640625" style="190" bestFit="1" customWidth="1"/>
    <col min="3" max="3" width="14" style="190" bestFit="1" customWidth="1"/>
    <col min="4" max="4" width="5.6640625" style="190" bestFit="1" customWidth="1"/>
    <col min="5" max="5" width="3.33203125" style="190" customWidth="1"/>
    <col min="6" max="6" width="19.88671875" style="190" bestFit="1" customWidth="1"/>
    <col min="7" max="7" width="10.6640625" style="190" bestFit="1" customWidth="1"/>
    <col min="8" max="8" width="14" style="190" bestFit="1" customWidth="1"/>
    <col min="9" max="9" width="5.6640625" style="190" bestFit="1" customWidth="1"/>
    <col min="10" max="10" width="3.33203125" style="190" customWidth="1"/>
    <col min="11" max="11" width="19.88671875" style="190" bestFit="1" customWidth="1"/>
    <col min="12" max="12" width="11.33203125" style="190" bestFit="1" customWidth="1"/>
    <col min="13" max="13" width="4.6640625" style="190" customWidth="1"/>
    <col min="14" max="16384" width="9.109375" style="190"/>
  </cols>
  <sheetData>
    <row r="1" spans="1:13">
      <c r="A1" s="230" t="s">
        <v>0</v>
      </c>
    </row>
    <row r="2" spans="1:13">
      <c r="A2" s="230" t="s">
        <v>397</v>
      </c>
    </row>
    <row r="3" spans="1:13">
      <c r="A3" s="231" t="s">
        <v>722</v>
      </c>
    </row>
    <row r="4" spans="1:13">
      <c r="A4" s="230" t="s">
        <v>107</v>
      </c>
      <c r="M4" s="194"/>
    </row>
    <row r="5" spans="1:13">
      <c r="M5" s="194"/>
    </row>
    <row r="6" spans="1:13">
      <c r="A6" s="221" t="s">
        <v>688</v>
      </c>
      <c r="F6" s="221" t="s">
        <v>689</v>
      </c>
      <c r="M6" s="194"/>
    </row>
    <row r="7" spans="1:13">
      <c r="A7" s="222" t="s">
        <v>690</v>
      </c>
      <c r="B7" s="222" t="s">
        <v>691</v>
      </c>
      <c r="C7" s="222" t="s">
        <v>692</v>
      </c>
      <c r="D7" s="222" t="s">
        <v>693</v>
      </c>
      <c r="F7" s="223" t="s">
        <v>690</v>
      </c>
      <c r="G7" s="222" t="s">
        <v>691</v>
      </c>
      <c r="H7" s="222" t="s">
        <v>692</v>
      </c>
      <c r="I7" s="222" t="s">
        <v>693</v>
      </c>
      <c r="J7" s="224"/>
      <c r="M7" s="194"/>
    </row>
    <row r="8" spans="1:13">
      <c r="A8" s="223">
        <v>110</v>
      </c>
      <c r="B8" s="222" t="s">
        <v>694</v>
      </c>
      <c r="C8" s="222" t="s">
        <v>695</v>
      </c>
      <c r="D8" s="222">
        <v>16</v>
      </c>
      <c r="F8" s="223">
        <v>110</v>
      </c>
      <c r="G8" s="222" t="s">
        <v>696</v>
      </c>
      <c r="H8" s="222" t="s">
        <v>695</v>
      </c>
      <c r="I8" s="222">
        <v>62</v>
      </c>
      <c r="J8" s="224"/>
    </row>
    <row r="9" spans="1:13">
      <c r="A9" s="223">
        <v>110</v>
      </c>
      <c r="B9" s="222" t="s">
        <v>694</v>
      </c>
      <c r="C9" s="222" t="s">
        <v>697</v>
      </c>
      <c r="D9" s="222">
        <v>6</v>
      </c>
      <c r="F9" s="223">
        <v>110</v>
      </c>
      <c r="G9" s="222" t="s">
        <v>696</v>
      </c>
      <c r="H9" s="222" t="s">
        <v>697</v>
      </c>
      <c r="I9" s="222">
        <v>79</v>
      </c>
      <c r="J9" s="224"/>
    </row>
    <row r="10" spans="1:13">
      <c r="A10" s="223">
        <v>110</v>
      </c>
      <c r="B10" s="222" t="s">
        <v>694</v>
      </c>
      <c r="C10" s="222" t="s">
        <v>698</v>
      </c>
      <c r="D10" s="222">
        <v>3</v>
      </c>
      <c r="F10" s="223">
        <v>110</v>
      </c>
      <c r="G10" s="222" t="s">
        <v>696</v>
      </c>
      <c r="H10" s="222" t="s">
        <v>698</v>
      </c>
      <c r="I10" s="222">
        <v>27</v>
      </c>
      <c r="J10" s="224"/>
    </row>
    <row r="11" spans="1:13">
      <c r="A11" s="223">
        <v>110</v>
      </c>
      <c r="B11" s="222" t="s">
        <v>694</v>
      </c>
      <c r="C11" s="222" t="s">
        <v>699</v>
      </c>
      <c r="D11" s="222">
        <v>16</v>
      </c>
      <c r="F11" s="223">
        <v>110</v>
      </c>
      <c r="G11" s="222" t="s">
        <v>696</v>
      </c>
      <c r="H11" s="222" t="s">
        <v>699</v>
      </c>
      <c r="I11" s="222">
        <v>77</v>
      </c>
      <c r="J11" s="224"/>
    </row>
    <row r="12" spans="1:13">
      <c r="A12" s="223">
        <v>110</v>
      </c>
      <c r="B12" s="222" t="s">
        <v>700</v>
      </c>
      <c r="C12" s="222" t="s">
        <v>695</v>
      </c>
      <c r="D12" s="222">
        <v>33</v>
      </c>
      <c r="F12" s="223">
        <v>110</v>
      </c>
      <c r="G12" s="222" t="s">
        <v>701</v>
      </c>
      <c r="H12" s="222" t="s">
        <v>695</v>
      </c>
      <c r="I12" s="222">
        <v>11</v>
      </c>
      <c r="J12" s="224"/>
      <c r="K12" s="190" t="s">
        <v>702</v>
      </c>
      <c r="L12" s="190">
        <v>498</v>
      </c>
    </row>
    <row r="13" spans="1:13">
      <c r="A13" s="223">
        <v>110</v>
      </c>
      <c r="B13" s="222" t="s">
        <v>700</v>
      </c>
      <c r="C13" s="222" t="s">
        <v>697</v>
      </c>
      <c r="D13" s="222">
        <v>8</v>
      </c>
      <c r="F13" s="223">
        <v>110</v>
      </c>
      <c r="G13" s="222" t="s">
        <v>701</v>
      </c>
      <c r="H13" s="222" t="s">
        <v>697</v>
      </c>
      <c r="I13" s="222">
        <v>5</v>
      </c>
      <c r="J13" s="224"/>
      <c r="K13" s="190" t="s">
        <v>469</v>
      </c>
      <c r="L13" s="190">
        <v>196</v>
      </c>
    </row>
    <row r="14" spans="1:13">
      <c r="A14" s="223">
        <v>110</v>
      </c>
      <c r="B14" s="222" t="s">
        <v>700</v>
      </c>
      <c r="C14" s="222" t="s">
        <v>698</v>
      </c>
      <c r="D14" s="222">
        <v>9</v>
      </c>
      <c r="F14" s="223">
        <v>110</v>
      </c>
      <c r="G14" s="222" t="s">
        <v>701</v>
      </c>
      <c r="H14" s="222" t="s">
        <v>698</v>
      </c>
      <c r="I14" s="222">
        <v>0</v>
      </c>
      <c r="J14" s="224"/>
    </row>
    <row r="15" spans="1:13">
      <c r="A15" s="223">
        <v>110</v>
      </c>
      <c r="B15" s="222" t="s">
        <v>700</v>
      </c>
      <c r="C15" s="222" t="s">
        <v>699</v>
      </c>
      <c r="D15" s="222">
        <v>3</v>
      </c>
      <c r="F15" s="223">
        <v>110</v>
      </c>
      <c r="G15" s="222" t="s">
        <v>701</v>
      </c>
      <c r="H15" s="222" t="s">
        <v>699</v>
      </c>
      <c r="I15" s="222">
        <v>1</v>
      </c>
      <c r="J15" s="224"/>
    </row>
    <row r="16" spans="1:13">
      <c r="A16" s="223">
        <v>110</v>
      </c>
      <c r="B16" s="222" t="s">
        <v>703</v>
      </c>
      <c r="C16" s="222" t="s">
        <v>695</v>
      </c>
      <c r="D16" s="222">
        <v>45</v>
      </c>
      <c r="F16" s="223" t="s">
        <v>143</v>
      </c>
      <c r="G16" s="222"/>
      <c r="H16" s="222"/>
      <c r="I16" s="222">
        <f>SUM(I8:I15)</f>
        <v>262</v>
      </c>
      <c r="J16" s="224"/>
    </row>
    <row r="17" spans="1:12">
      <c r="A17" s="223">
        <v>110</v>
      </c>
      <c r="B17" s="222" t="s">
        <v>703</v>
      </c>
      <c r="C17" s="222" t="s">
        <v>697</v>
      </c>
      <c r="D17" s="222">
        <v>58</v>
      </c>
      <c r="F17" s="223">
        <v>180</v>
      </c>
      <c r="G17" s="222" t="s">
        <v>696</v>
      </c>
      <c r="H17" s="222" t="s">
        <v>695</v>
      </c>
      <c r="I17" s="222">
        <v>0</v>
      </c>
      <c r="J17" s="224"/>
    </row>
    <row r="18" spans="1:12">
      <c r="A18" s="223">
        <v>110</v>
      </c>
      <c r="B18" s="222" t="s">
        <v>703</v>
      </c>
      <c r="C18" s="222" t="s">
        <v>698</v>
      </c>
      <c r="D18" s="222">
        <v>18</v>
      </c>
      <c r="F18" s="223">
        <v>180</v>
      </c>
      <c r="G18" s="222" t="s">
        <v>696</v>
      </c>
      <c r="H18" s="222" t="s">
        <v>697</v>
      </c>
      <c r="I18" s="222">
        <v>0</v>
      </c>
      <c r="J18" s="224"/>
    </row>
    <row r="19" spans="1:12">
      <c r="A19" s="223">
        <v>110</v>
      </c>
      <c r="B19" s="222" t="s">
        <v>703</v>
      </c>
      <c r="C19" s="222" t="s">
        <v>699</v>
      </c>
      <c r="D19" s="222">
        <v>44</v>
      </c>
      <c r="F19" s="223">
        <v>180</v>
      </c>
      <c r="G19" s="222" t="s">
        <v>696</v>
      </c>
      <c r="H19" s="222" t="s">
        <v>698</v>
      </c>
      <c r="I19" s="222">
        <v>0</v>
      </c>
      <c r="J19" s="224"/>
      <c r="K19" s="221" t="s">
        <v>678</v>
      </c>
    </row>
    <row r="20" spans="1:12">
      <c r="A20" s="222" t="s">
        <v>143</v>
      </c>
      <c r="B20" s="222"/>
      <c r="C20" s="222"/>
      <c r="D20" s="222">
        <f>SUM(D8:D19)</f>
        <v>259</v>
      </c>
      <c r="F20" s="223">
        <v>180</v>
      </c>
      <c r="G20" s="222" t="s">
        <v>696</v>
      </c>
      <c r="H20" s="222" t="s">
        <v>699</v>
      </c>
      <c r="I20" s="222">
        <v>0</v>
      </c>
      <c r="J20" s="224"/>
      <c r="K20" s="517" t="s">
        <v>690</v>
      </c>
      <c r="L20" s="519" t="s">
        <v>704</v>
      </c>
    </row>
    <row r="21" spans="1:12">
      <c r="A21" s="223">
        <v>180</v>
      </c>
      <c r="B21" s="222" t="s">
        <v>694</v>
      </c>
      <c r="C21" s="222" t="s">
        <v>695</v>
      </c>
      <c r="D21" s="222">
        <v>0</v>
      </c>
      <c r="F21" s="223">
        <v>180</v>
      </c>
      <c r="G21" s="222" t="s">
        <v>701</v>
      </c>
      <c r="H21" s="222" t="s">
        <v>695</v>
      </c>
      <c r="I21" s="222">
        <v>0</v>
      </c>
      <c r="J21" s="224"/>
      <c r="K21" s="518"/>
      <c r="L21" s="518"/>
    </row>
    <row r="22" spans="1:12">
      <c r="A22" s="223">
        <v>180</v>
      </c>
      <c r="B22" s="222" t="s">
        <v>694</v>
      </c>
      <c r="C22" s="222" t="s">
        <v>697</v>
      </c>
      <c r="D22" s="222">
        <v>0</v>
      </c>
      <c r="F22" s="223">
        <v>180</v>
      </c>
      <c r="G22" s="222" t="s">
        <v>701</v>
      </c>
      <c r="H22" s="222" t="s">
        <v>697</v>
      </c>
      <c r="I22" s="222">
        <v>0</v>
      </c>
      <c r="J22" s="224"/>
      <c r="K22" s="223">
        <v>110</v>
      </c>
      <c r="L22" s="222">
        <v>285</v>
      </c>
    </row>
    <row r="23" spans="1:12">
      <c r="A23" s="223">
        <v>180</v>
      </c>
      <c r="B23" s="222" t="s">
        <v>694</v>
      </c>
      <c r="C23" s="222" t="s">
        <v>698</v>
      </c>
      <c r="D23" s="222">
        <v>0</v>
      </c>
      <c r="F23" s="223">
        <v>180</v>
      </c>
      <c r="G23" s="222" t="s">
        <v>701</v>
      </c>
      <c r="H23" s="222" t="s">
        <v>698</v>
      </c>
      <c r="I23" s="222">
        <v>0</v>
      </c>
      <c r="J23" s="224"/>
      <c r="K23" s="223">
        <v>180</v>
      </c>
      <c r="L23" s="222">
        <v>0</v>
      </c>
    </row>
    <row r="24" spans="1:12">
      <c r="A24" s="223">
        <v>180</v>
      </c>
      <c r="B24" s="222" t="s">
        <v>694</v>
      </c>
      <c r="C24" s="222" t="s">
        <v>699</v>
      </c>
      <c r="D24" s="222">
        <v>0</v>
      </c>
      <c r="F24" s="223">
        <v>180</v>
      </c>
      <c r="G24" s="222" t="s">
        <v>701</v>
      </c>
      <c r="H24" s="222" t="s">
        <v>699</v>
      </c>
      <c r="I24" s="222">
        <v>0</v>
      </c>
      <c r="J24" s="224"/>
      <c r="K24" s="223" t="s">
        <v>705</v>
      </c>
      <c r="L24" s="222">
        <v>26</v>
      </c>
    </row>
    <row r="25" spans="1:12">
      <c r="A25" s="223">
        <v>180</v>
      </c>
      <c r="B25" s="222" t="s">
        <v>700</v>
      </c>
      <c r="C25" s="222" t="s">
        <v>695</v>
      </c>
      <c r="D25" s="222">
        <v>0</v>
      </c>
      <c r="F25" s="223" t="s">
        <v>143</v>
      </c>
      <c r="G25" s="222"/>
      <c r="H25" s="222"/>
      <c r="I25" s="222">
        <f>SUM(I17:I24)</f>
        <v>0</v>
      </c>
      <c r="J25" s="224"/>
      <c r="K25" s="223" t="s">
        <v>706</v>
      </c>
      <c r="L25" s="222">
        <v>203</v>
      </c>
    </row>
    <row r="26" spans="1:12">
      <c r="A26" s="223">
        <v>180</v>
      </c>
      <c r="B26" s="222" t="s">
        <v>700</v>
      </c>
      <c r="C26" s="222" t="s">
        <v>697</v>
      </c>
      <c r="D26" s="222">
        <v>0</v>
      </c>
      <c r="F26" s="223" t="s">
        <v>705</v>
      </c>
      <c r="G26" s="222" t="s">
        <v>696</v>
      </c>
      <c r="H26" s="222" t="s">
        <v>695</v>
      </c>
      <c r="I26" s="222">
        <v>5</v>
      </c>
      <c r="J26" s="224"/>
      <c r="K26" s="223" t="s">
        <v>707</v>
      </c>
      <c r="L26" s="222">
        <v>4</v>
      </c>
    </row>
    <row r="27" spans="1:12">
      <c r="A27" s="223">
        <v>180</v>
      </c>
      <c r="B27" s="222" t="s">
        <v>700</v>
      </c>
      <c r="C27" s="222" t="s">
        <v>698</v>
      </c>
      <c r="D27" s="222">
        <v>0</v>
      </c>
      <c r="F27" s="223" t="s">
        <v>705</v>
      </c>
      <c r="G27" s="222" t="s">
        <v>696</v>
      </c>
      <c r="H27" s="222" t="s">
        <v>697</v>
      </c>
      <c r="I27" s="222">
        <v>10</v>
      </c>
      <c r="J27" s="224"/>
      <c r="K27" s="222" t="s">
        <v>708</v>
      </c>
      <c r="L27" s="222">
        <v>1</v>
      </c>
    </row>
    <row r="28" spans="1:12">
      <c r="A28" s="223">
        <v>180</v>
      </c>
      <c r="B28" s="222" t="s">
        <v>700</v>
      </c>
      <c r="C28" s="222" t="s">
        <v>699</v>
      </c>
      <c r="D28" s="222">
        <v>0</v>
      </c>
      <c r="F28" s="223" t="s">
        <v>705</v>
      </c>
      <c r="G28" s="222" t="s">
        <v>696</v>
      </c>
      <c r="H28" s="222" t="s">
        <v>698</v>
      </c>
      <c r="I28" s="222">
        <v>2</v>
      </c>
      <c r="J28" s="224"/>
    </row>
    <row r="29" spans="1:12">
      <c r="A29" s="223">
        <v>180</v>
      </c>
      <c r="B29" s="222" t="s">
        <v>703</v>
      </c>
      <c r="C29" s="222" t="s">
        <v>695</v>
      </c>
      <c r="D29" s="222">
        <v>0</v>
      </c>
      <c r="F29" s="223" t="s">
        <v>705</v>
      </c>
      <c r="G29" s="222" t="s">
        <v>696</v>
      </c>
      <c r="H29" s="222" t="s">
        <v>699</v>
      </c>
      <c r="I29" s="222">
        <v>9</v>
      </c>
      <c r="J29" s="224"/>
    </row>
    <row r="30" spans="1:12">
      <c r="A30" s="223">
        <v>180</v>
      </c>
      <c r="B30" s="222" t="s">
        <v>703</v>
      </c>
      <c r="C30" s="222" t="s">
        <v>697</v>
      </c>
      <c r="D30" s="222">
        <v>0</v>
      </c>
      <c r="F30" s="223" t="s">
        <v>705</v>
      </c>
      <c r="G30" s="222" t="s">
        <v>701</v>
      </c>
      <c r="H30" s="222" t="s">
        <v>695</v>
      </c>
      <c r="I30" s="222">
        <v>0</v>
      </c>
      <c r="J30" s="224"/>
      <c r="K30" s="221" t="s">
        <v>709</v>
      </c>
    </row>
    <row r="31" spans="1:12">
      <c r="A31" s="223">
        <v>180</v>
      </c>
      <c r="B31" s="222" t="s">
        <v>703</v>
      </c>
      <c r="C31" s="222" t="s">
        <v>698</v>
      </c>
      <c r="D31" s="222">
        <v>0</v>
      </c>
      <c r="F31" s="223" t="s">
        <v>705</v>
      </c>
      <c r="G31" s="222" t="s">
        <v>701</v>
      </c>
      <c r="H31" s="222" t="s">
        <v>697</v>
      </c>
      <c r="I31" s="222">
        <v>0</v>
      </c>
      <c r="J31" s="224"/>
      <c r="K31" s="517" t="s">
        <v>690</v>
      </c>
      <c r="L31" s="519" t="s">
        <v>710</v>
      </c>
    </row>
    <row r="32" spans="1:12">
      <c r="A32" s="223">
        <v>180</v>
      </c>
      <c r="B32" s="222" t="s">
        <v>703</v>
      </c>
      <c r="C32" s="222" t="s">
        <v>699</v>
      </c>
      <c r="D32" s="222">
        <v>0</v>
      </c>
      <c r="F32" s="223" t="s">
        <v>705</v>
      </c>
      <c r="G32" s="222" t="s">
        <v>701</v>
      </c>
      <c r="H32" s="222" t="s">
        <v>698</v>
      </c>
      <c r="I32" s="222">
        <v>0</v>
      </c>
      <c r="J32" s="224"/>
      <c r="K32" s="518"/>
      <c r="L32" s="518"/>
    </row>
    <row r="33" spans="1:12">
      <c r="A33" s="222" t="s">
        <v>143</v>
      </c>
      <c r="B33" s="222"/>
      <c r="C33" s="222"/>
      <c r="D33" s="222">
        <f>SUM(D21:D32)</f>
        <v>0</v>
      </c>
      <c r="F33" s="223" t="s">
        <v>705</v>
      </c>
      <c r="G33" s="222" t="s">
        <v>701</v>
      </c>
      <c r="H33" s="222" t="s">
        <v>699</v>
      </c>
      <c r="I33" s="222">
        <v>0</v>
      </c>
      <c r="J33" s="224"/>
      <c r="K33" s="223">
        <v>110</v>
      </c>
      <c r="L33" s="225">
        <v>65100</v>
      </c>
    </row>
    <row r="34" spans="1:12">
      <c r="A34" s="222" t="s">
        <v>705</v>
      </c>
      <c r="B34" s="222" t="s">
        <v>694</v>
      </c>
      <c r="C34" s="222" t="s">
        <v>695</v>
      </c>
      <c r="D34" s="222">
        <v>0</v>
      </c>
      <c r="F34" s="223" t="s">
        <v>143</v>
      </c>
      <c r="G34" s="222"/>
      <c r="H34" s="222"/>
      <c r="I34" s="222">
        <f>SUM(I26:I33)</f>
        <v>26</v>
      </c>
      <c r="J34" s="224"/>
      <c r="K34" s="223">
        <v>180</v>
      </c>
      <c r="L34" s="225">
        <v>0</v>
      </c>
    </row>
    <row r="35" spans="1:12">
      <c r="A35" s="222" t="s">
        <v>705</v>
      </c>
      <c r="B35" s="222" t="s">
        <v>694</v>
      </c>
      <c r="C35" s="222" t="s">
        <v>697</v>
      </c>
      <c r="D35" s="222">
        <v>2</v>
      </c>
      <c r="F35" s="223" t="s">
        <v>707</v>
      </c>
      <c r="G35" s="222" t="s">
        <v>696</v>
      </c>
      <c r="H35" s="222" t="s">
        <v>695</v>
      </c>
      <c r="I35" s="222">
        <v>2</v>
      </c>
      <c r="J35" s="224"/>
      <c r="K35" s="223" t="s">
        <v>705</v>
      </c>
      <c r="L35" s="225">
        <v>11500</v>
      </c>
    </row>
    <row r="36" spans="1:12">
      <c r="A36" s="222" t="s">
        <v>705</v>
      </c>
      <c r="B36" s="222" t="s">
        <v>694</v>
      </c>
      <c r="C36" s="222" t="s">
        <v>698</v>
      </c>
      <c r="D36" s="222">
        <v>2</v>
      </c>
      <c r="F36" s="223" t="s">
        <v>707</v>
      </c>
      <c r="G36" s="222" t="s">
        <v>696</v>
      </c>
      <c r="H36" s="222" t="s">
        <v>697</v>
      </c>
      <c r="I36" s="222">
        <v>2</v>
      </c>
      <c r="J36" s="224"/>
      <c r="K36" s="223" t="s">
        <v>706</v>
      </c>
      <c r="L36" s="225">
        <v>50150</v>
      </c>
    </row>
    <row r="37" spans="1:12">
      <c r="A37" s="222" t="s">
        <v>705</v>
      </c>
      <c r="B37" s="222" t="s">
        <v>694</v>
      </c>
      <c r="C37" s="222" t="s">
        <v>699</v>
      </c>
      <c r="D37" s="222">
        <v>4</v>
      </c>
      <c r="F37" s="223" t="s">
        <v>707</v>
      </c>
      <c r="G37" s="222" t="s">
        <v>696</v>
      </c>
      <c r="H37" s="222" t="s">
        <v>698</v>
      </c>
      <c r="I37" s="222">
        <v>0</v>
      </c>
      <c r="J37" s="224"/>
      <c r="K37" s="223" t="s">
        <v>707</v>
      </c>
      <c r="L37" s="225">
        <v>900</v>
      </c>
    </row>
    <row r="38" spans="1:12">
      <c r="A38" s="222" t="s">
        <v>705</v>
      </c>
      <c r="B38" s="222" t="s">
        <v>700</v>
      </c>
      <c r="C38" s="222" t="s">
        <v>695</v>
      </c>
      <c r="D38" s="222">
        <v>4</v>
      </c>
      <c r="F38" s="223" t="s">
        <v>707</v>
      </c>
      <c r="G38" s="222" t="s">
        <v>696</v>
      </c>
      <c r="H38" s="222" t="s">
        <v>699</v>
      </c>
      <c r="I38" s="222">
        <v>0</v>
      </c>
      <c r="J38" s="224"/>
      <c r="K38" s="222" t="s">
        <v>708</v>
      </c>
      <c r="L38" s="225">
        <v>300</v>
      </c>
    </row>
    <row r="39" spans="1:12">
      <c r="A39" s="222" t="s">
        <v>705</v>
      </c>
      <c r="B39" s="222" t="s">
        <v>700</v>
      </c>
      <c r="C39" s="222" t="s">
        <v>697</v>
      </c>
      <c r="D39" s="222">
        <v>2</v>
      </c>
      <c r="F39" s="223" t="s">
        <v>707</v>
      </c>
      <c r="G39" s="222" t="s">
        <v>701</v>
      </c>
      <c r="H39" s="222" t="s">
        <v>695</v>
      </c>
      <c r="I39" s="222">
        <v>0</v>
      </c>
      <c r="J39" s="224"/>
    </row>
    <row r="40" spans="1:12">
      <c r="A40" s="222" t="s">
        <v>705</v>
      </c>
      <c r="B40" s="222" t="s">
        <v>700</v>
      </c>
      <c r="C40" s="222" t="s">
        <v>698</v>
      </c>
      <c r="D40" s="222">
        <v>0</v>
      </c>
      <c r="F40" s="223" t="s">
        <v>707</v>
      </c>
      <c r="G40" s="222" t="s">
        <v>701</v>
      </c>
      <c r="H40" s="222" t="s">
        <v>697</v>
      </c>
      <c r="I40" s="222">
        <v>0</v>
      </c>
      <c r="J40" s="224"/>
    </row>
    <row r="41" spans="1:12">
      <c r="A41" s="222" t="s">
        <v>705</v>
      </c>
      <c r="B41" s="222" t="s">
        <v>700</v>
      </c>
      <c r="C41" s="222" t="s">
        <v>699</v>
      </c>
      <c r="D41" s="222">
        <v>4</v>
      </c>
      <c r="F41" s="223" t="s">
        <v>707</v>
      </c>
      <c r="G41" s="222" t="s">
        <v>701</v>
      </c>
      <c r="H41" s="222" t="s">
        <v>698</v>
      </c>
      <c r="I41" s="222">
        <v>0</v>
      </c>
      <c r="J41" s="224"/>
    </row>
    <row r="42" spans="1:12">
      <c r="A42" s="222" t="s">
        <v>705</v>
      </c>
      <c r="B42" s="222" t="s">
        <v>703</v>
      </c>
      <c r="C42" s="222" t="s">
        <v>695</v>
      </c>
      <c r="D42" s="222">
        <v>3</v>
      </c>
      <c r="F42" s="223" t="s">
        <v>707</v>
      </c>
      <c r="G42" s="222" t="s">
        <v>701</v>
      </c>
      <c r="H42" s="222" t="s">
        <v>699</v>
      </c>
      <c r="I42" s="222">
        <v>0</v>
      </c>
      <c r="J42" s="224"/>
    </row>
    <row r="43" spans="1:12">
      <c r="A43" s="222" t="s">
        <v>705</v>
      </c>
      <c r="B43" s="222" t="s">
        <v>703</v>
      </c>
      <c r="C43" s="222" t="s">
        <v>697</v>
      </c>
      <c r="D43" s="222">
        <v>4</v>
      </c>
      <c r="F43" s="223" t="s">
        <v>143</v>
      </c>
      <c r="G43" s="222"/>
      <c r="H43" s="222"/>
      <c r="I43" s="222">
        <f>SUM(I35:I42)</f>
        <v>4</v>
      </c>
      <c r="J43" s="224"/>
    </row>
    <row r="44" spans="1:12">
      <c r="A44" s="222" t="s">
        <v>705</v>
      </c>
      <c r="B44" s="222" t="s">
        <v>703</v>
      </c>
      <c r="C44" s="222" t="s">
        <v>698</v>
      </c>
      <c r="D44" s="222">
        <v>0</v>
      </c>
      <c r="F44" s="223" t="s">
        <v>706</v>
      </c>
      <c r="G44" s="222" t="s">
        <v>696</v>
      </c>
      <c r="H44" s="222" t="s">
        <v>695</v>
      </c>
      <c r="I44" s="222">
        <v>37</v>
      </c>
      <c r="J44" s="224"/>
    </row>
    <row r="45" spans="1:12">
      <c r="A45" s="222" t="s">
        <v>705</v>
      </c>
      <c r="B45" s="222" t="s">
        <v>703</v>
      </c>
      <c r="C45" s="222" t="s">
        <v>699</v>
      </c>
      <c r="D45" s="222">
        <v>1</v>
      </c>
      <c r="F45" s="223" t="s">
        <v>706</v>
      </c>
      <c r="G45" s="222" t="s">
        <v>696</v>
      </c>
      <c r="H45" s="222" t="s">
        <v>697</v>
      </c>
      <c r="I45" s="222">
        <v>50</v>
      </c>
      <c r="J45" s="224"/>
    </row>
    <row r="46" spans="1:12">
      <c r="A46" s="226" t="s">
        <v>143</v>
      </c>
      <c r="D46" s="222">
        <f>SUM(D34:D45)</f>
        <v>26</v>
      </c>
      <c r="F46" s="223" t="s">
        <v>706</v>
      </c>
      <c r="G46" s="222" t="s">
        <v>696</v>
      </c>
      <c r="H46" s="222" t="s">
        <v>698</v>
      </c>
      <c r="I46" s="222">
        <v>19</v>
      </c>
      <c r="J46" s="224"/>
    </row>
    <row r="47" spans="1:12">
      <c r="A47" s="222" t="s">
        <v>707</v>
      </c>
      <c r="B47" s="222" t="s">
        <v>694</v>
      </c>
      <c r="C47" s="222" t="s">
        <v>695</v>
      </c>
      <c r="D47" s="222">
        <v>0</v>
      </c>
      <c r="F47" s="223" t="s">
        <v>706</v>
      </c>
      <c r="G47" s="222" t="s">
        <v>696</v>
      </c>
      <c r="H47" s="222" t="s">
        <v>699</v>
      </c>
      <c r="I47" s="222">
        <v>75</v>
      </c>
      <c r="J47" s="224"/>
    </row>
    <row r="48" spans="1:12">
      <c r="A48" s="222" t="s">
        <v>707</v>
      </c>
      <c r="B48" s="222" t="s">
        <v>694</v>
      </c>
      <c r="C48" s="222" t="s">
        <v>697</v>
      </c>
      <c r="D48" s="222">
        <v>0</v>
      </c>
      <c r="F48" s="223" t="s">
        <v>706</v>
      </c>
      <c r="G48" s="222" t="s">
        <v>701</v>
      </c>
      <c r="H48" s="222" t="s">
        <v>695</v>
      </c>
      <c r="I48" s="222">
        <v>0</v>
      </c>
      <c r="J48" s="224"/>
    </row>
    <row r="49" spans="1:11">
      <c r="A49" s="222" t="s">
        <v>707</v>
      </c>
      <c r="B49" s="222" t="s">
        <v>694</v>
      </c>
      <c r="C49" s="222" t="s">
        <v>698</v>
      </c>
      <c r="D49" s="222">
        <v>0</v>
      </c>
      <c r="F49" s="223" t="s">
        <v>706</v>
      </c>
      <c r="G49" s="222" t="s">
        <v>701</v>
      </c>
      <c r="H49" s="222" t="s">
        <v>697</v>
      </c>
      <c r="I49" s="222">
        <v>0</v>
      </c>
      <c r="J49" s="224"/>
    </row>
    <row r="50" spans="1:11">
      <c r="A50" s="222" t="s">
        <v>707</v>
      </c>
      <c r="B50" s="222" t="s">
        <v>694</v>
      </c>
      <c r="C50" s="222" t="s">
        <v>699</v>
      </c>
      <c r="D50" s="222">
        <v>0</v>
      </c>
      <c r="F50" s="223" t="s">
        <v>706</v>
      </c>
      <c r="G50" s="222" t="s">
        <v>701</v>
      </c>
      <c r="H50" s="222" t="s">
        <v>698</v>
      </c>
      <c r="I50" s="222">
        <v>0</v>
      </c>
      <c r="J50" s="224"/>
    </row>
    <row r="51" spans="1:11">
      <c r="A51" s="222" t="s">
        <v>707</v>
      </c>
      <c r="B51" s="222" t="s">
        <v>700</v>
      </c>
      <c r="C51" s="222" t="s">
        <v>695</v>
      </c>
      <c r="D51" s="222">
        <v>1</v>
      </c>
      <c r="F51" s="223" t="s">
        <v>706</v>
      </c>
      <c r="G51" s="222" t="s">
        <v>701</v>
      </c>
      <c r="H51" s="222" t="s">
        <v>699</v>
      </c>
      <c r="I51" s="222">
        <v>1</v>
      </c>
      <c r="J51" s="224"/>
    </row>
    <row r="52" spans="1:11">
      <c r="A52" s="222" t="s">
        <v>707</v>
      </c>
      <c r="B52" s="222" t="s">
        <v>700</v>
      </c>
      <c r="C52" s="222" t="s">
        <v>697</v>
      </c>
      <c r="D52" s="222">
        <v>0</v>
      </c>
      <c r="F52" s="223" t="s">
        <v>143</v>
      </c>
      <c r="G52" s="222"/>
      <c r="H52" s="222"/>
      <c r="I52" s="222">
        <f>SUM(I44:I51)</f>
        <v>182</v>
      </c>
      <c r="J52" s="224"/>
    </row>
    <row r="53" spans="1:11">
      <c r="A53" s="222" t="s">
        <v>707</v>
      </c>
      <c r="B53" s="222" t="s">
        <v>700</v>
      </c>
      <c r="C53" s="222" t="s">
        <v>698</v>
      </c>
      <c r="D53" s="222">
        <v>0</v>
      </c>
      <c r="F53" s="222" t="s">
        <v>708</v>
      </c>
      <c r="G53" s="222" t="s">
        <v>696</v>
      </c>
      <c r="H53" s="222" t="s">
        <v>695</v>
      </c>
      <c r="I53" s="222">
        <v>0</v>
      </c>
      <c r="J53" s="224"/>
    </row>
    <row r="54" spans="1:11">
      <c r="A54" s="222" t="s">
        <v>707</v>
      </c>
      <c r="B54" s="222" t="s">
        <v>700</v>
      </c>
      <c r="C54" s="222" t="s">
        <v>699</v>
      </c>
      <c r="D54" s="222">
        <v>0</v>
      </c>
      <c r="F54" s="222" t="s">
        <v>708</v>
      </c>
      <c r="G54" s="222" t="s">
        <v>696</v>
      </c>
      <c r="H54" s="222" t="s">
        <v>697</v>
      </c>
      <c r="I54" s="222">
        <v>1</v>
      </c>
      <c r="J54" s="224"/>
    </row>
    <row r="55" spans="1:11">
      <c r="A55" s="222" t="s">
        <v>707</v>
      </c>
      <c r="B55" s="222" t="s">
        <v>703</v>
      </c>
      <c r="C55" s="222" t="s">
        <v>695</v>
      </c>
      <c r="D55" s="222">
        <v>1</v>
      </c>
      <c r="F55" s="222" t="s">
        <v>708</v>
      </c>
      <c r="G55" s="222" t="s">
        <v>696</v>
      </c>
      <c r="H55" s="222" t="s">
        <v>698</v>
      </c>
      <c r="I55" s="222">
        <v>0</v>
      </c>
      <c r="J55" s="224"/>
    </row>
    <row r="56" spans="1:11">
      <c r="A56" s="222" t="s">
        <v>707</v>
      </c>
      <c r="B56" s="222" t="s">
        <v>703</v>
      </c>
      <c r="C56" s="222" t="s">
        <v>697</v>
      </c>
      <c r="D56" s="222">
        <v>2</v>
      </c>
      <c r="F56" s="222" t="s">
        <v>708</v>
      </c>
      <c r="G56" s="222" t="s">
        <v>696</v>
      </c>
      <c r="H56" s="222" t="s">
        <v>699</v>
      </c>
      <c r="I56" s="222">
        <v>0</v>
      </c>
      <c r="J56" s="224"/>
    </row>
    <row r="57" spans="1:11">
      <c r="A57" s="222" t="s">
        <v>707</v>
      </c>
      <c r="B57" s="222" t="s">
        <v>703</v>
      </c>
      <c r="C57" s="222" t="s">
        <v>698</v>
      </c>
      <c r="D57" s="222">
        <v>0</v>
      </c>
      <c r="F57" s="222" t="s">
        <v>708</v>
      </c>
      <c r="G57" s="222" t="s">
        <v>701</v>
      </c>
      <c r="H57" s="222" t="s">
        <v>695</v>
      </c>
      <c r="I57" s="222">
        <v>0</v>
      </c>
      <c r="J57" s="224"/>
    </row>
    <row r="58" spans="1:11">
      <c r="A58" s="222" t="s">
        <v>707</v>
      </c>
      <c r="B58" s="222" t="s">
        <v>703</v>
      </c>
      <c r="C58" s="222" t="s">
        <v>699</v>
      </c>
      <c r="D58" s="222">
        <v>0</v>
      </c>
      <c r="F58" s="222" t="s">
        <v>708</v>
      </c>
      <c r="G58" s="222" t="s">
        <v>701</v>
      </c>
      <c r="H58" s="222" t="s">
        <v>697</v>
      </c>
      <c r="I58" s="222">
        <v>0</v>
      </c>
      <c r="J58" s="224"/>
    </row>
    <row r="59" spans="1:11">
      <c r="A59" s="222" t="s">
        <v>143</v>
      </c>
      <c r="B59" s="222"/>
      <c r="C59" s="222"/>
      <c r="D59" s="222">
        <f>SUM(D47:D58)</f>
        <v>4</v>
      </c>
      <c r="F59" s="222" t="s">
        <v>708</v>
      </c>
      <c r="G59" s="222" t="s">
        <v>701</v>
      </c>
      <c r="H59" s="222" t="s">
        <v>698</v>
      </c>
      <c r="I59" s="222">
        <v>0</v>
      </c>
      <c r="J59" s="224"/>
    </row>
    <row r="60" spans="1:11">
      <c r="A60" s="222" t="s">
        <v>706</v>
      </c>
      <c r="B60" s="222" t="s">
        <v>694</v>
      </c>
      <c r="C60" s="222" t="s">
        <v>695</v>
      </c>
      <c r="D60" s="222">
        <v>9</v>
      </c>
      <c r="F60" s="222" t="s">
        <v>708</v>
      </c>
      <c r="G60" s="222" t="s">
        <v>701</v>
      </c>
      <c r="H60" s="222" t="s">
        <v>699</v>
      </c>
      <c r="I60" s="222">
        <v>0</v>
      </c>
      <c r="J60" s="224"/>
    </row>
    <row r="61" spans="1:11">
      <c r="A61" s="222" t="s">
        <v>706</v>
      </c>
      <c r="B61" s="222" t="s">
        <v>694</v>
      </c>
      <c r="C61" s="222" t="s">
        <v>697</v>
      </c>
      <c r="D61" s="222">
        <v>13</v>
      </c>
      <c r="F61" s="223" t="s">
        <v>143</v>
      </c>
      <c r="G61" s="222"/>
      <c r="H61" s="222"/>
      <c r="I61" s="222">
        <f>SUM(I53:I60)</f>
        <v>1</v>
      </c>
      <c r="J61" s="224"/>
    </row>
    <row r="62" spans="1:11">
      <c r="A62" s="222" t="s">
        <v>706</v>
      </c>
      <c r="B62" s="222" t="s">
        <v>694</v>
      </c>
      <c r="C62" s="222" t="s">
        <v>698</v>
      </c>
      <c r="D62" s="222">
        <v>9</v>
      </c>
    </row>
    <row r="63" spans="1:11">
      <c r="A63" s="222" t="s">
        <v>706</v>
      </c>
      <c r="B63" s="222" t="s">
        <v>694</v>
      </c>
      <c r="C63" s="222" t="s">
        <v>699</v>
      </c>
      <c r="D63" s="222">
        <v>23</v>
      </c>
      <c r="F63" s="221" t="s">
        <v>711</v>
      </c>
    </row>
    <row r="64" spans="1:11">
      <c r="A64" s="222" t="s">
        <v>706</v>
      </c>
      <c r="B64" s="222" t="s">
        <v>700</v>
      </c>
      <c r="C64" s="222" t="s">
        <v>695</v>
      </c>
      <c r="D64" s="222">
        <v>13</v>
      </c>
      <c r="F64" s="223" t="s">
        <v>690</v>
      </c>
      <c r="G64" s="222" t="s">
        <v>693</v>
      </c>
      <c r="H64" s="222" t="s">
        <v>712</v>
      </c>
      <c r="I64" s="514" t="s">
        <v>713</v>
      </c>
      <c r="J64" s="515"/>
      <c r="K64" s="516"/>
    </row>
    <row r="65" spans="1:11" ht="14.4">
      <c r="A65" s="222" t="s">
        <v>706</v>
      </c>
      <c r="B65" s="222" t="s">
        <v>700</v>
      </c>
      <c r="C65" s="222" t="s">
        <v>697</v>
      </c>
      <c r="D65" s="222">
        <v>8</v>
      </c>
      <c r="F65" s="223">
        <v>110</v>
      </c>
      <c r="G65" s="222">
        <v>287</v>
      </c>
      <c r="H65" s="227">
        <v>44663000</v>
      </c>
      <c r="I65" s="514" t="s">
        <v>714</v>
      </c>
      <c r="J65" s="515"/>
      <c r="K65" s="516"/>
    </row>
    <row r="66" spans="1:11" ht="14.4">
      <c r="A66" s="222" t="s">
        <v>706</v>
      </c>
      <c r="B66" s="222" t="s">
        <v>700</v>
      </c>
      <c r="C66" s="222" t="s">
        <v>698</v>
      </c>
      <c r="D66" s="222">
        <v>4</v>
      </c>
      <c r="F66" s="223">
        <v>180</v>
      </c>
      <c r="G66" s="222">
        <v>0</v>
      </c>
      <c r="H66" s="227">
        <v>0</v>
      </c>
      <c r="I66" s="514" t="s">
        <v>714</v>
      </c>
      <c r="J66" s="515"/>
      <c r="K66" s="516"/>
    </row>
    <row r="67" spans="1:11" ht="14.4">
      <c r="A67" s="222" t="s">
        <v>706</v>
      </c>
      <c r="B67" s="222" t="s">
        <v>700</v>
      </c>
      <c r="C67" s="222" t="s">
        <v>699</v>
      </c>
      <c r="D67" s="222">
        <v>13</v>
      </c>
      <c r="F67" s="223" t="s">
        <v>705</v>
      </c>
      <c r="G67" s="222">
        <v>26</v>
      </c>
      <c r="H67" s="227">
        <v>4869000</v>
      </c>
      <c r="I67" s="514" t="s">
        <v>714</v>
      </c>
      <c r="J67" s="515"/>
      <c r="K67" s="516"/>
    </row>
    <row r="68" spans="1:11" ht="14.4">
      <c r="A68" s="222" t="s">
        <v>706</v>
      </c>
      <c r="B68" s="222" t="s">
        <v>703</v>
      </c>
      <c r="C68" s="222" t="s">
        <v>695</v>
      </c>
      <c r="D68" s="222">
        <v>17</v>
      </c>
      <c r="F68" s="223" t="s">
        <v>707</v>
      </c>
      <c r="G68" s="222">
        <v>4</v>
      </c>
      <c r="H68" s="227">
        <v>494000</v>
      </c>
      <c r="I68" s="514" t="s">
        <v>714</v>
      </c>
      <c r="J68" s="515"/>
      <c r="K68" s="516"/>
    </row>
    <row r="69" spans="1:11" ht="14.4">
      <c r="A69" s="222" t="s">
        <v>706</v>
      </c>
      <c r="B69" s="222" t="s">
        <v>703</v>
      </c>
      <c r="C69" s="222" t="s">
        <v>697</v>
      </c>
      <c r="D69" s="222">
        <v>28</v>
      </c>
      <c r="F69" s="223" t="s">
        <v>706</v>
      </c>
      <c r="G69" s="222">
        <v>203</v>
      </c>
      <c r="H69" s="227">
        <v>36477000</v>
      </c>
      <c r="I69" s="514" t="s">
        <v>714</v>
      </c>
      <c r="J69" s="515"/>
      <c r="K69" s="516"/>
    </row>
    <row r="70" spans="1:11" ht="14.4">
      <c r="A70" s="222" t="s">
        <v>706</v>
      </c>
      <c r="B70" s="222" t="s">
        <v>703</v>
      </c>
      <c r="C70" s="222" t="s">
        <v>698</v>
      </c>
      <c r="D70" s="222">
        <v>9</v>
      </c>
      <c r="F70" s="222" t="s">
        <v>708</v>
      </c>
      <c r="G70" s="222">
        <v>1</v>
      </c>
      <c r="H70" s="227">
        <v>43000</v>
      </c>
      <c r="I70" s="514" t="s">
        <v>714</v>
      </c>
      <c r="J70" s="515"/>
      <c r="K70" s="516"/>
    </row>
    <row r="71" spans="1:11">
      <c r="A71" s="222" t="s">
        <v>706</v>
      </c>
      <c r="B71" s="222" t="s">
        <v>703</v>
      </c>
      <c r="C71" s="222" t="s">
        <v>699</v>
      </c>
      <c r="D71" s="222">
        <v>30</v>
      </c>
    </row>
    <row r="72" spans="1:11">
      <c r="A72" s="222" t="s">
        <v>143</v>
      </c>
      <c r="B72" s="222"/>
      <c r="C72" s="222"/>
      <c r="D72" s="222">
        <f>SUM(D60:D71)</f>
        <v>176</v>
      </c>
      <c r="F72" s="221" t="s">
        <v>715</v>
      </c>
    </row>
    <row r="73" spans="1:11">
      <c r="A73" s="222" t="s">
        <v>708</v>
      </c>
      <c r="B73" s="222" t="s">
        <v>694</v>
      </c>
      <c r="C73" s="222" t="s">
        <v>695</v>
      </c>
      <c r="D73" s="222">
        <v>0</v>
      </c>
      <c r="F73" s="223" t="s">
        <v>690</v>
      </c>
      <c r="G73" s="222" t="s">
        <v>693</v>
      </c>
      <c r="H73" s="222" t="s">
        <v>712</v>
      </c>
      <c r="I73" s="514" t="s">
        <v>713</v>
      </c>
      <c r="J73" s="515"/>
      <c r="K73" s="516"/>
    </row>
    <row r="74" spans="1:11" ht="14.4">
      <c r="A74" s="222" t="s">
        <v>708</v>
      </c>
      <c r="B74" s="222" t="s">
        <v>694</v>
      </c>
      <c r="C74" s="222" t="s">
        <v>697</v>
      </c>
      <c r="D74" s="222">
        <v>0</v>
      </c>
      <c r="F74" s="223">
        <v>110</v>
      </c>
      <c r="G74" s="222">
        <v>271</v>
      </c>
      <c r="H74" s="227">
        <v>43026000</v>
      </c>
      <c r="I74" s="514" t="s">
        <v>716</v>
      </c>
      <c r="J74" s="515"/>
      <c r="K74" s="516"/>
    </row>
    <row r="75" spans="1:11" ht="14.4">
      <c r="A75" s="222" t="s">
        <v>708</v>
      </c>
      <c r="B75" s="222" t="s">
        <v>694</v>
      </c>
      <c r="C75" s="222" t="s">
        <v>698</v>
      </c>
      <c r="D75" s="222">
        <v>0</v>
      </c>
      <c r="F75" s="223">
        <v>180</v>
      </c>
      <c r="G75" s="222">
        <v>0</v>
      </c>
      <c r="H75" s="227">
        <v>0</v>
      </c>
      <c r="I75" s="514" t="s">
        <v>716</v>
      </c>
      <c r="J75" s="515"/>
      <c r="K75" s="516"/>
    </row>
    <row r="76" spans="1:11" ht="14.4">
      <c r="A76" s="222" t="s">
        <v>708</v>
      </c>
      <c r="B76" s="222" t="s">
        <v>694</v>
      </c>
      <c r="C76" s="222" t="s">
        <v>699</v>
      </c>
      <c r="D76" s="222">
        <v>0</v>
      </c>
      <c r="F76" s="223" t="s">
        <v>705</v>
      </c>
      <c r="G76" s="222">
        <v>24</v>
      </c>
      <c r="H76" s="228">
        <v>4694000</v>
      </c>
      <c r="I76" s="514" t="s">
        <v>716</v>
      </c>
      <c r="J76" s="515"/>
      <c r="K76" s="516"/>
    </row>
    <row r="77" spans="1:11" ht="14.4">
      <c r="A77" s="222" t="s">
        <v>708</v>
      </c>
      <c r="B77" s="222" t="s">
        <v>700</v>
      </c>
      <c r="C77" s="222" t="s">
        <v>695</v>
      </c>
      <c r="D77" s="222">
        <v>0</v>
      </c>
      <c r="F77" s="223" t="s">
        <v>707</v>
      </c>
      <c r="G77" s="222">
        <v>0</v>
      </c>
      <c r="H77" s="227">
        <v>0</v>
      </c>
      <c r="I77" s="514" t="s">
        <v>716</v>
      </c>
      <c r="J77" s="515"/>
      <c r="K77" s="516"/>
    </row>
    <row r="78" spans="1:11" ht="14.4">
      <c r="A78" s="222" t="s">
        <v>708</v>
      </c>
      <c r="B78" s="222" t="s">
        <v>700</v>
      </c>
      <c r="C78" s="222" t="s">
        <v>697</v>
      </c>
      <c r="D78" s="222">
        <v>0</v>
      </c>
      <c r="F78" s="223" t="s">
        <v>706</v>
      </c>
      <c r="G78" s="222">
        <v>198</v>
      </c>
      <c r="H78" s="227">
        <v>35711000</v>
      </c>
      <c r="I78" s="514" t="s">
        <v>716</v>
      </c>
      <c r="J78" s="515"/>
      <c r="K78" s="516"/>
    </row>
    <row r="79" spans="1:11" ht="14.4">
      <c r="A79" s="222" t="s">
        <v>708</v>
      </c>
      <c r="B79" s="222" t="s">
        <v>700</v>
      </c>
      <c r="C79" s="222" t="s">
        <v>698</v>
      </c>
      <c r="D79" s="222">
        <v>0</v>
      </c>
      <c r="F79" s="222" t="s">
        <v>708</v>
      </c>
      <c r="G79" s="222">
        <v>0</v>
      </c>
      <c r="H79" s="227">
        <v>0</v>
      </c>
      <c r="I79" s="514" t="s">
        <v>716</v>
      </c>
      <c r="J79" s="515"/>
      <c r="K79" s="516"/>
    </row>
    <row r="80" spans="1:11">
      <c r="A80" s="222" t="s">
        <v>708</v>
      </c>
      <c r="B80" s="222" t="s">
        <v>700</v>
      </c>
      <c r="C80" s="222" t="s">
        <v>699</v>
      </c>
      <c r="D80" s="222">
        <v>0</v>
      </c>
    </row>
    <row r="81" spans="1:11">
      <c r="A81" s="222" t="s">
        <v>708</v>
      </c>
      <c r="B81" s="222" t="s">
        <v>703</v>
      </c>
      <c r="C81" s="222" t="s">
        <v>695</v>
      </c>
      <c r="D81" s="222">
        <v>0</v>
      </c>
      <c r="F81" s="229" t="s">
        <v>717</v>
      </c>
    </row>
    <row r="82" spans="1:11">
      <c r="A82" s="222" t="s">
        <v>708</v>
      </c>
      <c r="B82" s="222" t="s">
        <v>703</v>
      </c>
      <c r="C82" s="222" t="s">
        <v>697</v>
      </c>
      <c r="D82" s="222">
        <v>1</v>
      </c>
      <c r="F82" s="223" t="s">
        <v>690</v>
      </c>
      <c r="G82" s="222" t="s">
        <v>693</v>
      </c>
      <c r="H82" s="222" t="s">
        <v>712</v>
      </c>
      <c r="I82" s="514" t="s">
        <v>713</v>
      </c>
      <c r="J82" s="515"/>
      <c r="K82" s="516"/>
    </row>
    <row r="83" spans="1:11" ht="14.4">
      <c r="A83" s="222" t="s">
        <v>708</v>
      </c>
      <c r="B83" s="222" t="s">
        <v>703</v>
      </c>
      <c r="C83" s="222" t="s">
        <v>698</v>
      </c>
      <c r="D83" s="222">
        <v>0</v>
      </c>
      <c r="F83" s="223" t="s">
        <v>705</v>
      </c>
      <c r="G83" s="222">
        <v>11</v>
      </c>
      <c r="H83" s="228">
        <v>2075000</v>
      </c>
      <c r="I83" s="514" t="s">
        <v>718</v>
      </c>
      <c r="J83" s="515"/>
      <c r="K83" s="516"/>
    </row>
    <row r="84" spans="1:11" ht="14.4">
      <c r="A84" s="222" t="s">
        <v>708</v>
      </c>
      <c r="B84" s="222" t="s">
        <v>703</v>
      </c>
      <c r="C84" s="222" t="s">
        <v>699</v>
      </c>
      <c r="D84" s="222">
        <v>0</v>
      </c>
      <c r="F84" s="223" t="s">
        <v>706</v>
      </c>
      <c r="G84" s="222">
        <v>93</v>
      </c>
      <c r="H84" s="227">
        <v>16888000</v>
      </c>
      <c r="I84" s="514" t="s">
        <v>718</v>
      </c>
      <c r="J84" s="515"/>
      <c r="K84" s="516"/>
    </row>
    <row r="85" spans="1:11" ht="14.4">
      <c r="A85" s="222" t="s">
        <v>143</v>
      </c>
      <c r="B85" s="222"/>
      <c r="C85" s="222"/>
      <c r="D85" s="222">
        <f>SUM(D73:D84)</f>
        <v>1</v>
      </c>
      <c r="F85" s="222" t="s">
        <v>708</v>
      </c>
      <c r="G85" s="222">
        <v>0</v>
      </c>
      <c r="H85" s="227">
        <v>0</v>
      </c>
      <c r="I85" s="514" t="s">
        <v>718</v>
      </c>
      <c r="J85" s="515"/>
      <c r="K85" s="516"/>
    </row>
    <row r="88" spans="1:11">
      <c r="A88" s="233" t="s">
        <v>2</v>
      </c>
      <c r="B88" s="232" t="s">
        <v>3</v>
      </c>
    </row>
  </sheetData>
  <mergeCells count="22">
    <mergeCell ref="I82:K82"/>
    <mergeCell ref="I83:K83"/>
    <mergeCell ref="I84:K84"/>
    <mergeCell ref="I85:K85"/>
    <mergeCell ref="I74:K74"/>
    <mergeCell ref="I75:K75"/>
    <mergeCell ref="I76:K76"/>
    <mergeCell ref="I77:K77"/>
    <mergeCell ref="I78:K78"/>
    <mergeCell ref="I79:K79"/>
    <mergeCell ref="I73:K73"/>
    <mergeCell ref="K20:K21"/>
    <mergeCell ref="L20:L21"/>
    <mergeCell ref="K31:K32"/>
    <mergeCell ref="L31:L32"/>
    <mergeCell ref="I64:K64"/>
    <mergeCell ref="I65:K65"/>
    <mergeCell ref="I66:K66"/>
    <mergeCell ref="I67:K67"/>
    <mergeCell ref="I68:K68"/>
    <mergeCell ref="I69:K69"/>
    <mergeCell ref="I70:K70"/>
  </mergeCells>
  <pageMargins left="0.45" right="0.45" top="0.45" bottom="0.4" header="0.3" footer="0.3"/>
  <pageSetup paperSize="5" scale="7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showRuler="0" workbookViewId="0">
      <selection activeCell="D24" sqref="D24"/>
    </sheetView>
  </sheetViews>
  <sheetFormatPr defaultColWidth="13.6640625" defaultRowHeight="13.2"/>
  <cols>
    <col min="1" max="1" width="9.109375" style="164" customWidth="1"/>
    <col min="2" max="5" width="17.33203125" style="164" customWidth="1"/>
    <col min="6" max="7" width="23.33203125" style="164" customWidth="1"/>
    <col min="8" max="16384" width="13.6640625" style="164"/>
  </cols>
  <sheetData>
    <row r="1" spans="1:8">
      <c r="A1" s="520" t="s">
        <v>0</v>
      </c>
      <c r="B1" s="496"/>
      <c r="C1" s="496"/>
      <c r="D1" s="496"/>
    </row>
    <row r="2" spans="1:8">
      <c r="A2" s="521" t="s">
        <v>416</v>
      </c>
      <c r="B2" s="496"/>
      <c r="C2" s="496"/>
      <c r="D2" s="496"/>
      <c r="E2" s="496"/>
      <c r="F2" s="496"/>
    </row>
    <row r="3" spans="1:8">
      <c r="A3" s="520" t="s">
        <v>417</v>
      </c>
      <c r="B3" s="496"/>
      <c r="C3" s="496"/>
      <c r="D3" s="496"/>
      <c r="E3" s="496"/>
      <c r="F3" s="496"/>
    </row>
    <row r="4" spans="1:8">
      <c r="A4" s="520" t="s">
        <v>316</v>
      </c>
      <c r="B4" s="496"/>
      <c r="C4" s="496"/>
      <c r="D4" s="496"/>
    </row>
    <row r="7" spans="1:8" ht="55.95" customHeight="1">
      <c r="A7" s="166" t="s">
        <v>418</v>
      </c>
      <c r="B7" s="522" t="s">
        <v>160</v>
      </c>
      <c r="C7" s="496"/>
      <c r="D7" s="496"/>
      <c r="E7" s="496"/>
      <c r="F7" s="168" t="s">
        <v>419</v>
      </c>
      <c r="G7" s="168" t="s">
        <v>420</v>
      </c>
      <c r="H7" s="168" t="s">
        <v>143</v>
      </c>
    </row>
    <row r="9" spans="1:8" ht="32.4" customHeight="1">
      <c r="A9" s="234">
        <v>1</v>
      </c>
      <c r="B9" s="521" t="s">
        <v>421</v>
      </c>
      <c r="C9" s="521"/>
      <c r="D9" s="521"/>
      <c r="E9" s="521"/>
      <c r="F9" s="172">
        <f>SUM(W25_PG_3_of_3!G15:G24,W25_PG_3_of_3!G26:G27)</f>
        <v>17610.11</v>
      </c>
      <c r="G9" s="172">
        <f>SUM(W25_PG_3_of_3!I15:I24,W25_PG_3_of_3!I26:I27)</f>
        <v>53763.619999999995</v>
      </c>
      <c r="H9" s="172">
        <f>SUM(F9:G9)</f>
        <v>71373.73</v>
      </c>
    </row>
    <row r="10" spans="1:8">
      <c r="B10" s="166"/>
      <c r="C10" s="166"/>
      <c r="D10" s="166"/>
      <c r="E10" s="166"/>
    </row>
    <row r="11" spans="1:8" ht="30.75" customHeight="1">
      <c r="A11" s="234">
        <v>2</v>
      </c>
      <c r="B11" s="521" t="s">
        <v>422</v>
      </c>
      <c r="C11" s="521"/>
      <c r="D11" s="521"/>
      <c r="E11" s="521"/>
      <c r="F11" s="172">
        <f>SUM(W25_PG_3_of_3!G28:G37,W25_PG_3_of_3!G39:G50,W25_PG_3_of_3!G52:G63,W25_PG_3_of_3!G65:G67)</f>
        <v>106240.95000000001</v>
      </c>
      <c r="G11" s="172">
        <f>SUM(W25_PG_3_of_3!I28:I37,W25_PG_3_of_3!I39:I50,W25_PG_3_of_3!I52:I63,W25_PG_3_of_3!I65:I67)</f>
        <v>338099.12</v>
      </c>
      <c r="H11" s="172">
        <f>SUM(F11:G11)</f>
        <v>444340.07</v>
      </c>
    </row>
    <row r="13" spans="1:8">
      <c r="A13" s="234">
        <v>3</v>
      </c>
      <c r="B13" s="523" t="s">
        <v>423</v>
      </c>
      <c r="C13" s="496"/>
      <c r="D13" s="496"/>
      <c r="E13" s="496"/>
      <c r="F13" s="235">
        <f>F9+F11</f>
        <v>123851.06000000001</v>
      </c>
      <c r="G13" s="235">
        <f>G9+G11</f>
        <v>391862.74</v>
      </c>
      <c r="H13" s="235">
        <f>SUM(F13:G13)</f>
        <v>515713.8</v>
      </c>
    </row>
    <row r="14" spans="1:8">
      <c r="F14" s="171"/>
      <c r="G14" s="171"/>
      <c r="H14" s="171"/>
    </row>
    <row r="15" spans="1:8">
      <c r="A15" s="234">
        <v>4</v>
      </c>
      <c r="B15" s="521" t="s">
        <v>424</v>
      </c>
      <c r="C15" s="496"/>
      <c r="D15" s="496"/>
      <c r="E15" s="496"/>
      <c r="F15" s="172">
        <f>W25_PG_3_of_3!G69</f>
        <v>123851.06</v>
      </c>
      <c r="G15" s="172">
        <f>W25_PG_3_of_3!I69</f>
        <v>391862.74</v>
      </c>
      <c r="H15" s="172">
        <f>SUM(F15:G15)</f>
        <v>515713.8</v>
      </c>
    </row>
    <row r="17" spans="1:8">
      <c r="A17" s="234">
        <v>5</v>
      </c>
      <c r="B17" s="521" t="s">
        <v>425</v>
      </c>
      <c r="C17" s="496"/>
      <c r="D17" s="496"/>
      <c r="E17" s="496"/>
      <c r="F17" s="172">
        <f>F13-F15</f>
        <v>0</v>
      </c>
      <c r="G17" s="172">
        <f>G13-G15</f>
        <v>0</v>
      </c>
      <c r="H17" s="172">
        <f>SUM(F17:G17)</f>
        <v>0</v>
      </c>
    </row>
    <row r="19" spans="1:8" ht="29.1" customHeight="1">
      <c r="A19" s="234">
        <v>6</v>
      </c>
      <c r="B19" s="521" t="s">
        <v>426</v>
      </c>
      <c r="C19" s="496"/>
      <c r="D19" s="496"/>
      <c r="E19" s="496"/>
      <c r="F19" s="236">
        <f>F13/H13</f>
        <v>0.24015463615672106</v>
      </c>
      <c r="G19" s="236">
        <f>G13/H13</f>
        <v>0.75984536384327894</v>
      </c>
      <c r="H19" s="236">
        <f>F19+G19</f>
        <v>1</v>
      </c>
    </row>
    <row r="20" spans="1:8">
      <c r="A20" s="234">
        <v>7</v>
      </c>
      <c r="B20" s="521" t="s">
        <v>427</v>
      </c>
      <c r="C20" s="496"/>
      <c r="D20" s="496"/>
      <c r="E20" s="496"/>
      <c r="F20" s="237" t="s">
        <v>428</v>
      </c>
      <c r="G20" s="238">
        <v>404</v>
      </c>
    </row>
    <row r="23" spans="1:8">
      <c r="A23" s="166" t="s">
        <v>2</v>
      </c>
      <c r="B23" s="521" t="s">
        <v>3</v>
      </c>
      <c r="C23" s="496"/>
      <c r="D23" s="496"/>
      <c r="E23" s="496"/>
      <c r="H23" s="166"/>
    </row>
  </sheetData>
  <mergeCells count="13">
    <mergeCell ref="B19:E19"/>
    <mergeCell ref="B20:E20"/>
    <mergeCell ref="B23:E23"/>
    <mergeCell ref="B9:E9"/>
    <mergeCell ref="B13:E13"/>
    <mergeCell ref="B11:E11"/>
    <mergeCell ref="B15:E15"/>
    <mergeCell ref="B17:E17"/>
    <mergeCell ref="A1:D1"/>
    <mergeCell ref="A2:F2"/>
    <mergeCell ref="A3:F3"/>
    <mergeCell ref="A4:D4"/>
    <mergeCell ref="B7:E7"/>
  </mergeCells>
  <pageMargins left="0.75" right="0.75" top="1" bottom="1" header="0.5" footer="0.5"/>
  <pageSetup scale="88" orientation="landscape"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showRuler="0" workbookViewId="0">
      <selection activeCell="H14" sqref="H14"/>
    </sheetView>
  </sheetViews>
  <sheetFormatPr defaultColWidth="13.6640625" defaultRowHeight="13.2"/>
  <cols>
    <col min="1" max="16384" width="13.6640625" style="164"/>
  </cols>
  <sheetData>
    <row r="1" spans="1:6">
      <c r="A1" s="520" t="s">
        <v>0</v>
      </c>
      <c r="B1" s="496"/>
      <c r="C1" s="496"/>
      <c r="D1" s="496"/>
    </row>
    <row r="2" spans="1:6">
      <c r="A2" s="521" t="s">
        <v>416</v>
      </c>
      <c r="B2" s="521"/>
      <c r="C2" s="521"/>
      <c r="D2" s="521"/>
      <c r="E2" s="496"/>
    </row>
    <row r="3" spans="1:6">
      <c r="A3" s="521" t="s">
        <v>429</v>
      </c>
      <c r="B3" s="496"/>
      <c r="C3" s="496"/>
      <c r="D3" s="496"/>
    </row>
    <row r="4" spans="1:6">
      <c r="A4" s="520" t="s">
        <v>430</v>
      </c>
      <c r="B4" s="496"/>
      <c r="C4" s="496"/>
    </row>
    <row r="8" spans="1:6">
      <c r="C8" s="529" t="s">
        <v>431</v>
      </c>
      <c r="D8" s="530"/>
      <c r="E8" s="527" t="s">
        <v>432</v>
      </c>
      <c r="F8" s="178"/>
    </row>
    <row r="9" spans="1:6">
      <c r="A9" s="239" t="s">
        <v>433</v>
      </c>
      <c r="B9" s="239" t="s">
        <v>371</v>
      </c>
      <c r="C9" s="240">
        <v>1823537</v>
      </c>
      <c r="D9" s="241">
        <v>1823538</v>
      </c>
      <c r="E9" s="528"/>
      <c r="F9" s="178"/>
    </row>
    <row r="10" spans="1:6">
      <c r="A10" s="524">
        <v>2019</v>
      </c>
      <c r="B10" s="242">
        <v>4</v>
      </c>
      <c r="C10" s="243">
        <v>-293.5</v>
      </c>
      <c r="D10" s="243">
        <v>-896.08</v>
      </c>
      <c r="E10" s="243">
        <f t="shared" ref="E10:E21" si="0">SUM(C10:D10)</f>
        <v>-1189.58</v>
      </c>
      <c r="F10" s="178"/>
    </row>
    <row r="11" spans="1:6">
      <c r="A11" s="525"/>
      <c r="B11" s="242">
        <v>5</v>
      </c>
      <c r="C11" s="243">
        <v>-293.5</v>
      </c>
      <c r="D11" s="243">
        <v>-896.08</v>
      </c>
      <c r="E11" s="243">
        <f t="shared" si="0"/>
        <v>-1189.58</v>
      </c>
      <c r="F11" s="178"/>
    </row>
    <row r="12" spans="1:6">
      <c r="A12" s="525"/>
      <c r="B12" s="242">
        <v>6</v>
      </c>
      <c r="C12" s="243">
        <v>-293.5</v>
      </c>
      <c r="D12" s="243">
        <v>-896.08</v>
      </c>
      <c r="E12" s="243">
        <f t="shared" si="0"/>
        <v>-1189.58</v>
      </c>
      <c r="F12" s="178"/>
    </row>
    <row r="13" spans="1:6">
      <c r="A13" s="525"/>
      <c r="B13" s="242">
        <v>7</v>
      </c>
      <c r="C13" s="243">
        <v>-293.5</v>
      </c>
      <c r="D13" s="243">
        <v>-896.08</v>
      </c>
      <c r="E13" s="243">
        <f t="shared" si="0"/>
        <v>-1189.58</v>
      </c>
      <c r="F13" s="178"/>
    </row>
    <row r="14" spans="1:6">
      <c r="A14" s="525"/>
      <c r="B14" s="242">
        <v>8</v>
      </c>
      <c r="C14" s="243">
        <v>-293.5</v>
      </c>
      <c r="D14" s="243">
        <v>-896.08</v>
      </c>
      <c r="E14" s="243">
        <f t="shared" si="0"/>
        <v>-1189.58</v>
      </c>
      <c r="F14" s="178"/>
    </row>
    <row r="15" spans="1:6">
      <c r="A15" s="525"/>
      <c r="B15" s="242">
        <v>9</v>
      </c>
      <c r="C15" s="243">
        <v>-293.5</v>
      </c>
      <c r="D15" s="243">
        <v>-896.08</v>
      </c>
      <c r="E15" s="243">
        <f t="shared" si="0"/>
        <v>-1189.58</v>
      </c>
      <c r="F15" s="178"/>
    </row>
    <row r="16" spans="1:6">
      <c r="A16" s="525"/>
      <c r="B16" s="242">
        <v>10</v>
      </c>
      <c r="C16" s="243">
        <v>-293.5</v>
      </c>
      <c r="D16" s="243">
        <v>-896.08</v>
      </c>
      <c r="E16" s="243">
        <f t="shared" si="0"/>
        <v>-1189.58</v>
      </c>
      <c r="F16" s="178"/>
    </row>
    <row r="17" spans="1:6">
      <c r="A17" s="525"/>
      <c r="B17" s="242">
        <v>11</v>
      </c>
      <c r="C17" s="243">
        <v>-293.5</v>
      </c>
      <c r="D17" s="243">
        <v>-896.08</v>
      </c>
      <c r="E17" s="243">
        <f t="shared" si="0"/>
        <v>-1189.58</v>
      </c>
      <c r="F17" s="178"/>
    </row>
    <row r="18" spans="1:6">
      <c r="A18" s="526"/>
      <c r="B18" s="242">
        <v>12</v>
      </c>
      <c r="C18" s="243">
        <v>-293.5</v>
      </c>
      <c r="D18" s="243">
        <v>-896.08</v>
      </c>
      <c r="E18" s="243">
        <f t="shared" si="0"/>
        <v>-1189.58</v>
      </c>
      <c r="F18" s="178"/>
    </row>
    <row r="19" spans="1:6">
      <c r="A19" s="524">
        <v>2020</v>
      </c>
      <c r="B19" s="242">
        <v>1</v>
      </c>
      <c r="C19" s="243">
        <v>-293.5</v>
      </c>
      <c r="D19" s="243">
        <v>-896.08</v>
      </c>
      <c r="E19" s="243">
        <f t="shared" si="0"/>
        <v>-1189.58</v>
      </c>
      <c r="F19" s="178"/>
    </row>
    <row r="20" spans="1:6">
      <c r="A20" s="525"/>
      <c r="B20" s="242">
        <v>2</v>
      </c>
      <c r="C20" s="243">
        <v>-293.5</v>
      </c>
      <c r="D20" s="243">
        <v>-896.08</v>
      </c>
      <c r="E20" s="243">
        <f t="shared" si="0"/>
        <v>-1189.58</v>
      </c>
      <c r="F20" s="178"/>
    </row>
    <row r="21" spans="1:6">
      <c r="A21" s="526"/>
      <c r="B21" s="242">
        <v>3</v>
      </c>
      <c r="C21" s="243">
        <v>-293.5</v>
      </c>
      <c r="D21" s="243">
        <v>-896.08</v>
      </c>
      <c r="E21" s="243">
        <f t="shared" si="0"/>
        <v>-1189.58</v>
      </c>
      <c r="F21" s="178"/>
    </row>
    <row r="22" spans="1:6">
      <c r="A22" s="497" t="s">
        <v>434</v>
      </c>
      <c r="B22" s="498"/>
      <c r="C22" s="244">
        <f>SUM(C10:C21)</f>
        <v>-3522</v>
      </c>
      <c r="D22" s="244">
        <f>SUM(D10:D21)</f>
        <v>-10752.960000000001</v>
      </c>
      <c r="E22" s="244">
        <f>SUM(E10:E21)</f>
        <v>-14274.96</v>
      </c>
      <c r="F22" s="178"/>
    </row>
    <row r="23" spans="1:6">
      <c r="A23" s="171"/>
      <c r="B23" s="171"/>
      <c r="C23" s="171"/>
      <c r="D23" s="171"/>
      <c r="E23" s="171"/>
    </row>
    <row r="25" spans="1:6">
      <c r="A25" s="166" t="s">
        <v>2</v>
      </c>
      <c r="B25" s="166" t="s">
        <v>3</v>
      </c>
    </row>
  </sheetData>
  <mergeCells count="9">
    <mergeCell ref="A10:A18"/>
    <mergeCell ref="A19:A21"/>
    <mergeCell ref="A22:B22"/>
    <mergeCell ref="A1:D1"/>
    <mergeCell ref="A2:E2"/>
    <mergeCell ref="A4:C4"/>
    <mergeCell ref="A3:D3"/>
    <mergeCell ref="E8:E9"/>
    <mergeCell ref="C8:D8"/>
  </mergeCells>
  <pageMargins left="0.75" right="0.75" top="1" bottom="1" header="0.5" footer="0.5"/>
  <pageSetup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workbookViewId="0">
      <pane xSplit="2" ySplit="14" topLeftCell="C15" activePane="bottomRight" state="frozen"/>
      <selection pane="topRight"/>
      <selection pane="bottomLeft"/>
      <selection pane="bottomRight" sqref="A1:E4"/>
    </sheetView>
  </sheetViews>
  <sheetFormatPr defaultColWidth="13.6640625" defaultRowHeight="13.2"/>
  <cols>
    <col min="8" max="8" width="16.33203125" customWidth="1"/>
    <col min="9" max="9" width="15.5546875" customWidth="1"/>
  </cols>
  <sheetData>
    <row r="1" spans="1:11">
      <c r="A1" s="489" t="s">
        <v>0</v>
      </c>
      <c r="B1" s="489"/>
      <c r="C1" s="489"/>
      <c r="D1" s="489"/>
      <c r="E1" s="487"/>
    </row>
    <row r="2" spans="1:11">
      <c r="A2" s="490" t="s">
        <v>416</v>
      </c>
      <c r="B2" s="490"/>
      <c r="C2" s="490"/>
      <c r="D2" s="490"/>
      <c r="E2" s="487"/>
    </row>
    <row r="3" spans="1:11">
      <c r="A3" s="489" t="s">
        <v>435</v>
      </c>
      <c r="B3" s="487"/>
      <c r="C3" s="487"/>
      <c r="D3" s="487"/>
      <c r="E3" s="487"/>
    </row>
    <row r="4" spans="1:11">
      <c r="A4" s="489" t="s">
        <v>316</v>
      </c>
      <c r="B4" s="489"/>
      <c r="C4" s="489"/>
      <c r="D4" s="489"/>
      <c r="E4" s="487"/>
    </row>
    <row r="5" spans="1:11" ht="22.5" customHeight="1"/>
    <row r="6" spans="1:11" ht="39.15" customHeight="1">
      <c r="A6" s="29" t="s">
        <v>299</v>
      </c>
      <c r="B6" s="503" t="s">
        <v>436</v>
      </c>
      <c r="C6" s="503"/>
      <c r="D6" s="503"/>
      <c r="E6" s="503"/>
      <c r="F6" s="503"/>
      <c r="G6" s="503"/>
      <c r="H6" s="503" t="s">
        <v>437</v>
      </c>
      <c r="I6" s="503"/>
      <c r="J6" s="21"/>
    </row>
    <row r="7" spans="1:11" ht="39.15" customHeight="1">
      <c r="A7" s="65" t="s">
        <v>438</v>
      </c>
      <c r="B7" s="533" t="s">
        <v>439</v>
      </c>
      <c r="C7" s="533"/>
      <c r="D7" s="533"/>
      <c r="E7" s="533"/>
      <c r="F7" s="533"/>
      <c r="G7" s="533"/>
      <c r="H7" s="533" t="s">
        <v>440</v>
      </c>
      <c r="I7" s="533"/>
      <c r="J7" s="21"/>
    </row>
    <row r="8" spans="1:11" ht="27.6" customHeight="1">
      <c r="A8" s="65" t="s">
        <v>431</v>
      </c>
      <c r="B8" s="533" t="s">
        <v>441</v>
      </c>
      <c r="C8" s="533"/>
      <c r="D8" s="533"/>
      <c r="E8" s="533"/>
      <c r="F8" s="533"/>
      <c r="G8" s="533"/>
      <c r="H8" s="533" t="s">
        <v>442</v>
      </c>
      <c r="I8" s="533"/>
      <c r="J8" s="21"/>
    </row>
    <row r="9" spans="1:11" ht="27.6" customHeight="1">
      <c r="A9" s="65" t="s">
        <v>443</v>
      </c>
      <c r="B9" s="533" t="s">
        <v>444</v>
      </c>
      <c r="C9" s="533"/>
      <c r="D9" s="533"/>
      <c r="E9" s="533"/>
      <c r="F9" s="533"/>
      <c r="G9" s="533"/>
      <c r="H9" s="533" t="s">
        <v>440</v>
      </c>
      <c r="I9" s="533"/>
      <c r="J9" s="21"/>
    </row>
    <row r="10" spans="1:11">
      <c r="A10" s="9"/>
      <c r="B10" s="9"/>
      <c r="C10" s="9"/>
      <c r="D10" s="9"/>
      <c r="E10" s="9"/>
      <c r="F10" s="9"/>
      <c r="G10" s="9"/>
      <c r="H10" s="9"/>
      <c r="I10" s="9"/>
    </row>
    <row r="12" spans="1:11">
      <c r="A12" s="112" t="s">
        <v>445</v>
      </c>
      <c r="B12" s="112"/>
      <c r="C12" s="112" t="s">
        <v>299</v>
      </c>
      <c r="D12" s="112" t="s">
        <v>148</v>
      </c>
      <c r="E12" s="112"/>
      <c r="F12" s="112"/>
      <c r="G12" s="112"/>
      <c r="H12" s="112"/>
      <c r="I12" s="112"/>
      <c r="J12" s="112"/>
    </row>
    <row r="13" spans="1:11" ht="32.4" customHeight="1">
      <c r="A13" s="113"/>
      <c r="B13" s="114"/>
      <c r="C13" s="531" t="s">
        <v>431</v>
      </c>
      <c r="D13" s="532"/>
      <c r="E13" s="534" t="s">
        <v>432</v>
      </c>
      <c r="F13" s="108" t="s">
        <v>438</v>
      </c>
      <c r="G13" s="534" t="s">
        <v>446</v>
      </c>
      <c r="H13" s="113" t="s">
        <v>443</v>
      </c>
      <c r="I13" s="534" t="s">
        <v>447</v>
      </c>
      <c r="J13" s="536" t="s">
        <v>277</v>
      </c>
      <c r="K13" s="21"/>
    </row>
    <row r="14" spans="1:11">
      <c r="A14" s="108" t="s">
        <v>433</v>
      </c>
      <c r="B14" s="115" t="s">
        <v>371</v>
      </c>
      <c r="C14" s="109">
        <v>1823537</v>
      </c>
      <c r="D14" s="110">
        <v>1823538</v>
      </c>
      <c r="E14" s="535"/>
      <c r="F14" s="109">
        <v>1823537</v>
      </c>
      <c r="G14" s="535"/>
      <c r="H14" s="109">
        <v>1823538</v>
      </c>
      <c r="I14" s="535"/>
      <c r="J14" s="537"/>
      <c r="K14" s="21"/>
    </row>
    <row r="15" spans="1:11">
      <c r="A15" s="116">
        <v>2016</v>
      </c>
      <c r="B15" s="117">
        <v>3</v>
      </c>
      <c r="C15" s="43"/>
      <c r="D15" s="9"/>
      <c r="E15" s="41"/>
      <c r="F15" s="40">
        <v>3300.12</v>
      </c>
      <c r="G15" s="118">
        <v>3300.12</v>
      </c>
      <c r="H15" s="40">
        <v>10075.219999999999</v>
      </c>
      <c r="I15" s="118">
        <v>10075.219999999999</v>
      </c>
      <c r="J15" s="119">
        <v>13375.34</v>
      </c>
      <c r="K15" s="21"/>
    </row>
    <row r="16" spans="1:11">
      <c r="A16" s="21"/>
      <c r="B16" s="120">
        <v>4</v>
      </c>
      <c r="C16" s="21"/>
      <c r="D16" s="6"/>
      <c r="E16" s="23"/>
      <c r="F16" s="42">
        <v>843.32</v>
      </c>
      <c r="G16" s="121">
        <v>843.32</v>
      </c>
      <c r="H16" s="42">
        <v>2574.6799999999998</v>
      </c>
      <c r="I16" s="121">
        <v>2574.6799999999998</v>
      </c>
      <c r="J16" s="122">
        <v>3418</v>
      </c>
      <c r="K16" s="21"/>
    </row>
    <row r="17" spans="1:11">
      <c r="A17" s="21"/>
      <c r="B17" s="120">
        <v>5</v>
      </c>
      <c r="C17" s="21"/>
      <c r="D17" s="6"/>
      <c r="E17" s="23"/>
      <c r="F17" s="42">
        <v>1004.16</v>
      </c>
      <c r="G17" s="121">
        <v>1004.16</v>
      </c>
      <c r="H17" s="42">
        <v>3065.69</v>
      </c>
      <c r="I17" s="121">
        <v>3065.69</v>
      </c>
      <c r="J17" s="122">
        <v>4069.85</v>
      </c>
      <c r="K17" s="21"/>
    </row>
    <row r="18" spans="1:11">
      <c r="A18" s="21"/>
      <c r="B18" s="120">
        <v>6</v>
      </c>
      <c r="C18" s="21"/>
      <c r="D18" s="6"/>
      <c r="E18" s="23"/>
      <c r="F18" s="42">
        <v>1120.73</v>
      </c>
      <c r="G18" s="121">
        <v>1120.73</v>
      </c>
      <c r="H18" s="42">
        <v>3421.61</v>
      </c>
      <c r="I18" s="121">
        <v>3421.61</v>
      </c>
      <c r="J18" s="122">
        <v>4542.34</v>
      </c>
      <c r="K18" s="21"/>
    </row>
    <row r="19" spans="1:11">
      <c r="A19" s="21"/>
      <c r="B19" s="120">
        <v>7</v>
      </c>
      <c r="C19" s="21"/>
      <c r="D19" s="6"/>
      <c r="E19" s="23"/>
      <c r="F19" s="42">
        <v>1196.58</v>
      </c>
      <c r="G19" s="121">
        <v>1196.58</v>
      </c>
      <c r="H19" s="42">
        <v>3653.14</v>
      </c>
      <c r="I19" s="121">
        <v>3653.14</v>
      </c>
      <c r="J19" s="122">
        <v>4849.72</v>
      </c>
      <c r="K19" s="21"/>
    </row>
    <row r="20" spans="1:11">
      <c r="A20" s="21"/>
      <c r="B20" s="120">
        <v>8</v>
      </c>
      <c r="C20" s="21"/>
      <c r="D20" s="6"/>
      <c r="E20" s="23"/>
      <c r="F20" s="42">
        <v>1259.3</v>
      </c>
      <c r="G20" s="121">
        <v>1259.3</v>
      </c>
      <c r="H20" s="42">
        <v>3844.63</v>
      </c>
      <c r="I20" s="121">
        <v>3844.63</v>
      </c>
      <c r="J20" s="122">
        <v>5103.93</v>
      </c>
      <c r="K20" s="21"/>
    </row>
    <row r="21" spans="1:11">
      <c r="A21" s="21"/>
      <c r="B21" s="120">
        <v>9</v>
      </c>
      <c r="C21" s="21"/>
      <c r="D21" s="6"/>
      <c r="E21" s="23"/>
      <c r="F21" s="42">
        <v>1338.77</v>
      </c>
      <c r="G21" s="121">
        <v>1338.77</v>
      </c>
      <c r="H21" s="42">
        <v>4087.3</v>
      </c>
      <c r="I21" s="121">
        <v>4087.3</v>
      </c>
      <c r="J21" s="122">
        <v>5426.07</v>
      </c>
      <c r="K21" s="21"/>
    </row>
    <row r="22" spans="1:11">
      <c r="A22" s="21"/>
      <c r="B22" s="120">
        <v>10</v>
      </c>
      <c r="C22" s="21"/>
      <c r="D22" s="6"/>
      <c r="E22" s="23"/>
      <c r="F22" s="42">
        <v>1443.24</v>
      </c>
      <c r="G22" s="121">
        <v>1443.24</v>
      </c>
      <c r="H22" s="42">
        <v>4406.1899999999996</v>
      </c>
      <c r="I22" s="121">
        <v>4406.1899999999996</v>
      </c>
      <c r="J22" s="122">
        <v>5849.43</v>
      </c>
      <c r="K22" s="21"/>
    </row>
    <row r="23" spans="1:11">
      <c r="A23" s="21"/>
      <c r="B23" s="120">
        <v>11</v>
      </c>
      <c r="C23" s="21"/>
      <c r="D23" s="6"/>
      <c r="E23" s="23"/>
      <c r="F23" s="42">
        <v>1456.94</v>
      </c>
      <c r="G23" s="121">
        <v>1456.94</v>
      </c>
      <c r="H23" s="42">
        <v>4448.0200000000004</v>
      </c>
      <c r="I23" s="121">
        <v>4448.0200000000004</v>
      </c>
      <c r="J23" s="122">
        <v>5904.96</v>
      </c>
      <c r="K23" s="21"/>
    </row>
    <row r="24" spans="1:11">
      <c r="A24" s="21"/>
      <c r="B24" s="120">
        <v>12</v>
      </c>
      <c r="C24" s="21"/>
      <c r="D24" s="6"/>
      <c r="E24" s="23"/>
      <c r="F24" s="42">
        <v>1509.44</v>
      </c>
      <c r="G24" s="121">
        <v>1509.44</v>
      </c>
      <c r="H24" s="42">
        <v>4608.28</v>
      </c>
      <c r="I24" s="121">
        <v>4608.28</v>
      </c>
      <c r="J24" s="122">
        <v>6117.72</v>
      </c>
      <c r="K24" s="21"/>
    </row>
    <row r="25" spans="1:11">
      <c r="A25" s="123" t="s">
        <v>448</v>
      </c>
      <c r="B25" s="124"/>
      <c r="C25" s="123"/>
      <c r="D25" s="125"/>
      <c r="E25" s="124"/>
      <c r="F25" s="126">
        <v>14472.6</v>
      </c>
      <c r="G25" s="127">
        <v>14472.6</v>
      </c>
      <c r="H25" s="126">
        <v>44184.76</v>
      </c>
      <c r="I25" s="127">
        <v>44184.76</v>
      </c>
      <c r="J25" s="128">
        <v>58657.36</v>
      </c>
      <c r="K25" s="21"/>
    </row>
    <row r="26" spans="1:11">
      <c r="A26" s="129">
        <v>2017</v>
      </c>
      <c r="B26" s="120">
        <v>1</v>
      </c>
      <c r="C26" s="21"/>
      <c r="D26" s="6"/>
      <c r="E26" s="23"/>
      <c r="F26" s="42">
        <v>1548.2</v>
      </c>
      <c r="G26" s="121">
        <v>1548.2</v>
      </c>
      <c r="H26" s="42">
        <v>4726.67</v>
      </c>
      <c r="I26" s="121">
        <v>4726.67</v>
      </c>
      <c r="J26" s="122">
        <v>6274.87</v>
      </c>
      <c r="K26" s="21"/>
    </row>
    <row r="27" spans="1:11">
      <c r="A27" s="21"/>
      <c r="B27" s="120">
        <v>2</v>
      </c>
      <c r="C27" s="21"/>
      <c r="D27" s="6"/>
      <c r="E27" s="23"/>
      <c r="F27" s="42">
        <v>1589.31</v>
      </c>
      <c r="G27" s="121">
        <v>1589.31</v>
      </c>
      <c r="H27" s="42">
        <v>4852.1899999999996</v>
      </c>
      <c r="I27" s="121">
        <v>4852.1899999999996</v>
      </c>
      <c r="J27" s="122">
        <v>6441.5</v>
      </c>
      <c r="K27" s="21"/>
    </row>
    <row r="28" spans="1:11">
      <c r="A28" s="21"/>
      <c r="B28" s="120">
        <v>3</v>
      </c>
      <c r="C28" s="21"/>
      <c r="D28" s="6"/>
      <c r="E28" s="23"/>
      <c r="F28" s="42">
        <v>1604.9</v>
      </c>
      <c r="G28" s="121">
        <v>1604.9</v>
      </c>
      <c r="H28" s="42">
        <v>4899.7299999999996</v>
      </c>
      <c r="I28" s="121">
        <v>4899.7299999999996</v>
      </c>
      <c r="J28" s="122">
        <v>6504.63</v>
      </c>
      <c r="K28" s="21"/>
    </row>
    <row r="29" spans="1:11">
      <c r="A29" s="21"/>
      <c r="B29" s="120">
        <v>4</v>
      </c>
      <c r="C29" s="21"/>
      <c r="D29" s="6"/>
      <c r="E29" s="23"/>
      <c r="F29" s="42">
        <v>1624.59</v>
      </c>
      <c r="G29" s="121">
        <v>1624.59</v>
      </c>
      <c r="H29" s="42">
        <v>4959.8500000000004</v>
      </c>
      <c r="I29" s="121">
        <v>4959.8500000000004</v>
      </c>
      <c r="J29" s="122">
        <v>6584.44</v>
      </c>
      <c r="K29" s="21"/>
    </row>
    <row r="30" spans="1:11">
      <c r="A30" s="21"/>
      <c r="B30" s="120">
        <v>5</v>
      </c>
      <c r="C30" s="21"/>
      <c r="D30" s="6"/>
      <c r="E30" s="23"/>
      <c r="F30" s="42">
        <v>1641.52</v>
      </c>
      <c r="G30" s="121">
        <v>1641.52</v>
      </c>
      <c r="H30" s="42">
        <v>5011.55</v>
      </c>
      <c r="I30" s="121">
        <v>5011.55</v>
      </c>
      <c r="J30" s="122">
        <v>6653.07</v>
      </c>
      <c r="K30" s="21"/>
    </row>
    <row r="31" spans="1:11">
      <c r="A31" s="21"/>
      <c r="B31" s="120">
        <v>6</v>
      </c>
      <c r="C31" s="21"/>
      <c r="D31" s="6"/>
      <c r="E31" s="23"/>
      <c r="F31" s="42">
        <v>1653.79</v>
      </c>
      <c r="G31" s="121">
        <v>1653.79</v>
      </c>
      <c r="H31" s="42">
        <v>5048.97</v>
      </c>
      <c r="I31" s="121">
        <v>5048.97</v>
      </c>
      <c r="J31" s="122">
        <v>6702.76</v>
      </c>
      <c r="K31" s="21"/>
    </row>
    <row r="32" spans="1:11">
      <c r="A32" s="21"/>
      <c r="B32" s="120">
        <v>7</v>
      </c>
      <c r="C32" s="21"/>
      <c r="D32" s="6"/>
      <c r="E32" s="23"/>
      <c r="F32" s="42">
        <v>1655.22</v>
      </c>
      <c r="G32" s="121">
        <v>1655.22</v>
      </c>
      <c r="H32" s="42">
        <v>5053.3500000000004</v>
      </c>
      <c r="I32" s="121">
        <v>5053.3500000000004</v>
      </c>
      <c r="J32" s="122">
        <v>6708.57</v>
      </c>
      <c r="K32" s="21"/>
    </row>
    <row r="33" spans="1:11">
      <c r="A33" s="21"/>
      <c r="B33" s="120">
        <v>8</v>
      </c>
      <c r="C33" s="21"/>
      <c r="D33" s="6"/>
      <c r="E33" s="23"/>
      <c r="F33" s="42">
        <v>1655.42</v>
      </c>
      <c r="G33" s="121">
        <v>1655.42</v>
      </c>
      <c r="H33" s="42">
        <v>5053.99</v>
      </c>
      <c r="I33" s="121">
        <v>5053.99</v>
      </c>
      <c r="J33" s="122">
        <v>6709.41</v>
      </c>
      <c r="K33" s="21"/>
    </row>
    <row r="34" spans="1:11">
      <c r="A34" s="21"/>
      <c r="B34" s="120">
        <v>9</v>
      </c>
      <c r="C34" s="21"/>
      <c r="D34" s="6"/>
      <c r="E34" s="23"/>
      <c r="F34" s="42">
        <v>1655.46</v>
      </c>
      <c r="G34" s="121">
        <v>1655.46</v>
      </c>
      <c r="H34" s="42">
        <v>5054.09</v>
      </c>
      <c r="I34" s="121">
        <v>5054.09</v>
      </c>
      <c r="J34" s="122">
        <v>6709.55</v>
      </c>
      <c r="K34" s="21"/>
    </row>
    <row r="35" spans="1:11">
      <c r="A35" s="21"/>
      <c r="B35" s="120">
        <v>10</v>
      </c>
      <c r="C35" s="21"/>
      <c r="D35" s="6"/>
      <c r="E35" s="23"/>
      <c r="F35" s="42">
        <v>1655.46</v>
      </c>
      <c r="G35" s="121">
        <v>1655.46</v>
      </c>
      <c r="H35" s="42">
        <v>5054.09</v>
      </c>
      <c r="I35" s="121">
        <v>5054.09</v>
      </c>
      <c r="J35" s="122">
        <v>6709.55</v>
      </c>
      <c r="K35" s="21"/>
    </row>
    <row r="36" spans="1:11">
      <c r="A36" s="21"/>
      <c r="B36" s="120">
        <v>11</v>
      </c>
      <c r="C36" s="21"/>
      <c r="D36" s="6"/>
      <c r="E36" s="23"/>
      <c r="F36" s="42">
        <v>1655.46</v>
      </c>
      <c r="G36" s="121">
        <v>1655.46</v>
      </c>
      <c r="H36" s="42">
        <v>5054.09</v>
      </c>
      <c r="I36" s="121">
        <v>5054.09</v>
      </c>
      <c r="J36" s="122">
        <v>6709.55</v>
      </c>
      <c r="K36" s="21"/>
    </row>
    <row r="37" spans="1:11">
      <c r="A37" s="21"/>
      <c r="B37" s="120">
        <v>12</v>
      </c>
      <c r="C37" s="21"/>
      <c r="D37" s="6"/>
      <c r="E37" s="23"/>
      <c r="F37" s="42">
        <v>1655.46</v>
      </c>
      <c r="G37" s="121">
        <v>1655.46</v>
      </c>
      <c r="H37" s="42">
        <v>5054.09</v>
      </c>
      <c r="I37" s="121">
        <v>5054.09</v>
      </c>
      <c r="J37" s="122">
        <v>6709.55</v>
      </c>
      <c r="K37" s="21"/>
    </row>
    <row r="38" spans="1:11">
      <c r="A38" s="123" t="s">
        <v>449</v>
      </c>
      <c r="B38" s="124"/>
      <c r="C38" s="123"/>
      <c r="D38" s="125"/>
      <c r="E38" s="124"/>
      <c r="F38" s="126">
        <v>19594.79</v>
      </c>
      <c r="G38" s="127">
        <v>19594.79</v>
      </c>
      <c r="H38" s="126">
        <v>59822.66</v>
      </c>
      <c r="I38" s="127">
        <v>59822.66</v>
      </c>
      <c r="J38" s="128">
        <v>79417.45</v>
      </c>
      <c r="K38" s="21"/>
    </row>
    <row r="39" spans="1:11">
      <c r="A39" s="129">
        <v>2018</v>
      </c>
      <c r="B39" s="120">
        <v>1</v>
      </c>
      <c r="C39" s="42">
        <v>-123.08</v>
      </c>
      <c r="D39" s="13">
        <v>-375.77</v>
      </c>
      <c r="E39" s="121">
        <v>-498.85</v>
      </c>
      <c r="F39" s="42">
        <v>1044.72</v>
      </c>
      <c r="G39" s="121">
        <v>1044.72</v>
      </c>
      <c r="H39" s="42">
        <v>2999.09</v>
      </c>
      <c r="I39" s="121">
        <v>2999.09</v>
      </c>
      <c r="J39" s="122">
        <v>3544.96</v>
      </c>
      <c r="K39" s="21"/>
    </row>
    <row r="40" spans="1:11">
      <c r="A40" s="21"/>
      <c r="B40" s="120">
        <v>2</v>
      </c>
      <c r="C40" s="42">
        <v>-293.5</v>
      </c>
      <c r="D40" s="13">
        <v>-896.08</v>
      </c>
      <c r="E40" s="121">
        <v>-1189.58</v>
      </c>
      <c r="F40" s="42">
        <v>47.84</v>
      </c>
      <c r="G40" s="121">
        <v>47.84</v>
      </c>
      <c r="H40" s="42">
        <v>153.72</v>
      </c>
      <c r="I40" s="121">
        <v>153.72</v>
      </c>
      <c r="J40" s="122">
        <v>-988.02</v>
      </c>
      <c r="K40" s="21"/>
    </row>
    <row r="41" spans="1:11">
      <c r="A41" s="21"/>
      <c r="B41" s="120">
        <v>3</v>
      </c>
      <c r="C41" s="42">
        <v>-293.5</v>
      </c>
      <c r="D41" s="13">
        <v>-896.08</v>
      </c>
      <c r="E41" s="121">
        <v>-1189.58</v>
      </c>
      <c r="F41" s="42">
        <v>47.84</v>
      </c>
      <c r="G41" s="121">
        <v>47.84</v>
      </c>
      <c r="H41" s="42">
        <v>153.72</v>
      </c>
      <c r="I41" s="121">
        <v>153.72</v>
      </c>
      <c r="J41" s="122">
        <v>-988.02</v>
      </c>
      <c r="K41" s="21"/>
    </row>
    <row r="42" spans="1:11">
      <c r="A42" s="21"/>
      <c r="B42" s="120">
        <v>4</v>
      </c>
      <c r="C42" s="42">
        <v>-293.5</v>
      </c>
      <c r="D42" s="13">
        <v>-896.08</v>
      </c>
      <c r="E42" s="121">
        <v>-1189.58</v>
      </c>
      <c r="F42" s="42">
        <v>47.84</v>
      </c>
      <c r="G42" s="121">
        <v>47.84</v>
      </c>
      <c r="H42" s="42">
        <v>153.72</v>
      </c>
      <c r="I42" s="121">
        <v>153.72</v>
      </c>
      <c r="J42" s="122">
        <v>-988.02</v>
      </c>
      <c r="K42" s="21"/>
    </row>
    <row r="43" spans="1:11">
      <c r="A43" s="21"/>
      <c r="B43" s="120">
        <v>5</v>
      </c>
      <c r="C43" s="42">
        <v>-293.5</v>
      </c>
      <c r="D43" s="13">
        <v>-896.08</v>
      </c>
      <c r="E43" s="121">
        <v>-1189.58</v>
      </c>
      <c r="F43" s="42">
        <v>47.84</v>
      </c>
      <c r="G43" s="121">
        <v>47.84</v>
      </c>
      <c r="H43" s="42">
        <v>153.72</v>
      </c>
      <c r="I43" s="121">
        <v>153.72</v>
      </c>
      <c r="J43" s="122">
        <v>-988.02</v>
      </c>
      <c r="K43" s="21"/>
    </row>
    <row r="44" spans="1:11">
      <c r="A44" s="21"/>
      <c r="B44" s="120">
        <v>6</v>
      </c>
      <c r="C44" s="42">
        <v>-293.5</v>
      </c>
      <c r="D44" s="13">
        <v>-896.08</v>
      </c>
      <c r="E44" s="121">
        <v>-1189.58</v>
      </c>
      <c r="F44" s="42">
        <v>47.84</v>
      </c>
      <c r="G44" s="121">
        <v>47.84</v>
      </c>
      <c r="H44" s="42">
        <v>153.72</v>
      </c>
      <c r="I44" s="121">
        <v>153.72</v>
      </c>
      <c r="J44" s="122">
        <v>-988.02</v>
      </c>
      <c r="K44" s="21"/>
    </row>
    <row r="45" spans="1:11">
      <c r="A45" s="21"/>
      <c r="B45" s="120">
        <v>7</v>
      </c>
      <c r="C45" s="42">
        <v>-293.5</v>
      </c>
      <c r="D45" s="13">
        <v>-896.08</v>
      </c>
      <c r="E45" s="121">
        <v>-1189.58</v>
      </c>
      <c r="F45" s="42">
        <v>47.84</v>
      </c>
      <c r="G45" s="121">
        <v>47.84</v>
      </c>
      <c r="H45" s="42">
        <v>153.72</v>
      </c>
      <c r="I45" s="121">
        <v>153.72</v>
      </c>
      <c r="J45" s="122">
        <v>-988.02</v>
      </c>
      <c r="K45" s="21"/>
    </row>
    <row r="46" spans="1:11">
      <c r="A46" s="21"/>
      <c r="B46" s="120">
        <v>8</v>
      </c>
      <c r="C46" s="42">
        <v>-293.5</v>
      </c>
      <c r="D46" s="13">
        <v>-896.08</v>
      </c>
      <c r="E46" s="121">
        <v>-1189.58</v>
      </c>
      <c r="F46" s="42">
        <v>47.84</v>
      </c>
      <c r="G46" s="121">
        <v>47.84</v>
      </c>
      <c r="H46" s="42">
        <v>153.72</v>
      </c>
      <c r="I46" s="121">
        <v>153.72</v>
      </c>
      <c r="J46" s="122">
        <v>-988.02</v>
      </c>
      <c r="K46" s="21"/>
    </row>
    <row r="47" spans="1:11">
      <c r="A47" s="21"/>
      <c r="B47" s="120">
        <v>9</v>
      </c>
      <c r="C47" s="42">
        <v>-293.5</v>
      </c>
      <c r="D47" s="13">
        <v>-896.08</v>
      </c>
      <c r="E47" s="121">
        <v>-1189.58</v>
      </c>
      <c r="F47" s="42">
        <v>47.84</v>
      </c>
      <c r="G47" s="121">
        <v>47.84</v>
      </c>
      <c r="H47" s="42">
        <v>153.72</v>
      </c>
      <c r="I47" s="121">
        <v>153.72</v>
      </c>
      <c r="J47" s="122">
        <v>-988.02</v>
      </c>
      <c r="K47" s="21"/>
    </row>
    <row r="48" spans="1:11">
      <c r="A48" s="21"/>
      <c r="B48" s="120">
        <v>10</v>
      </c>
      <c r="C48" s="42">
        <v>-293.5</v>
      </c>
      <c r="D48" s="13">
        <v>-896.08</v>
      </c>
      <c r="E48" s="121">
        <v>-1189.58</v>
      </c>
      <c r="F48" s="42">
        <v>47.84</v>
      </c>
      <c r="G48" s="121">
        <v>47.84</v>
      </c>
      <c r="H48" s="42">
        <v>153.72</v>
      </c>
      <c r="I48" s="121">
        <v>153.72</v>
      </c>
      <c r="J48" s="122">
        <v>-988.02</v>
      </c>
      <c r="K48" s="21"/>
    </row>
    <row r="49" spans="1:11">
      <c r="A49" s="21"/>
      <c r="B49" s="120">
        <v>11</v>
      </c>
      <c r="C49" s="42">
        <v>-293.5</v>
      </c>
      <c r="D49" s="13">
        <v>-896.08</v>
      </c>
      <c r="E49" s="121">
        <v>-1189.58</v>
      </c>
      <c r="F49" s="42">
        <v>47.84</v>
      </c>
      <c r="G49" s="121">
        <v>47.84</v>
      </c>
      <c r="H49" s="42">
        <v>153.72</v>
      </c>
      <c r="I49" s="121">
        <v>153.72</v>
      </c>
      <c r="J49" s="122">
        <v>-988.02</v>
      </c>
      <c r="K49" s="21"/>
    </row>
    <row r="50" spans="1:11">
      <c r="A50" s="21"/>
      <c r="B50" s="120">
        <v>12</v>
      </c>
      <c r="C50" s="42">
        <v>-293.5</v>
      </c>
      <c r="D50" s="13">
        <v>-896.08</v>
      </c>
      <c r="E50" s="121">
        <v>-1189.58</v>
      </c>
      <c r="F50" s="42">
        <v>47.84</v>
      </c>
      <c r="G50" s="121">
        <v>47.84</v>
      </c>
      <c r="H50" s="42">
        <v>153.72</v>
      </c>
      <c r="I50" s="121">
        <v>153.72</v>
      </c>
      <c r="J50" s="122">
        <v>-988.02</v>
      </c>
      <c r="K50" s="21"/>
    </row>
    <row r="51" spans="1:11">
      <c r="A51" s="123" t="s">
        <v>450</v>
      </c>
      <c r="B51" s="124"/>
      <c r="C51" s="126">
        <v>-3351.58</v>
      </c>
      <c r="D51" s="130">
        <v>-10232.65</v>
      </c>
      <c r="E51" s="127">
        <v>-13584.23</v>
      </c>
      <c r="F51" s="126">
        <v>1570.96</v>
      </c>
      <c r="G51" s="127">
        <v>1570.96</v>
      </c>
      <c r="H51" s="126">
        <v>4690.01</v>
      </c>
      <c r="I51" s="127">
        <v>4690.01</v>
      </c>
      <c r="J51" s="128">
        <v>-7323.26</v>
      </c>
      <c r="K51" s="21"/>
    </row>
    <row r="52" spans="1:11">
      <c r="A52" s="129">
        <v>2019</v>
      </c>
      <c r="B52" s="120">
        <v>1</v>
      </c>
      <c r="C52" s="42">
        <v>-293.5</v>
      </c>
      <c r="D52" s="13">
        <v>-896.08</v>
      </c>
      <c r="E52" s="121">
        <v>-1189.58</v>
      </c>
      <c r="F52" s="42">
        <v>47.84</v>
      </c>
      <c r="G52" s="121">
        <v>47.84</v>
      </c>
      <c r="H52" s="42">
        <v>153.72</v>
      </c>
      <c r="I52" s="121">
        <v>153.72</v>
      </c>
      <c r="J52" s="122">
        <v>-988.02</v>
      </c>
      <c r="K52" s="21"/>
    </row>
    <row r="53" spans="1:11">
      <c r="A53" s="21"/>
      <c r="B53" s="120">
        <v>2</v>
      </c>
      <c r="C53" s="42">
        <v>-293.5</v>
      </c>
      <c r="D53" s="13">
        <v>-896.08</v>
      </c>
      <c r="E53" s="121">
        <v>-1189.58</v>
      </c>
      <c r="F53" s="42">
        <v>47.84</v>
      </c>
      <c r="G53" s="121">
        <v>47.84</v>
      </c>
      <c r="H53" s="42">
        <v>153.72</v>
      </c>
      <c r="I53" s="121">
        <v>153.72</v>
      </c>
      <c r="J53" s="122">
        <v>-988.02</v>
      </c>
      <c r="K53" s="21"/>
    </row>
    <row r="54" spans="1:11">
      <c r="A54" s="21"/>
      <c r="B54" s="120">
        <v>3</v>
      </c>
      <c r="C54" s="42">
        <v>-293.5</v>
      </c>
      <c r="D54" s="13">
        <v>-896.08</v>
      </c>
      <c r="E54" s="121">
        <v>-1189.58</v>
      </c>
      <c r="F54" s="42">
        <v>26167.35</v>
      </c>
      <c r="G54" s="121">
        <v>26167.35</v>
      </c>
      <c r="H54" s="42">
        <v>83950.720000000001</v>
      </c>
      <c r="I54" s="121">
        <v>83950.720000000001</v>
      </c>
      <c r="J54" s="122">
        <v>108928.49</v>
      </c>
      <c r="K54" s="21"/>
    </row>
    <row r="55" spans="1:11">
      <c r="A55" s="21"/>
      <c r="B55" s="120">
        <v>4</v>
      </c>
      <c r="C55" s="42">
        <v>-293.5</v>
      </c>
      <c r="D55" s="13">
        <v>-896.08</v>
      </c>
      <c r="E55" s="121">
        <v>-1189.58</v>
      </c>
      <c r="F55" s="42">
        <v>2363.61</v>
      </c>
      <c r="G55" s="121">
        <v>2363.61</v>
      </c>
      <c r="H55" s="42">
        <v>7593.68</v>
      </c>
      <c r="I55" s="121">
        <v>7593.68</v>
      </c>
      <c r="J55" s="122">
        <v>8767.7099999999991</v>
      </c>
      <c r="K55" s="21"/>
    </row>
    <row r="56" spans="1:11">
      <c r="A56" s="21"/>
      <c r="B56" s="120">
        <v>5</v>
      </c>
      <c r="C56" s="42">
        <v>-293.5</v>
      </c>
      <c r="D56" s="13">
        <v>-896.08</v>
      </c>
      <c r="E56" s="121">
        <v>-1189.58</v>
      </c>
      <c r="F56" s="42">
        <v>2371.64</v>
      </c>
      <c r="G56" s="121">
        <v>2371.64</v>
      </c>
      <c r="H56" s="42">
        <v>7619.45</v>
      </c>
      <c r="I56" s="121">
        <v>7619.45</v>
      </c>
      <c r="J56" s="122">
        <v>8801.51</v>
      </c>
      <c r="K56" s="21"/>
    </row>
    <row r="57" spans="1:11">
      <c r="A57" s="21"/>
      <c r="B57" s="120">
        <v>6</v>
      </c>
      <c r="C57" s="42">
        <v>-293.5</v>
      </c>
      <c r="D57" s="13">
        <v>-896.08</v>
      </c>
      <c r="E57" s="121">
        <v>-1189.58</v>
      </c>
      <c r="F57" s="42">
        <v>2377.66</v>
      </c>
      <c r="G57" s="121">
        <v>2377.66</v>
      </c>
      <c r="H57" s="42">
        <v>7638.83</v>
      </c>
      <c r="I57" s="121">
        <v>7638.83</v>
      </c>
      <c r="J57" s="122">
        <v>8826.91</v>
      </c>
      <c r="K57" s="21"/>
    </row>
    <row r="58" spans="1:11">
      <c r="A58" s="21"/>
      <c r="B58" s="120">
        <v>7</v>
      </c>
      <c r="C58" s="42">
        <v>-293.5</v>
      </c>
      <c r="D58" s="13">
        <v>-896.08</v>
      </c>
      <c r="E58" s="121">
        <v>-1189.58</v>
      </c>
      <c r="F58" s="42">
        <v>2382.91</v>
      </c>
      <c r="G58" s="121">
        <v>2382.91</v>
      </c>
      <c r="H58" s="42">
        <v>7655.69</v>
      </c>
      <c r="I58" s="121">
        <v>7655.69</v>
      </c>
      <c r="J58" s="122">
        <v>8849.02</v>
      </c>
      <c r="K58" s="21"/>
    </row>
    <row r="59" spans="1:11">
      <c r="A59" s="21"/>
      <c r="B59" s="120">
        <v>8</v>
      </c>
      <c r="C59" s="42">
        <v>-293.5</v>
      </c>
      <c r="D59" s="13">
        <v>-896.08</v>
      </c>
      <c r="E59" s="121">
        <v>-1189.58</v>
      </c>
      <c r="F59" s="42">
        <v>2883.29</v>
      </c>
      <c r="G59" s="121">
        <v>2883.29</v>
      </c>
      <c r="H59" s="42">
        <v>9263.2800000000007</v>
      </c>
      <c r="I59" s="121">
        <v>9263.2800000000007</v>
      </c>
      <c r="J59" s="122">
        <v>10956.99</v>
      </c>
      <c r="K59" s="21"/>
    </row>
    <row r="60" spans="1:11">
      <c r="A60" s="21"/>
      <c r="B60" s="120">
        <v>9</v>
      </c>
      <c r="C60" s="42">
        <v>-293.5</v>
      </c>
      <c r="D60" s="13">
        <v>-896.08</v>
      </c>
      <c r="E60" s="121">
        <v>-1189.58</v>
      </c>
      <c r="F60" s="42">
        <v>2470.2600000000002</v>
      </c>
      <c r="G60" s="121">
        <v>2470.2600000000002</v>
      </c>
      <c r="H60" s="42">
        <v>7936.33</v>
      </c>
      <c r="I60" s="121">
        <v>7936.33</v>
      </c>
      <c r="J60" s="122">
        <v>9217.01</v>
      </c>
      <c r="K60" s="21"/>
    </row>
    <row r="61" spans="1:11">
      <c r="A61" s="21"/>
      <c r="B61" s="120">
        <v>10</v>
      </c>
      <c r="C61" s="42">
        <v>-293.5</v>
      </c>
      <c r="D61" s="13">
        <v>-896.08</v>
      </c>
      <c r="E61" s="121">
        <v>-1189.58</v>
      </c>
      <c r="F61" s="42">
        <v>2905.92</v>
      </c>
      <c r="G61" s="121">
        <v>2905.92</v>
      </c>
      <c r="H61" s="42">
        <v>9335.99</v>
      </c>
      <c r="I61" s="121">
        <v>9335.99</v>
      </c>
      <c r="J61" s="122">
        <v>11052.33</v>
      </c>
      <c r="K61" s="21"/>
    </row>
    <row r="62" spans="1:11">
      <c r="A62" s="21"/>
      <c r="B62" s="120">
        <v>11</v>
      </c>
      <c r="C62" s="42">
        <v>-293.5</v>
      </c>
      <c r="D62" s="13">
        <v>-896.08</v>
      </c>
      <c r="E62" s="121">
        <v>-1189.58</v>
      </c>
      <c r="F62" s="42">
        <v>2915.28</v>
      </c>
      <c r="G62" s="121">
        <v>2915.28</v>
      </c>
      <c r="H62" s="42">
        <v>9366.07</v>
      </c>
      <c r="I62" s="121">
        <v>9366.07</v>
      </c>
      <c r="J62" s="122">
        <v>11091.77</v>
      </c>
      <c r="K62" s="21"/>
    </row>
    <row r="63" spans="1:11">
      <c r="A63" s="21"/>
      <c r="B63" s="120">
        <v>12</v>
      </c>
      <c r="C63" s="42">
        <v>-293.5</v>
      </c>
      <c r="D63" s="13">
        <v>-896.08</v>
      </c>
      <c r="E63" s="121">
        <v>-1189.58</v>
      </c>
      <c r="F63" s="42">
        <v>2827.93</v>
      </c>
      <c r="G63" s="121">
        <v>2827.93</v>
      </c>
      <c r="H63" s="42">
        <v>9085.4599999999991</v>
      </c>
      <c r="I63" s="121">
        <v>9085.4599999999991</v>
      </c>
      <c r="J63" s="122">
        <v>10723.81</v>
      </c>
      <c r="K63" s="21"/>
    </row>
    <row r="64" spans="1:11">
      <c r="A64" s="123" t="s">
        <v>319</v>
      </c>
      <c r="B64" s="124"/>
      <c r="C64" s="126">
        <v>-3522</v>
      </c>
      <c r="D64" s="130">
        <v>-10752.96</v>
      </c>
      <c r="E64" s="127">
        <v>-14274.96</v>
      </c>
      <c r="F64" s="126">
        <v>49761.53</v>
      </c>
      <c r="G64" s="127">
        <v>49761.53</v>
      </c>
      <c r="H64" s="126">
        <v>159752.94</v>
      </c>
      <c r="I64" s="127">
        <v>159752.94</v>
      </c>
      <c r="J64" s="128">
        <v>195239.51</v>
      </c>
      <c r="K64" s="21"/>
    </row>
    <row r="65" spans="1:11">
      <c r="A65" s="129">
        <v>2020</v>
      </c>
      <c r="B65" s="120">
        <v>1</v>
      </c>
      <c r="C65" s="42">
        <v>-293.5</v>
      </c>
      <c r="D65" s="13">
        <v>-896.08</v>
      </c>
      <c r="E65" s="121">
        <v>-1189.58</v>
      </c>
      <c r="F65" s="42">
        <v>2838.9</v>
      </c>
      <c r="G65" s="121">
        <v>2838.9</v>
      </c>
      <c r="H65" s="42">
        <v>9120.67</v>
      </c>
      <c r="I65" s="121">
        <v>9120.67</v>
      </c>
      <c r="J65" s="122">
        <v>10769.99</v>
      </c>
      <c r="K65" s="21"/>
    </row>
    <row r="66" spans="1:11">
      <c r="A66" s="21"/>
      <c r="B66" s="120">
        <v>2</v>
      </c>
      <c r="C66" s="42">
        <v>-293.5</v>
      </c>
      <c r="D66" s="13">
        <v>-896.08</v>
      </c>
      <c r="E66" s="121">
        <v>-1189.58</v>
      </c>
      <c r="F66" s="42">
        <v>2850.57</v>
      </c>
      <c r="G66" s="121">
        <v>2850.57</v>
      </c>
      <c r="H66" s="42">
        <v>9158.17</v>
      </c>
      <c r="I66" s="121">
        <v>9158.17</v>
      </c>
      <c r="J66" s="122">
        <v>10819.16</v>
      </c>
      <c r="K66" s="21"/>
    </row>
    <row r="67" spans="1:11">
      <c r="A67" s="21"/>
      <c r="B67" s="120">
        <v>3</v>
      </c>
      <c r="C67" s="42">
        <v>-293.5</v>
      </c>
      <c r="D67" s="13">
        <v>-896.08</v>
      </c>
      <c r="E67" s="121">
        <v>-1189.58</v>
      </c>
      <c r="F67" s="42">
        <v>32761.71</v>
      </c>
      <c r="G67" s="121">
        <v>32761.71</v>
      </c>
      <c r="H67" s="42">
        <v>105133.53</v>
      </c>
      <c r="I67" s="121">
        <v>105133.53</v>
      </c>
      <c r="J67" s="122">
        <v>136705.66</v>
      </c>
      <c r="K67" s="21"/>
    </row>
    <row r="68" spans="1:11">
      <c r="A68" s="123" t="s">
        <v>320</v>
      </c>
      <c r="B68" s="124"/>
      <c r="C68" s="126">
        <v>-880.5</v>
      </c>
      <c r="D68" s="130">
        <v>-2688.24</v>
      </c>
      <c r="E68" s="127">
        <v>-3568.74</v>
      </c>
      <c r="F68" s="126">
        <v>38451.18</v>
      </c>
      <c r="G68" s="127">
        <v>38451.18</v>
      </c>
      <c r="H68" s="126">
        <v>123412.37</v>
      </c>
      <c r="I68" s="127">
        <v>123412.37</v>
      </c>
      <c r="J68" s="128">
        <v>158294.81</v>
      </c>
      <c r="K68" s="21"/>
    </row>
    <row r="69" spans="1:11">
      <c r="A69" s="131" t="s">
        <v>277</v>
      </c>
      <c r="B69" s="132"/>
      <c r="C69" s="133">
        <v>-7754.08</v>
      </c>
      <c r="D69" s="134">
        <v>-23673.85</v>
      </c>
      <c r="E69" s="135">
        <v>-31427.93</v>
      </c>
      <c r="F69" s="133">
        <v>123851.06</v>
      </c>
      <c r="G69" s="135">
        <v>123851.06</v>
      </c>
      <c r="H69" s="133">
        <v>391862.74</v>
      </c>
      <c r="I69" s="135">
        <v>391862.74</v>
      </c>
      <c r="J69" s="136">
        <v>484285.87</v>
      </c>
      <c r="K69" s="21"/>
    </row>
    <row r="70" spans="1:11">
      <c r="A70" s="95"/>
      <c r="B70" s="95"/>
      <c r="C70" s="95"/>
      <c r="D70" s="95"/>
      <c r="E70" s="95"/>
      <c r="F70" s="95"/>
      <c r="G70" s="95"/>
      <c r="H70" s="95"/>
      <c r="I70" s="95"/>
      <c r="J70" s="95"/>
    </row>
    <row r="71" spans="1:11">
      <c r="A71" s="6" t="s">
        <v>2</v>
      </c>
      <c r="B71" s="6" t="s">
        <v>3</v>
      </c>
      <c r="I71" s="1"/>
    </row>
  </sheetData>
  <mergeCells count="17">
    <mergeCell ref="H7:I7"/>
    <mergeCell ref="H6:I6"/>
    <mergeCell ref="I13:I14"/>
    <mergeCell ref="J13:J14"/>
    <mergeCell ref="H9:I9"/>
    <mergeCell ref="H8:I8"/>
    <mergeCell ref="A1:E1"/>
    <mergeCell ref="A2:E2"/>
    <mergeCell ref="A3:E3"/>
    <mergeCell ref="A4:E4"/>
    <mergeCell ref="C13:D13"/>
    <mergeCell ref="B7:G7"/>
    <mergeCell ref="B6:G6"/>
    <mergeCell ref="G13:G14"/>
    <mergeCell ref="E13:E14"/>
    <mergeCell ref="B9:G9"/>
    <mergeCell ref="B8:G8"/>
  </mergeCells>
  <pageMargins left="0.75" right="0.75" top="1" bottom="1" header="0.5" footer="0.5"/>
  <pageSetup scale="58"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showRuler="0" workbookViewId="0">
      <selection activeCell="L44" sqref="L44"/>
    </sheetView>
  </sheetViews>
  <sheetFormatPr defaultColWidth="13.6640625" defaultRowHeight="13.2"/>
  <cols>
    <col min="1" max="1" width="20" customWidth="1"/>
    <col min="2" max="2" width="16.44140625" customWidth="1"/>
    <col min="3" max="3" width="27.5546875" customWidth="1"/>
    <col min="4" max="4" width="20" customWidth="1"/>
  </cols>
  <sheetData>
    <row r="1" spans="1:4">
      <c r="A1" s="490" t="s">
        <v>0</v>
      </c>
      <c r="B1" s="487"/>
    </row>
    <row r="2" spans="1:4">
      <c r="A2" s="490" t="s">
        <v>451</v>
      </c>
      <c r="B2" s="487"/>
    </row>
    <row r="3" spans="1:4">
      <c r="A3" s="490" t="s">
        <v>107</v>
      </c>
      <c r="B3" s="487"/>
      <c r="C3" s="487"/>
    </row>
    <row r="4" spans="1:4">
      <c r="A4" s="490" t="s">
        <v>452</v>
      </c>
      <c r="B4" s="487"/>
      <c r="C4" s="487"/>
      <c r="D4" s="487"/>
    </row>
    <row r="7" spans="1:4" ht="43.35" customHeight="1">
      <c r="A7" s="137" t="s">
        <v>314</v>
      </c>
      <c r="B7" s="137" t="s">
        <v>453</v>
      </c>
      <c r="C7" s="137" t="s">
        <v>279</v>
      </c>
      <c r="D7" s="6"/>
    </row>
    <row r="8" spans="1:4">
      <c r="A8" s="28">
        <v>5060000</v>
      </c>
      <c r="B8" s="6" t="s">
        <v>454</v>
      </c>
      <c r="C8" s="14">
        <v>1247000</v>
      </c>
      <c r="D8" s="6"/>
    </row>
    <row r="9" spans="1:4">
      <c r="A9" s="6"/>
      <c r="B9" s="6" t="s">
        <v>455</v>
      </c>
      <c r="C9" s="14">
        <v>5342.43</v>
      </c>
      <c r="D9" s="6"/>
    </row>
    <row r="10" spans="1:4">
      <c r="A10" s="6"/>
      <c r="B10" s="6" t="s">
        <v>456</v>
      </c>
      <c r="C10" s="14">
        <v>73192.08</v>
      </c>
      <c r="D10" s="6"/>
    </row>
    <row r="11" spans="1:4">
      <c r="A11" s="6"/>
      <c r="B11" s="6" t="s">
        <v>457</v>
      </c>
      <c r="C11" s="14">
        <v>95876.84</v>
      </c>
      <c r="D11" s="6"/>
    </row>
    <row r="12" spans="1:4">
      <c r="A12" s="6"/>
      <c r="B12" s="6" t="s">
        <v>458</v>
      </c>
      <c r="C12" s="14">
        <v>143276</v>
      </c>
      <c r="D12" s="6"/>
    </row>
    <row r="13" spans="1:4">
      <c r="A13" s="138" t="s">
        <v>277</v>
      </c>
      <c r="B13" s="138" t="s">
        <v>459</v>
      </c>
      <c r="C13" s="139">
        <f>SUM(C8:C12)</f>
        <v>1564687.35</v>
      </c>
      <c r="D13" s="1"/>
    </row>
    <row r="14" spans="1:4">
      <c r="A14" s="1"/>
    </row>
    <row r="15" spans="1:4">
      <c r="A15" s="6"/>
    </row>
    <row r="17" spans="1:2">
      <c r="A17" s="6" t="s">
        <v>2</v>
      </c>
      <c r="B17" s="6" t="s">
        <v>3</v>
      </c>
    </row>
  </sheetData>
  <mergeCells count="4">
    <mergeCell ref="A1:B1"/>
    <mergeCell ref="A2:B2"/>
    <mergeCell ref="A3:C3"/>
    <mergeCell ref="A4:D4"/>
  </mergeCells>
  <pageMargins left="0.75" right="0.75" top="1" bottom="1" header="0.5" footer="0.5"/>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showRuler="0" zoomScaleNormal="100" workbookViewId="0">
      <selection activeCell="B21" sqref="B21"/>
    </sheetView>
  </sheetViews>
  <sheetFormatPr defaultColWidth="13.6640625" defaultRowHeight="13.2"/>
  <cols>
    <col min="1" max="1" width="13.33203125" customWidth="1"/>
    <col min="2" max="7" width="12.88671875" customWidth="1"/>
  </cols>
  <sheetData>
    <row r="1" spans="1:8">
      <c r="A1" s="489" t="s">
        <v>0</v>
      </c>
      <c r="B1" s="489"/>
      <c r="C1" s="6"/>
      <c r="D1" s="6"/>
      <c r="E1" s="6"/>
      <c r="F1" s="6"/>
      <c r="G1" s="6"/>
    </row>
    <row r="2" spans="1:8">
      <c r="A2" s="490" t="s">
        <v>105</v>
      </c>
      <c r="B2" s="487"/>
      <c r="C2" s="487"/>
      <c r="D2" s="487"/>
      <c r="E2" s="487"/>
      <c r="F2" s="487"/>
    </row>
    <row r="3" spans="1:8">
      <c r="A3" s="490" t="s">
        <v>136</v>
      </c>
      <c r="B3" s="490"/>
      <c r="C3" s="490"/>
      <c r="D3" s="490"/>
      <c r="E3" s="6"/>
      <c r="F3" s="6"/>
      <c r="G3" s="6"/>
    </row>
    <row r="4" spans="1:8">
      <c r="A4" s="489" t="s">
        <v>107</v>
      </c>
      <c r="B4" s="489"/>
      <c r="C4" s="489"/>
      <c r="D4" s="489"/>
      <c r="E4" s="6"/>
      <c r="F4" s="6"/>
      <c r="G4" s="6"/>
    </row>
    <row r="5" spans="1:8">
      <c r="A5" s="6"/>
      <c r="B5" s="7"/>
      <c r="C5" s="7"/>
      <c r="D5" s="7"/>
      <c r="E5" s="7"/>
      <c r="F5" s="7"/>
      <c r="G5" s="7"/>
    </row>
    <row r="6" spans="1:8">
      <c r="A6" s="23"/>
      <c r="B6" s="24" t="s">
        <v>137</v>
      </c>
      <c r="C6" s="24" t="s">
        <v>138</v>
      </c>
      <c r="D6" s="24" t="s">
        <v>139</v>
      </c>
      <c r="E6" s="24" t="s">
        <v>140</v>
      </c>
      <c r="F6" s="24" t="s">
        <v>141</v>
      </c>
      <c r="G6" s="24" t="s">
        <v>142</v>
      </c>
      <c r="H6" s="21"/>
    </row>
    <row r="7" spans="1:8">
      <c r="A7" s="6" t="s">
        <v>120</v>
      </c>
      <c r="B7" s="9"/>
      <c r="C7" s="9"/>
      <c r="D7" s="10">
        <v>159.24</v>
      </c>
      <c r="E7" s="9"/>
      <c r="F7" s="9"/>
      <c r="G7" s="10">
        <f t="shared" ref="G7:G18" si="0">-SUM(B7:F7)</f>
        <v>-159.24</v>
      </c>
      <c r="H7" s="6"/>
    </row>
    <row r="8" spans="1:8">
      <c r="A8" s="6" t="s">
        <v>121</v>
      </c>
      <c r="B8" s="6"/>
      <c r="C8" s="6"/>
      <c r="D8" s="13">
        <v>514.87</v>
      </c>
      <c r="E8" s="13">
        <v>0.18</v>
      </c>
      <c r="F8" s="6"/>
      <c r="G8" s="13">
        <f t="shared" si="0"/>
        <v>-515.04999999999995</v>
      </c>
    </row>
    <row r="9" spans="1:8">
      <c r="A9" s="6" t="s">
        <v>122</v>
      </c>
      <c r="B9" s="6"/>
      <c r="C9" s="6"/>
      <c r="D9" s="6"/>
      <c r="E9" s="6"/>
      <c r="F9" s="6"/>
      <c r="G9" s="13">
        <f t="shared" si="0"/>
        <v>0</v>
      </c>
    </row>
    <row r="10" spans="1:8">
      <c r="A10" s="6" t="s">
        <v>123</v>
      </c>
      <c r="B10" s="6"/>
      <c r="C10" s="6"/>
      <c r="D10" s="13">
        <v>1952.27</v>
      </c>
      <c r="E10" s="13">
        <v>0.64</v>
      </c>
      <c r="F10" s="6"/>
      <c r="G10" s="13">
        <f t="shared" si="0"/>
        <v>-1952.91</v>
      </c>
    </row>
    <row r="11" spans="1:8">
      <c r="A11" s="6" t="s">
        <v>124</v>
      </c>
      <c r="B11" s="13">
        <v>65176.88</v>
      </c>
      <c r="C11" s="6"/>
      <c r="D11" s="13">
        <v>2607.2800000000002</v>
      </c>
      <c r="E11" s="13">
        <v>309.02999999999997</v>
      </c>
      <c r="F11" s="6"/>
      <c r="G11" s="13">
        <f t="shared" si="0"/>
        <v>-68093.19</v>
      </c>
    </row>
    <row r="12" spans="1:8">
      <c r="A12" s="6" t="s">
        <v>125</v>
      </c>
      <c r="B12" s="13">
        <v>27777.06</v>
      </c>
      <c r="C12" s="6"/>
      <c r="D12" s="6"/>
      <c r="E12" s="13">
        <v>949.71</v>
      </c>
      <c r="F12" s="6"/>
      <c r="G12" s="13">
        <f t="shared" si="0"/>
        <v>-28726.77</v>
      </c>
    </row>
    <row r="13" spans="1:8">
      <c r="A13" s="6" t="s">
        <v>126</v>
      </c>
      <c r="B13" s="13">
        <v>33818.36</v>
      </c>
      <c r="C13" s="6"/>
      <c r="D13" s="6"/>
      <c r="E13" s="13">
        <v>9615.7099999999991</v>
      </c>
      <c r="F13" s="6"/>
      <c r="G13" s="13">
        <f t="shared" si="0"/>
        <v>-43434.07</v>
      </c>
    </row>
    <row r="14" spans="1:8">
      <c r="A14" s="6" t="s">
        <v>127</v>
      </c>
      <c r="B14" s="13">
        <v>27294.11</v>
      </c>
      <c r="C14" s="6"/>
      <c r="D14" s="6"/>
      <c r="E14" s="13">
        <v>1308.7</v>
      </c>
      <c r="F14" s="6"/>
      <c r="G14" s="13">
        <f t="shared" si="0"/>
        <v>-28602.81</v>
      </c>
    </row>
    <row r="15" spans="1:8">
      <c r="A15" s="6" t="s">
        <v>128</v>
      </c>
      <c r="B15" s="13">
        <v>27871.06</v>
      </c>
      <c r="C15" s="6"/>
      <c r="D15" s="6"/>
      <c r="E15" s="13">
        <v>188.75</v>
      </c>
      <c r="F15" s="6"/>
      <c r="G15" s="13">
        <f t="shared" si="0"/>
        <v>-28059.81</v>
      </c>
    </row>
    <row r="16" spans="1:8">
      <c r="A16" s="6" t="s">
        <v>129</v>
      </c>
      <c r="B16" s="13">
        <v>23529.65</v>
      </c>
      <c r="C16" s="6"/>
      <c r="D16" s="6"/>
      <c r="E16" s="13">
        <v>375.09</v>
      </c>
      <c r="F16" s="13">
        <v>93.98</v>
      </c>
      <c r="G16" s="13">
        <f t="shared" si="0"/>
        <v>-23998.720000000001</v>
      </c>
    </row>
    <row r="17" spans="1:7">
      <c r="A17" s="6" t="s">
        <v>130</v>
      </c>
      <c r="B17" s="13">
        <v>19554.939999999999</v>
      </c>
      <c r="C17" s="13">
        <v>758.7</v>
      </c>
      <c r="D17" s="6"/>
      <c r="E17" s="13">
        <v>8.75</v>
      </c>
      <c r="F17" s="13">
        <v>58.87</v>
      </c>
      <c r="G17" s="13">
        <f t="shared" si="0"/>
        <v>-20381.259999999998</v>
      </c>
    </row>
    <row r="18" spans="1:7">
      <c r="A18" s="6" t="s">
        <v>131</v>
      </c>
      <c r="B18" s="16">
        <v>15749.22</v>
      </c>
      <c r="C18" s="7"/>
      <c r="D18" s="7"/>
      <c r="E18" s="16">
        <v>326.67</v>
      </c>
      <c r="F18" s="16">
        <v>30.98</v>
      </c>
      <c r="G18" s="16">
        <f t="shared" si="0"/>
        <v>-16106.869999999999</v>
      </c>
    </row>
    <row r="19" spans="1:7">
      <c r="A19" s="6" t="s">
        <v>143</v>
      </c>
      <c r="B19" s="25">
        <f t="shared" ref="B19:G19" si="1">SUM(B7:B18)</f>
        <v>240771.28</v>
      </c>
      <c r="C19" s="25">
        <f t="shared" si="1"/>
        <v>758.7</v>
      </c>
      <c r="D19" s="25">
        <f t="shared" si="1"/>
        <v>5233.66</v>
      </c>
      <c r="E19" s="25">
        <f t="shared" si="1"/>
        <v>13083.23</v>
      </c>
      <c r="F19" s="25">
        <f t="shared" si="1"/>
        <v>183.82999999999998</v>
      </c>
      <c r="G19" s="25">
        <f t="shared" si="1"/>
        <v>-260030.7</v>
      </c>
    </row>
    <row r="20" spans="1:7">
      <c r="A20" s="6"/>
      <c r="B20" s="26"/>
      <c r="C20" s="26"/>
      <c r="D20" s="26"/>
      <c r="E20" s="26"/>
      <c r="F20" s="26"/>
      <c r="G20" s="26" t="s">
        <v>144</v>
      </c>
    </row>
    <row r="21" spans="1:7" ht="39.15" customHeight="1">
      <c r="A21" s="6" t="s">
        <v>145</v>
      </c>
      <c r="B21" s="27">
        <f t="shared" ref="B21:G21" si="2">-B19</f>
        <v>-240771.28</v>
      </c>
      <c r="C21" s="27">
        <f t="shared" si="2"/>
        <v>-758.7</v>
      </c>
      <c r="D21" s="27">
        <f t="shared" si="2"/>
        <v>-5233.66</v>
      </c>
      <c r="E21" s="27">
        <f t="shared" si="2"/>
        <v>-13083.23</v>
      </c>
      <c r="F21" s="27">
        <f t="shared" si="2"/>
        <v>-183.82999999999998</v>
      </c>
      <c r="G21" s="27">
        <f t="shared" si="2"/>
        <v>260030.7</v>
      </c>
    </row>
    <row r="22" spans="1:7" ht="27.6" customHeight="1">
      <c r="A22" s="6" t="s">
        <v>134</v>
      </c>
      <c r="B22" s="28">
        <v>501</v>
      </c>
      <c r="C22" s="28">
        <v>506</v>
      </c>
      <c r="D22" s="28">
        <v>920</v>
      </c>
      <c r="E22" s="28">
        <v>921</v>
      </c>
      <c r="F22" s="28">
        <v>931</v>
      </c>
      <c r="G22" s="28">
        <v>521</v>
      </c>
    </row>
    <row r="23" spans="1:7">
      <c r="A23" s="6"/>
      <c r="B23" s="6"/>
      <c r="C23" s="6"/>
      <c r="D23" s="6"/>
      <c r="E23" s="6"/>
      <c r="F23" s="6"/>
      <c r="G23" s="6"/>
    </row>
    <row r="24" spans="1:7">
      <c r="A24" s="5" t="s">
        <v>2</v>
      </c>
      <c r="B24" s="5" t="s">
        <v>3</v>
      </c>
    </row>
  </sheetData>
  <mergeCells count="4">
    <mergeCell ref="A1:B1"/>
    <mergeCell ref="A2:F2"/>
    <mergeCell ref="A3:D3"/>
    <mergeCell ref="A4:D4"/>
  </mergeCells>
  <pageMargins left="0.75" right="0.75" top="1" bottom="1" header="0.5" footer="0.5"/>
  <pageSetup scale="86"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topLeftCell="A13" zoomScaleNormal="100" workbookViewId="0">
      <selection activeCell="A55" sqref="A55:B55"/>
    </sheetView>
  </sheetViews>
  <sheetFormatPr defaultColWidth="9.109375" defaultRowHeight="13.2"/>
  <cols>
    <col min="1" max="1" width="11.5546875" style="248" bestFit="1" customWidth="1"/>
    <col min="2" max="2" width="13.109375" style="248" customWidth="1"/>
    <col min="3" max="3" width="16.33203125" style="248" customWidth="1"/>
    <col min="4" max="4" width="12.109375" style="248" customWidth="1"/>
    <col min="5" max="5" width="13" style="248" customWidth="1"/>
    <col min="6" max="6" width="12.6640625" style="248" bestFit="1" customWidth="1"/>
    <col min="7" max="7" width="9.109375" style="248"/>
    <col min="8" max="8" width="11.5546875" style="248" bestFit="1" customWidth="1"/>
    <col min="9" max="9" width="13.33203125" style="248" customWidth="1"/>
    <col min="10" max="10" width="16" style="248" customWidth="1"/>
    <col min="11" max="11" width="13.109375" style="248" customWidth="1"/>
    <col min="12" max="12" width="11.44140625" style="248" customWidth="1"/>
    <col min="13" max="13" width="12.6640625" style="248" bestFit="1" customWidth="1"/>
    <col min="14" max="14" width="9.109375" style="248"/>
    <col min="15" max="15" width="7.88671875" style="248" customWidth="1"/>
    <col min="16" max="16" width="27" style="248" bestFit="1" customWidth="1"/>
    <col min="17" max="18" width="11.33203125" style="248" bestFit="1" customWidth="1"/>
    <col min="19" max="16384" width="9.109375" style="248"/>
  </cols>
  <sheetData>
    <row r="1" spans="1:18" ht="12.75" customHeight="1">
      <c r="A1" s="490" t="s">
        <v>0</v>
      </c>
      <c r="B1" s="487"/>
      <c r="C1"/>
      <c r="D1"/>
      <c r="E1" s="281"/>
    </row>
    <row r="2" spans="1:18" ht="12.75" customHeight="1">
      <c r="A2" s="282" t="s">
        <v>779</v>
      </c>
      <c r="B2" s="281"/>
      <c r="C2"/>
      <c r="D2"/>
      <c r="E2" s="281"/>
    </row>
    <row r="3" spans="1:18" ht="12.75" customHeight="1">
      <c r="A3" s="490" t="s">
        <v>107</v>
      </c>
      <c r="B3" s="487"/>
      <c r="C3" s="487"/>
      <c r="D3"/>
      <c r="E3" s="281"/>
    </row>
    <row r="4" spans="1:18" ht="12.75" customHeight="1">
      <c r="A4" s="6"/>
      <c r="B4" s="281"/>
      <c r="C4" s="281"/>
      <c r="D4" s="281"/>
      <c r="E4" s="281"/>
    </row>
    <row r="5" spans="1:18">
      <c r="A5" s="5"/>
      <c r="B5" s="5"/>
      <c r="C5" s="5"/>
      <c r="D5" s="5"/>
      <c r="E5"/>
    </row>
    <row r="6" spans="1:18" ht="13.8">
      <c r="A6" s="540" t="s">
        <v>723</v>
      </c>
      <c r="B6" s="541"/>
      <c r="C6" s="541"/>
      <c r="D6" s="541"/>
      <c r="E6" s="541"/>
      <c r="F6" s="542"/>
      <c r="H6" s="540" t="s">
        <v>724</v>
      </c>
      <c r="I6" s="541"/>
      <c r="J6" s="541"/>
      <c r="K6" s="541"/>
      <c r="L6" s="541"/>
      <c r="M6" s="542"/>
    </row>
    <row r="7" spans="1:18" ht="39.6">
      <c r="A7" s="543" t="s">
        <v>725</v>
      </c>
      <c r="B7" s="249" t="s">
        <v>726</v>
      </c>
      <c r="C7" s="249" t="s">
        <v>727</v>
      </c>
      <c r="D7" s="249" t="s">
        <v>728</v>
      </c>
      <c r="E7" s="249" t="s">
        <v>729</v>
      </c>
      <c r="F7" s="543" t="s">
        <v>730</v>
      </c>
      <c r="H7" s="543" t="s">
        <v>725</v>
      </c>
      <c r="I7" s="249" t="s">
        <v>726</v>
      </c>
      <c r="J7" s="249" t="s">
        <v>727</v>
      </c>
      <c r="K7" s="249" t="s">
        <v>728</v>
      </c>
      <c r="L7" s="249" t="s">
        <v>729</v>
      </c>
      <c r="M7" s="543" t="s">
        <v>730</v>
      </c>
    </row>
    <row r="8" spans="1:18">
      <c r="A8" s="544"/>
      <c r="B8" s="250" t="s">
        <v>43</v>
      </c>
      <c r="C8" s="250" t="s">
        <v>46</v>
      </c>
      <c r="D8" s="250" t="s">
        <v>49</v>
      </c>
      <c r="E8" s="250" t="s">
        <v>52</v>
      </c>
      <c r="F8" s="544"/>
      <c r="H8" s="544"/>
      <c r="I8" s="250" t="s">
        <v>43</v>
      </c>
      <c r="J8" s="250" t="s">
        <v>46</v>
      </c>
      <c r="K8" s="250" t="s">
        <v>49</v>
      </c>
      <c r="L8" s="250" t="s">
        <v>52</v>
      </c>
      <c r="M8" s="544"/>
    </row>
    <row r="9" spans="1:18">
      <c r="A9" s="251" t="s">
        <v>731</v>
      </c>
      <c r="B9" s="252">
        <f>IFERROR(VLOOKUP(A9,W27_PG_1_of_3!$B$9:$K$50,10,FALSE),0)</f>
        <v>-20467.957798619595</v>
      </c>
      <c r="C9" s="252">
        <f>IFERROR(VLOOKUP(A9,W29_PG_1_of_2!$B$10:$D$40,3,FALSE),0)</f>
        <v>1328.5401762487659</v>
      </c>
      <c r="D9" s="252">
        <f>IFERROR(VLOOKUP(A9,W28_PG_1_of_4!$B$9:$I$49,8,FALSE),0)</f>
        <v>-13753.421518437739</v>
      </c>
      <c r="E9" s="253">
        <v>0</v>
      </c>
      <c r="F9" s="254">
        <f>SUM(B9:E9)</f>
        <v>-32892.839140808566</v>
      </c>
      <c r="H9" s="251" t="s">
        <v>731</v>
      </c>
      <c r="I9" s="252">
        <f>IFERROR(VLOOKUP(H9,W27_PG_1_of_3!$B$9:$L$50,11,FALSE),0)</f>
        <v>-20263.278220633398</v>
      </c>
      <c r="J9" s="252">
        <f>IFERROR(VLOOKUP(H9,W29_PG_1_of_2!$B$10:$F$40,5,FALSE),0)</f>
        <v>1315.2547744862782</v>
      </c>
      <c r="K9" s="252">
        <f>IFERROR(VLOOKUP(H9,W28_PG_1_of_4!$B$9:$J$49,9,FALSE),0)</f>
        <v>-13615.887303253361</v>
      </c>
      <c r="L9" s="253">
        <v>0</v>
      </c>
      <c r="M9" s="255">
        <f>SUM(I9:L9)</f>
        <v>-32563.910749400478</v>
      </c>
    </row>
    <row r="10" spans="1:18">
      <c r="A10" s="251" t="s">
        <v>732</v>
      </c>
      <c r="B10" s="252">
        <f>IFERROR(VLOOKUP(A10,W27_PG_1_of_3!$B$9:$K$50,10,FALSE),0)</f>
        <v>-123224.25702583177</v>
      </c>
      <c r="C10" s="252">
        <f>IFERROR(VLOOKUP(A10,W29_PG_1_of_2!$B$10:$D$40,3,FALSE),0)</f>
        <v>12230.122888139744</v>
      </c>
      <c r="D10" s="252">
        <f>IFERROR(VLOOKUP(A10,W28_PG_1_of_4!$B$9:$I$49,8,FALSE),0)</f>
        <v>-50544.253676548833</v>
      </c>
      <c r="E10" s="253">
        <v>0</v>
      </c>
      <c r="F10" s="254">
        <f t="shared" ref="F10:F51" si="0">SUM(B10:E10)</f>
        <v>-161538.38781424088</v>
      </c>
      <c r="H10" s="251" t="s">
        <v>732</v>
      </c>
      <c r="I10" s="252">
        <f>IFERROR(VLOOKUP(H10,W27_PG_1_of_3!$B$9:$L$50,11,FALSE),0)</f>
        <v>-121992.01445557346</v>
      </c>
      <c r="J10" s="252">
        <f>IFERROR(VLOOKUP(H10,W29_PG_1_of_2!$B$10:$F$40,5,FALSE),0)</f>
        <v>12107.821659258347</v>
      </c>
      <c r="K10" s="252">
        <f>IFERROR(VLOOKUP(H10,W28_PG_1_of_4!$B$9:$J$49,9,FALSE),0)</f>
        <v>-50038.811139783342</v>
      </c>
      <c r="L10" s="253">
        <v>0</v>
      </c>
      <c r="M10" s="255">
        <f t="shared" ref="M10:M51" si="1">SUM(I10:L10)</f>
        <v>-159923.00393609845</v>
      </c>
    </row>
    <row r="11" spans="1:18">
      <c r="A11" s="251" t="s">
        <v>733</v>
      </c>
      <c r="B11" s="252">
        <f>IFERROR(VLOOKUP(A11,W27_PG_1_of_3!$B$9:$K$50,10,FALSE),0)</f>
        <v>-42862.544176543459</v>
      </c>
      <c r="C11" s="252">
        <f>IFERROR(VLOOKUP(A11,W29_PG_1_of_2!$B$10:$D$40,3,FALSE),0)</f>
        <v>3397.3515064409758</v>
      </c>
      <c r="D11" s="252">
        <f>IFERROR(VLOOKUP(A11,W28_PG_1_of_4!$B$9:$I$49,8,FALSE),0)</f>
        <v>-20139.334602510789</v>
      </c>
      <c r="E11" s="253">
        <v>0</v>
      </c>
      <c r="F11" s="254">
        <f t="shared" si="0"/>
        <v>-59604.527272613275</v>
      </c>
      <c r="H11" s="251" t="s">
        <v>733</v>
      </c>
      <c r="I11" s="252">
        <f>IFERROR(VLOOKUP(H11,W27_PG_1_of_3!$B$9:$L$50,11,FALSE),0)</f>
        <v>-42433.918734778024</v>
      </c>
      <c r="J11" s="252">
        <f>IFERROR(VLOOKUP(H11,W29_PG_1_of_2!$B$10:$F$40,5,FALSE),0)</f>
        <v>3363.3779913765661</v>
      </c>
      <c r="K11" s="252">
        <f>IFERROR(VLOOKUP(H11,W28_PG_1_of_4!$B$9:$J$49,9,FALSE),0)</f>
        <v>-19937.941256485683</v>
      </c>
      <c r="L11" s="253">
        <v>0</v>
      </c>
      <c r="M11" s="255">
        <f t="shared" si="1"/>
        <v>-59008.481999887139</v>
      </c>
    </row>
    <row r="12" spans="1:18">
      <c r="A12" s="251" t="s">
        <v>734</v>
      </c>
      <c r="B12" s="252">
        <f>IFERROR(VLOOKUP(A12,W27_PG_1_of_3!$B$9:$K$50,10,FALSE),0)</f>
        <v>-3.5960310774818072</v>
      </c>
      <c r="C12" s="252">
        <f>IFERROR(VLOOKUP(A12,W29_PG_1_of_2!$B$10:$D$40,3,FALSE),0)</f>
        <v>0</v>
      </c>
      <c r="D12" s="252">
        <f>IFERROR(VLOOKUP(A12,W28_PG_1_of_4!$B$9:$I$49,8,FALSE),0)</f>
        <v>-3.3375242197231074</v>
      </c>
      <c r="E12" s="253">
        <v>0</v>
      </c>
      <c r="F12" s="254">
        <f t="shared" si="0"/>
        <v>-6.933555297204915</v>
      </c>
      <c r="H12" s="251" t="s">
        <v>734</v>
      </c>
      <c r="I12" s="252">
        <f>IFERROR(VLOOKUP(H12,W27_PG_1_of_3!$B$9:$L$50,11,FALSE),0)</f>
        <v>-3.5600707667069891</v>
      </c>
      <c r="J12" s="252">
        <f>IFERROR(VLOOKUP(H12,W29_PG_1_of_2!$B$10:$F$40,5,FALSE),0)</f>
        <v>0</v>
      </c>
      <c r="K12" s="252">
        <f>IFERROR(VLOOKUP(H12,W28_PG_1_of_4!$B$9:$J$49,9,FALSE),0)</f>
        <v>-3.3041489775258763</v>
      </c>
      <c r="L12" s="253">
        <v>0</v>
      </c>
      <c r="M12" s="255">
        <f t="shared" si="1"/>
        <v>-6.8642197442328658</v>
      </c>
    </row>
    <row r="13" spans="1:18">
      <c r="A13" s="251" t="s">
        <v>735</v>
      </c>
      <c r="B13" s="252">
        <f>IFERROR(VLOOKUP(A13,W27_PG_1_of_3!$B$9:$K$50,10,FALSE),0)</f>
        <v>-145714.09533845511</v>
      </c>
      <c r="C13" s="252">
        <f>IFERROR(VLOOKUP(A13,W29_PG_1_of_2!$B$10:$D$40,3,FALSE),0)</f>
        <v>12114.405949210595</v>
      </c>
      <c r="D13" s="252">
        <f>IFERROR(VLOOKUP(A13,W28_PG_1_of_4!$B$9:$I$49,8,FALSE),0)</f>
        <v>-88210.665115256794</v>
      </c>
      <c r="E13" s="253">
        <v>0</v>
      </c>
      <c r="F13" s="254">
        <f t="shared" si="0"/>
        <v>-221810.3545045013</v>
      </c>
      <c r="H13" s="251" t="s">
        <v>735</v>
      </c>
      <c r="I13" s="252">
        <f>IFERROR(VLOOKUP(H13,W27_PG_1_of_3!$B$9:$L$50,11,FALSE),0)</f>
        <v>-144256.95438507057</v>
      </c>
      <c r="J13" s="252">
        <f>IFERROR(VLOOKUP(H13,W29_PG_1_of_2!$B$10:$F$40,5,FALSE),0)</f>
        <v>11993.261889718489</v>
      </c>
      <c r="K13" s="252">
        <f>IFERROR(VLOOKUP(H13,W28_PG_1_of_4!$B$9:$J$49,9,FALSE),0)</f>
        <v>-87328.558464104222</v>
      </c>
      <c r="L13" s="253">
        <v>0</v>
      </c>
      <c r="M13" s="255">
        <f t="shared" si="1"/>
        <v>-219592.25095945629</v>
      </c>
    </row>
    <row r="14" spans="1:18">
      <c r="A14" s="251" t="s">
        <v>736</v>
      </c>
      <c r="B14" s="252">
        <f>IFERROR(VLOOKUP(A14,W27_PG_1_of_3!$B$9:$K$50,10,FALSE),0)</f>
        <v>-89153.780078494441</v>
      </c>
      <c r="C14" s="252">
        <f>IFERROR(VLOOKUP(A14,W29_PG_1_of_2!$B$10:$D$40,3,FALSE),0)</f>
        <v>1628.9014623283729</v>
      </c>
      <c r="D14" s="252">
        <f>IFERROR(VLOOKUP(A14,W28_PG_1_of_4!$B$9:$I$49,8,FALSE),0)</f>
        <v>-46778.573247119319</v>
      </c>
      <c r="E14" s="253">
        <v>0</v>
      </c>
      <c r="F14" s="254">
        <f t="shared" si="0"/>
        <v>-134303.45186328539</v>
      </c>
      <c r="H14" s="251" t="s">
        <v>736</v>
      </c>
      <c r="I14" s="252">
        <f>IFERROR(VLOOKUP(H14,W27_PG_1_of_3!$B$9:$L$50,11,FALSE),0)</f>
        <v>-88262.242277709491</v>
      </c>
      <c r="J14" s="252">
        <f>IFERROR(VLOOKUP(H14,W29_PG_1_of_2!$B$10:$F$40,5,FALSE),0)</f>
        <v>1612.6124477050892</v>
      </c>
      <c r="K14" s="252">
        <f>IFERROR(VLOOKUP(H14,W28_PG_1_of_4!$B$9:$J$49,9,FALSE),0)</f>
        <v>-46310.787514648124</v>
      </c>
      <c r="L14" s="253">
        <v>0</v>
      </c>
      <c r="M14" s="255">
        <f t="shared" si="1"/>
        <v>-132960.41734465252</v>
      </c>
    </row>
    <row r="15" spans="1:18" ht="39.6">
      <c r="A15" s="251" t="s">
        <v>737</v>
      </c>
      <c r="B15" s="252">
        <f>IFERROR(VLOOKUP(A15,W27_PG_1_of_3!$B$9:$K$50,10,FALSE),0)</f>
        <v>-6787.2362694580206</v>
      </c>
      <c r="C15" s="252">
        <f>IFERROR(VLOOKUP(A15,W29_PG_1_of_2!$B$10:$D$40,3,FALSE),0)</f>
        <v>293.87761699180703</v>
      </c>
      <c r="D15" s="252">
        <f>IFERROR(VLOOKUP(A15,W28_PG_1_of_4!$B$9:$I$49,8,FALSE),0)</f>
        <v>-3114.153291373048</v>
      </c>
      <c r="E15" s="253">
        <v>0</v>
      </c>
      <c r="F15" s="254">
        <f t="shared" si="0"/>
        <v>-9607.5119438392612</v>
      </c>
      <c r="H15" s="251" t="s">
        <v>737</v>
      </c>
      <c r="I15" s="252">
        <f>IFERROR(VLOOKUP(H15,W27_PG_1_of_3!$B$9:$L$50,11,FALSE),0)</f>
        <v>-6719.3639067634404</v>
      </c>
      <c r="J15" s="252">
        <f>IFERROR(VLOOKUP(H15,W29_PG_1_of_2!$B$10:$F$40,5,FALSE),0)</f>
        <v>290.93884082188896</v>
      </c>
      <c r="K15" s="252">
        <f>IFERROR(VLOOKUP(H15,W28_PG_1_of_4!$B$9:$J$49,9,FALSE),0)</f>
        <v>-3083.0117584593177</v>
      </c>
      <c r="L15" s="253">
        <v>0</v>
      </c>
      <c r="M15" s="255">
        <f t="shared" si="1"/>
        <v>-9511.4368244008692</v>
      </c>
      <c r="Q15" s="256" t="s">
        <v>143</v>
      </c>
      <c r="R15" s="257" t="s">
        <v>738</v>
      </c>
    </row>
    <row r="16" spans="1:18">
      <c r="A16" s="251" t="s">
        <v>739</v>
      </c>
      <c r="B16" s="252">
        <f>IFERROR(VLOOKUP(A16,W27_PG_1_of_3!$B$9:$K$50,10,FALSE),0)</f>
        <v>-130232.61556509715</v>
      </c>
      <c r="C16" s="252">
        <f>IFERROR(VLOOKUP(A16,W29_PG_1_of_2!$B$10:$D$40,3,FALSE),0)</f>
        <v>7809.303814277986</v>
      </c>
      <c r="D16" s="252">
        <f>IFERROR(VLOOKUP(A16,W28_PG_1_of_4!$B$9:$I$49,8,FALSE),0)</f>
        <v>-63860.367233056109</v>
      </c>
      <c r="E16" s="253">
        <v>0</v>
      </c>
      <c r="F16" s="254">
        <f t="shared" si="0"/>
        <v>-186283.67898387526</v>
      </c>
      <c r="H16" s="251" t="s">
        <v>739</v>
      </c>
      <c r="I16" s="252">
        <f>IFERROR(VLOOKUP(H16,W27_PG_1_of_3!$B$9:$L$50,11,FALSE),0)</f>
        <v>-128930.28940944618</v>
      </c>
      <c r="J16" s="252">
        <f>IFERROR(VLOOKUP(H16,W29_PG_1_of_2!$B$10:$F$40,5,FALSE),0)</f>
        <v>7731.2107761352063</v>
      </c>
      <c r="K16" s="252">
        <f>IFERROR(VLOOKUP(H16,W28_PG_1_of_4!$B$9:$J$49,9,FALSE),0)</f>
        <v>-63221.763560725551</v>
      </c>
      <c r="L16" s="253">
        <v>0</v>
      </c>
      <c r="M16" s="255">
        <f t="shared" si="1"/>
        <v>-184420.84219403652</v>
      </c>
      <c r="O16" s="258" t="s">
        <v>54</v>
      </c>
      <c r="P16" s="259" t="s">
        <v>740</v>
      </c>
      <c r="Q16" s="260">
        <v>-21043.066145205568</v>
      </c>
      <c r="R16" s="261">
        <v>-20832.635483753511</v>
      </c>
    </row>
    <row r="17" spans="1:18">
      <c r="A17" s="251" t="s">
        <v>741</v>
      </c>
      <c r="B17" s="252">
        <f>IFERROR(VLOOKUP(A17,W27_PG_1_of_3!$B$9:$K$50,10,FALSE),0)</f>
        <v>-69588.639033490341</v>
      </c>
      <c r="C17" s="252">
        <f>IFERROR(VLOOKUP(A17,W29_PG_1_of_2!$B$10:$D$40,3,FALSE),0)</f>
        <v>3527.8014322208478</v>
      </c>
      <c r="D17" s="252">
        <f>IFERROR(VLOOKUP(A17,W28_PG_1_of_4!$B$9:$I$49,8,FALSE),0)</f>
        <v>-31677.923454331234</v>
      </c>
      <c r="E17" s="253">
        <v>0</v>
      </c>
      <c r="F17" s="254">
        <f t="shared" si="0"/>
        <v>-97738.761055600728</v>
      </c>
      <c r="H17" s="251" t="s">
        <v>741</v>
      </c>
      <c r="I17" s="252">
        <f>IFERROR(VLOOKUP(H17,W27_PG_1_of_3!$B$9:$L$50,11,FALSE),0)</f>
        <v>-68892.752643155443</v>
      </c>
      <c r="J17" s="252">
        <f>IFERROR(VLOOKUP(H17,W29_PG_1_of_2!$B$10:$F$40,5,FALSE),0)</f>
        <v>3492.5234178986393</v>
      </c>
      <c r="K17" s="252">
        <f>IFERROR(VLOOKUP(H17,W28_PG_1_of_4!$B$9:$J$49,9,FALSE),0)</f>
        <v>-31361.144219787922</v>
      </c>
      <c r="L17" s="253">
        <v>0</v>
      </c>
      <c r="M17" s="255">
        <f t="shared" si="1"/>
        <v>-96761.373445044723</v>
      </c>
      <c r="O17" s="262" t="s">
        <v>56</v>
      </c>
      <c r="P17" s="263" t="s">
        <v>742</v>
      </c>
      <c r="Q17" s="264">
        <f>W32_PG_1_of_3!H22</f>
        <v>-86987.880446097945</v>
      </c>
      <c r="R17" s="255">
        <f>W32_PG_1_of_3!H25</f>
        <v>-86118.001641636962</v>
      </c>
    </row>
    <row r="18" spans="1:18">
      <c r="A18" s="251" t="s">
        <v>743</v>
      </c>
      <c r="B18" s="252">
        <f>IFERROR(VLOOKUP(A18,W27_PG_1_of_3!$B$9:$K$50,10,FALSE),0)</f>
        <v>-35127.843653893295</v>
      </c>
      <c r="C18" s="252">
        <f>IFERROR(VLOOKUP(A18,W29_PG_1_of_2!$B$10:$D$40,3,FALSE),0)</f>
        <v>1658.5713176211659</v>
      </c>
      <c r="D18" s="252">
        <f>IFERROR(VLOOKUP(A18,W28_PG_1_of_4!$B$9:$I$49,8,FALSE),0)</f>
        <v>-17546.231033530552</v>
      </c>
      <c r="E18" s="253">
        <v>0</v>
      </c>
      <c r="F18" s="254">
        <f t="shared" si="0"/>
        <v>-51015.503369802682</v>
      </c>
      <c r="H18" s="251" t="s">
        <v>743</v>
      </c>
      <c r="I18" s="252">
        <f>IFERROR(VLOOKUP(H18,W27_PG_1_of_3!$B$9:$L$50,11,FALSE),0)</f>
        <v>-34776.565217354364</v>
      </c>
      <c r="J18" s="252">
        <f>IFERROR(VLOOKUP(H18,W29_PG_1_of_2!$B$10:$F$40,5,FALSE),0)</f>
        <v>1641.9856044449543</v>
      </c>
      <c r="K18" s="252">
        <f>IFERROR(VLOOKUP(H18,W28_PG_1_of_4!$B$9:$J$49,9,FALSE),0)</f>
        <v>-17370.768723195248</v>
      </c>
      <c r="L18" s="253">
        <v>0</v>
      </c>
      <c r="M18" s="255">
        <f t="shared" si="1"/>
        <v>-50505.348336104653</v>
      </c>
      <c r="O18" s="265" t="s">
        <v>59</v>
      </c>
      <c r="P18" s="266" t="s">
        <v>744</v>
      </c>
      <c r="Q18" s="267">
        <f>W33_PG_1_of_2!K21</f>
        <v>10134</v>
      </c>
      <c r="R18" s="268">
        <f>W33_PG_1_of_2!K23</f>
        <v>10033</v>
      </c>
    </row>
    <row r="19" spans="1:18">
      <c r="A19" s="251" t="s">
        <v>745</v>
      </c>
      <c r="B19" s="252">
        <f>IFERROR(VLOOKUP(A19,W27_PG_1_of_3!$B$9:$K$50,10,FALSE),0)</f>
        <v>-135.40710387828821</v>
      </c>
      <c r="C19" s="252">
        <f>IFERROR(VLOOKUP(A19,W29_PG_1_of_2!$B$10:$D$40,3,FALSE),0)</f>
        <v>18.768721091421934</v>
      </c>
      <c r="D19" s="252">
        <f>IFERROR(VLOOKUP(A19,W28_PG_1_of_4!$B$9:$I$49,8,FALSE),0)</f>
        <v>0</v>
      </c>
      <c r="E19" s="253">
        <v>0</v>
      </c>
      <c r="F19" s="254">
        <f t="shared" si="0"/>
        <v>-116.63838278686627</v>
      </c>
      <c r="H19" s="251" t="s">
        <v>745</v>
      </c>
      <c r="I19" s="252">
        <f>IFERROR(VLOOKUP(H19,W27_PG_1_of_3!$B$9:$L$50,11,FALSE),0)</f>
        <v>-134.05303283950533</v>
      </c>
      <c r="J19" s="252">
        <f>IFERROR(VLOOKUP(H19,W29_PG_1_of_2!$B$10:$F$40,5,FALSE),0)</f>
        <v>18.581033880507714</v>
      </c>
      <c r="K19" s="252">
        <f>IFERROR(VLOOKUP(H19,W28_PG_1_of_4!$B$9:$J$49,9,FALSE),0)</f>
        <v>0</v>
      </c>
      <c r="L19" s="253">
        <v>0</v>
      </c>
      <c r="M19" s="255">
        <f t="shared" si="1"/>
        <v>-115.47199895899762</v>
      </c>
      <c r="O19" s="538" t="s">
        <v>746</v>
      </c>
      <c r="P19" s="539"/>
      <c r="Q19" s="269">
        <f>SUM(Q16:Q18)</f>
        <v>-97896.946591303509</v>
      </c>
      <c r="R19" s="270">
        <f>SUM(R16:R18)</f>
        <v>-96917.637125390465</v>
      </c>
    </row>
    <row r="20" spans="1:18">
      <c r="A20" s="251" t="s">
        <v>747</v>
      </c>
      <c r="B20" s="252">
        <f>IFERROR(VLOOKUP(A20,W27_PG_1_of_3!$B$9:$K$50,10,FALSE),0)</f>
        <v>-869.18826411467694</v>
      </c>
      <c r="C20" s="252">
        <f>IFERROR(VLOOKUP(A20,W29_PG_1_of_2!$B$10:$D$40,3,FALSE),0)</f>
        <v>0</v>
      </c>
      <c r="D20" s="252">
        <f>IFERROR(VLOOKUP(A20,W28_PG_1_of_4!$B$9:$I$49,8,FALSE),0)</f>
        <v>-309.15863287928551</v>
      </c>
      <c r="E20" s="253">
        <v>0</v>
      </c>
      <c r="F20" s="254">
        <f t="shared" si="0"/>
        <v>-1178.3468969939624</v>
      </c>
      <c r="H20" s="251" t="s">
        <v>747</v>
      </c>
      <c r="I20" s="252">
        <f>IFERROR(VLOOKUP(H20,W27_PG_1_of_3!$B$9:$L$50,11,FALSE),0)</f>
        <v>-860.49638147353016</v>
      </c>
      <c r="J20" s="252">
        <f>IFERROR(VLOOKUP(H20,W29_PG_1_of_2!$B$10:$F$40,5,FALSE),0)</f>
        <v>0</v>
      </c>
      <c r="K20" s="252">
        <f>IFERROR(VLOOKUP(H20,W28_PG_1_of_4!$B$9:$J$49,9,FALSE),0)</f>
        <v>-306.06704655049265</v>
      </c>
      <c r="L20" s="253">
        <v>0</v>
      </c>
      <c r="M20" s="255">
        <f t="shared" si="1"/>
        <v>-1166.5634280240229</v>
      </c>
    </row>
    <row r="21" spans="1:18">
      <c r="A21" s="251" t="s">
        <v>748</v>
      </c>
      <c r="B21" s="252">
        <f>IFERROR(VLOOKUP(A21,W27_PG_1_of_3!$B$9:$K$50,10,FALSE),0)</f>
        <v>-2.5633319141597539</v>
      </c>
      <c r="C21" s="252">
        <f>IFERROR(VLOOKUP(A21,W29_PG_1_of_2!$B$10:$D$40,3,FALSE),0)</f>
        <v>0</v>
      </c>
      <c r="D21" s="252">
        <f>IFERROR(VLOOKUP(A21,W28_PG_1_of_4!$B$9:$I$49,8,FALSE),0)</f>
        <v>-4.9663794160714474</v>
      </c>
      <c r="E21" s="253">
        <v>0</v>
      </c>
      <c r="F21" s="254">
        <f t="shared" si="0"/>
        <v>-7.5297113302312013</v>
      </c>
      <c r="H21" s="251" t="s">
        <v>748</v>
      </c>
      <c r="I21" s="252">
        <f>IFERROR(VLOOKUP(H21,W27_PG_1_of_3!$B$9:$L$50,11,FALSE),0)</f>
        <v>-2.5376985950181563</v>
      </c>
      <c r="J21" s="252">
        <f>IFERROR(VLOOKUP(H21,W29_PG_1_of_2!$B$10:$F$40,5,FALSE),0)</f>
        <v>0</v>
      </c>
      <c r="K21" s="252">
        <f>IFERROR(VLOOKUP(H21,W28_PG_1_of_4!$B$9:$J$49,9,FALSE),0)</f>
        <v>-4.9167156219107326</v>
      </c>
      <c r="L21" s="253">
        <v>0</v>
      </c>
      <c r="M21" s="255">
        <f t="shared" si="1"/>
        <v>-7.4544142169288889</v>
      </c>
    </row>
    <row r="22" spans="1:18">
      <c r="A22" s="251" t="s">
        <v>749</v>
      </c>
      <c r="B22" s="252">
        <f>IFERROR(VLOOKUP(A22,W27_PG_1_of_3!$B$9:$K$50,10,FALSE),0)</f>
        <v>-206.46869753547963</v>
      </c>
      <c r="C22" s="252">
        <f>IFERROR(VLOOKUP(A22,W29_PG_1_of_2!$B$10:$D$40,3,FALSE),0)</f>
        <v>0</v>
      </c>
      <c r="D22" s="252">
        <f>IFERROR(VLOOKUP(A22,W28_PG_1_of_4!$B$9:$I$49,8,FALSE),0)</f>
        <v>-17.207393727964927</v>
      </c>
      <c r="E22" s="253">
        <v>0</v>
      </c>
      <c r="F22" s="254">
        <f t="shared" si="0"/>
        <v>-223.67609126344456</v>
      </c>
      <c r="H22" s="251" t="s">
        <v>749</v>
      </c>
      <c r="I22" s="252">
        <f>IFERROR(VLOOKUP(H22,W27_PG_1_of_3!$B$9:$L$50,11,FALSE),0)</f>
        <v>-204.40401056012485</v>
      </c>
      <c r="J22" s="252">
        <f>IFERROR(VLOOKUP(H22,W29_PG_1_of_2!$B$10:$F$40,5,FALSE),0)</f>
        <v>0</v>
      </c>
      <c r="K22" s="252">
        <f>IFERROR(VLOOKUP(H22,W28_PG_1_of_4!$B$9:$J$49,9,FALSE),0)</f>
        <v>-17.035319790685278</v>
      </c>
      <c r="L22" s="253">
        <v>0</v>
      </c>
      <c r="M22" s="255">
        <f t="shared" si="1"/>
        <v>-221.43933035081011</v>
      </c>
    </row>
    <row r="23" spans="1:18">
      <c r="A23" s="251" t="s">
        <v>750</v>
      </c>
      <c r="B23" s="252">
        <f>IFERROR(VLOOKUP(A23,W27_PG_1_of_3!$B$9:$K$50,10,FALSE),0)</f>
        <v>1.0224782530607359</v>
      </c>
      <c r="C23" s="252">
        <f>IFERROR(VLOOKUP(A23,W29_PG_1_of_2!$B$10:$D$40,3,FALSE),0)</f>
        <v>0</v>
      </c>
      <c r="D23" s="252">
        <f>IFERROR(VLOOKUP(A23,W28_PG_1_of_4!$B$9:$I$49,8,FALSE),0)</f>
        <v>-0.82854340694022</v>
      </c>
      <c r="E23" s="253">
        <v>0</v>
      </c>
      <c r="F23" s="254">
        <f t="shared" si="0"/>
        <v>0.19393484612051592</v>
      </c>
      <c r="H23" s="251" t="s">
        <v>750</v>
      </c>
      <c r="I23" s="252">
        <f>IFERROR(VLOOKUP(H23,W27_PG_1_of_3!$B$9:$L$50,11,FALSE),0)</f>
        <v>1.0122534705301285</v>
      </c>
      <c r="J23" s="252">
        <f>IFERROR(VLOOKUP(H23,W29_PG_1_of_2!$B$10:$F$40,5,FALSE),0)</f>
        <v>0</v>
      </c>
      <c r="K23" s="252">
        <f>IFERROR(VLOOKUP(H23,W28_PG_1_of_4!$B$9:$J$49,9,FALSE),0)</f>
        <v>-0.82025797287081781</v>
      </c>
      <c r="L23" s="253">
        <v>0</v>
      </c>
      <c r="M23" s="255">
        <f t="shared" si="1"/>
        <v>0.19199549765931068</v>
      </c>
    </row>
    <row r="24" spans="1:18">
      <c r="A24" s="251" t="s">
        <v>751</v>
      </c>
      <c r="B24" s="252">
        <f>IFERROR(VLOOKUP(A24,W27_PG_1_of_3!$B$9:$K$50,10,FALSE),0)</f>
        <v>-75.02618855518844</v>
      </c>
      <c r="C24" s="252">
        <f>IFERROR(VLOOKUP(A24,W29_PG_1_of_2!$B$10:$D$40,3,FALSE),0)</f>
        <v>0</v>
      </c>
      <c r="D24" s="252">
        <f>IFERROR(VLOOKUP(A24,W28_PG_1_of_4!$B$9:$I$49,8,FALSE),0)</f>
        <v>-98.563853033414489</v>
      </c>
      <c r="E24" s="253">
        <v>0</v>
      </c>
      <c r="F24" s="254">
        <f t="shared" si="0"/>
        <v>-173.59004158860293</v>
      </c>
      <c r="H24" s="251" t="s">
        <v>751</v>
      </c>
      <c r="I24" s="252">
        <f>IFERROR(VLOOKUP(H24,W27_PG_1_of_3!$B$9:$L$50,11,FALSE),0)</f>
        <v>-74.275926669636561</v>
      </c>
      <c r="J24" s="252">
        <f>IFERROR(VLOOKUP(H24,W29_PG_1_of_2!$B$10:$F$40,5,FALSE),0)</f>
        <v>0</v>
      </c>
      <c r="K24" s="252">
        <f>IFERROR(VLOOKUP(H24,W28_PG_1_of_4!$B$9:$J$49,9,FALSE),0)</f>
        <v>-97.578214503080346</v>
      </c>
      <c r="L24" s="253">
        <v>0</v>
      </c>
      <c r="M24" s="255">
        <f t="shared" si="1"/>
        <v>-171.85414117271691</v>
      </c>
    </row>
    <row r="25" spans="1:18">
      <c r="A25" s="251" t="s">
        <v>752</v>
      </c>
      <c r="B25" s="252">
        <f>IFERROR(VLOOKUP(A25,W27_PG_1_of_3!$B$9:$K$50,10,FALSE),0)</f>
        <v>-7051.3966307047631</v>
      </c>
      <c r="C25" s="252">
        <f>IFERROR(VLOOKUP(A25,W29_PG_1_of_2!$B$10:$D$40,3,FALSE),0)</f>
        <v>95.670187698112017</v>
      </c>
      <c r="D25" s="252">
        <f>IFERROR(VLOOKUP(A25,W28_PG_1_of_4!$B$9:$I$49,8,FALSE),0)</f>
        <v>-7319.0063894769701</v>
      </c>
      <c r="E25" s="253">
        <v>0</v>
      </c>
      <c r="F25" s="254">
        <f t="shared" si="0"/>
        <v>-14274.73283248362</v>
      </c>
      <c r="H25" s="251" t="s">
        <v>752</v>
      </c>
      <c r="I25" s="252">
        <f>IFERROR(VLOOKUP(H25,W27_PG_1_of_3!$B$9:$L$50,11,FALSE),0)</f>
        <v>-6980.8826643977154</v>
      </c>
      <c r="J25" s="252">
        <f>IFERROR(VLOOKUP(H25,W29_PG_1_of_2!$B$10:$F$40,5,FALSE),0)</f>
        <v>94.713485821130902</v>
      </c>
      <c r="K25" s="252">
        <f>IFERROR(VLOOKUP(H25,W28_PG_1_of_4!$B$9:$J$49,9,FALSE),0)</f>
        <v>-7245.8163255822001</v>
      </c>
      <c r="L25" s="253">
        <v>0</v>
      </c>
      <c r="M25" s="255">
        <f t="shared" si="1"/>
        <v>-14131.985504158783</v>
      </c>
    </row>
    <row r="26" spans="1:18">
      <c r="A26" s="251" t="s">
        <v>753</v>
      </c>
      <c r="B26" s="252">
        <f>IFERROR(VLOOKUP(A26,W27_PG_1_of_3!$B$9:$K$50,10,FALSE),0)</f>
        <v>-14661.020703776016</v>
      </c>
      <c r="C26" s="252">
        <f>IFERROR(VLOOKUP(A26,W29_PG_1_of_2!$B$10:$D$40,3,FALSE),0)</f>
        <v>1222.8553102695332</v>
      </c>
      <c r="D26" s="252">
        <f>IFERROR(VLOOKUP(A26,W28_PG_1_of_4!$B$9:$I$49,8,FALSE),0)</f>
        <v>1469.9517825964504</v>
      </c>
      <c r="E26" s="253">
        <v>0</v>
      </c>
      <c r="F26" s="254">
        <f t="shared" si="0"/>
        <v>-11968.213610910032</v>
      </c>
      <c r="H26" s="251" t="s">
        <v>753</v>
      </c>
      <c r="I26" s="252">
        <f>IFERROR(VLOOKUP(H26,W27_PG_1_of_3!$B$9:$L$50,11,FALSE),0)</f>
        <v>-14514.410496738255</v>
      </c>
      <c r="J26" s="252">
        <f>IFERROR(VLOOKUP(H26,W29_PG_1_of_2!$B$10:$F$40,5,FALSE),0)</f>
        <v>1210.6267571668379</v>
      </c>
      <c r="K26" s="252">
        <f>IFERROR(VLOOKUP(H26,W28_PG_1_of_4!$B$9:$J$49,9,FALSE),0)</f>
        <v>1455.2522647704859</v>
      </c>
      <c r="L26" s="253">
        <v>0</v>
      </c>
      <c r="M26" s="255">
        <f t="shared" si="1"/>
        <v>-11848.531474800931</v>
      </c>
    </row>
    <row r="27" spans="1:18">
      <c r="A27" s="251" t="s">
        <v>754</v>
      </c>
      <c r="B27" s="252">
        <f>IFERROR(VLOOKUP(A27,W27_PG_1_of_3!$B$9:$K$50,10,FALSE),0)</f>
        <v>-20.41423478951161</v>
      </c>
      <c r="C27" s="252">
        <f>IFERROR(VLOOKUP(A27,W29_PG_1_of_2!$B$10:$D$40,3,FALSE),0)</f>
        <v>6.8167713579842273</v>
      </c>
      <c r="D27" s="252">
        <f>IFERROR(VLOOKUP(A27,W28_PG_1_of_4!$B$9:$I$49,8,FALSE),0)</f>
        <v>-22.194773088849843</v>
      </c>
      <c r="E27" s="253">
        <v>0</v>
      </c>
      <c r="F27" s="254">
        <f t="shared" si="0"/>
        <v>-35.79223652037723</v>
      </c>
      <c r="H27" s="251" t="s">
        <v>754</v>
      </c>
      <c r="I27" s="252">
        <f>IFERROR(VLOOKUP(H27,W27_PG_1_of_3!$B$9:$L$50,11,FALSE),0)</f>
        <v>-20.210092441616496</v>
      </c>
      <c r="J27" s="252">
        <f>IFERROR(VLOOKUP(H27,W29_PG_1_of_2!$B$10:$F$40,5,FALSE),0)</f>
        <v>6.7486036444043851</v>
      </c>
      <c r="K27" s="252">
        <f>IFERROR(VLOOKUP(H27,W28_PG_1_of_4!$B$9:$J$49,9,FALSE),0)</f>
        <v>-21.972825357961344</v>
      </c>
      <c r="L27" s="253">
        <v>0</v>
      </c>
      <c r="M27" s="255">
        <f t="shared" si="1"/>
        <v>-35.434314155173453</v>
      </c>
    </row>
    <row r="28" spans="1:18">
      <c r="A28" s="251" t="s">
        <v>755</v>
      </c>
      <c r="B28" s="252">
        <f>IFERROR(VLOOKUP(A28,W27_PG_1_of_3!$B$9:$K$50,10,FALSE),0)</f>
        <v>-198.4191332489745</v>
      </c>
      <c r="C28" s="252">
        <f>IFERROR(VLOOKUP(A28,W29_PG_1_of_2!$B$10:$D$40,3,FALSE),0)</f>
        <v>3.7240115546482291</v>
      </c>
      <c r="D28" s="252">
        <f>IFERROR(VLOOKUP(A28,W28_PG_1_of_4!$B$9:$I$49,8,FALSE),0)</f>
        <v>-264.69967900141273</v>
      </c>
      <c r="E28" s="253">
        <v>0</v>
      </c>
      <c r="F28" s="254">
        <f t="shared" si="0"/>
        <v>-459.39480069573904</v>
      </c>
      <c r="H28" s="251" t="s">
        <v>755</v>
      </c>
      <c r="I28" s="252">
        <f>IFERROR(VLOOKUP(H28,W27_PG_1_of_3!$B$9:$L$50,11,FALSE),0)</f>
        <v>-196.43494191648475</v>
      </c>
      <c r="J28" s="252">
        <f>IFERROR(VLOOKUP(H28,W29_PG_1_of_2!$B$10:$F$40,5,FALSE),0)</f>
        <v>3.6867714391017468</v>
      </c>
      <c r="K28" s="252">
        <f>IFERROR(VLOOKUP(H28,W28_PG_1_of_4!$B$9:$J$49,9,FALSE),0)</f>
        <v>-262.05268221139858</v>
      </c>
      <c r="L28" s="253">
        <v>0</v>
      </c>
      <c r="M28" s="255">
        <f t="shared" si="1"/>
        <v>-454.80085268878156</v>
      </c>
    </row>
    <row r="29" spans="1:18">
      <c r="A29" s="251" t="s">
        <v>756</v>
      </c>
      <c r="B29" s="252">
        <f>IFERROR(VLOOKUP(A29,W27_PG_1_of_3!$B$9:$K$50,10,FALSE),0)</f>
        <v>-21399.628320334752</v>
      </c>
      <c r="C29" s="252">
        <f>IFERROR(VLOOKUP(A29,W29_PG_1_of_2!$B$10:$D$40,3,FALSE),0)</f>
        <v>739.59057052568085</v>
      </c>
      <c r="D29" s="252">
        <f>IFERROR(VLOOKUP(A29,W28_PG_1_of_4!$B$9:$I$49,8,FALSE),0)</f>
        <v>-20567.103514421615</v>
      </c>
      <c r="E29" s="253">
        <v>0</v>
      </c>
      <c r="F29" s="254">
        <f t="shared" si="0"/>
        <v>-41227.141264230682</v>
      </c>
      <c r="H29" s="251" t="s">
        <v>756</v>
      </c>
      <c r="I29" s="252">
        <f>IFERROR(VLOOKUP(H29,W27_PG_1_of_3!$B$9:$L$50,11,FALSE),0)</f>
        <v>-21185.632037131403</v>
      </c>
      <c r="J29" s="252">
        <f>IFERROR(VLOOKUP(H29,W29_PG_1_of_2!$B$10:$F$40,5,FALSE),0)</f>
        <v>732.19466482042401</v>
      </c>
      <c r="K29" s="252">
        <f>IFERROR(VLOOKUP(H29,W28_PG_1_of_4!$B$9:$J$49,9,FALSE),0)</f>
        <v>-20361.432479277399</v>
      </c>
      <c r="L29" s="253">
        <v>0</v>
      </c>
      <c r="M29" s="255">
        <f t="shared" si="1"/>
        <v>-40814.869851588373</v>
      </c>
    </row>
    <row r="30" spans="1:18">
      <c r="A30" s="251" t="s">
        <v>757</v>
      </c>
      <c r="B30" s="252">
        <f>IFERROR(VLOOKUP(A30,W27_PG_1_of_3!$B$9:$K$50,10,FALSE),0)</f>
        <v>-2930.1932898513251</v>
      </c>
      <c r="C30" s="252">
        <f>IFERROR(VLOOKUP(A30,W29_PG_1_of_2!$B$10:$D$40,3,FALSE),0)</f>
        <v>22.294097784219773</v>
      </c>
      <c r="D30" s="252">
        <f>IFERROR(VLOOKUP(A30,W28_PG_1_of_4!$B$9:$I$49,8,FALSE),0)</f>
        <v>-3261.5607705049479</v>
      </c>
      <c r="E30" s="253">
        <v>0</v>
      </c>
      <c r="F30" s="254">
        <f t="shared" si="0"/>
        <v>-6169.459962572053</v>
      </c>
      <c r="H30" s="251" t="s">
        <v>757</v>
      </c>
      <c r="I30" s="252">
        <f>IFERROR(VLOOKUP(H30,W27_PG_1_of_3!$B$9:$L$50,11,FALSE),0)</f>
        <v>-2900.8913569528117</v>
      </c>
      <c r="J30" s="252">
        <f>IFERROR(VLOOKUP(H30,W29_PG_1_of_2!$B$10:$F$40,5,FALSE),0)</f>
        <v>22.071156806377573</v>
      </c>
      <c r="K30" s="252">
        <f>IFERROR(VLOOKUP(H30,W28_PG_1_of_4!$B$9:$J$49,9,FALSE),0)</f>
        <v>-3228.9451627998983</v>
      </c>
      <c r="L30" s="253">
        <v>0</v>
      </c>
      <c r="M30" s="255">
        <f t="shared" si="1"/>
        <v>-6107.765362946333</v>
      </c>
    </row>
    <row r="31" spans="1:18">
      <c r="A31" s="251" t="s">
        <v>758</v>
      </c>
      <c r="B31" s="252">
        <f>IFERROR(VLOOKUP(A31,W27_PG_1_of_3!$B$9:$K$50,10,FALSE),0)</f>
        <v>-915.37394086082531</v>
      </c>
      <c r="C31" s="252">
        <f>IFERROR(VLOOKUP(A31,W29_PG_1_of_2!$B$10:$D$40,3,FALSE),0)</f>
        <v>1445.2810193779867</v>
      </c>
      <c r="D31" s="252">
        <f>IFERROR(VLOOKUP(A31,W28_PG_1_of_4!$B$9:$I$49,8,FALSE),0)</f>
        <v>-72281.596095226239</v>
      </c>
      <c r="E31" s="253">
        <v>0</v>
      </c>
      <c r="F31" s="254">
        <f t="shared" si="0"/>
        <v>-71751.689016709075</v>
      </c>
      <c r="H31" s="251" t="s">
        <v>758</v>
      </c>
      <c r="I31" s="252">
        <f>IFERROR(VLOOKUP(H31,W27_PG_1_of_3!$B$9:$L$50,11,FALSE),0)</f>
        <v>-906.220201452217</v>
      </c>
      <c r="J31" s="252">
        <f>IFERROR(VLOOKUP(H31,W29_PG_1_of_2!$B$10:$F$40,5,FALSE),0)</f>
        <v>1430.8282091842068</v>
      </c>
      <c r="K31" s="252">
        <f>IFERROR(VLOOKUP(H31,W28_PG_1_of_4!$B$9:$J$49,9,FALSE),0)</f>
        <v>-71558.780134273969</v>
      </c>
      <c r="L31" s="253">
        <v>0</v>
      </c>
      <c r="M31" s="255">
        <f t="shared" si="1"/>
        <v>-71034.172126541976</v>
      </c>
    </row>
    <row r="32" spans="1:18">
      <c r="A32" s="251" t="s">
        <v>759</v>
      </c>
      <c r="B32" s="252">
        <f>IFERROR(VLOOKUP(A32,W27_PG_1_of_3!$B$9:$K$50,10,FALSE),0)</f>
        <v>-2.0431171720155055</v>
      </c>
      <c r="C32" s="252">
        <f>IFERROR(VLOOKUP(A32,W29_PG_1_of_2!$B$10:$D$40,3,FALSE),0)</f>
        <v>0</v>
      </c>
      <c r="D32" s="252">
        <f>IFERROR(VLOOKUP(A32,W28_PG_1_of_4!$B$9:$I$49,8,FALSE),0)</f>
        <v>-3.0629913779117857</v>
      </c>
      <c r="E32" s="253">
        <v>0</v>
      </c>
      <c r="F32" s="254">
        <f t="shared" si="0"/>
        <v>-5.1061085499272911</v>
      </c>
      <c r="H32" s="251" t="s">
        <v>759</v>
      </c>
      <c r="I32" s="252">
        <f>IFERROR(VLOOKUP(H32,W27_PG_1_of_3!$B$9:$L$50,11,FALSE),0)</f>
        <v>-2.0226860002953502</v>
      </c>
      <c r="J32" s="252">
        <f>IFERROR(VLOOKUP(H32,W29_PG_1_of_2!$B$10:$F$40,5,FALSE),0)</f>
        <v>0</v>
      </c>
      <c r="K32" s="252">
        <f>IFERROR(VLOOKUP(H32,W28_PG_1_of_4!$B$9:$J$49,9,FALSE),0)</f>
        <v>-3.0323614641326677</v>
      </c>
      <c r="L32" s="253">
        <v>0</v>
      </c>
      <c r="M32" s="255">
        <f t="shared" si="1"/>
        <v>-5.0550474644280179</v>
      </c>
    </row>
    <row r="33" spans="1:13">
      <c r="A33" s="251" t="s">
        <v>760</v>
      </c>
      <c r="B33" s="252">
        <f>IFERROR(VLOOKUP(A33,W27_PG_1_of_3!$B$9:$K$50,10,FALSE),0)</f>
        <v>-203.84700982564004</v>
      </c>
      <c r="C33" s="252">
        <f>IFERROR(VLOOKUP(A33,W29_PG_1_of_2!$B$10:$D$40,3,FALSE),0)</f>
        <v>152.7774663075102</v>
      </c>
      <c r="D33" s="252">
        <f>IFERROR(VLOOKUP(A33,W28_PG_1_of_4!$B$9:$I$49,8,FALSE),0)</f>
        <v>0</v>
      </c>
      <c r="E33" s="253">
        <v>0</v>
      </c>
      <c r="F33" s="254">
        <f t="shared" si="0"/>
        <v>-51.069543518129848</v>
      </c>
      <c r="H33" s="251" t="s">
        <v>760</v>
      </c>
      <c r="I33" s="252">
        <f>IFERROR(VLOOKUP(H33,W27_PG_1_of_3!$B$9:$L$50,11,FALSE),0)</f>
        <v>-201.80853972738365</v>
      </c>
      <c r="J33" s="252">
        <f>IFERROR(VLOOKUP(H33,W29_PG_1_of_2!$B$10:$F$40,5,FALSE),0)</f>
        <v>151.2496916444351</v>
      </c>
      <c r="K33" s="252">
        <f>IFERROR(VLOOKUP(H33,W28_PG_1_of_4!$B$9:$J$49,9,FALSE),0)</f>
        <v>0</v>
      </c>
      <c r="L33" s="253">
        <v>0</v>
      </c>
      <c r="M33" s="255">
        <f t="shared" si="1"/>
        <v>-50.558848082948543</v>
      </c>
    </row>
    <row r="34" spans="1:13">
      <c r="A34" s="251" t="s">
        <v>761</v>
      </c>
      <c r="B34" s="252">
        <f>IFERROR(VLOOKUP(A34,W27_PG_1_of_3!$B$9:$K$50,10,FALSE),0)</f>
        <v>-96948.742106693026</v>
      </c>
      <c r="C34" s="252">
        <f>IFERROR(VLOOKUP(A34,W29_PG_1_of_2!$B$10:$D$40,3,FALSE),0)</f>
        <v>44251.438439469159</v>
      </c>
      <c r="D34" s="252">
        <f>IFERROR(VLOOKUP(A34,W28_PG_1_of_4!$B$9:$I$49,8,FALSE),0)</f>
        <v>-49268.449504095362</v>
      </c>
      <c r="E34" s="253">
        <v>0</v>
      </c>
      <c r="F34" s="254">
        <f t="shared" si="0"/>
        <v>-101965.75317131923</v>
      </c>
      <c r="H34" s="251" t="s">
        <v>761</v>
      </c>
      <c r="I34" s="252">
        <f>IFERROR(VLOOKUP(H34,W27_PG_1_of_3!$B$9:$L$50,11,FALSE),0)</f>
        <v>-95979.254685626089</v>
      </c>
      <c r="J34" s="252">
        <f>IFERROR(VLOOKUP(H34,W29_PG_1_of_2!$B$10:$F$40,5,FALSE),0)</f>
        <v>43808.924055074465</v>
      </c>
      <c r="K34" s="252">
        <f>IFERROR(VLOOKUP(H34,W28_PG_1_of_4!$B$9:$J$49,9,FALSE),0)</f>
        <v>-48775.765009054405</v>
      </c>
      <c r="L34" s="253">
        <v>0</v>
      </c>
      <c r="M34" s="255">
        <f t="shared" si="1"/>
        <v>-100946.09563960604</v>
      </c>
    </row>
    <row r="35" spans="1:13">
      <c r="A35" s="251" t="s">
        <v>762</v>
      </c>
      <c r="B35" s="252">
        <f>IFERROR(VLOOKUP(A35,W27_PG_1_of_3!$B$9:$K$50,10,FALSE),0)</f>
        <v>-322.54064317289806</v>
      </c>
      <c r="C35" s="252">
        <f>IFERROR(VLOOKUP(A35,W29_PG_1_of_2!$B$10:$D$40,3,FALSE),0)</f>
        <v>1.5594571095278298</v>
      </c>
      <c r="D35" s="252">
        <f>IFERROR(VLOOKUP(A35,W28_PG_1_of_4!$B$9:$I$49,8,FALSE),0)</f>
        <v>-431.02438626372532</v>
      </c>
      <c r="E35" s="253">
        <v>0</v>
      </c>
      <c r="F35" s="254">
        <f t="shared" si="0"/>
        <v>-752.00557232709548</v>
      </c>
      <c r="H35" s="251" t="s">
        <v>762</v>
      </c>
      <c r="I35" s="252">
        <f>IFERROR(VLOOKUP(H35,W27_PG_1_of_3!$B$9:$L$50,11,FALSE),0)</f>
        <v>-319.31523674116909</v>
      </c>
      <c r="J35" s="252">
        <f>IFERROR(VLOOKUP(H35,W29_PG_1_of_2!$B$10:$F$40,5,FALSE),0)</f>
        <v>1.5438625384325515</v>
      </c>
      <c r="K35" s="252">
        <f>IFERROR(VLOOKUP(H35,W28_PG_1_of_4!$B$9:$J$49,9,FALSE),0)</f>
        <v>-426.71414240108805</v>
      </c>
      <c r="L35" s="253">
        <v>0</v>
      </c>
      <c r="M35" s="255">
        <f t="shared" si="1"/>
        <v>-744.48551660382464</v>
      </c>
    </row>
    <row r="36" spans="1:13">
      <c r="A36" s="251" t="s">
        <v>763</v>
      </c>
      <c r="B36" s="252">
        <f>IFERROR(VLOOKUP(A36,W27_PG_1_of_3!$B$9:$K$50,10,FALSE),0)</f>
        <v>-909.59388563385073</v>
      </c>
      <c r="C36" s="252">
        <f>IFERROR(VLOOKUP(A36,W29_PG_1_of_2!$B$10:$D$40,3,FALSE),0)</f>
        <v>521.09163650652476</v>
      </c>
      <c r="D36" s="252">
        <f>IFERROR(VLOOKUP(A36,W28_PG_1_of_4!$B$9:$I$49,8,FALSE),0)</f>
        <v>-477.46282061173224</v>
      </c>
      <c r="E36" s="253">
        <v>0</v>
      </c>
      <c r="F36" s="254">
        <f t="shared" si="0"/>
        <v>-865.96506973905821</v>
      </c>
      <c r="H36" s="251" t="s">
        <v>763</v>
      </c>
      <c r="I36" s="252">
        <f>IFERROR(VLOOKUP(H36,W27_PG_1_of_3!$B$9:$L$50,11,FALSE),0)</f>
        <v>-900.4979467775122</v>
      </c>
      <c r="J36" s="252">
        <f>IFERROR(VLOOKUP(H36,W29_PG_1_of_2!$B$10:$F$40,5,FALSE),0)</f>
        <v>515.88072014145951</v>
      </c>
      <c r="K36" s="252">
        <f>IFERROR(VLOOKUP(H36,W28_PG_1_of_4!$B$9:$J$49,9,FALSE),0)</f>
        <v>-472.68819240561493</v>
      </c>
      <c r="L36" s="253">
        <v>0</v>
      </c>
      <c r="M36" s="255">
        <f t="shared" si="1"/>
        <v>-857.30541904166762</v>
      </c>
    </row>
    <row r="37" spans="1:13">
      <c r="A37" s="251" t="s">
        <v>764</v>
      </c>
      <c r="B37" s="252">
        <f>IFERROR(VLOOKUP(A37,W27_PG_1_of_3!$B$9:$K$50,10,FALSE),0)</f>
        <v>-513.54145779700207</v>
      </c>
      <c r="C37" s="252">
        <f>IFERROR(VLOOKUP(A37,W29_PG_1_of_2!$B$10:$D$40,3,FALSE),0)</f>
        <v>47.828462895829993</v>
      </c>
      <c r="D37" s="252">
        <f>IFERROR(VLOOKUP(A37,W28_PG_1_of_4!$B$9:$I$49,8,FALSE),0)</f>
        <v>-565.06404180597383</v>
      </c>
      <c r="E37" s="253">
        <v>0</v>
      </c>
      <c r="F37" s="254">
        <f t="shared" si="0"/>
        <v>-1030.777036707146</v>
      </c>
      <c r="H37" s="251" t="s">
        <v>764</v>
      </c>
      <c r="I37" s="252">
        <f>IFERROR(VLOOKUP(H37,W27_PG_1_of_3!$B$9:$L$50,11,FALSE),0)</f>
        <v>-508.40604321903203</v>
      </c>
      <c r="J37" s="252">
        <f>IFERROR(VLOOKUP(H37,W29_PG_1_of_2!$B$10:$F$40,5,FALSE),0)</f>
        <v>47.350178266871694</v>
      </c>
      <c r="K37" s="252">
        <f>IFERROR(VLOOKUP(H37,W28_PG_1_of_4!$B$9:$J$49,9,FALSE),0)</f>
        <v>-559.41340138791406</v>
      </c>
      <c r="L37" s="253">
        <v>0</v>
      </c>
      <c r="M37" s="255">
        <f t="shared" si="1"/>
        <v>-1020.4692663400745</v>
      </c>
    </row>
    <row r="38" spans="1:13">
      <c r="A38" s="251" t="s">
        <v>765</v>
      </c>
      <c r="B38" s="252">
        <f>IFERROR(VLOOKUP(A38,W27_PG_1_of_3!$B$9:$K$50,10,FALSE),0)</f>
        <v>-761.14838719897011</v>
      </c>
      <c r="C38" s="252">
        <f>IFERROR(VLOOKUP(A38,W29_PG_1_of_2!$B$10:$D$40,3,FALSE),0)</f>
        <v>30.599577520241347</v>
      </c>
      <c r="D38" s="252">
        <f>IFERROR(VLOOKUP(A38,W28_PG_1_of_4!$B$9:$I$49,8,FALSE),0)</f>
        <v>-980.45550032950996</v>
      </c>
      <c r="E38" s="253">
        <v>0</v>
      </c>
      <c r="F38" s="254">
        <f t="shared" si="0"/>
        <v>-1711.0043100082387</v>
      </c>
      <c r="H38" s="251" t="s">
        <v>765</v>
      </c>
      <c r="I38" s="252">
        <f>IFERROR(VLOOKUP(H38,W27_PG_1_of_3!$B$9:$L$50,11,FALSE),0)</f>
        <v>-753.53690332698045</v>
      </c>
      <c r="J38" s="252">
        <f>IFERROR(VLOOKUP(H38,W29_PG_1_of_2!$B$10:$F$40,5,FALSE),0)</f>
        <v>30.293581745038932</v>
      </c>
      <c r="K38" s="252">
        <f>IFERROR(VLOOKUP(H38,W28_PG_1_of_4!$B$9:$J$49,9,FALSE),0)</f>
        <v>-970.65094532621481</v>
      </c>
      <c r="L38" s="253">
        <v>0</v>
      </c>
      <c r="M38" s="255">
        <f t="shared" si="1"/>
        <v>-1693.8942669081562</v>
      </c>
    </row>
    <row r="39" spans="1:13">
      <c r="A39" s="251" t="s">
        <v>766</v>
      </c>
      <c r="B39" s="252">
        <f>IFERROR(VLOOKUP(A39,W27_PG_1_of_3!$B$9:$K$50,10,FALSE),0)</f>
        <v>-233.64832094231315</v>
      </c>
      <c r="C39" s="252">
        <f>IFERROR(VLOOKUP(A39,W29_PG_1_of_2!$B$10:$D$40,3,FALSE),0)</f>
        <v>26.106730383601249</v>
      </c>
      <c r="D39" s="252">
        <f>IFERROR(VLOOKUP(A39,W28_PG_1_of_4!$B$9:$I$49,8,FALSE),0)</f>
        <v>-250.65663431637586</v>
      </c>
      <c r="E39" s="253">
        <v>0</v>
      </c>
      <c r="F39" s="254">
        <f t="shared" si="0"/>
        <v>-458.19822487508776</v>
      </c>
      <c r="H39" s="251" t="s">
        <v>766</v>
      </c>
      <c r="I39" s="252">
        <f>IFERROR(VLOOKUP(H39,W27_PG_1_of_3!$B$9:$L$50,11,FALSE),0)</f>
        <v>-231.31183773289001</v>
      </c>
      <c r="J39" s="252">
        <f>IFERROR(VLOOKUP(H39,W29_PG_1_of_2!$B$10:$F$40,5,FALSE),0)</f>
        <v>25.845663079765238</v>
      </c>
      <c r="K39" s="252">
        <f>IFERROR(VLOOKUP(H39,W28_PG_1_of_4!$B$9:$J$49,9,FALSE),0)</f>
        <v>-248.15006797321209</v>
      </c>
      <c r="L39" s="253">
        <v>0</v>
      </c>
      <c r="M39" s="255">
        <f t="shared" si="1"/>
        <v>-453.61624262633688</v>
      </c>
    </row>
    <row r="40" spans="1:13">
      <c r="A40" s="251" t="s">
        <v>767</v>
      </c>
      <c r="B40" s="252">
        <f>IFERROR(VLOOKUP(A40,W27_PG_1_of_3!$B$9:$K$50,10,FALSE),0)</f>
        <v>-165.71136422491855</v>
      </c>
      <c r="C40" s="252">
        <f>IFERROR(VLOOKUP(A40,W29_PG_1_of_2!$B$10:$D$40,3,FALSE),0)</f>
        <v>0</v>
      </c>
      <c r="D40" s="252">
        <f>IFERROR(VLOOKUP(A40,W28_PG_1_of_4!$B$9:$I$49,8,FALSE),0)</f>
        <v>-251.84527040793182</v>
      </c>
      <c r="E40" s="253">
        <v>0</v>
      </c>
      <c r="F40" s="254">
        <f t="shared" si="0"/>
        <v>-417.55663463285038</v>
      </c>
      <c r="H40" s="251" t="s">
        <v>767</v>
      </c>
      <c r="I40" s="252">
        <f>IFERROR(VLOOKUP(H40,W27_PG_1_of_3!$B$9:$L$50,11,FALSE),0)</f>
        <v>-164.05425058266937</v>
      </c>
      <c r="J40" s="252">
        <f>IFERROR(VLOOKUP(H40,W29_PG_1_of_2!$B$10:$F$40,5,FALSE),0)</f>
        <v>0</v>
      </c>
      <c r="K40" s="252">
        <f>IFERROR(VLOOKUP(H40,W28_PG_1_of_4!$B$9:$J$49,9,FALSE),0)</f>
        <v>-249.3268177038525</v>
      </c>
      <c r="L40" s="253">
        <v>0</v>
      </c>
      <c r="M40" s="255">
        <f t="shared" si="1"/>
        <v>-413.3810682865219</v>
      </c>
    </row>
    <row r="41" spans="1:13">
      <c r="A41" s="251" t="s">
        <v>768</v>
      </c>
      <c r="B41" s="252">
        <f>IFERROR(VLOOKUP(A41,W27_PG_1_of_3!$B$9:$K$50,10,FALSE),0)</f>
        <v>-6467.4233167066195</v>
      </c>
      <c r="C41" s="252">
        <f>IFERROR(VLOOKUP(A41,W29_PG_1_of_2!$B$10:$D$40,3,FALSE),0)</f>
        <v>126.6228763557111</v>
      </c>
      <c r="D41" s="252">
        <f>IFERROR(VLOOKUP(A41,W28_PG_1_of_4!$B$9:$I$49,8,FALSE),0)</f>
        <v>-7816.7887998122605</v>
      </c>
      <c r="E41" s="253">
        <v>0</v>
      </c>
      <c r="F41" s="254">
        <f t="shared" si="0"/>
        <v>-14157.589240163168</v>
      </c>
      <c r="H41" s="251" t="s">
        <v>768</v>
      </c>
      <c r="I41" s="252">
        <f>IFERROR(VLOOKUP(H41,W27_PG_1_of_3!$B$9:$L$50,11,FALSE),0)</f>
        <v>-6402.7490835395529</v>
      </c>
      <c r="J41" s="252">
        <f>IFERROR(VLOOKUP(H41,W29_PG_1_of_2!$B$10:$F$40,5,FALSE),0)</f>
        <v>125.35664759215399</v>
      </c>
      <c r="K41" s="252">
        <f>IFERROR(VLOOKUP(H41,W28_PG_1_of_4!$B$9:$J$49,9,FALSE),0)</f>
        <v>-7738.6209118141378</v>
      </c>
      <c r="L41" s="253">
        <v>0</v>
      </c>
      <c r="M41" s="255">
        <f t="shared" si="1"/>
        <v>-14016.013347761536</v>
      </c>
    </row>
    <row r="42" spans="1:13">
      <c r="A42" s="251" t="s">
        <v>769</v>
      </c>
      <c r="B42" s="252">
        <f>IFERROR(VLOOKUP(A42,W27_PG_1_of_3!$B$9:$K$50,10,FALSE),0)</f>
        <v>-30861.05504640509</v>
      </c>
      <c r="C42" s="252">
        <f>IFERROR(VLOOKUP(A42,W29_PG_1_of_2!$B$10:$D$40,3,FALSE),0)</f>
        <v>2663.6770972459844</v>
      </c>
      <c r="D42" s="252">
        <f>IFERROR(VLOOKUP(A42,W28_PG_1_of_4!$B$9:$I$49,8,FALSE),0)</f>
        <v>-32185.953855611151</v>
      </c>
      <c r="E42" s="253">
        <v>0</v>
      </c>
      <c r="F42" s="254">
        <f t="shared" si="0"/>
        <v>-60383.331804770256</v>
      </c>
      <c r="H42" s="251" t="s">
        <v>769</v>
      </c>
      <c r="I42" s="252">
        <f>IFERROR(VLOOKUP(H42,W27_PG_1_of_3!$B$9:$L$50,11,FALSE),0)</f>
        <v>-30552.444495941039</v>
      </c>
      <c r="J42" s="252">
        <f>IFERROR(VLOOKUP(H42,W29_PG_1_of_2!$B$10:$F$40,5,FALSE),0)</f>
        <v>2637.0403262735244</v>
      </c>
      <c r="K42" s="252">
        <f>IFERROR(VLOOKUP(H42,W28_PG_1_of_4!$B$9:$J$49,9,FALSE),0)</f>
        <v>-31864.094317055038</v>
      </c>
      <c r="L42" s="253">
        <v>0</v>
      </c>
      <c r="M42" s="255">
        <f t="shared" si="1"/>
        <v>-59779.498486722558</v>
      </c>
    </row>
    <row r="43" spans="1:13">
      <c r="A43" s="251" t="s">
        <v>770</v>
      </c>
      <c r="B43" s="252">
        <f>IFERROR(VLOOKUP(A43,W27_PG_1_of_3!$B$9:$K$50,10,FALSE),0)</f>
        <v>-114.43414131545293</v>
      </c>
      <c r="C43" s="252">
        <f>IFERROR(VLOOKUP(A43,W29_PG_1_of_2!$B$10:$D$40,3,FALSE),0)</f>
        <v>7.2224300176487706</v>
      </c>
      <c r="D43" s="252">
        <f>IFERROR(VLOOKUP(A43,W28_PG_1_of_4!$B$9:$I$49,8,FALSE),0)</f>
        <v>-109.22734398361808</v>
      </c>
      <c r="E43" s="253">
        <v>0</v>
      </c>
      <c r="F43" s="254">
        <f t="shared" si="0"/>
        <v>-216.43905528142224</v>
      </c>
      <c r="H43" s="251" t="s">
        <v>770</v>
      </c>
      <c r="I43" s="252">
        <f>IFERROR(VLOOKUP(H43,W27_PG_1_of_3!$B$9:$L$50,11,FALSE),0)</f>
        <v>-113.2897999022984</v>
      </c>
      <c r="J43" s="252">
        <f>IFERROR(VLOOKUP(H43,W29_PG_1_of_2!$B$10:$F$40,5,FALSE),0)</f>
        <v>7.1502057174722831</v>
      </c>
      <c r="K43" s="252">
        <f>IFERROR(VLOOKUP(H43,W28_PG_1_of_4!$B$9:$J$49,9,FALSE),0)</f>
        <v>-108.13507054378191</v>
      </c>
      <c r="L43" s="253">
        <v>0</v>
      </c>
      <c r="M43" s="255">
        <f t="shared" si="1"/>
        <v>-214.274664728608</v>
      </c>
    </row>
    <row r="44" spans="1:13">
      <c r="A44" s="251" t="s">
        <v>771</v>
      </c>
      <c r="B44" s="252">
        <f>IFERROR(VLOOKUP(A44,W27_PG_1_of_3!$B$9:$K$50,10,FALSE),0)</f>
        <v>-5182.7337979538333</v>
      </c>
      <c r="C44" s="252">
        <f>IFERROR(VLOOKUP(A44,W29_PG_1_of_2!$B$10:$D$40,3,FALSE),0)</f>
        <v>0</v>
      </c>
      <c r="D44" s="252">
        <f>IFERROR(VLOOKUP(A44,W28_PG_1_of_4!$B$9:$I$49,8,FALSE),0)</f>
        <v>-5190.4193725032674</v>
      </c>
      <c r="E44" s="253">
        <v>0</v>
      </c>
      <c r="F44" s="254">
        <f t="shared" si="0"/>
        <v>-10373.153170457101</v>
      </c>
      <c r="H44" s="251" t="s">
        <v>771</v>
      </c>
      <c r="I44" s="252">
        <f>IFERROR(VLOOKUP(H44,W27_PG_1_of_3!$B$9:$L$50,11,FALSE),0)</f>
        <v>-5130.9064599742951</v>
      </c>
      <c r="J44" s="252">
        <f>IFERROR(VLOOKUP(H44,W29_PG_1_of_2!$B$10:$F$40,5,FALSE),0)</f>
        <v>0</v>
      </c>
      <c r="K44" s="252">
        <f>IFERROR(VLOOKUP(H44,W28_PG_1_of_4!$B$9:$J$49,9,FALSE),0)</f>
        <v>-5138.5151787782343</v>
      </c>
      <c r="L44" s="253">
        <v>0</v>
      </c>
      <c r="M44" s="255">
        <f t="shared" si="1"/>
        <v>-10269.42163875253</v>
      </c>
    </row>
    <row r="45" spans="1:13">
      <c r="A45" s="251" t="s">
        <v>772</v>
      </c>
      <c r="B45" s="252">
        <f>IFERROR(VLOOKUP(A45,W27_PG_1_of_3!$B$9:$K$50,10,FALSE),0)</f>
        <v>-31.832903882957169</v>
      </c>
      <c r="C45" s="252">
        <f>IFERROR(VLOOKUP(A45,W29_PG_1_of_2!$B$10:$D$40,3,FALSE),0)</f>
        <v>0</v>
      </c>
      <c r="D45" s="252">
        <f>IFERROR(VLOOKUP(A45,W28_PG_1_of_4!$B$9:$I$49,8,FALSE),0)</f>
        <v>-26.819335878467882</v>
      </c>
      <c r="E45" s="253">
        <v>0</v>
      </c>
      <c r="F45" s="254">
        <f t="shared" si="0"/>
        <v>-58.652239761425051</v>
      </c>
      <c r="H45" s="251" t="s">
        <v>772</v>
      </c>
      <c r="I45" s="252">
        <f>IFERROR(VLOOKUP(H45,W27_PG_1_of_3!$B$9:$L$50,11,FALSE),0)</f>
        <v>-31.514574844127598</v>
      </c>
      <c r="J45" s="252">
        <f>IFERROR(VLOOKUP(H45,W29_PG_1_of_2!$B$10:$F$40,5,FALSE),0)</f>
        <v>0</v>
      </c>
      <c r="K45" s="252">
        <f>IFERROR(VLOOKUP(H45,W28_PG_1_of_4!$B$9:$J$49,9,FALSE),0)</f>
        <v>-26.551142519683204</v>
      </c>
      <c r="L45" s="253">
        <v>0</v>
      </c>
      <c r="M45" s="255">
        <f t="shared" si="1"/>
        <v>-58.065717363810805</v>
      </c>
    </row>
    <row r="46" spans="1:13">
      <c r="A46" s="251" t="s">
        <v>773</v>
      </c>
      <c r="B46" s="252">
        <f>IFERROR(VLOOKUP(A46,W27_PG_1_of_3!$B$9:$K$50,10,FALSE),0)</f>
        <v>-51398.659594838144</v>
      </c>
      <c r="C46" s="252">
        <f>IFERROR(VLOOKUP(A46,W29_PG_1_of_2!$B$10:$D$40,3,FALSE),0)</f>
        <v>31.51153011955082</v>
      </c>
      <c r="D46" s="252">
        <f>IFERROR(VLOOKUP(A46,W28_PG_1_of_4!$B$9:$I$49,8,FALSE),0)</f>
        <v>-51319.665708007757</v>
      </c>
      <c r="E46" s="253">
        <v>0</v>
      </c>
      <c r="F46" s="254">
        <f t="shared" si="0"/>
        <v>-102686.81377272635</v>
      </c>
      <c r="H46" s="251" t="s">
        <v>773</v>
      </c>
      <c r="I46" s="252">
        <f>IFERROR(VLOOKUP(H46,W27_PG_1_of_3!$B$9:$L$50,11,FALSE),0)</f>
        <v>-50884.672998889764</v>
      </c>
      <c r="J46" s="252">
        <f>IFERROR(VLOOKUP(H46,W29_PG_1_of_2!$B$10:$F$40,5,FALSE),0)</f>
        <v>31.196414818355311</v>
      </c>
      <c r="K46" s="252">
        <f>IFERROR(VLOOKUP(H46,W28_PG_1_of_4!$B$9:$J$49,9,FALSE),0)</f>
        <v>-50806.469050927677</v>
      </c>
      <c r="L46" s="253">
        <v>0</v>
      </c>
      <c r="M46" s="255">
        <f t="shared" si="1"/>
        <v>-101659.94563499908</v>
      </c>
    </row>
    <row r="47" spans="1:13">
      <c r="A47" s="251" t="s">
        <v>774</v>
      </c>
      <c r="B47" s="252">
        <f>IFERROR(VLOOKUP(A47,W27_PG_1_of_3!$B$9:$K$50,10,FALSE),0)</f>
        <v>0</v>
      </c>
      <c r="C47" s="252">
        <f>IFERROR(VLOOKUP(A47,W29_PG_1_of_2!$B$10:$D$40,3,FALSE),0)</f>
        <v>0</v>
      </c>
      <c r="D47" s="252">
        <f>IFERROR(VLOOKUP(A47,W28_PG_1_of_4!$B$9:$I$49,8,FALSE),0)</f>
        <v>14358.186485655548</v>
      </c>
      <c r="E47" s="253">
        <v>0</v>
      </c>
      <c r="F47" s="254">
        <f t="shared" si="0"/>
        <v>14358.186485655548</v>
      </c>
      <c r="H47" s="251" t="s">
        <v>774</v>
      </c>
      <c r="I47" s="252">
        <f>IFERROR(VLOOKUP(H47,W27_PG_1_of_3!$B$9:$L$50,11,FALSE),0)</f>
        <v>0</v>
      </c>
      <c r="J47" s="252">
        <f>IFERROR(VLOOKUP(H47,W29_PG_1_of_2!$B$10:$F$40,5,FALSE),0)</f>
        <v>0</v>
      </c>
      <c r="K47" s="252">
        <f>IFERROR(VLOOKUP(H47,W28_PG_1_of_4!$B$9:$J$49,9,FALSE),0)</f>
        <v>14214.604620798991</v>
      </c>
      <c r="L47" s="253">
        <v>0</v>
      </c>
      <c r="M47" s="255">
        <f t="shared" si="1"/>
        <v>14214.604620798991</v>
      </c>
    </row>
    <row r="48" spans="1:13">
      <c r="A48" s="251" t="s">
        <v>775</v>
      </c>
      <c r="B48" s="252">
        <f>IFERROR(VLOOKUP(A48,W27_PG_1_of_3!$B$9:$K$50,10,FALSE),0)</f>
        <v>-1154.5504348658906</v>
      </c>
      <c r="C48" s="252">
        <f>IFERROR(VLOOKUP(A48,W29_PG_1_of_2!$B$10:$D$40,3,FALSE),0)</f>
        <v>92.766165791962152</v>
      </c>
      <c r="D48" s="252">
        <f>IFERROR(VLOOKUP(A48,W28_PG_1_of_4!$B$9:$I$49,8,FALSE),0)</f>
        <v>-314.59990457165259</v>
      </c>
      <c r="E48" s="271">
        <v>-58049.837641946397</v>
      </c>
      <c r="F48" s="254">
        <f t="shared" si="0"/>
        <v>-59426.221815591976</v>
      </c>
      <c r="H48" s="251" t="s">
        <v>775</v>
      </c>
      <c r="I48" s="252">
        <f>IFERROR(VLOOKUP(H48,W27_PG_1_of_3!$B$9:$L$50,11,FALSE),0)</f>
        <v>-1143.0049305172317</v>
      </c>
      <c r="J48" s="252">
        <f>IFERROR(VLOOKUP(H48,W29_PG_1_of_2!$B$10:$F$40,5,FALSE),0)</f>
        <v>91.838504134042523</v>
      </c>
      <c r="K48" s="252">
        <f>IFERROR(VLOOKUP(H48,W28_PG_1_of_4!$B$9:$J$49,9,FALSE),0)</f>
        <v>-311.45390552593608</v>
      </c>
      <c r="L48" s="252">
        <v>-57469</v>
      </c>
      <c r="M48" s="255">
        <f t="shared" si="1"/>
        <v>-58831.620331909122</v>
      </c>
    </row>
    <row r="49" spans="1:13">
      <c r="A49" s="251" t="s">
        <v>776</v>
      </c>
      <c r="B49" s="252">
        <f>IFERROR(VLOOKUP(A49,W27_PG_1_of_3!$B$9:$K$50,10,FALSE),0)</f>
        <v>-878.4891850863396</v>
      </c>
      <c r="C49" s="252">
        <f>IFERROR(VLOOKUP(A49,W29_PG_1_of_2!$B$10:$D$40,3,FALSE),0)</f>
        <v>0</v>
      </c>
      <c r="D49" s="252">
        <f>IFERROR(VLOOKUP(A49,W28_PG_1_of_4!$B$9:$I$49,8,FALSE),0)</f>
        <v>-881.39193427588543</v>
      </c>
      <c r="E49" s="253">
        <v>0</v>
      </c>
      <c r="F49" s="254">
        <f t="shared" si="0"/>
        <v>-1759.881119362225</v>
      </c>
      <c r="H49" s="251" t="s">
        <v>776</v>
      </c>
      <c r="I49" s="252">
        <f>IFERROR(VLOOKUP(H49,W27_PG_1_of_3!$B$9:$L$50,11,FALSE),0)</f>
        <v>-869.70429323547614</v>
      </c>
      <c r="J49" s="252">
        <f>IFERROR(VLOOKUP(H49,W29_PG_1_of_2!$B$10:$F$40,5,FALSE),0)</f>
        <v>0</v>
      </c>
      <c r="K49" s="252">
        <f>IFERROR(VLOOKUP(H49,W28_PG_1_of_4!$B$9:$J$49,9,FALSE),0)</f>
        <v>-872.57801493312661</v>
      </c>
      <c r="L49" s="253">
        <v>0</v>
      </c>
      <c r="M49" s="255">
        <f t="shared" si="1"/>
        <v>-1742.2823081686029</v>
      </c>
    </row>
    <row r="50" spans="1:13">
      <c r="A50" s="251" t="s">
        <v>777</v>
      </c>
      <c r="B50" s="252">
        <f>IFERROR(VLOOKUP(A50,W27_PG_1_of_3!$B$9:$K$50,10,FALSE),0)</f>
        <v>-1786.3460464423429</v>
      </c>
      <c r="C50" s="252">
        <f>IFERROR(VLOOKUP(A50,W29_PG_1_of_2!$B$10:$D$40,3,FALSE),0)</f>
        <v>94.731375072542491</v>
      </c>
      <c r="D50" s="252">
        <f>IFERROR(VLOOKUP(A50,W28_PG_1_of_4!$B$9:$I$49,8,FALSE),0)</f>
        <v>-204.99126439608881</v>
      </c>
      <c r="E50" s="253">
        <v>0</v>
      </c>
      <c r="F50" s="254">
        <f t="shared" si="0"/>
        <v>-1896.6059357658892</v>
      </c>
      <c r="H50" s="251" t="s">
        <v>777</v>
      </c>
      <c r="I50" s="252">
        <f>IFERROR(VLOOKUP(H50,W27_PG_1_of_3!$B$9:$L$50,11,FALSE),0)</f>
        <v>-1768.4825859779194</v>
      </c>
      <c r="J50" s="252">
        <f>IFERROR(VLOOKUP(H50,W29_PG_1_of_2!$B$10:$F$40,5,FALSE),0)</f>
        <v>93.784061321817063</v>
      </c>
      <c r="K50" s="252">
        <f>IFERROR(VLOOKUP(H50,W28_PG_1_of_4!$B$9:$J$49,9,FALSE),0)</f>
        <v>-202.94135175212793</v>
      </c>
      <c r="L50" s="253">
        <v>0</v>
      </c>
      <c r="M50" s="255">
        <f t="shared" si="1"/>
        <v>-1877.6398764082303</v>
      </c>
    </row>
    <row r="51" spans="1:13">
      <c r="A51" s="272" t="s">
        <v>778</v>
      </c>
      <c r="B51" s="252">
        <f>IFERROR(VLOOKUP(A51,W27_PG_1_of_3!$B$9:$K$50,10,FALSE),0)</f>
        <v>-45607.640882541826</v>
      </c>
      <c r="C51" s="252">
        <f>IFERROR(VLOOKUP(A51,W29_PG_1_of_2!$B$10:$D$40,3,FALSE),0)</f>
        <v>1220.9863001880829</v>
      </c>
      <c r="D51" s="252">
        <f>IFERROR(VLOOKUP(A51,W28_PG_1_of_4!$B$9:$I$49,8,FALSE),0)</f>
        <v>-18663.226351247751</v>
      </c>
      <c r="E51" s="273">
        <v>0</v>
      </c>
      <c r="F51" s="274">
        <f t="shared" si="0"/>
        <v>-63049.880933601497</v>
      </c>
      <c r="H51" s="251" t="s">
        <v>778</v>
      </c>
      <c r="I51" s="252">
        <f>IFERROR(VLOOKUP(H51,W27_PG_1_of_3!$B$9:$L$50,11,FALSE),0)</f>
        <v>-45151.564473716404</v>
      </c>
      <c r="J51" s="252">
        <f>IFERROR(VLOOKUP(H51,W29_PG_1_of_2!$B$10:$F$40,5,FALSE),0)</f>
        <v>1208.776437186202</v>
      </c>
      <c r="K51" s="252">
        <f>IFERROR(VLOOKUP(H51,W28_PG_1_of_4!$B$9:$J$49,9,FALSE),0)</f>
        <v>-18476.594087735273</v>
      </c>
      <c r="L51" s="253">
        <v>0</v>
      </c>
      <c r="M51" s="255">
        <f t="shared" si="1"/>
        <v>-62419.382124265481</v>
      </c>
    </row>
    <row r="52" spans="1:13">
      <c r="A52" s="275" t="s">
        <v>277</v>
      </c>
      <c r="B52" s="276">
        <f>SUM(B9:B51)</f>
        <v>-955170.62397497054</v>
      </c>
      <c r="C52" s="276">
        <f t="shared" ref="C52:F52" si="2">SUM(C9:C51)</f>
        <v>96812.796398123726</v>
      </c>
      <c r="D52" s="276">
        <f t="shared" si="2"/>
        <v>-592888.11347181222</v>
      </c>
      <c r="E52" s="276">
        <f t="shared" si="2"/>
        <v>-58049.837641946397</v>
      </c>
      <c r="F52" s="277">
        <f t="shared" si="2"/>
        <v>-1509295.7786906054</v>
      </c>
      <c r="H52" s="278" t="s">
        <v>277</v>
      </c>
      <c r="I52" s="279">
        <f>SUM(I9:I51)</f>
        <v>-945618.91773522121</v>
      </c>
      <c r="J52" s="279">
        <f t="shared" ref="J52:M52" si="3">SUM(J9:J51)</f>
        <v>95844.668434142455</v>
      </c>
      <c r="K52" s="279">
        <f t="shared" si="3"/>
        <v>-586959.23233709403</v>
      </c>
      <c r="L52" s="279">
        <f t="shared" si="3"/>
        <v>-57469</v>
      </c>
      <c r="M52" s="280">
        <f t="shared" si="3"/>
        <v>-1494202.4816381726</v>
      </c>
    </row>
    <row r="55" spans="1:13">
      <c r="A55" s="6" t="s">
        <v>2</v>
      </c>
      <c r="B55" s="6" t="s">
        <v>3</v>
      </c>
    </row>
  </sheetData>
  <mergeCells count="9">
    <mergeCell ref="O19:P19"/>
    <mergeCell ref="A1:B1"/>
    <mergeCell ref="A3:C3"/>
    <mergeCell ref="A6:F6"/>
    <mergeCell ref="H6:M6"/>
    <mergeCell ref="A7:A8"/>
    <mergeCell ref="F7:F8"/>
    <mergeCell ref="H7:H8"/>
    <mergeCell ref="M7:M8"/>
  </mergeCells>
  <pageMargins left="0.7" right="0.7" top="0.75" bottom="0.75" header="0.3" footer="0.3"/>
  <pageSetup paperSize="3" scale="86" orientation="landscape" horizontalDpi="200" verticalDpi="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zoomScaleNormal="100" workbookViewId="0">
      <pane ySplit="8" topLeftCell="A24" activePane="bottomLeft" state="frozen"/>
      <selection activeCell="G50" sqref="G50"/>
      <selection pane="bottomLeft" activeCell="O34" sqref="O34"/>
    </sheetView>
  </sheetViews>
  <sheetFormatPr defaultColWidth="9.109375" defaultRowHeight="13.2"/>
  <cols>
    <col min="1" max="1" width="4.5546875" style="248" customWidth="1"/>
    <col min="2" max="2" width="12.33203125" style="248" bestFit="1" customWidth="1"/>
    <col min="3" max="3" width="12.109375" style="248" bestFit="1" customWidth="1"/>
    <col min="4" max="4" width="13.88671875" style="248" customWidth="1"/>
    <col min="5" max="5" width="13.33203125" style="248" customWidth="1"/>
    <col min="6" max="6" width="1.6640625" style="248" customWidth="1"/>
    <col min="7" max="7" width="13" style="248" customWidth="1"/>
    <col min="8" max="8" width="12.33203125" style="248" customWidth="1"/>
    <col min="9" max="9" width="12.109375" style="248" customWidth="1"/>
    <col min="10" max="10" width="1.88671875" style="283" customWidth="1"/>
    <col min="11" max="11" width="14.109375" style="283" customWidth="1"/>
    <col min="12" max="12" width="12.6640625" style="283" bestFit="1" customWidth="1"/>
    <col min="13" max="13" width="12.33203125" style="248" bestFit="1" customWidth="1"/>
    <col min="14" max="16384" width="9.109375" style="248"/>
  </cols>
  <sheetData>
    <row r="1" spans="1:13" ht="12.75" customHeight="1">
      <c r="A1" s="230" t="s">
        <v>0</v>
      </c>
      <c r="B1" s="281"/>
      <c r="C1"/>
      <c r="D1"/>
    </row>
    <row r="2" spans="1:13" ht="12.75" customHeight="1">
      <c r="A2" s="282" t="s">
        <v>961</v>
      </c>
      <c r="B2" s="281"/>
      <c r="C2"/>
      <c r="D2"/>
    </row>
    <row r="3" spans="1:13" ht="12.75" customHeight="1">
      <c r="A3" s="230" t="s">
        <v>107</v>
      </c>
      <c r="B3" s="281"/>
      <c r="C3" s="281"/>
      <c r="D3"/>
    </row>
    <row r="4" spans="1:13" ht="12.75" customHeight="1">
      <c r="A4" s="282" t="s">
        <v>962</v>
      </c>
      <c r="B4" s="281"/>
      <c r="C4" s="281"/>
      <c r="D4" s="281"/>
    </row>
    <row r="5" spans="1:13">
      <c r="A5" s="283"/>
      <c r="B5" s="283"/>
      <c r="C5" s="283"/>
      <c r="D5" s="283"/>
      <c r="E5" s="283"/>
      <c r="F5" s="283"/>
      <c r="G5" s="283"/>
      <c r="H5" s="283"/>
      <c r="I5" s="283"/>
    </row>
    <row r="6" spans="1:13" ht="76.5" customHeight="1">
      <c r="A6" s="547" t="s">
        <v>418</v>
      </c>
      <c r="B6" s="548" t="s">
        <v>134</v>
      </c>
      <c r="C6" s="549" t="s">
        <v>784</v>
      </c>
      <c r="D6" s="549" t="s">
        <v>785</v>
      </c>
      <c r="E6" s="549" t="s">
        <v>786</v>
      </c>
      <c r="F6" s="284"/>
      <c r="G6" s="550" t="s">
        <v>787</v>
      </c>
      <c r="H6" s="545" t="s">
        <v>785</v>
      </c>
      <c r="I6" s="545" t="s">
        <v>788</v>
      </c>
      <c r="J6" s="284"/>
      <c r="K6" s="545" t="s">
        <v>789</v>
      </c>
      <c r="L6" s="285" t="s">
        <v>790</v>
      </c>
      <c r="M6" s="283"/>
    </row>
    <row r="7" spans="1:13">
      <c r="A7" s="547"/>
      <c r="B7" s="548"/>
      <c r="C7" s="549"/>
      <c r="D7" s="549"/>
      <c r="E7" s="549"/>
      <c r="F7" s="284"/>
      <c r="G7" s="551"/>
      <c r="H7" s="546"/>
      <c r="I7" s="546"/>
      <c r="J7" s="284"/>
      <c r="K7" s="546"/>
      <c r="L7" s="286">
        <v>0.99</v>
      </c>
      <c r="M7" s="283"/>
    </row>
    <row r="8" spans="1:13">
      <c r="B8" s="287" t="s">
        <v>791</v>
      </c>
      <c r="C8" s="287" t="s">
        <v>792</v>
      </c>
      <c r="D8" s="287" t="s">
        <v>793</v>
      </c>
      <c r="E8" s="287" t="s">
        <v>794</v>
      </c>
      <c r="F8" s="287"/>
      <c r="G8" s="288" t="s">
        <v>795</v>
      </c>
      <c r="H8" s="287" t="s">
        <v>796</v>
      </c>
      <c r="I8" s="287" t="s">
        <v>797</v>
      </c>
      <c r="J8" s="289"/>
      <c r="K8" s="289" t="s">
        <v>798</v>
      </c>
      <c r="L8" s="289" t="s">
        <v>799</v>
      </c>
    </row>
    <row r="9" spans="1:13">
      <c r="A9" s="248">
        <v>1</v>
      </c>
      <c r="B9" s="248" t="s">
        <v>731</v>
      </c>
      <c r="C9" s="290">
        <f>IFERROR(VLOOKUP(B9,W27_PG_2_of_3!A$11:E$64,5,FALSE),0)</f>
        <v>43524.482211368115</v>
      </c>
      <c r="D9" s="290">
        <f>IFERROR(VLOOKUP(B9,W27_PG_2_of_3!A$70:E$123,5,FALSE),0)</f>
        <v>23146.277836117526</v>
      </c>
      <c r="E9" s="290">
        <f>D9-C9</f>
        <v>-20378.204375250589</v>
      </c>
      <c r="F9" s="290"/>
      <c r="G9" s="290">
        <f>IFERROR(VLOOKUP(B9,W27_PG_3_of_3!A$10:B$61,2,FALSE),0)</f>
        <v>1000.8973572771174</v>
      </c>
      <c r="H9" s="290">
        <f>IFERROR(VLOOKUP(B9,W27_PG_3_of_3!A66:B117,2,FALSE),0)</f>
        <v>911.14393390811256</v>
      </c>
      <c r="I9" s="290">
        <f>H9-G9</f>
        <v>-89.75342336900485</v>
      </c>
      <c r="J9" s="291"/>
      <c r="K9" s="291">
        <f>E9+I9</f>
        <v>-20467.957798619595</v>
      </c>
      <c r="L9" s="292">
        <f>K9*L$7</f>
        <v>-20263.278220633398</v>
      </c>
    </row>
    <row r="10" spans="1:13">
      <c r="A10" s="248">
        <f>A9+1</f>
        <v>2</v>
      </c>
      <c r="B10" s="248" t="s">
        <v>732</v>
      </c>
      <c r="C10" s="290">
        <f>IFERROR(VLOOKUP(B10,W27_PG_2_of_3!A$11:E$64,5,FALSE),0)</f>
        <v>262674.0380124345</v>
      </c>
      <c r="D10" s="290">
        <f>IFERROR(VLOOKUP(B10,W27_PG_2_of_3!A$70:E$123,5,FALSE),0)</f>
        <v>139831.64733370399</v>
      </c>
      <c r="E10" s="290">
        <f t="shared" ref="E10:E50" si="0">D10-C10</f>
        <v>-122842.3906787305</v>
      </c>
      <c r="F10" s="290"/>
      <c r="G10" s="290">
        <f>IFERROR(VLOOKUP(B10,W27_PG_3_of_3!A$10:B$61,2,FALSE),0)</f>
        <v>4258.4338658074403</v>
      </c>
      <c r="H10" s="290">
        <f>IFERROR(VLOOKUP(B10,W27_PG_3_of_3!A67:B118,2,FALSE),0)</f>
        <v>3876.5675187061743</v>
      </c>
      <c r="I10" s="290">
        <f t="shared" ref="I10:I50" si="1">H10-G10</f>
        <v>-381.866347101266</v>
      </c>
      <c r="J10" s="291"/>
      <c r="K10" s="291">
        <f t="shared" ref="K10:K50" si="2">E10+I10</f>
        <v>-123224.25702583177</v>
      </c>
      <c r="L10" s="292">
        <f t="shared" ref="L10:L50" si="3">K10*L$7</f>
        <v>-121992.01445557346</v>
      </c>
    </row>
    <row r="11" spans="1:13">
      <c r="A11" s="248">
        <f t="shared" ref="A11:A51" si="4">A10+1</f>
        <v>3</v>
      </c>
      <c r="B11" s="248" t="s">
        <v>733</v>
      </c>
      <c r="C11" s="290">
        <f>IFERROR(VLOOKUP(B11,W27_PG_2_of_3!A$11:E$64,5,FALSE),0)</f>
        <v>91358.843345712288</v>
      </c>
      <c r="D11" s="290">
        <f>IFERROR(VLOOKUP(B11,W27_PG_2_of_3!A$70:E$123,5,FALSE),0)</f>
        <v>48633.617590321795</v>
      </c>
      <c r="E11" s="290">
        <f t="shared" si="0"/>
        <v>-42725.225755390493</v>
      </c>
      <c r="F11" s="290"/>
      <c r="G11" s="290">
        <f>IFERROR(VLOOKUP(B11,W27_PG_3_of_3!A$10:B$61,2,FALSE),0)</f>
        <v>1531.3248194712605</v>
      </c>
      <c r="H11" s="290">
        <f>IFERROR(VLOOKUP(B11,W27_PG_3_of_3!A68:B119,2,FALSE),0)</f>
        <v>1394.0063983182954</v>
      </c>
      <c r="I11" s="290">
        <f t="shared" si="1"/>
        <v>-137.31842115296513</v>
      </c>
      <c r="J11" s="291"/>
      <c r="K11" s="291">
        <f t="shared" si="2"/>
        <v>-42862.544176543459</v>
      </c>
      <c r="L11" s="292">
        <f t="shared" si="3"/>
        <v>-42433.918734778024</v>
      </c>
    </row>
    <row r="12" spans="1:13">
      <c r="A12" s="248">
        <f t="shared" si="4"/>
        <v>4</v>
      </c>
      <c r="B12" s="248" t="s">
        <v>734</v>
      </c>
      <c r="C12" s="290">
        <f>IFERROR(VLOOKUP(B12,W27_PG_2_of_3!A$11:E$64,5,FALSE),0)</f>
        <v>7.6561115863367792</v>
      </c>
      <c r="D12" s="290">
        <f>IFERROR(VLOOKUP(B12,W27_PG_2_of_3!A$70:E$123,5,FALSE),0)</f>
        <v>4.077136062893489</v>
      </c>
      <c r="E12" s="290">
        <f t="shared" si="0"/>
        <v>-3.5789755234432903</v>
      </c>
      <c r="F12" s="290"/>
      <c r="G12" s="290">
        <f>IFERROR(VLOOKUP(B12,W27_PG_3_of_3!A$10:B$61,2,FALSE),0)</f>
        <v>0.19019730193315099</v>
      </c>
      <c r="H12" s="290">
        <f>IFERROR(VLOOKUP(B12,W27_PG_3_of_3!A69:B120,2,FALSE),0)</f>
        <v>0.17314174789463416</v>
      </c>
      <c r="I12" s="290">
        <f t="shared" si="1"/>
        <v>-1.7055554038516829E-2</v>
      </c>
      <c r="J12" s="291"/>
      <c r="K12" s="291">
        <f t="shared" si="2"/>
        <v>-3.5960310774818072</v>
      </c>
      <c r="L12" s="292">
        <f t="shared" si="3"/>
        <v>-3.5600707667069891</v>
      </c>
    </row>
    <row r="13" spans="1:13">
      <c r="A13" s="248">
        <f t="shared" si="4"/>
        <v>5</v>
      </c>
      <c r="B13" s="248" t="s">
        <v>735</v>
      </c>
      <c r="C13" s="290">
        <f>IFERROR(VLOOKUP(B13,W27_PG_2_of_3!A$11:E$64,5,FALSE),0)</f>
        <v>93829.589831037272</v>
      </c>
      <c r="D13" s="290">
        <f>IFERROR(VLOOKUP(B13,W27_PG_2_of_3!A$70:E$123,5,FALSE),0)</f>
        <v>-51487.171234359586</v>
      </c>
      <c r="E13" s="290">
        <f t="shared" si="0"/>
        <v>-145316.76106539686</v>
      </c>
      <c r="F13" s="290"/>
      <c r="G13" s="290">
        <f>IFERROR(VLOOKUP(B13,W27_PG_3_of_3!A$10:B$61,2,FALSE),0)</f>
        <v>4430.9265199231631</v>
      </c>
      <c r="H13" s="290">
        <f>IFERROR(VLOOKUP(B13,W27_PG_3_of_3!A70:B121,2,FALSE),0)</f>
        <v>4033.5922468649246</v>
      </c>
      <c r="I13" s="290">
        <f t="shared" si="1"/>
        <v>-397.33427305823852</v>
      </c>
      <c r="J13" s="291"/>
      <c r="K13" s="291">
        <f t="shared" si="2"/>
        <v>-145714.09533845511</v>
      </c>
      <c r="L13" s="292">
        <f t="shared" si="3"/>
        <v>-144256.95438507057</v>
      </c>
    </row>
    <row r="14" spans="1:13">
      <c r="A14" s="248">
        <f t="shared" si="4"/>
        <v>6</v>
      </c>
      <c r="B14" s="248" t="s">
        <v>736</v>
      </c>
      <c r="C14" s="290">
        <f>IFERROR(VLOOKUP(B14,W27_PG_2_of_3!A$11:E$64,5,FALSE),0)</f>
        <v>190017.15880056607</v>
      </c>
      <c r="D14" s="290">
        <f>IFERROR(VLOOKUP(B14,W27_PG_2_of_3!A$70:E$123,5,FALSE),0)</f>
        <v>101151.76945596778</v>
      </c>
      <c r="E14" s="290">
        <f t="shared" si="0"/>
        <v>-88865.389344598298</v>
      </c>
      <c r="F14" s="290"/>
      <c r="G14" s="290">
        <f>IFERROR(VLOOKUP(B14,W27_PG_3_of_3!A$10:B$61,2,FALSE),0)</f>
        <v>3216.0280085710356</v>
      </c>
      <c r="H14" s="290">
        <f>IFERROR(VLOOKUP(B14,W27_PG_3_of_3!A71:B122,2,FALSE),0)</f>
        <v>2927.6372746748962</v>
      </c>
      <c r="I14" s="290">
        <f t="shared" si="1"/>
        <v>-288.39073389613941</v>
      </c>
      <c r="J14" s="291"/>
      <c r="K14" s="291">
        <f t="shared" si="2"/>
        <v>-89153.780078494441</v>
      </c>
      <c r="L14" s="292">
        <f t="shared" si="3"/>
        <v>-88262.242277709491</v>
      </c>
    </row>
    <row r="15" spans="1:13">
      <c r="A15" s="248">
        <f t="shared" si="4"/>
        <v>7</v>
      </c>
      <c r="B15" s="248" t="s">
        <v>737</v>
      </c>
      <c r="C15" s="290">
        <f>IFERROR(VLOOKUP(B15,W27_PG_2_of_3!A$11:E$64,5,FALSE),0)</f>
        <v>14466.180166151691</v>
      </c>
      <c r="D15" s="290">
        <f>IFERROR(VLOOKUP(B15,W27_PG_2_of_3!A$70:E$123,5,FALSE),0)</f>
        <v>7699.1005181145974</v>
      </c>
      <c r="E15" s="290">
        <f t="shared" si="0"/>
        <v>-6767.0796480370936</v>
      </c>
      <c r="F15" s="290"/>
      <c r="G15" s="290">
        <f>IFERROR(VLOOKUP(B15,W27_PG_3_of_3!A$10:B$61,2,FALSE),0)</f>
        <v>224.77927141448538</v>
      </c>
      <c r="H15" s="290">
        <f>IFERROR(VLOOKUP(B15,W27_PG_3_of_3!A72:B123,2,FALSE),0)</f>
        <v>204.62264999355878</v>
      </c>
      <c r="I15" s="290">
        <f t="shared" si="1"/>
        <v>-20.156621420926598</v>
      </c>
      <c r="J15" s="291"/>
      <c r="K15" s="291">
        <f t="shared" si="2"/>
        <v>-6787.2362694580206</v>
      </c>
      <c r="L15" s="292">
        <f t="shared" si="3"/>
        <v>-6719.3639067634404</v>
      </c>
    </row>
    <row r="16" spans="1:13">
      <c r="A16" s="248">
        <f t="shared" si="4"/>
        <v>8</v>
      </c>
      <c r="B16" s="248" t="s">
        <v>739</v>
      </c>
      <c r="C16" s="290">
        <f>IFERROR(VLOOKUP(B16,W27_PG_2_of_3!A$11:E$64,5,FALSE),0)</f>
        <v>277602.17013399489</v>
      </c>
      <c r="D16" s="290">
        <f>IFERROR(VLOOKUP(B16,W27_PG_2_of_3!A$70:E$123,5,FALSE),0)</f>
        <v>147788.78817246549</v>
      </c>
      <c r="E16" s="290">
        <f t="shared" si="0"/>
        <v>-129813.38196152941</v>
      </c>
      <c r="F16" s="290"/>
      <c r="G16" s="290">
        <f>IFERROR(VLOOKUP(B16,W27_PG_3_of_3!A$10:B$61,2,FALSE),0)</f>
        <v>4675.139845837025</v>
      </c>
      <c r="H16" s="290">
        <f>IFERROR(VLOOKUP(B16,W27_PG_3_of_3!A73:B124,2,FALSE),0)</f>
        <v>4255.9062422692841</v>
      </c>
      <c r="I16" s="290">
        <f t="shared" si="1"/>
        <v>-419.23360356774083</v>
      </c>
      <c r="J16" s="291"/>
      <c r="K16" s="291">
        <f t="shared" si="2"/>
        <v>-130232.61556509715</v>
      </c>
      <c r="L16" s="292">
        <f t="shared" si="3"/>
        <v>-128930.28940944618</v>
      </c>
    </row>
    <row r="17" spans="1:12">
      <c r="A17" s="248">
        <f t="shared" si="4"/>
        <v>9</v>
      </c>
      <c r="B17" s="248" t="s">
        <v>741</v>
      </c>
      <c r="C17" s="290">
        <f>IFERROR(VLOOKUP(B17,W27_PG_2_of_3!A$11:E$64,5,FALSE),0)</f>
        <v>148367.85025006713</v>
      </c>
      <c r="D17" s="290">
        <f>IFERROR(VLOOKUP(B17,W27_PG_2_of_3!A$70:E$123,5,FALSE),0)</f>
        <v>79000.32502040251</v>
      </c>
      <c r="E17" s="290">
        <f t="shared" si="0"/>
        <v>-69367.525229664621</v>
      </c>
      <c r="F17" s="290"/>
      <c r="G17" s="290">
        <f>IFERROR(VLOOKUP(B17,W27_PG_3_of_3!A$10:B$61,2,FALSE),0)</f>
        <v>2465.7802855805012</v>
      </c>
      <c r="H17" s="290">
        <f>IFERROR(VLOOKUP(B17,W27_PG_3_of_3!A74:B125,2,FALSE),0)</f>
        <v>2244.6664817547826</v>
      </c>
      <c r="I17" s="290">
        <f t="shared" si="1"/>
        <v>-221.11380382571861</v>
      </c>
      <c r="J17" s="291"/>
      <c r="K17" s="291">
        <f t="shared" si="2"/>
        <v>-69588.639033490341</v>
      </c>
      <c r="L17" s="292">
        <f t="shared" si="3"/>
        <v>-68892.752643155443</v>
      </c>
    </row>
    <row r="18" spans="1:12">
      <c r="A18" s="248">
        <f t="shared" si="4"/>
        <v>10</v>
      </c>
      <c r="B18" s="248" t="s">
        <v>743</v>
      </c>
      <c r="C18" s="290">
        <f>IFERROR(VLOOKUP(B18,W27_PG_2_of_3!A$11:E$64,5,FALSE),0)</f>
        <v>74891.277219939089</v>
      </c>
      <c r="D18" s="290">
        <f>IFERROR(VLOOKUP(B18,W27_PG_2_of_3!A$70:E$123,5,FALSE),0)</f>
        <v>39871.82298301925</v>
      </c>
      <c r="E18" s="290">
        <f t="shared" si="0"/>
        <v>-35019.454236919839</v>
      </c>
      <c r="F18" s="290"/>
      <c r="G18" s="290">
        <f>IFERROR(VLOOKUP(B18,W27_PG_3_of_3!A$10:B$61,2,FALSE),0)</f>
        <v>1208.7191433302653</v>
      </c>
      <c r="H18" s="290">
        <f>IFERROR(VLOOKUP(B18,W27_PG_3_of_3!A75:B126,2,FALSE),0)</f>
        <v>1100.3297263568068</v>
      </c>
      <c r="I18" s="290">
        <f t="shared" si="1"/>
        <v>-108.38941697345854</v>
      </c>
      <c r="J18" s="291"/>
      <c r="K18" s="291">
        <f t="shared" si="2"/>
        <v>-35127.843653893295</v>
      </c>
      <c r="L18" s="292">
        <f t="shared" si="3"/>
        <v>-34776.565217354364</v>
      </c>
    </row>
    <row r="19" spans="1:12">
      <c r="A19" s="248">
        <f t="shared" si="4"/>
        <v>11</v>
      </c>
      <c r="B19" s="248" t="s">
        <v>745</v>
      </c>
      <c r="C19" s="290">
        <f>IFERROR(VLOOKUP(B19,W27_PG_2_of_3!A$11:E$64,5,FALSE),0)</f>
        <v>289.0388243043131</v>
      </c>
      <c r="D19" s="290">
        <f>IFERROR(VLOOKUP(B19,W27_PG_2_of_3!A$70:E$123,5,FALSE),0)</f>
        <v>153.81068572835636</v>
      </c>
      <c r="E19" s="290">
        <f t="shared" si="0"/>
        <v>-135.22813857595673</v>
      </c>
      <c r="F19" s="290"/>
      <c r="G19" s="290">
        <f>IFERROR(VLOOKUP(B19,W27_PG_3_of_3!A$10:B$61,2,FALSE),0)</f>
        <v>1.9957556093592199</v>
      </c>
      <c r="H19" s="290">
        <f>IFERROR(VLOOKUP(B19,W27_PG_3_of_3!A76:B127,2,FALSE),0)</f>
        <v>1.8167903070277338</v>
      </c>
      <c r="I19" s="290">
        <f t="shared" si="1"/>
        <v>-0.17896530233148611</v>
      </c>
      <c r="J19" s="291"/>
      <c r="K19" s="291">
        <f t="shared" si="2"/>
        <v>-135.40710387828821</v>
      </c>
      <c r="L19" s="292">
        <f t="shared" si="3"/>
        <v>-134.05303283950533</v>
      </c>
    </row>
    <row r="20" spans="1:12">
      <c r="A20" s="248">
        <f t="shared" si="4"/>
        <v>12</v>
      </c>
      <c r="B20" s="248" t="s">
        <v>747</v>
      </c>
      <c r="C20" s="290">
        <f>IFERROR(VLOOKUP(B20,W27_PG_2_of_3!A$11:E$64,5,FALSE),0)</f>
        <v>1855.0314114745768</v>
      </c>
      <c r="D20" s="290">
        <f>IFERROR(VLOOKUP(B20,W27_PG_2_of_3!A$70:E$123,5,FALSE),0)</f>
        <v>987.74437138736937</v>
      </c>
      <c r="E20" s="290">
        <f t="shared" si="0"/>
        <v>-867.2870400872074</v>
      </c>
      <c r="F20" s="290"/>
      <c r="G20" s="290">
        <f>IFERROR(VLOOKUP(B20,W27_PG_3_of_3!A$10:B$61,2,FALSE),0)</f>
        <v>21.201755133757025</v>
      </c>
      <c r="H20" s="290">
        <f>IFERROR(VLOOKUP(B20,W27_PG_3_of_3!A77:B128,2,FALSE),0)</f>
        <v>19.300531106287437</v>
      </c>
      <c r="I20" s="290">
        <f t="shared" si="1"/>
        <v>-1.9012240274695884</v>
      </c>
      <c r="J20" s="291"/>
      <c r="K20" s="291">
        <f t="shared" si="2"/>
        <v>-869.18826411467694</v>
      </c>
      <c r="L20" s="292">
        <f t="shared" si="3"/>
        <v>-860.49638147353016</v>
      </c>
    </row>
    <row r="21" spans="1:12">
      <c r="A21" s="248">
        <f t="shared" si="4"/>
        <v>13</v>
      </c>
      <c r="B21" s="248" t="s">
        <v>748</v>
      </c>
      <c r="C21" s="290">
        <f>IFERROR(VLOOKUP(B21,W27_PG_2_of_3!A$11:E$64,5,FALSE),0)</f>
        <v>5.93</v>
      </c>
      <c r="D21" s="290">
        <f>IFERROR(VLOOKUP(B21,W27_PG_2_of_3!A$70:E$123,5,FALSE),0)</f>
        <v>3.3666680858402458</v>
      </c>
      <c r="E21" s="290">
        <f t="shared" si="0"/>
        <v>-2.5633319141597539</v>
      </c>
      <c r="F21" s="290"/>
      <c r="G21" s="290">
        <f>IFERROR(VLOOKUP(B21,W27_PG_3_of_3!A$10:B$61,2,FALSE),0)</f>
        <v>0</v>
      </c>
      <c r="H21" s="290">
        <f>IFERROR(VLOOKUP(B21,W27_PG_3_of_3!A78:B129,2,FALSE),0)</f>
        <v>0</v>
      </c>
      <c r="I21" s="290">
        <f t="shared" si="1"/>
        <v>0</v>
      </c>
      <c r="J21" s="291"/>
      <c r="K21" s="291">
        <f t="shared" si="2"/>
        <v>-2.5633319141597539</v>
      </c>
      <c r="L21" s="292">
        <f t="shared" si="3"/>
        <v>-2.5376985950181563</v>
      </c>
    </row>
    <row r="22" spans="1:12">
      <c r="A22" s="248">
        <f t="shared" si="4"/>
        <v>14</v>
      </c>
      <c r="B22" s="248" t="s">
        <v>749</v>
      </c>
      <c r="C22" s="290">
        <f>IFERROR(VLOOKUP(B22,W27_PG_2_of_3!A$11:E$64,5,FALSE),0)</f>
        <v>477.64371426972701</v>
      </c>
      <c r="D22" s="290">
        <f>IFERROR(VLOOKUP(B22,W27_PG_2_of_3!A$70:E$123,5,FALSE),0)</f>
        <v>271.17501673424738</v>
      </c>
      <c r="E22" s="290">
        <f t="shared" si="0"/>
        <v>-206.46869753547963</v>
      </c>
      <c r="F22" s="290"/>
      <c r="G22" s="290">
        <f>IFERROR(VLOOKUP(B22,W27_PG_3_of_3!A$10:B$61,2,FALSE),0)</f>
        <v>0</v>
      </c>
      <c r="H22" s="290">
        <f>IFERROR(VLOOKUP(B22,W27_PG_3_of_3!A79:B130,2,FALSE),0)</f>
        <v>0</v>
      </c>
      <c r="I22" s="290">
        <f t="shared" si="1"/>
        <v>0</v>
      </c>
      <c r="J22" s="291"/>
      <c r="K22" s="291">
        <f t="shared" si="2"/>
        <v>-206.46869753547963</v>
      </c>
      <c r="L22" s="292">
        <f t="shared" si="3"/>
        <v>-204.40401056012485</v>
      </c>
    </row>
    <row r="23" spans="1:12">
      <c r="A23" s="248">
        <f t="shared" si="4"/>
        <v>15</v>
      </c>
      <c r="B23" s="248" t="s">
        <v>750</v>
      </c>
      <c r="C23" s="290">
        <f>IFERROR(VLOOKUP(B23,W27_PG_2_of_3!A$11:E$64,5,FALSE),0)</f>
        <v>-2.3653963839628931</v>
      </c>
      <c r="D23" s="290">
        <f>IFERROR(VLOOKUP(B23,W27_PG_2_of_3!A$70:E$123,5,FALSE),0)</f>
        <v>-1.3429181309021572</v>
      </c>
      <c r="E23" s="290">
        <f t="shared" si="0"/>
        <v>1.0224782530607359</v>
      </c>
      <c r="F23" s="290"/>
      <c r="G23" s="290">
        <f>IFERROR(VLOOKUP(B23,W27_PG_3_of_3!A$10:B$61,2,FALSE),0)</f>
        <v>0</v>
      </c>
      <c r="H23" s="290">
        <f>IFERROR(VLOOKUP(B23,W27_PG_3_of_3!A80:B131,2,FALSE),0)</f>
        <v>0</v>
      </c>
      <c r="I23" s="290">
        <f t="shared" si="1"/>
        <v>0</v>
      </c>
      <c r="J23" s="291"/>
      <c r="K23" s="291">
        <f t="shared" si="2"/>
        <v>1.0224782530607359</v>
      </c>
      <c r="L23" s="292">
        <f t="shared" si="3"/>
        <v>1.0122534705301285</v>
      </c>
    </row>
    <row r="24" spans="1:12">
      <c r="A24" s="248">
        <f t="shared" si="4"/>
        <v>16</v>
      </c>
      <c r="B24" s="248" t="s">
        <v>751</v>
      </c>
      <c r="C24" s="290">
        <f>IFERROR(VLOOKUP(B24,W27_PG_2_of_3!A$11:E$64,5,FALSE),0)</f>
        <v>158.7658205378678</v>
      </c>
      <c r="D24" s="290">
        <f>IFERROR(VLOOKUP(B24,W27_PG_2_of_3!A$70:E$123,5,FALSE),0)</f>
        <v>90.136900695966162</v>
      </c>
      <c r="E24" s="290">
        <f t="shared" si="0"/>
        <v>-68.628919841901634</v>
      </c>
      <c r="F24" s="290"/>
      <c r="G24" s="290">
        <f>IFERROR(VLOOKUP(B24,W27_PG_3_of_3!A$10:B$61,2,FALSE),0)</f>
        <v>71.340001401345305</v>
      </c>
      <c r="H24" s="290">
        <f>IFERROR(VLOOKUP(B24,W27_PG_3_of_3!A81:B132,2,FALSE),0)</f>
        <v>64.942732688058499</v>
      </c>
      <c r="I24" s="290">
        <f t="shared" si="1"/>
        <v>-6.397268713286806</v>
      </c>
      <c r="J24" s="291"/>
      <c r="K24" s="291">
        <f t="shared" si="2"/>
        <v>-75.02618855518844</v>
      </c>
      <c r="L24" s="292">
        <f t="shared" si="3"/>
        <v>-74.275926669636561</v>
      </c>
    </row>
    <row r="25" spans="1:12">
      <c r="A25" s="248">
        <f t="shared" si="4"/>
        <v>17</v>
      </c>
      <c r="B25" s="248" t="s">
        <v>752</v>
      </c>
      <c r="C25" s="290">
        <f>IFERROR(VLOOKUP(B25,W27_PG_2_of_3!A$11:E$64,5,FALSE),0)</f>
        <v>38913.445724410332</v>
      </c>
      <c r="D25" s="290">
        <f>IFERROR(VLOOKUP(B25,W27_PG_2_of_3!A$70:E$123,5,FALSE),0)</f>
        <v>32068.193197606473</v>
      </c>
      <c r="E25" s="290">
        <f t="shared" si="0"/>
        <v>-6845.2525268038589</v>
      </c>
      <c r="F25" s="290"/>
      <c r="G25" s="290">
        <f>IFERROR(VLOOKUP(B25,W27_PG_3_of_3!A$10:B$61,2,FALSE),0)</f>
        <v>2298.8436659890922</v>
      </c>
      <c r="H25" s="290">
        <f>IFERROR(VLOOKUP(B25,W27_PG_3_of_3!A82:B133,2,FALSE),0)</f>
        <v>2092.699562088188</v>
      </c>
      <c r="I25" s="290">
        <f t="shared" si="1"/>
        <v>-206.14410390090416</v>
      </c>
      <c r="J25" s="291"/>
      <c r="K25" s="291">
        <f t="shared" si="2"/>
        <v>-7051.3966307047631</v>
      </c>
      <c r="L25" s="292">
        <f t="shared" si="3"/>
        <v>-6980.8826643977154</v>
      </c>
    </row>
    <row r="26" spans="1:12">
      <c r="A26" s="248">
        <f t="shared" si="4"/>
        <v>18</v>
      </c>
      <c r="B26" s="248" t="s">
        <v>753</v>
      </c>
      <c r="C26" s="290">
        <f>IFERROR(VLOOKUP(B26,W27_PG_2_of_3!A$11:E$64,5,FALSE),0)</f>
        <v>81029.482197500853</v>
      </c>
      <c r="D26" s="290">
        <f>IFERROR(VLOOKUP(B26,W27_PG_2_of_3!A$70:E$123,5,FALSE),0)</f>
        <v>66843.83395738258</v>
      </c>
      <c r="E26" s="290">
        <f t="shared" si="0"/>
        <v>-14185.648240118273</v>
      </c>
      <c r="F26" s="290"/>
      <c r="G26" s="290">
        <f>IFERROR(VLOOKUP(B26,W27_PG_3_of_3!A$10:B$61,2,FALSE),0)</f>
        <v>5301.1798852639286</v>
      </c>
      <c r="H26" s="290">
        <f>IFERROR(VLOOKUP(B26,W27_PG_3_of_3!A83:B134,2,FALSE),0)</f>
        <v>4825.8074216061859</v>
      </c>
      <c r="I26" s="290">
        <f t="shared" si="1"/>
        <v>-475.37246365774263</v>
      </c>
      <c r="J26" s="291"/>
      <c r="K26" s="291">
        <f t="shared" si="2"/>
        <v>-14661.020703776016</v>
      </c>
      <c r="L26" s="292">
        <f t="shared" si="3"/>
        <v>-14514.410496738255</v>
      </c>
    </row>
    <row r="27" spans="1:12">
      <c r="A27" s="248">
        <f t="shared" si="4"/>
        <v>19</v>
      </c>
      <c r="B27" s="248" t="s">
        <v>754</v>
      </c>
      <c r="C27" s="290">
        <f>IFERROR(VLOOKUP(B27,W27_PG_2_of_3!A$11:E$64,5,FALSE),0)</f>
        <v>112.68707003579709</v>
      </c>
      <c r="D27" s="290">
        <f>IFERROR(VLOOKUP(B27,W27_PG_2_of_3!A$70:E$123,5,FALSE),0)</f>
        <v>93.033243292798829</v>
      </c>
      <c r="E27" s="290">
        <f t="shared" si="0"/>
        <v>-19.653826742998262</v>
      </c>
      <c r="F27" s="290"/>
      <c r="G27" s="290">
        <f>IFERROR(VLOOKUP(B27,W27_PG_3_of_3!A$10:B$61,2,FALSE),0)</f>
        <v>8.479792476309024</v>
      </c>
      <c r="H27" s="290">
        <f>IFERROR(VLOOKUP(B27,W27_PG_3_of_3!A84:B135,2,FALSE),0)</f>
        <v>7.7193844297956753</v>
      </c>
      <c r="I27" s="290">
        <f t="shared" si="1"/>
        <v>-0.7604080465133487</v>
      </c>
      <c r="J27" s="291"/>
      <c r="K27" s="291">
        <f t="shared" si="2"/>
        <v>-20.41423478951161</v>
      </c>
      <c r="L27" s="292">
        <f t="shared" si="3"/>
        <v>-20.210092441616496</v>
      </c>
    </row>
    <row r="28" spans="1:12">
      <c r="A28" s="248">
        <f t="shared" si="4"/>
        <v>20</v>
      </c>
      <c r="B28" s="248" t="s">
        <v>755</v>
      </c>
      <c r="C28" s="290">
        <f>IFERROR(VLOOKUP(B28,W27_PG_2_of_3!A$11:E$64,5,FALSE),0)</f>
        <v>1103.7112548025209</v>
      </c>
      <c r="D28" s="290">
        <f>IFERROR(VLOOKUP(B28,W27_PG_2_of_3!A$70:E$123,5,FALSE),0)</f>
        <v>911.38721308020524</v>
      </c>
      <c r="E28" s="290">
        <f t="shared" si="0"/>
        <v>-192.32404172231566</v>
      </c>
      <c r="F28" s="290"/>
      <c r="G28" s="290">
        <f>IFERROR(VLOOKUP(B28,W27_PG_3_of_3!A$10:B$61,2,FALSE),0)</f>
        <v>67.970231913201246</v>
      </c>
      <c r="H28" s="290">
        <f>IFERROR(VLOOKUP(B28,W27_PG_3_of_3!A85:B136,2,FALSE),0)</f>
        <v>61.875140386542384</v>
      </c>
      <c r="I28" s="290">
        <f t="shared" si="1"/>
        <v>-6.0950915266588623</v>
      </c>
      <c r="J28" s="291"/>
      <c r="K28" s="291">
        <f t="shared" si="2"/>
        <v>-198.4191332489745</v>
      </c>
      <c r="L28" s="292">
        <f t="shared" si="3"/>
        <v>-196.43494191648475</v>
      </c>
    </row>
    <row r="29" spans="1:12">
      <c r="A29" s="248">
        <f t="shared" si="4"/>
        <v>21</v>
      </c>
      <c r="B29" s="248" t="s">
        <v>756</v>
      </c>
      <c r="C29" s="290">
        <f>IFERROR(VLOOKUP(B29,W27_PG_2_of_3!A$11:E$64,5,FALSE),0)</f>
        <v>118464.0359739439</v>
      </c>
      <c r="D29" s="290">
        <f>IFERROR(VLOOKUP(B29,W27_PG_2_of_3!A$70:E$123,5,FALSE),0)</f>
        <v>97702.654303863063</v>
      </c>
      <c r="E29" s="290">
        <f t="shared" si="0"/>
        <v>-20761.381670080838</v>
      </c>
      <c r="F29" s="290"/>
      <c r="G29" s="290">
        <f>IFERROR(VLOOKUP(B29,W27_PG_3_of_3!A$10:B$61,2,FALSE),0)</f>
        <v>7117.4932559811687</v>
      </c>
      <c r="H29" s="290">
        <f>IFERROR(VLOOKUP(B29,W27_PG_3_of_3!A86:B137,2,FALSE),0)</f>
        <v>6479.2466057272541</v>
      </c>
      <c r="I29" s="290">
        <f t="shared" si="1"/>
        <v>-638.24665025391459</v>
      </c>
      <c r="J29" s="291"/>
      <c r="K29" s="291">
        <f t="shared" si="2"/>
        <v>-21399.628320334752</v>
      </c>
      <c r="L29" s="292">
        <f t="shared" si="3"/>
        <v>-21185.632037131403</v>
      </c>
    </row>
    <row r="30" spans="1:12">
      <c r="A30" s="248">
        <f t="shared" si="4"/>
        <v>22</v>
      </c>
      <c r="B30" s="248" t="s">
        <v>757</v>
      </c>
      <c r="C30" s="290">
        <f>IFERROR(VLOOKUP(B30,W27_PG_2_of_3!A$11:E$64,5,FALSE),0)</f>
        <v>16227.374877706943</v>
      </c>
      <c r="D30" s="290">
        <f>IFERROR(VLOOKUP(B30,W27_PG_2_of_3!A$70:E$123,5,FALSE),0)</f>
        <v>13383.219500319106</v>
      </c>
      <c r="E30" s="290">
        <f t="shared" si="0"/>
        <v>-2844.1553773878368</v>
      </c>
      <c r="F30" s="290"/>
      <c r="G30" s="290">
        <f>IFERROR(VLOOKUP(B30,W27_PG_3_of_3!A$10:B$61,2,FALSE),0)</f>
        <v>959.46333830965466</v>
      </c>
      <c r="H30" s="290">
        <f>IFERROR(VLOOKUP(B30,W27_PG_3_of_3!A87:B138,2,FALSE),0)</f>
        <v>873.42542584616649</v>
      </c>
      <c r="I30" s="290">
        <f t="shared" si="1"/>
        <v>-86.037912463488169</v>
      </c>
      <c r="J30" s="291"/>
      <c r="K30" s="291">
        <f t="shared" si="2"/>
        <v>-2930.1932898513251</v>
      </c>
      <c r="L30" s="292">
        <f t="shared" si="3"/>
        <v>-2900.8913569528117</v>
      </c>
    </row>
    <row r="31" spans="1:12">
      <c r="A31" s="248">
        <f t="shared" si="4"/>
        <v>23</v>
      </c>
      <c r="B31" s="248" t="s">
        <v>758</v>
      </c>
      <c r="C31" s="290">
        <f>IFERROR(VLOOKUP(B31,W27_PG_2_of_3!A$11:E$64,5,FALSE),0)</f>
        <v>-42289.071648979239</v>
      </c>
      <c r="D31" s="290">
        <f>IFERROR(VLOOKUP(B31,W27_PG_2_of_3!A$70:E$123,5,FALSE),0)</f>
        <v>-41895.200596402559</v>
      </c>
      <c r="E31" s="290">
        <f t="shared" si="0"/>
        <v>393.87105257668009</v>
      </c>
      <c r="F31" s="290"/>
      <c r="G31" s="290">
        <f>IFERROR(VLOOKUP(B31,W27_PG_3_of_3!A$10:B$61,2,FALSE),0)</f>
        <v>14600.221415202641</v>
      </c>
      <c r="H31" s="290">
        <f>IFERROR(VLOOKUP(B31,W27_PG_3_of_3!A88:B139,2,FALSE),0)</f>
        <v>13290.976421765135</v>
      </c>
      <c r="I31" s="290">
        <f t="shared" si="1"/>
        <v>-1309.2449934375054</v>
      </c>
      <c r="J31" s="291"/>
      <c r="K31" s="291">
        <f t="shared" si="2"/>
        <v>-915.37394086082531</v>
      </c>
      <c r="L31" s="292">
        <f t="shared" si="3"/>
        <v>-906.220201452217</v>
      </c>
    </row>
    <row r="32" spans="1:12">
      <c r="A32" s="248">
        <f t="shared" si="4"/>
        <v>24</v>
      </c>
      <c r="B32" s="248" t="s">
        <v>759</v>
      </c>
      <c r="C32" s="290">
        <f>IFERROR(VLOOKUP(B32,W27_PG_2_of_3!A$11:E$64,5,FALSE),0)</f>
        <v>11.279139789658403</v>
      </c>
      <c r="D32" s="290">
        <f>IFERROR(VLOOKUP(B32,W27_PG_2_of_3!A$70:E$123,5,FALSE),0)</f>
        <v>9.3185033508371422</v>
      </c>
      <c r="E32" s="290">
        <f t="shared" si="0"/>
        <v>-1.9606364388212612</v>
      </c>
      <c r="F32" s="290"/>
      <c r="G32" s="290">
        <f>IFERROR(VLOOKUP(B32,W27_PG_3_of_3!A$10:B$61,2,FALSE),0)</f>
        <v>0.91979497585277703</v>
      </c>
      <c r="H32" s="290">
        <f>IFERROR(VLOOKUP(B32,W27_PG_3_of_3!A89:B140,2,FALSE),0)</f>
        <v>0.83731424265853283</v>
      </c>
      <c r="I32" s="290">
        <f t="shared" si="1"/>
        <v>-8.2480733194244205E-2</v>
      </c>
      <c r="J32" s="291"/>
      <c r="K32" s="291">
        <f t="shared" si="2"/>
        <v>-2.0431171720155055</v>
      </c>
      <c r="L32" s="292">
        <f t="shared" si="3"/>
        <v>-2.0226860002953502</v>
      </c>
    </row>
    <row r="33" spans="1:13">
      <c r="A33" s="248">
        <f t="shared" si="4"/>
        <v>25</v>
      </c>
      <c r="B33" s="248" t="s">
        <v>760</v>
      </c>
      <c r="C33" s="290">
        <f>IFERROR(VLOOKUP(B33,W27_PG_2_of_3!A$11:E$64,5,FALSE),0)</f>
        <v>1133.0605199819684</v>
      </c>
      <c r="D33" s="290">
        <f>IFERROR(VLOOKUP(B33,W27_PG_2_of_3!A$70:E$123,5,FALSE),0)</f>
        <v>935.65993304737901</v>
      </c>
      <c r="E33" s="290">
        <f t="shared" si="0"/>
        <v>-197.40058693458934</v>
      </c>
      <c r="F33" s="290"/>
      <c r="G33" s="290">
        <f>IFERROR(VLOOKUP(B33,W27_PG_3_of_3!A$10:B$61,2,FALSE),0)</f>
        <v>71.888150817560387</v>
      </c>
      <c r="H33" s="290">
        <f>IFERROR(VLOOKUP(B33,W27_PG_3_of_3!A90:B141,2,FALSE),0)</f>
        <v>65.441727926509671</v>
      </c>
      <c r="I33" s="290">
        <f t="shared" si="1"/>
        <v>-6.446422891050716</v>
      </c>
      <c r="J33" s="291"/>
      <c r="K33" s="291">
        <f t="shared" si="2"/>
        <v>-203.84700982564004</v>
      </c>
      <c r="L33" s="292">
        <f t="shared" si="3"/>
        <v>-201.80853972738365</v>
      </c>
    </row>
    <row r="34" spans="1:13">
      <c r="A34" s="248">
        <f t="shared" si="4"/>
        <v>26</v>
      </c>
      <c r="B34" s="248" t="s">
        <v>761</v>
      </c>
      <c r="C34" s="290">
        <f>IFERROR(VLOOKUP(B34,W27_PG_2_of_3!A$11:E$64,5,FALSE),0)</f>
        <v>535237.87345183152</v>
      </c>
      <c r="D34" s="290">
        <f>IFERROR(VLOOKUP(B34,W27_PG_2_of_3!A$70:E$123,5,FALSE),0)</f>
        <v>441216.35861315212</v>
      </c>
      <c r="E34" s="290">
        <f t="shared" si="0"/>
        <v>-94021.514838679403</v>
      </c>
      <c r="F34" s="290"/>
      <c r="G34" s="290">
        <f>IFERROR(VLOOKUP(B34,W27_PG_3_of_3!A$10:B$61,2,FALSE),0)</f>
        <v>32643.368093702546</v>
      </c>
      <c r="H34" s="290">
        <f>IFERROR(VLOOKUP(B34,W27_PG_3_of_3!A91:B142,2,FALSE),0)</f>
        <v>29716.140825688919</v>
      </c>
      <c r="I34" s="290">
        <f t="shared" si="1"/>
        <v>-2927.2272680136266</v>
      </c>
      <c r="J34" s="291"/>
      <c r="K34" s="291">
        <f t="shared" si="2"/>
        <v>-96948.742106693026</v>
      </c>
      <c r="L34" s="292">
        <f t="shared" si="3"/>
        <v>-95979.254685626089</v>
      </c>
    </row>
    <row r="35" spans="1:13">
      <c r="A35" s="248">
        <f t="shared" si="4"/>
        <v>27</v>
      </c>
      <c r="B35" s="248" t="s">
        <v>762</v>
      </c>
      <c r="C35" s="290">
        <f>IFERROR(VLOOKUP(B35,W27_PG_2_of_3!A$11:E$64,5,FALSE),0)</f>
        <v>1755.3418218378351</v>
      </c>
      <c r="D35" s="290">
        <f>IFERROR(VLOOKUP(B35,W27_PG_2_of_3!A$70:E$123,5,FALSE),0)</f>
        <v>1444.5276147781426</v>
      </c>
      <c r="E35" s="290">
        <f t="shared" si="0"/>
        <v>-310.81420705969254</v>
      </c>
      <c r="F35" s="290"/>
      <c r="G35" s="290">
        <f>IFERROR(VLOOKUP(B35,W27_PG_3_of_3!A$10:B$61,2,FALSE),0)</f>
        <v>130.76892752861315</v>
      </c>
      <c r="H35" s="290">
        <f>IFERROR(VLOOKUP(B35,W27_PG_3_of_3!A92:B143,2,FALSE),0)</f>
        <v>119.04249141540764</v>
      </c>
      <c r="I35" s="290">
        <f t="shared" si="1"/>
        <v>-11.726436113205509</v>
      </c>
      <c r="J35" s="291"/>
      <c r="K35" s="291">
        <f t="shared" si="2"/>
        <v>-322.54064317289806</v>
      </c>
      <c r="L35" s="292">
        <f t="shared" si="3"/>
        <v>-319.31523674116909</v>
      </c>
    </row>
    <row r="36" spans="1:13">
      <c r="A36" s="248">
        <f t="shared" si="4"/>
        <v>28</v>
      </c>
      <c r="B36" s="248" t="s">
        <v>763</v>
      </c>
      <c r="C36" s="290">
        <f>IFERROR(VLOOKUP(B36,W27_PG_2_of_3!A$11:E$64,5,FALSE),0)</f>
        <v>5018.0809912558798</v>
      </c>
      <c r="D36" s="290">
        <f>IFERROR(VLOOKUP(B36,W27_PG_2_of_3!A$70:E$123,5,FALSE),0)</f>
        <v>4136.5336224932189</v>
      </c>
      <c r="E36" s="290">
        <f t="shared" si="0"/>
        <v>-881.54736876266088</v>
      </c>
      <c r="F36" s="290"/>
      <c r="G36" s="290">
        <f>IFERROR(VLOOKUP(B36,W27_PG_3_of_3!A$10:B$61,2,FALSE),0)</f>
        <v>312.76450037777715</v>
      </c>
      <c r="H36" s="290">
        <f>IFERROR(VLOOKUP(B36,W27_PG_3_of_3!A93:B144,2,FALSE),0)</f>
        <v>284.71798350658736</v>
      </c>
      <c r="I36" s="290">
        <f t="shared" si="1"/>
        <v>-28.046516871189795</v>
      </c>
      <c r="J36" s="291"/>
      <c r="K36" s="291">
        <f t="shared" si="2"/>
        <v>-909.59388563385073</v>
      </c>
      <c r="L36" s="292">
        <f t="shared" si="3"/>
        <v>-900.4979467775122</v>
      </c>
    </row>
    <row r="37" spans="1:13">
      <c r="A37" s="248">
        <f t="shared" si="4"/>
        <v>29</v>
      </c>
      <c r="B37" s="248" t="s">
        <v>764</v>
      </c>
      <c r="C37" s="290">
        <f>IFERROR(VLOOKUP(B37,W27_PG_2_of_3!A$11:E$64,5,FALSE),0)</f>
        <v>2842.1136782107583</v>
      </c>
      <c r="D37" s="290">
        <f>IFERROR(VLOOKUP(B37,W27_PG_2_of_3!A$70:E$123,5,FALSE),0)</f>
        <v>2343.6597189750946</v>
      </c>
      <c r="E37" s="290">
        <f t="shared" si="0"/>
        <v>-498.45395923566366</v>
      </c>
      <c r="F37" s="290"/>
      <c r="G37" s="290">
        <f>IFERROR(VLOOKUP(B37,W27_PG_3_of_3!A$10:B$61,2,FALSE),0)</f>
        <v>168.25026691049695</v>
      </c>
      <c r="H37" s="290">
        <f>IFERROR(VLOOKUP(B37,W27_PG_3_of_3!A94:B145,2,FALSE),0)</f>
        <v>153.16276834915854</v>
      </c>
      <c r="I37" s="290">
        <f t="shared" si="1"/>
        <v>-15.087498561338407</v>
      </c>
      <c r="J37" s="291"/>
      <c r="K37" s="291">
        <f t="shared" si="2"/>
        <v>-513.54145779700207</v>
      </c>
      <c r="L37" s="292">
        <f t="shared" si="3"/>
        <v>-508.40604321903203</v>
      </c>
    </row>
    <row r="38" spans="1:13">
      <c r="A38" s="248">
        <f t="shared" si="4"/>
        <v>30</v>
      </c>
      <c r="B38" s="248" t="s">
        <v>765</v>
      </c>
      <c r="C38" s="290">
        <f>IFERROR(VLOOKUP(B38,W27_PG_2_of_3!A$11:E$64,5,FALSE),0)</f>
        <v>4216.0288231865898</v>
      </c>
      <c r="D38" s="290">
        <f>IFERROR(VLOOKUP(B38,W27_PG_2_of_3!A$70:E$123,5,FALSE),0)</f>
        <v>3478.0357053949588</v>
      </c>
      <c r="E38" s="290">
        <f t="shared" si="0"/>
        <v>-737.99311779163099</v>
      </c>
      <c r="F38" s="290"/>
      <c r="G38" s="290">
        <f>IFERROR(VLOOKUP(B38,W27_PG_3_of_3!A$10:B$61,2,FALSE),0)</f>
        <v>258.21909724335825</v>
      </c>
      <c r="H38" s="290">
        <f>IFERROR(VLOOKUP(B38,W27_PG_3_of_3!A95:B146,2,FALSE),0)</f>
        <v>235.06382783601913</v>
      </c>
      <c r="I38" s="290">
        <f t="shared" si="1"/>
        <v>-23.155269407339119</v>
      </c>
      <c r="J38" s="291"/>
      <c r="K38" s="291">
        <f t="shared" si="2"/>
        <v>-761.14838719897011</v>
      </c>
      <c r="L38" s="292">
        <f t="shared" si="3"/>
        <v>-753.53690332698045</v>
      </c>
    </row>
    <row r="39" spans="1:13">
      <c r="A39" s="248">
        <f t="shared" si="4"/>
        <v>31</v>
      </c>
      <c r="B39" s="248" t="s">
        <v>766</v>
      </c>
      <c r="C39" s="290">
        <f>IFERROR(VLOOKUP(B39,W27_PG_2_of_3!A$11:E$64,5,FALSE),0)</f>
        <v>1294.7498653509513</v>
      </c>
      <c r="D39" s="290">
        <f>IFERROR(VLOOKUP(B39,W27_PG_2_of_3!A$70:E$123,5,FALSE),0)</f>
        <v>1069.1872253515646</v>
      </c>
      <c r="E39" s="290">
        <f t="shared" si="0"/>
        <v>-225.56263999938665</v>
      </c>
      <c r="F39" s="290"/>
      <c r="G39" s="290">
        <f>IFERROR(VLOOKUP(B39,W27_PG_3_of_3!A$10:B$61,2,FALSE),0)</f>
        <v>90.168557184592615</v>
      </c>
      <c r="H39" s="290">
        <f>IFERROR(VLOOKUP(B39,W27_PG_3_of_3!A96:B147,2,FALSE),0)</f>
        <v>82.082876241666128</v>
      </c>
      <c r="I39" s="290">
        <f t="shared" si="1"/>
        <v>-8.0856809429264871</v>
      </c>
      <c r="J39" s="291"/>
      <c r="K39" s="291">
        <f t="shared" si="2"/>
        <v>-233.64832094231315</v>
      </c>
      <c r="L39" s="292">
        <f t="shared" si="3"/>
        <v>-231.31183773289001</v>
      </c>
    </row>
    <row r="40" spans="1:13">
      <c r="A40" s="248">
        <f t="shared" si="4"/>
        <v>32</v>
      </c>
      <c r="B40" s="248" t="s">
        <v>767</v>
      </c>
      <c r="C40" s="290">
        <f>IFERROR(VLOOKUP(B40,W27_PG_2_of_3!A$11:E$64,5,FALSE),0)</f>
        <v>915.88911275426108</v>
      </c>
      <c r="D40" s="290">
        <f>IFERROR(VLOOKUP(B40,W27_PG_2_of_3!A$70:E$123,5,FALSE),0)</f>
        <v>756.92000586289601</v>
      </c>
      <c r="E40" s="290">
        <f t="shared" si="0"/>
        <v>-158.96910689136507</v>
      </c>
      <c r="F40" s="290"/>
      <c r="G40" s="290">
        <f>IFERROR(VLOOKUP(B40,W27_PG_3_of_3!A$10:B$61,2,FALSE),0)</f>
        <v>75.187188342571801</v>
      </c>
      <c r="H40" s="290">
        <f>IFERROR(VLOOKUP(B40,W27_PG_3_of_3!A97:B148,2,FALSE),0)</f>
        <v>68.444931009018305</v>
      </c>
      <c r="I40" s="290">
        <f t="shared" si="1"/>
        <v>-6.7422573335534963</v>
      </c>
      <c r="J40" s="291"/>
      <c r="K40" s="291">
        <f t="shared" si="2"/>
        <v>-165.71136422491855</v>
      </c>
      <c r="L40" s="292">
        <f t="shared" si="3"/>
        <v>-164.05425058266937</v>
      </c>
    </row>
    <row r="41" spans="1:13">
      <c r="A41" s="248">
        <f t="shared" si="4"/>
        <v>33</v>
      </c>
      <c r="B41" s="248" t="s">
        <v>768</v>
      </c>
      <c r="C41" s="290">
        <f>IFERROR(VLOOKUP(B41,W27_PG_2_of_3!A$11:E$64,5,FALSE),0)</f>
        <v>35807.072793795873</v>
      </c>
      <c r="D41" s="290">
        <f>IFERROR(VLOOKUP(B41,W27_PG_2_of_3!A$70:E$123,5,FALSE),0)</f>
        <v>29528.967539265017</v>
      </c>
      <c r="E41" s="290">
        <f t="shared" si="0"/>
        <v>-6278.1052545308557</v>
      </c>
      <c r="F41" s="290"/>
      <c r="G41" s="290">
        <f>IFERROR(VLOOKUP(B41,W27_PG_3_of_3!A$10:B$61,2,FALSE),0)</f>
        <v>2111.2058014489508</v>
      </c>
      <c r="H41" s="290">
        <f>IFERROR(VLOOKUP(B41,W27_PG_3_of_3!A98:B149,2,FALSE),0)</f>
        <v>1921.887739273187</v>
      </c>
      <c r="I41" s="290">
        <f t="shared" si="1"/>
        <v>-189.31806217576377</v>
      </c>
      <c r="J41" s="291"/>
      <c r="K41" s="291">
        <f t="shared" si="2"/>
        <v>-6467.4233167066195</v>
      </c>
      <c r="L41" s="292">
        <f t="shared" si="3"/>
        <v>-6402.7490835395529</v>
      </c>
    </row>
    <row r="42" spans="1:13">
      <c r="A42" s="248">
        <f t="shared" si="4"/>
        <v>34</v>
      </c>
      <c r="B42" s="248" t="s">
        <v>769</v>
      </c>
      <c r="C42" s="290">
        <f>IFERROR(VLOOKUP(B42,W27_PG_2_of_3!A$11:E$64,5,FALSE),0)</f>
        <v>170850.60590521843</v>
      </c>
      <c r="D42" s="290">
        <f>IFERROR(VLOOKUP(B42,W27_PG_2_of_3!A$70:E$123,5,FALSE),0)</f>
        <v>140917.38326121378</v>
      </c>
      <c r="E42" s="290">
        <f t="shared" si="0"/>
        <v>-29933.222644004651</v>
      </c>
      <c r="F42" s="290"/>
      <c r="G42" s="290">
        <f>IFERROR(VLOOKUP(B42,W27_PG_3_of_3!A$10:B$61,2,FALSE),0)</f>
        <v>10346.847671098178</v>
      </c>
      <c r="H42" s="290">
        <f>IFERROR(VLOOKUP(B42,W27_PG_3_of_3!A99:B150,2,FALSE),0)</f>
        <v>9419.0152686977399</v>
      </c>
      <c r="I42" s="290">
        <f t="shared" si="1"/>
        <v>-927.83240240043779</v>
      </c>
      <c r="J42" s="291"/>
      <c r="K42" s="291">
        <f t="shared" si="2"/>
        <v>-30861.05504640509</v>
      </c>
      <c r="L42" s="292">
        <f t="shared" si="3"/>
        <v>-30552.444495941039</v>
      </c>
    </row>
    <row r="43" spans="1:13">
      <c r="A43" s="248">
        <f t="shared" si="4"/>
        <v>35</v>
      </c>
      <c r="B43" s="248" t="s">
        <v>770</v>
      </c>
      <c r="C43" s="290">
        <f>IFERROR(VLOOKUP(B43,W27_PG_2_of_3!A$11:E$64,5,FALSE),0)</f>
        <v>632.74959515258365</v>
      </c>
      <c r="D43" s="290">
        <f>IFERROR(VLOOKUP(B43,W27_PG_2_of_3!A$70:E$123,5,FALSE),0)</f>
        <v>521.66192907587833</v>
      </c>
      <c r="E43" s="290">
        <f t="shared" si="0"/>
        <v>-111.08766607670532</v>
      </c>
      <c r="F43" s="290"/>
      <c r="G43" s="290">
        <f>IFERROR(VLOOKUP(B43,W27_PG_3_of_3!A$10:B$61,2,FALSE),0)</f>
        <v>37.318668156923842</v>
      </c>
      <c r="H43" s="290">
        <f>IFERROR(VLOOKUP(B43,W27_PG_3_of_3!A100:B151,2,FALSE),0)</f>
        <v>33.972192918176233</v>
      </c>
      <c r="I43" s="290">
        <f t="shared" si="1"/>
        <v>-3.3464752387476082</v>
      </c>
      <c r="J43" s="291"/>
      <c r="K43" s="291">
        <f t="shared" si="2"/>
        <v>-114.43414131545293</v>
      </c>
      <c r="L43" s="292">
        <f t="shared" si="3"/>
        <v>-113.2897999022984</v>
      </c>
      <c r="M43" s="293"/>
    </row>
    <row r="44" spans="1:13">
      <c r="A44" s="248">
        <f t="shared" si="4"/>
        <v>36</v>
      </c>
      <c r="B44" s="248" t="s">
        <v>771</v>
      </c>
      <c r="C44" s="290">
        <f>IFERROR(VLOOKUP(B44,W27_PG_2_of_3!A$11:E$64,5,FALSE),0)</f>
        <v>28690.074632046792</v>
      </c>
      <c r="D44" s="290">
        <f>IFERROR(VLOOKUP(B44,W27_PG_2_of_3!A$70:E$123,5,FALSE),0)</f>
        <v>23655.865898271379</v>
      </c>
      <c r="E44" s="290">
        <f t="shared" si="0"/>
        <v>-5034.2087337754128</v>
      </c>
      <c r="F44" s="290"/>
      <c r="G44" s="290">
        <f>IFERROR(VLOOKUP(B44,W27_PG_3_of_3!A$10:B$61,2,FALSE),0)</f>
        <v>1656.2972045580213</v>
      </c>
      <c r="H44" s="290">
        <f>IFERROR(VLOOKUP(B44,W27_PG_3_of_3!A101:B152,2,FALSE),0)</f>
        <v>1507.7721403796008</v>
      </c>
      <c r="I44" s="290">
        <f t="shared" si="1"/>
        <v>-148.52506417842051</v>
      </c>
      <c r="J44" s="291"/>
      <c r="K44" s="291">
        <f t="shared" si="2"/>
        <v>-5182.7337979538333</v>
      </c>
      <c r="L44" s="292">
        <f t="shared" si="3"/>
        <v>-5130.9064599742951</v>
      </c>
    </row>
    <row r="45" spans="1:13">
      <c r="A45" s="248">
        <f t="shared" si="4"/>
        <v>37</v>
      </c>
      <c r="B45" s="248" t="s">
        <v>772</v>
      </c>
      <c r="C45" s="290">
        <f>IFERROR(VLOOKUP(B45,W27_PG_2_of_3!A$11:E$64,5,FALSE),0)</f>
        <v>176.97697567104711</v>
      </c>
      <c r="D45" s="290">
        <f>IFERROR(VLOOKUP(B45,W27_PG_2_of_3!A$70:E$123,5,FALSE),0)</f>
        <v>146.15096469373432</v>
      </c>
      <c r="E45" s="290">
        <f t="shared" si="0"/>
        <v>-30.826010977312791</v>
      </c>
      <c r="F45" s="290"/>
      <c r="G45" s="290">
        <f>IFERROR(VLOOKUP(B45,W27_PG_3_of_3!A$10:B$61,2,FALSE),0)</f>
        <v>11.2285014932206</v>
      </c>
      <c r="H45" s="290">
        <f>IFERROR(VLOOKUP(B45,W27_PG_3_of_3!A102:B153,2,FALSE),0)</f>
        <v>10.221608587576224</v>
      </c>
      <c r="I45" s="290">
        <f t="shared" si="1"/>
        <v>-1.0068929056443761</v>
      </c>
      <c r="J45" s="291"/>
      <c r="K45" s="291">
        <f t="shared" si="2"/>
        <v>-31.832903882957169</v>
      </c>
      <c r="L45" s="292">
        <f t="shared" si="3"/>
        <v>-31.514574844127598</v>
      </c>
    </row>
    <row r="46" spans="1:13">
      <c r="A46" s="248">
        <f t="shared" si="4"/>
        <v>38</v>
      </c>
      <c r="B46" s="248" t="s">
        <v>773</v>
      </c>
      <c r="C46" s="290">
        <f>IFERROR(VLOOKUP(B46,W27_PG_2_of_3!A$11:E$64,5,FALSE),0)</f>
        <v>282927.78843987192</v>
      </c>
      <c r="D46" s="290">
        <f>IFERROR(VLOOKUP(B46,W27_PG_2_of_3!A$70:E$123,5,FALSE),0)</f>
        <v>232930.36585971882</v>
      </c>
      <c r="E46" s="290">
        <f t="shared" si="0"/>
        <v>-49997.422580153099</v>
      </c>
      <c r="F46" s="290"/>
      <c r="G46" s="290">
        <f>IFERROR(VLOOKUP(B46,W27_PG_3_of_3!A$10:B$61,2,FALSE),0)</f>
        <v>15626.082797433048</v>
      </c>
      <c r="H46" s="290">
        <f>IFERROR(VLOOKUP(B46,W27_PG_3_of_3!A103:B154,2,FALSE),0)</f>
        <v>14224.845782748007</v>
      </c>
      <c r="I46" s="290">
        <f t="shared" si="1"/>
        <v>-1401.2370146850408</v>
      </c>
      <c r="J46" s="291"/>
      <c r="K46" s="291">
        <f t="shared" si="2"/>
        <v>-51398.659594838144</v>
      </c>
      <c r="L46" s="292">
        <f t="shared" si="3"/>
        <v>-50884.672998889764</v>
      </c>
    </row>
    <row r="47" spans="1:13">
      <c r="A47" s="248">
        <f t="shared" si="4"/>
        <v>39</v>
      </c>
      <c r="B47" s="248" t="s">
        <v>775</v>
      </c>
      <c r="C47" s="290">
        <f>IFERROR(VLOOKUP(B47,W27_PG_2_of_3!A$11:E$64,5,FALSE),0)</f>
        <v>2461.3819076944419</v>
      </c>
      <c r="D47" s="290">
        <f>IFERROR(VLOOKUP(B47,W27_PG_2_of_3!A$70:E$123,5,FALSE),0)</f>
        <v>1309.8455173137627</v>
      </c>
      <c r="E47" s="290">
        <f t="shared" si="0"/>
        <v>-1151.5363903806792</v>
      </c>
      <c r="F47" s="290"/>
      <c r="G47" s="290">
        <f>IFERROR(VLOOKUP(B47,W27_PG_3_of_3!A$10:B$61,2,FALSE),0)</f>
        <v>33.611521953438817</v>
      </c>
      <c r="H47" s="290">
        <f>IFERROR(VLOOKUP(B47,W27_PG_3_of_3!A104:B155,2,FALSE),0)</f>
        <v>30.597477468227577</v>
      </c>
      <c r="I47" s="290">
        <f t="shared" si="1"/>
        <v>-3.0140444852112402</v>
      </c>
      <c r="J47" s="291"/>
      <c r="K47" s="291">
        <f t="shared" si="2"/>
        <v>-1154.5504348658906</v>
      </c>
      <c r="L47" s="292">
        <f t="shared" si="3"/>
        <v>-1143.0049305172317</v>
      </c>
    </row>
    <row r="48" spans="1:13">
      <c r="A48" s="248">
        <f t="shared" si="4"/>
        <v>40</v>
      </c>
      <c r="B48" s="248" t="s">
        <v>776</v>
      </c>
      <c r="C48" s="290">
        <f>IFERROR(VLOOKUP(B48,W27_PG_2_of_3!A$11:E$64,5,FALSE),0)</f>
        <v>4814.631494942113</v>
      </c>
      <c r="D48" s="290">
        <f>IFERROR(VLOOKUP(B48,W27_PG_2_of_3!A$70:E$123,5,FALSE),0)</f>
        <v>3965.4240034153295</v>
      </c>
      <c r="E48" s="290">
        <f t="shared" si="0"/>
        <v>-849.20749152678354</v>
      </c>
      <c r="F48" s="290"/>
      <c r="G48" s="290">
        <f>IFERROR(VLOOKUP(B48,W27_PG_3_of_3!A$10:B$61,2,FALSE),0)</f>
        <v>326.53873913938327</v>
      </c>
      <c r="H48" s="290">
        <f>IFERROR(VLOOKUP(B48,W27_PG_3_of_3!A105:B156,2,FALSE),0)</f>
        <v>297.25704557982715</v>
      </c>
      <c r="I48" s="290">
        <f t="shared" si="1"/>
        <v>-29.281693559556118</v>
      </c>
      <c r="J48" s="291"/>
      <c r="K48" s="291">
        <f t="shared" si="2"/>
        <v>-878.4891850863396</v>
      </c>
      <c r="L48" s="292">
        <f>K48*L$7</f>
        <v>-869.70429323547614</v>
      </c>
    </row>
    <row r="49" spans="1:14">
      <c r="A49" s="248">
        <f t="shared" si="4"/>
        <v>41</v>
      </c>
      <c r="B49" s="248" t="s">
        <v>777</v>
      </c>
      <c r="C49" s="290">
        <f>IFERROR(VLOOKUP(B49,W27_PG_2_of_3!A$11:E$64,5,FALSE),0)</f>
        <v>4414.5695180687144</v>
      </c>
      <c r="D49" s="290">
        <f>IFERROR(VLOOKUP(B49,W27_PG_2_of_3!A$70:E$123,5,FALSE),0)</f>
        <v>2630.2480055263277</v>
      </c>
      <c r="E49" s="290">
        <f t="shared" si="0"/>
        <v>-1784.3215125423867</v>
      </c>
      <c r="F49" s="290"/>
      <c r="G49" s="290">
        <f>IFERROR(VLOOKUP(B49,W27_PG_3_of_3!A$10:B$61,2,FALSE),0)</f>
        <v>22.5768617410071</v>
      </c>
      <c r="H49" s="290">
        <f>IFERROR(VLOOKUP(B49,W27_PG_3_of_3!A106:B157,2,FALSE),0)</f>
        <v>20.552327841050896</v>
      </c>
      <c r="I49" s="290">
        <f t="shared" si="1"/>
        <v>-2.0245338999562037</v>
      </c>
      <c r="J49" s="291"/>
      <c r="K49" s="291">
        <f t="shared" si="2"/>
        <v>-1786.3460464423429</v>
      </c>
      <c r="L49" s="292">
        <f t="shared" si="3"/>
        <v>-1768.4825859779194</v>
      </c>
    </row>
    <row r="50" spans="1:14">
      <c r="A50" s="248">
        <f t="shared" si="4"/>
        <v>42</v>
      </c>
      <c r="B50" s="248" t="s">
        <v>778</v>
      </c>
      <c r="C50" s="290">
        <f>IFERROR(VLOOKUP(B50,W27_PG_2_of_3!A$11:E$64,5,FALSE),0)</f>
        <v>105781.30332635369</v>
      </c>
      <c r="D50" s="290">
        <f>IFERROR(VLOOKUP(B50,W27_PG_2_of_3!A$70:E$123,5,FALSE),0)</f>
        <v>60177.184480800854</v>
      </c>
      <c r="E50" s="290">
        <f t="shared" si="0"/>
        <v>-45604.118845552839</v>
      </c>
      <c r="F50" s="290"/>
      <c r="G50" s="290">
        <f>IFERROR(VLOOKUP(B50,W27_PG_3_of_3!A$10:B$61,2,FALSE),0)</f>
        <v>39.276468597956729</v>
      </c>
      <c r="H50" s="290">
        <f>IFERROR(VLOOKUP(B50,W27_PG_3_of_3!A107:B158,2,FALSE),0)</f>
        <v>35.754431608967238</v>
      </c>
      <c r="I50" s="290">
        <f t="shared" si="1"/>
        <v>-3.5220369889894911</v>
      </c>
      <c r="J50" s="291"/>
      <c r="K50" s="291">
        <f t="shared" si="2"/>
        <v>-45607.640882541826</v>
      </c>
      <c r="L50" s="292">
        <f t="shared" si="3"/>
        <v>-45151.564473716404</v>
      </c>
    </row>
    <row r="51" spans="1:14">
      <c r="A51" s="248">
        <f t="shared" si="4"/>
        <v>43</v>
      </c>
      <c r="B51" s="294" t="s">
        <v>277</v>
      </c>
      <c r="C51" s="295">
        <f>SUM(C9:C50)</f>
        <v>2602066.5278994958</v>
      </c>
      <c r="D51" s="295">
        <f>SUM(D9:D50)</f>
        <v>1657425.5647571597</v>
      </c>
      <c r="E51" s="295">
        <f t="shared" ref="E51:L51" si="5">SUM(E9:E50)</f>
        <v>-944640.96314233623</v>
      </c>
      <c r="F51" s="295"/>
      <c r="G51" s="295">
        <f>SUM(G9:G50)</f>
        <v>117422.92722449818</v>
      </c>
      <c r="H51" s="295">
        <f t="shared" si="5"/>
        <v>106893.26639186365</v>
      </c>
      <c r="I51" s="295">
        <f t="shared" si="5"/>
        <v>-10529.660832634507</v>
      </c>
      <c r="J51" s="296"/>
      <c r="K51" s="296">
        <f t="shared" si="5"/>
        <v>-955170.62397497054</v>
      </c>
      <c r="L51" s="296">
        <f t="shared" si="5"/>
        <v>-945618.91773522121</v>
      </c>
      <c r="M51" s="294"/>
      <c r="N51" s="294"/>
    </row>
    <row r="53" spans="1:14">
      <c r="A53" s="248">
        <f>A51+1</f>
        <v>44</v>
      </c>
      <c r="B53" s="248" t="s">
        <v>800</v>
      </c>
    </row>
    <row r="56" spans="1:14">
      <c r="B56" s="248" t="s">
        <v>2</v>
      </c>
      <c r="C56" s="248" t="s">
        <v>3</v>
      </c>
    </row>
  </sheetData>
  <mergeCells count="9">
    <mergeCell ref="H6:H7"/>
    <mergeCell ref="I6:I7"/>
    <mergeCell ref="K6:K7"/>
    <mergeCell ref="A6:A7"/>
    <mergeCell ref="B6:B7"/>
    <mergeCell ref="C6:C7"/>
    <mergeCell ref="D6:D7"/>
    <mergeCell ref="E6:E7"/>
    <mergeCell ref="G6:G7"/>
  </mergeCells>
  <pageMargins left="0.7" right="0.7" top="0.75" bottom="0.75" header="0.3" footer="0.3"/>
  <pageSetup scale="74" orientation="portrait" horizontalDpi="200" verticalDpi="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5"/>
  <sheetViews>
    <sheetView zoomScaleNormal="100" workbookViewId="0">
      <selection activeCell="F75" sqref="F75"/>
    </sheetView>
  </sheetViews>
  <sheetFormatPr defaultColWidth="9.109375" defaultRowHeight="13.2"/>
  <cols>
    <col min="1" max="1" width="30.5546875" style="248" bestFit="1" customWidth="1"/>
    <col min="2" max="2" width="14.88671875" style="310" bestFit="1" customWidth="1"/>
    <col min="3" max="3" width="18.44140625" style="310" bestFit="1" customWidth="1"/>
    <col min="4" max="4" width="14.88671875" style="310" bestFit="1" customWidth="1"/>
    <col min="5" max="5" width="15.6640625" style="310" bestFit="1" customWidth="1"/>
    <col min="6" max="6" width="15.33203125" style="248" bestFit="1" customWidth="1"/>
    <col min="7" max="16384" width="9.109375" style="248"/>
  </cols>
  <sheetData>
    <row r="1" spans="1:5">
      <c r="B1" s="248"/>
      <c r="C1" s="248"/>
      <c r="D1" s="248"/>
      <c r="E1" s="248"/>
    </row>
    <row r="2" spans="1:5">
      <c r="A2" s="230" t="s">
        <v>0</v>
      </c>
      <c r="B2" s="248"/>
      <c r="C2" s="248"/>
      <c r="D2" s="248"/>
      <c r="E2" s="248"/>
    </row>
    <row r="3" spans="1:5">
      <c r="A3" s="282" t="s">
        <v>961</v>
      </c>
      <c r="B3" s="248"/>
      <c r="C3" s="248"/>
      <c r="D3" s="248"/>
      <c r="E3" s="248"/>
    </row>
    <row r="4" spans="1:5">
      <c r="A4" s="230" t="s">
        <v>107</v>
      </c>
      <c r="B4" s="248"/>
      <c r="C4" s="248"/>
      <c r="D4" s="248"/>
      <c r="E4" s="248"/>
    </row>
    <row r="5" spans="1:5">
      <c r="A5" s="248" t="s">
        <v>801</v>
      </c>
      <c r="B5" s="248"/>
      <c r="C5" s="248"/>
      <c r="D5" s="248"/>
      <c r="E5" s="248"/>
    </row>
    <row r="6" spans="1:5">
      <c r="B6" s="248"/>
      <c r="C6" s="248"/>
      <c r="D6" s="248"/>
      <c r="E6" s="248"/>
    </row>
    <row r="7" spans="1:5">
      <c r="A7" s="297" t="s">
        <v>802</v>
      </c>
      <c r="B7" s="297" t="s">
        <v>803</v>
      </c>
      <c r="C7" s="248"/>
      <c r="D7" s="248"/>
      <c r="E7" s="248"/>
    </row>
    <row r="8" spans="1:5">
      <c r="B8" s="248"/>
      <c r="C8" s="248"/>
      <c r="D8" s="248"/>
      <c r="E8" s="248"/>
    </row>
    <row r="9" spans="1:5">
      <c r="A9" s="298" t="s">
        <v>804</v>
      </c>
      <c r="B9" s="298" t="s">
        <v>805</v>
      </c>
      <c r="C9" s="248"/>
      <c r="D9" s="248"/>
      <c r="E9" s="248"/>
    </row>
    <row r="10" spans="1:5">
      <c r="A10" s="297" t="s">
        <v>258</v>
      </c>
      <c r="B10" s="297" t="s">
        <v>806</v>
      </c>
      <c r="C10" s="297" t="s">
        <v>807</v>
      </c>
      <c r="D10" s="297" t="s">
        <v>808</v>
      </c>
      <c r="E10" s="297" t="s">
        <v>277</v>
      </c>
    </row>
    <row r="11" spans="1:5">
      <c r="A11" s="299" t="s">
        <v>809</v>
      </c>
      <c r="B11" s="300">
        <v>1265609.3830519875</v>
      </c>
      <c r="C11" s="300">
        <v>167132.37472792302</v>
      </c>
      <c r="D11" s="300">
        <v>53537.294247306243</v>
      </c>
      <c r="E11" s="300">
        <v>1486279.0520272166</v>
      </c>
    </row>
    <row r="12" spans="1:5">
      <c r="A12" s="299" t="s">
        <v>810</v>
      </c>
      <c r="B12" s="300">
        <v>218149.26069137332</v>
      </c>
      <c r="C12" s="300">
        <v>14723.742610547848</v>
      </c>
      <c r="D12" s="300">
        <v>18149.625156444432</v>
      </c>
      <c r="E12" s="300">
        <v>251022.62845836559</v>
      </c>
    </row>
    <row r="13" spans="1:5">
      <c r="A13" s="299" t="s">
        <v>811</v>
      </c>
      <c r="B13" s="300"/>
      <c r="C13" s="300">
        <v>9241.4265453878033</v>
      </c>
      <c r="D13" s="300">
        <v>363938.5778068233</v>
      </c>
      <c r="E13" s="300">
        <v>373180.00435221114</v>
      </c>
    </row>
    <row r="14" spans="1:5">
      <c r="A14" s="299" t="s">
        <v>812</v>
      </c>
      <c r="B14" s="300">
        <v>0</v>
      </c>
      <c r="C14" s="300">
        <v>0</v>
      </c>
      <c r="D14" s="300"/>
      <c r="E14" s="300">
        <v>0</v>
      </c>
    </row>
    <row r="15" spans="1:5">
      <c r="A15" s="299" t="s">
        <v>813</v>
      </c>
      <c r="B15" s="300"/>
      <c r="C15" s="300"/>
      <c r="D15" s="300">
        <v>0</v>
      </c>
      <c r="E15" s="300">
        <v>0</v>
      </c>
    </row>
    <row r="16" spans="1:5">
      <c r="A16" s="299" t="s">
        <v>814</v>
      </c>
      <c r="B16" s="300">
        <v>0</v>
      </c>
      <c r="C16" s="300">
        <v>0</v>
      </c>
      <c r="D16" s="300">
        <v>0</v>
      </c>
      <c r="E16" s="300">
        <v>0</v>
      </c>
    </row>
    <row r="17" spans="1:5">
      <c r="A17" s="299" t="s">
        <v>815</v>
      </c>
      <c r="B17" s="300">
        <v>5053.7299999999987</v>
      </c>
      <c r="C17" s="300"/>
      <c r="D17" s="300"/>
      <c r="E17" s="300">
        <v>5053.7299999999987</v>
      </c>
    </row>
    <row r="18" spans="1:5">
      <c r="A18" s="299" t="s">
        <v>816</v>
      </c>
      <c r="B18" s="300">
        <v>15720.770000000002</v>
      </c>
      <c r="C18" s="300">
        <v>-4.17</v>
      </c>
      <c r="D18" s="300">
        <v>40951.919999999998</v>
      </c>
      <c r="E18" s="300">
        <v>56668.520000000004</v>
      </c>
    </row>
    <row r="19" spans="1:5">
      <c r="A19" s="299" t="s">
        <v>817</v>
      </c>
      <c r="B19" s="300">
        <v>-23.59498722819286</v>
      </c>
      <c r="C19" s="300">
        <v>-1.2300327961350919</v>
      </c>
      <c r="D19" s="300"/>
      <c r="E19" s="300">
        <v>-24.825020024327952</v>
      </c>
    </row>
    <row r="20" spans="1:5">
      <c r="A20" s="299" t="s">
        <v>818</v>
      </c>
      <c r="B20" s="300"/>
      <c r="C20" s="300">
        <v>6.4380143098633438</v>
      </c>
      <c r="D20" s="300">
        <v>295.56837754479176</v>
      </c>
      <c r="E20" s="300">
        <v>302.00639185465508</v>
      </c>
    </row>
    <row r="21" spans="1:5">
      <c r="A21" s="299" t="s">
        <v>819</v>
      </c>
      <c r="B21" s="300">
        <v>21.8614494991116</v>
      </c>
      <c r="C21" s="300">
        <v>1.21637400747969</v>
      </c>
      <c r="D21" s="300"/>
      <c r="E21" s="300">
        <v>23.07782350659129</v>
      </c>
    </row>
    <row r="22" spans="1:5">
      <c r="A22" s="299" t="s">
        <v>820</v>
      </c>
      <c r="B22" s="300">
        <v>996.37247483314763</v>
      </c>
      <c r="C22" s="300">
        <v>59.245592538745477</v>
      </c>
      <c r="D22" s="300"/>
      <c r="E22" s="300">
        <v>1055.6180673718932</v>
      </c>
    </row>
    <row r="23" spans="1:5">
      <c r="A23" s="299" t="s">
        <v>731</v>
      </c>
      <c r="B23" s="300"/>
      <c r="C23" s="300">
        <v>419.08689689092557</v>
      </c>
      <c r="D23" s="300">
        <v>43105.395314477188</v>
      </c>
      <c r="E23" s="300">
        <v>43524.482211368115</v>
      </c>
    </row>
    <row r="24" spans="1:5">
      <c r="A24" s="299" t="s">
        <v>732</v>
      </c>
      <c r="B24" s="300"/>
      <c r="C24" s="300">
        <v>6438.4218512641091</v>
      </c>
      <c r="D24" s="300">
        <v>256235.61616117036</v>
      </c>
      <c r="E24" s="300">
        <v>262674.0380124345</v>
      </c>
    </row>
    <row r="25" spans="1:5">
      <c r="A25" s="299" t="s">
        <v>733</v>
      </c>
      <c r="B25" s="300"/>
      <c r="C25" s="300">
        <v>2232.0796158858861</v>
      </c>
      <c r="D25" s="300">
        <v>89126.763729826402</v>
      </c>
      <c r="E25" s="300">
        <v>91358.843345712288</v>
      </c>
    </row>
    <row r="26" spans="1:5">
      <c r="A26" s="299" t="s">
        <v>734</v>
      </c>
      <c r="B26" s="300"/>
      <c r="C26" s="300">
        <v>0.22869293901479901</v>
      </c>
      <c r="D26" s="300">
        <v>7.4274186473219803</v>
      </c>
      <c r="E26" s="300">
        <v>7.6561115863367792</v>
      </c>
    </row>
    <row r="27" spans="1:5">
      <c r="A27" s="299" t="s">
        <v>735</v>
      </c>
      <c r="B27" s="300">
        <v>-328481.3</v>
      </c>
      <c r="C27" s="300">
        <v>10700.850685507397</v>
      </c>
      <c r="D27" s="300">
        <v>411610.03914552985</v>
      </c>
      <c r="E27" s="300">
        <v>93829.589831037272</v>
      </c>
    </row>
    <row r="28" spans="1:5">
      <c r="A28" s="299" t="s">
        <v>736</v>
      </c>
      <c r="B28" s="300"/>
      <c r="C28" s="300">
        <v>4608.3589289442789</v>
      </c>
      <c r="D28" s="300">
        <v>185408.7998716218</v>
      </c>
      <c r="E28" s="300">
        <v>190017.15880056607</v>
      </c>
    </row>
    <row r="29" spans="1:5">
      <c r="A29" s="299" t="s">
        <v>737</v>
      </c>
      <c r="B29" s="300"/>
      <c r="C29" s="300">
        <v>304.64228216527965</v>
      </c>
      <c r="D29" s="300">
        <v>14161.537883986412</v>
      </c>
      <c r="E29" s="300">
        <v>14466.180166151691</v>
      </c>
    </row>
    <row r="30" spans="1:5">
      <c r="A30" s="299" t="s">
        <v>739</v>
      </c>
      <c r="B30" s="300"/>
      <c r="C30" s="300">
        <v>7088.5518251659623</v>
      </c>
      <c r="D30" s="300">
        <v>270513.61830882891</v>
      </c>
      <c r="E30" s="300">
        <v>277602.17013399489</v>
      </c>
    </row>
    <row r="31" spans="1:5">
      <c r="A31" s="299" t="s">
        <v>741</v>
      </c>
      <c r="B31" s="300">
        <v>60.100000000000009</v>
      </c>
      <c r="C31" s="300">
        <v>3628.6618150535205</v>
      </c>
      <c r="D31" s="300">
        <v>144679.0884350136</v>
      </c>
      <c r="E31" s="300">
        <v>148367.85025006713</v>
      </c>
    </row>
    <row r="32" spans="1:5">
      <c r="A32" s="299" t="s">
        <v>743</v>
      </c>
      <c r="B32" s="300"/>
      <c r="C32" s="300">
        <v>1953.3925880095817</v>
      </c>
      <c r="D32" s="300">
        <v>72937.884631929512</v>
      </c>
      <c r="E32" s="300">
        <v>74891.277219939089</v>
      </c>
    </row>
    <row r="33" spans="1:5">
      <c r="A33" s="299" t="s">
        <v>745</v>
      </c>
      <c r="B33" s="300"/>
      <c r="C33" s="300">
        <v>5.5422386033060898</v>
      </c>
      <c r="D33" s="300">
        <v>283.49658570100701</v>
      </c>
      <c r="E33" s="300">
        <v>289.0388243043131</v>
      </c>
    </row>
    <row r="34" spans="1:5">
      <c r="A34" s="299" t="s">
        <v>747</v>
      </c>
      <c r="B34" s="300"/>
      <c r="C34" s="300">
        <v>52.047668130112548</v>
      </c>
      <c r="D34" s="300">
        <v>1802.9837433444643</v>
      </c>
      <c r="E34" s="300">
        <v>1855.0314114745768</v>
      </c>
    </row>
    <row r="35" spans="1:5">
      <c r="A35" s="299" t="s">
        <v>748</v>
      </c>
      <c r="B35" s="300"/>
      <c r="C35" s="300">
        <v>5.93</v>
      </c>
      <c r="D35" s="300"/>
      <c r="E35" s="300">
        <v>5.93</v>
      </c>
    </row>
    <row r="36" spans="1:5">
      <c r="A36" s="299" t="s">
        <v>749</v>
      </c>
      <c r="B36" s="300"/>
      <c r="C36" s="300">
        <v>477.64371426972701</v>
      </c>
      <c r="D36" s="300"/>
      <c r="E36" s="300">
        <v>477.64371426972701</v>
      </c>
    </row>
    <row r="37" spans="1:5">
      <c r="A37" s="299" t="s">
        <v>750</v>
      </c>
      <c r="B37" s="300"/>
      <c r="C37" s="300">
        <v>-2.3653963839628931</v>
      </c>
      <c r="D37" s="300"/>
      <c r="E37" s="300">
        <v>-2.3653963839628931</v>
      </c>
    </row>
    <row r="38" spans="1:5">
      <c r="A38" s="299" t="s">
        <v>751</v>
      </c>
      <c r="B38" s="300"/>
      <c r="C38" s="300">
        <v>158.7658205378678</v>
      </c>
      <c r="D38" s="300"/>
      <c r="E38" s="300">
        <v>158.7658205378678</v>
      </c>
    </row>
    <row r="39" spans="1:5">
      <c r="A39" s="299" t="s">
        <v>752</v>
      </c>
      <c r="B39" s="300">
        <v>36481.227210270335</v>
      </c>
      <c r="C39" s="300">
        <v>2432.2185141399941</v>
      </c>
      <c r="D39" s="300"/>
      <c r="E39" s="300">
        <v>38913.445724410332</v>
      </c>
    </row>
    <row r="40" spans="1:5">
      <c r="A40" s="299" t="s">
        <v>753</v>
      </c>
      <c r="B40" s="300">
        <v>76214.367715770408</v>
      </c>
      <c r="C40" s="300">
        <v>4815.1144817304394</v>
      </c>
      <c r="D40" s="300"/>
      <c r="E40" s="300">
        <v>81029.482197500853</v>
      </c>
    </row>
    <row r="41" spans="1:5">
      <c r="A41" s="299" t="s">
        <v>754</v>
      </c>
      <c r="B41" s="300">
        <v>106.26150753975836</v>
      </c>
      <c r="C41" s="300">
        <v>6.4255624960387294</v>
      </c>
      <c r="D41" s="300"/>
      <c r="E41" s="300">
        <v>112.68707003579709</v>
      </c>
    </row>
    <row r="42" spans="1:5">
      <c r="A42" s="299" t="s">
        <v>755</v>
      </c>
      <c r="B42" s="300">
        <v>1041.4160853512114</v>
      </c>
      <c r="C42" s="300">
        <v>62.295169451309469</v>
      </c>
      <c r="D42" s="300"/>
      <c r="E42" s="300">
        <v>1103.7112548025209</v>
      </c>
    </row>
    <row r="43" spans="1:5">
      <c r="A43" s="299" t="s">
        <v>756</v>
      </c>
      <c r="B43" s="300">
        <v>111343.39631134109</v>
      </c>
      <c r="C43" s="300">
        <v>7120.6396626028209</v>
      </c>
      <c r="D43" s="300"/>
      <c r="E43" s="300">
        <v>118464.0359739439</v>
      </c>
    </row>
    <row r="44" spans="1:5">
      <c r="A44" s="299" t="s">
        <v>757</v>
      </c>
      <c r="B44" s="300">
        <v>15251.133468841483</v>
      </c>
      <c r="C44" s="300">
        <v>976.24140886546002</v>
      </c>
      <c r="D44" s="300"/>
      <c r="E44" s="300">
        <v>16227.374877706943</v>
      </c>
    </row>
    <row r="45" spans="1:5">
      <c r="A45" s="299" t="s">
        <v>758</v>
      </c>
      <c r="B45" s="300">
        <v>-65410.253321386743</v>
      </c>
      <c r="C45" s="300">
        <v>23121.181672407507</v>
      </c>
      <c r="D45" s="300"/>
      <c r="E45" s="300">
        <v>-42289.071648979239</v>
      </c>
    </row>
    <row r="46" spans="1:5">
      <c r="A46" s="299" t="s">
        <v>759</v>
      </c>
      <c r="B46" s="300">
        <v>10.66</v>
      </c>
      <c r="C46" s="300">
        <v>0.61913978965840399</v>
      </c>
      <c r="D46" s="300"/>
      <c r="E46" s="300">
        <v>11.279139789658403</v>
      </c>
    </row>
    <row r="47" spans="1:5">
      <c r="A47" s="299" t="s">
        <v>760</v>
      </c>
      <c r="B47" s="300">
        <v>1069.246434891417</v>
      </c>
      <c r="C47" s="300">
        <v>63.814085090551302</v>
      </c>
      <c r="D47" s="300"/>
      <c r="E47" s="300">
        <v>1133.0605199819684</v>
      </c>
    </row>
    <row r="48" spans="1:5">
      <c r="A48" s="299" t="s">
        <v>761</v>
      </c>
      <c r="B48" s="300">
        <v>502266.53755507199</v>
      </c>
      <c r="C48" s="300">
        <v>32971.335896759549</v>
      </c>
      <c r="D48" s="300"/>
      <c r="E48" s="300">
        <v>535237.87345183152</v>
      </c>
    </row>
    <row r="49" spans="1:6">
      <c r="A49" s="299" t="s">
        <v>762</v>
      </c>
      <c r="B49" s="300">
        <v>1638.1940814554496</v>
      </c>
      <c r="C49" s="300">
        <v>117.14774038238552</v>
      </c>
      <c r="D49" s="300"/>
      <c r="E49" s="300">
        <v>1755.3418218378351</v>
      </c>
    </row>
    <row r="50" spans="1:6">
      <c r="A50" s="299" t="s">
        <v>763</v>
      </c>
      <c r="B50" s="300">
        <v>4708.7560797786937</v>
      </c>
      <c r="C50" s="300">
        <v>309.32491147718582</v>
      </c>
      <c r="D50" s="300"/>
      <c r="E50" s="300">
        <v>5018.0809912558798</v>
      </c>
    </row>
    <row r="51" spans="1:6">
      <c r="A51" s="299" t="s">
        <v>764</v>
      </c>
      <c r="B51" s="300">
        <v>2669.9628722628918</v>
      </c>
      <c r="C51" s="300">
        <v>172.15080594786667</v>
      </c>
      <c r="D51" s="300"/>
      <c r="E51" s="300">
        <v>2842.1136782107583</v>
      </c>
    </row>
    <row r="52" spans="1:6">
      <c r="A52" s="299" t="s">
        <v>765</v>
      </c>
      <c r="B52" s="300">
        <v>3965.8511794498327</v>
      </c>
      <c r="C52" s="300">
        <v>250.1776437367574</v>
      </c>
      <c r="D52" s="300"/>
      <c r="E52" s="300">
        <v>4216.0288231865898</v>
      </c>
    </row>
    <row r="53" spans="1:6">
      <c r="A53" s="299" t="s">
        <v>766</v>
      </c>
      <c r="B53" s="300">
        <v>1221.8560831608561</v>
      </c>
      <c r="C53" s="300">
        <v>72.893782190095138</v>
      </c>
      <c r="D53" s="300"/>
      <c r="E53" s="300">
        <v>1294.7498653509513</v>
      </c>
    </row>
    <row r="54" spans="1:6">
      <c r="A54" s="299" t="s">
        <v>767</v>
      </c>
      <c r="B54" s="300">
        <v>866.48613235303401</v>
      </c>
      <c r="C54" s="300">
        <v>49.402980401227097</v>
      </c>
      <c r="D54" s="300"/>
      <c r="E54" s="300">
        <v>915.88911275426108</v>
      </c>
    </row>
    <row r="55" spans="1:6">
      <c r="A55" s="299" t="s">
        <v>768</v>
      </c>
      <c r="B55" s="300">
        <v>33644.735600781292</v>
      </c>
      <c r="C55" s="300">
        <v>2162.3371930145813</v>
      </c>
      <c r="D55" s="300"/>
      <c r="E55" s="300">
        <v>35807.072793795873</v>
      </c>
    </row>
    <row r="56" spans="1:6">
      <c r="A56" s="299" t="s">
        <v>769</v>
      </c>
      <c r="B56" s="300">
        <v>160614.58464708773</v>
      </c>
      <c r="C56" s="300">
        <v>10236.021258130702</v>
      </c>
      <c r="D56" s="300"/>
      <c r="E56" s="300">
        <v>170850.60590521843</v>
      </c>
    </row>
    <row r="57" spans="1:6">
      <c r="A57" s="299" t="s">
        <v>770</v>
      </c>
      <c r="B57" s="300">
        <v>594.00200527142658</v>
      </c>
      <c r="C57" s="300">
        <v>38.747589881157012</v>
      </c>
      <c r="D57" s="300"/>
      <c r="E57" s="300">
        <v>632.74959515258365</v>
      </c>
    </row>
    <row r="58" spans="1:6">
      <c r="A58" s="299" t="s">
        <v>771</v>
      </c>
      <c r="B58" s="300">
        <v>26943.125168990675</v>
      </c>
      <c r="C58" s="300">
        <v>1746.9494630561167</v>
      </c>
      <c r="D58" s="300"/>
      <c r="E58" s="300">
        <v>28690.074632046792</v>
      </c>
    </row>
    <row r="59" spans="1:6">
      <c r="A59" s="299" t="s">
        <v>772</v>
      </c>
      <c r="B59" s="300">
        <v>167.03421736951501</v>
      </c>
      <c r="C59" s="300">
        <v>9.9427583015321108</v>
      </c>
      <c r="D59" s="300"/>
      <c r="E59" s="300">
        <v>176.97697567104711</v>
      </c>
    </row>
    <row r="60" spans="1:6">
      <c r="A60" s="299" t="s">
        <v>773</v>
      </c>
      <c r="B60" s="300">
        <v>264418.18998252688</v>
      </c>
      <c r="C60" s="300">
        <v>18457.207527313622</v>
      </c>
      <c r="D60" s="300">
        <v>52.390930031415095</v>
      </c>
      <c r="E60" s="300">
        <v>282927.78843987192</v>
      </c>
    </row>
    <row r="61" spans="1:6">
      <c r="A61" s="299" t="s">
        <v>775</v>
      </c>
      <c r="B61" s="300"/>
      <c r="C61" s="300">
        <v>48.089655921457634</v>
      </c>
      <c r="D61" s="300">
        <v>2413.2922517729844</v>
      </c>
      <c r="E61" s="300">
        <v>2461.3819076944419</v>
      </c>
    </row>
    <row r="62" spans="1:6">
      <c r="A62" s="299" t="s">
        <v>776</v>
      </c>
      <c r="B62" s="300">
        <v>4505.4102886862411</v>
      </c>
      <c r="C62" s="300">
        <v>309.22120625587183</v>
      </c>
      <c r="D62" s="300"/>
      <c r="E62" s="300">
        <v>4814.631494942113</v>
      </c>
    </row>
    <row r="63" spans="1:6">
      <c r="A63" s="299" t="s">
        <v>777</v>
      </c>
      <c r="B63" s="300">
        <v>453.26100641101749</v>
      </c>
      <c r="C63" s="300">
        <v>3961.3085116576967</v>
      </c>
      <c r="D63" s="300"/>
      <c r="E63" s="300">
        <v>4414.5695180687144</v>
      </c>
    </row>
    <row r="64" spans="1:6">
      <c r="A64" s="299" t="s">
        <v>778</v>
      </c>
      <c r="B64" s="300">
        <v>444.12500625666746</v>
      </c>
      <c r="C64" s="300">
        <v>105337.17832009702</v>
      </c>
      <c r="D64" s="300"/>
      <c r="E64" s="300">
        <v>105781.30332635369</v>
      </c>
      <c r="F64" s="248" t="s">
        <v>821</v>
      </c>
    </row>
    <row r="65" spans="1:6">
      <c r="A65" s="301" t="s">
        <v>277</v>
      </c>
      <c r="B65" s="302">
        <v>2362336.149999998</v>
      </c>
      <c r="C65" s="302">
        <v>444078.87000000023</v>
      </c>
      <c r="D65" s="302">
        <v>1969211.3199999998</v>
      </c>
      <c r="E65" s="302">
        <v>4775626.3399999971</v>
      </c>
      <c r="F65" s="290">
        <f>SUM(E23:E64)</f>
        <v>2602066.5278994958</v>
      </c>
    </row>
    <row r="68" spans="1:6">
      <c r="A68" s="303" t="s">
        <v>822</v>
      </c>
      <c r="B68" s="304" t="s">
        <v>806</v>
      </c>
      <c r="C68" s="304" t="s">
        <v>807</v>
      </c>
      <c r="D68" s="304" t="s">
        <v>808</v>
      </c>
      <c r="E68" s="304" t="s">
        <v>277</v>
      </c>
    </row>
    <row r="69" spans="1:6">
      <c r="A69" s="304" t="s">
        <v>823</v>
      </c>
      <c r="B69" s="305">
        <v>1987153.75</v>
      </c>
      <c r="C69" s="305">
        <v>252119.08250000002</v>
      </c>
      <c r="D69" s="305">
        <v>1046536.6812499999</v>
      </c>
      <c r="E69" s="305">
        <f>SUM(B69:D69)</f>
        <v>3285809.5137499999</v>
      </c>
    </row>
    <row r="70" spans="1:6">
      <c r="A70" s="306" t="s">
        <v>809</v>
      </c>
      <c r="B70" s="300">
        <f>B$69*(B11/B$65)</f>
        <v>1064607.351314903</v>
      </c>
      <c r="C70" s="300">
        <f>C$69*(C11/C$65)</f>
        <v>94886.885684180641</v>
      </c>
      <c r="D70" s="300">
        <f>D$69*(D11/D$65)</f>
        <v>28452.376682803442</v>
      </c>
      <c r="E70" s="300">
        <f>SUM(B70:D70)</f>
        <v>1187946.613681887</v>
      </c>
    </row>
    <row r="71" spans="1:6">
      <c r="A71" s="299" t="s">
        <v>810</v>
      </c>
      <c r="B71" s="300">
        <f t="shared" ref="B71:D86" si="0">B$69*(B12/B$65)</f>
        <v>183503.14854327164</v>
      </c>
      <c r="C71" s="300">
        <f t="shared" si="0"/>
        <v>8359.1828585257317</v>
      </c>
      <c r="D71" s="300">
        <f t="shared" si="0"/>
        <v>9645.6120702966837</v>
      </c>
      <c r="E71" s="300">
        <f t="shared" ref="E71:E123" si="1">SUM(B71:D71)</f>
        <v>201507.94347209405</v>
      </c>
    </row>
    <row r="72" spans="1:6">
      <c r="A72" s="299" t="s">
        <v>811</v>
      </c>
      <c r="B72" s="300">
        <f t="shared" si="0"/>
        <v>0</v>
      </c>
      <c r="C72" s="300">
        <f t="shared" si="0"/>
        <v>5246.6805763902175</v>
      </c>
      <c r="D72" s="300">
        <f t="shared" si="0"/>
        <v>193415.03246934299</v>
      </c>
      <c r="E72" s="300">
        <f t="shared" si="1"/>
        <v>198661.7130457332</v>
      </c>
    </row>
    <row r="73" spans="1:6">
      <c r="A73" s="299" t="s">
        <v>812</v>
      </c>
      <c r="B73" s="300">
        <f t="shared" si="0"/>
        <v>0</v>
      </c>
      <c r="C73" s="300">
        <f t="shared" si="0"/>
        <v>0</v>
      </c>
      <c r="D73" s="300">
        <f t="shared" si="0"/>
        <v>0</v>
      </c>
      <c r="E73" s="300">
        <f t="shared" si="1"/>
        <v>0</v>
      </c>
    </row>
    <row r="74" spans="1:6">
      <c r="A74" s="299" t="s">
        <v>813</v>
      </c>
      <c r="B74" s="300">
        <f t="shared" si="0"/>
        <v>0</v>
      </c>
      <c r="C74" s="300">
        <f t="shared" si="0"/>
        <v>0</v>
      </c>
      <c r="D74" s="300">
        <f t="shared" si="0"/>
        <v>0</v>
      </c>
      <c r="E74" s="300">
        <f t="shared" si="1"/>
        <v>0</v>
      </c>
    </row>
    <row r="75" spans="1:6">
      <c r="A75" s="299" t="s">
        <v>814</v>
      </c>
      <c r="B75" s="300">
        <f t="shared" si="0"/>
        <v>0</v>
      </c>
      <c r="C75" s="300">
        <f t="shared" si="0"/>
        <v>0</v>
      </c>
      <c r="D75" s="300">
        <f t="shared" si="0"/>
        <v>0</v>
      </c>
      <c r="E75" s="300">
        <f t="shared" si="1"/>
        <v>0</v>
      </c>
    </row>
    <row r="76" spans="1:6">
      <c r="A76" s="299" t="s">
        <v>815</v>
      </c>
      <c r="B76" s="300">
        <f t="shared" si="0"/>
        <v>4251.1047892094048</v>
      </c>
      <c r="C76" s="300">
        <f t="shared" si="0"/>
        <v>0</v>
      </c>
      <c r="D76" s="300">
        <f t="shared" si="0"/>
        <v>0</v>
      </c>
      <c r="E76" s="300">
        <f t="shared" si="1"/>
        <v>4251.1047892094048</v>
      </c>
    </row>
    <row r="77" spans="1:6">
      <c r="A77" s="299" t="s">
        <v>816</v>
      </c>
      <c r="B77" s="300">
        <f t="shared" si="0"/>
        <v>13224.022778632723</v>
      </c>
      <c r="C77" s="300">
        <f t="shared" si="0"/>
        <v>-2.3674546236009824</v>
      </c>
      <c r="D77" s="300">
        <f t="shared" si="0"/>
        <v>21763.883851538845</v>
      </c>
      <c r="E77" s="300">
        <f t="shared" si="1"/>
        <v>34985.539175547965</v>
      </c>
    </row>
    <row r="78" spans="1:6">
      <c r="A78" s="299" t="s">
        <v>817</v>
      </c>
      <c r="B78" s="300">
        <f t="shared" si="0"/>
        <v>-19.847669584070662</v>
      </c>
      <c r="C78" s="300">
        <f t="shared" si="0"/>
        <v>-0.69833257323522002</v>
      </c>
      <c r="D78" s="300">
        <f t="shared" si="0"/>
        <v>0</v>
      </c>
      <c r="E78" s="300">
        <f t="shared" si="1"/>
        <v>-20.546002157305882</v>
      </c>
    </row>
    <row r="79" spans="1:6">
      <c r="A79" s="299" t="s">
        <v>818</v>
      </c>
      <c r="B79" s="300">
        <f t="shared" si="0"/>
        <v>0</v>
      </c>
      <c r="C79" s="300">
        <f t="shared" si="0"/>
        <v>3.6550855502866333</v>
      </c>
      <c r="D79" s="300">
        <f t="shared" si="0"/>
        <v>157.07971296761255</v>
      </c>
      <c r="E79" s="300">
        <f t="shared" si="1"/>
        <v>160.73479851789918</v>
      </c>
    </row>
    <row r="80" spans="1:6">
      <c r="A80" s="299" t="s">
        <v>819</v>
      </c>
      <c r="B80" s="300">
        <f t="shared" si="0"/>
        <v>18.389449508527932</v>
      </c>
      <c r="C80" s="300">
        <f t="shared" si="0"/>
        <v>0.69057800192706187</v>
      </c>
      <c r="D80" s="300">
        <f t="shared" si="0"/>
        <v>0</v>
      </c>
      <c r="E80" s="300">
        <f t="shared" si="1"/>
        <v>19.080027510454993</v>
      </c>
    </row>
    <row r="81" spans="1:5">
      <c r="A81" s="299" t="s">
        <v>820</v>
      </c>
      <c r="B81" s="300">
        <f t="shared" si="0"/>
        <v>838.13021265473662</v>
      </c>
      <c r="C81" s="300">
        <f t="shared" si="0"/>
        <v>33.635791842645759</v>
      </c>
      <c r="D81" s="300">
        <f t="shared" si="0"/>
        <v>0</v>
      </c>
      <c r="E81" s="300">
        <f t="shared" si="1"/>
        <v>871.76600449738237</v>
      </c>
    </row>
    <row r="82" spans="1:5">
      <c r="A82" s="299" t="s">
        <v>731</v>
      </c>
      <c r="B82" s="300">
        <f t="shared" si="0"/>
        <v>0</v>
      </c>
      <c r="C82" s="300">
        <f t="shared" si="0"/>
        <v>237.93026660311986</v>
      </c>
      <c r="D82" s="300">
        <f t="shared" si="0"/>
        <v>22908.347569514408</v>
      </c>
      <c r="E82" s="300">
        <f t="shared" si="1"/>
        <v>23146.277836117526</v>
      </c>
    </row>
    <row r="83" spans="1:5">
      <c r="A83" s="299" t="s">
        <v>732</v>
      </c>
      <c r="B83" s="300">
        <f t="shared" si="0"/>
        <v>0</v>
      </c>
      <c r="C83" s="300">
        <f t="shared" si="0"/>
        <v>3655.3169257718969</v>
      </c>
      <c r="D83" s="300">
        <f t="shared" si="0"/>
        <v>136176.33040793211</v>
      </c>
      <c r="E83" s="300">
        <f t="shared" si="1"/>
        <v>139831.64733370399</v>
      </c>
    </row>
    <row r="84" spans="1:5">
      <c r="A84" s="299" t="s">
        <v>733</v>
      </c>
      <c r="B84" s="300">
        <f t="shared" si="0"/>
        <v>0</v>
      </c>
      <c r="C84" s="300">
        <f t="shared" si="0"/>
        <v>1267.2295460130806</v>
      </c>
      <c r="D84" s="300">
        <f t="shared" si="0"/>
        <v>47366.388044308718</v>
      </c>
      <c r="E84" s="300">
        <f t="shared" si="1"/>
        <v>48633.617590321795</v>
      </c>
    </row>
    <row r="85" spans="1:5">
      <c r="A85" s="299" t="s">
        <v>734</v>
      </c>
      <c r="B85" s="300">
        <f t="shared" si="0"/>
        <v>0</v>
      </c>
      <c r="C85" s="300">
        <f t="shared" si="0"/>
        <v>0.12983696783105117</v>
      </c>
      <c r="D85" s="300">
        <f t="shared" si="0"/>
        <v>3.947299095062438</v>
      </c>
      <c r="E85" s="300">
        <f t="shared" si="1"/>
        <v>4.077136062893489</v>
      </c>
    </row>
    <row r="86" spans="1:5">
      <c r="A86" s="299" t="s">
        <v>735</v>
      </c>
      <c r="B86" s="300">
        <f t="shared" si="0"/>
        <v>-276312.4321235466</v>
      </c>
      <c r="C86" s="300">
        <f t="shared" si="0"/>
        <v>6075.246626347297</v>
      </c>
      <c r="D86" s="300">
        <f t="shared" si="0"/>
        <v>218750.01426283972</v>
      </c>
      <c r="E86" s="300">
        <f t="shared" si="1"/>
        <v>-51487.171234359586</v>
      </c>
    </row>
    <row r="87" spans="1:5">
      <c r="A87" s="299" t="s">
        <v>736</v>
      </c>
      <c r="B87" s="300">
        <f t="shared" ref="B87:D102" si="2">B$69*(B28/B$65)</f>
        <v>0</v>
      </c>
      <c r="C87" s="300">
        <f t="shared" si="2"/>
        <v>2616.3262958134301</v>
      </c>
      <c r="D87" s="300">
        <f t="shared" si="2"/>
        <v>98535.443160154347</v>
      </c>
      <c r="E87" s="300">
        <f t="shared" si="1"/>
        <v>101151.76945596778</v>
      </c>
    </row>
    <row r="88" spans="1:5">
      <c r="A88" s="299" t="s">
        <v>737</v>
      </c>
      <c r="B88" s="300">
        <f t="shared" si="2"/>
        <v>0</v>
      </c>
      <c r="C88" s="300">
        <f t="shared" si="2"/>
        <v>172.95606221979529</v>
      </c>
      <c r="D88" s="300">
        <f t="shared" si="2"/>
        <v>7526.1444558948024</v>
      </c>
      <c r="E88" s="300">
        <f t="shared" si="1"/>
        <v>7699.1005181145974</v>
      </c>
    </row>
    <row r="89" spans="1:5">
      <c r="A89" s="299" t="s">
        <v>739</v>
      </c>
      <c r="B89" s="300">
        <f t="shared" si="2"/>
        <v>0</v>
      </c>
      <c r="C89" s="300">
        <f t="shared" si="2"/>
        <v>4024.4184156173469</v>
      </c>
      <c r="D89" s="300">
        <f t="shared" si="2"/>
        <v>143764.36975684814</v>
      </c>
      <c r="E89" s="300">
        <f t="shared" si="1"/>
        <v>147788.78817246549</v>
      </c>
    </row>
    <row r="90" spans="1:5">
      <c r="A90" s="299" t="s">
        <v>741</v>
      </c>
      <c r="B90" s="300">
        <f t="shared" si="2"/>
        <v>50.555015371119012</v>
      </c>
      <c r="C90" s="300">
        <f t="shared" si="2"/>
        <v>2060.1180315426354</v>
      </c>
      <c r="D90" s="300">
        <f t="shared" si="2"/>
        <v>76889.651973488755</v>
      </c>
      <c r="E90" s="300">
        <f t="shared" si="1"/>
        <v>79000.32502040251</v>
      </c>
    </row>
    <row r="91" spans="1:5">
      <c r="A91" s="299" t="s">
        <v>743</v>
      </c>
      <c r="B91" s="300">
        <f t="shared" si="2"/>
        <v>0</v>
      </c>
      <c r="C91" s="300">
        <f t="shared" si="2"/>
        <v>1109.0091880554371</v>
      </c>
      <c r="D91" s="300">
        <f t="shared" si="2"/>
        <v>38762.813794963811</v>
      </c>
      <c r="E91" s="300">
        <f t="shared" si="1"/>
        <v>39871.82298301925</v>
      </c>
    </row>
    <row r="92" spans="1:5">
      <c r="A92" s="299" t="s">
        <v>745</v>
      </c>
      <c r="B92" s="300">
        <f t="shared" si="2"/>
        <v>0</v>
      </c>
      <c r="C92" s="300">
        <f t="shared" si="2"/>
        <v>3.1465223996395331</v>
      </c>
      <c r="D92" s="300">
        <f t="shared" si="2"/>
        <v>150.66416332871682</v>
      </c>
      <c r="E92" s="300">
        <f t="shared" si="1"/>
        <v>153.81068572835636</v>
      </c>
    </row>
    <row r="93" spans="1:5">
      <c r="A93" s="299" t="s">
        <v>747</v>
      </c>
      <c r="B93" s="300">
        <f t="shared" si="2"/>
        <v>0</v>
      </c>
      <c r="C93" s="300">
        <f t="shared" si="2"/>
        <v>29.549278791914734</v>
      </c>
      <c r="D93" s="300">
        <f t="shared" si="2"/>
        <v>958.19509259545464</v>
      </c>
      <c r="E93" s="300">
        <f t="shared" si="1"/>
        <v>987.74437138736937</v>
      </c>
    </row>
    <row r="94" spans="1:5">
      <c r="A94" s="299" t="s">
        <v>748</v>
      </c>
      <c r="B94" s="300">
        <f t="shared" si="2"/>
        <v>0</v>
      </c>
      <c r="C94" s="300">
        <f t="shared" si="2"/>
        <v>3.3666680858402458</v>
      </c>
      <c r="D94" s="300">
        <f t="shared" si="2"/>
        <v>0</v>
      </c>
      <c r="E94" s="300">
        <f t="shared" si="1"/>
        <v>3.3666680858402458</v>
      </c>
    </row>
    <row r="95" spans="1:5">
      <c r="A95" s="299" t="s">
        <v>749</v>
      </c>
      <c r="B95" s="300">
        <f t="shared" si="2"/>
        <v>0</v>
      </c>
      <c r="C95" s="300">
        <f t="shared" si="2"/>
        <v>271.17501673424738</v>
      </c>
      <c r="D95" s="300">
        <f t="shared" si="2"/>
        <v>0</v>
      </c>
      <c r="E95" s="300">
        <f t="shared" si="1"/>
        <v>271.17501673424738</v>
      </c>
    </row>
    <row r="96" spans="1:5">
      <c r="A96" s="299" t="s">
        <v>750</v>
      </c>
      <c r="B96" s="300">
        <f t="shared" si="2"/>
        <v>0</v>
      </c>
      <c r="C96" s="300">
        <f t="shared" si="2"/>
        <v>-1.3429181309021572</v>
      </c>
      <c r="D96" s="300">
        <f t="shared" si="2"/>
        <v>0</v>
      </c>
      <c r="E96" s="300">
        <f t="shared" si="1"/>
        <v>-1.3429181309021572</v>
      </c>
    </row>
    <row r="97" spans="1:5">
      <c r="A97" s="299" t="s">
        <v>751</v>
      </c>
      <c r="B97" s="300">
        <f t="shared" si="2"/>
        <v>0</v>
      </c>
      <c r="C97" s="300">
        <f t="shared" si="2"/>
        <v>90.136900695966162</v>
      </c>
      <c r="D97" s="300">
        <f t="shared" si="2"/>
        <v>0</v>
      </c>
      <c r="E97" s="300">
        <f t="shared" si="1"/>
        <v>90.136900695966162</v>
      </c>
    </row>
    <row r="98" spans="1:5">
      <c r="A98" s="299" t="s">
        <v>752</v>
      </c>
      <c r="B98" s="300">
        <f t="shared" si="2"/>
        <v>30687.337809858596</v>
      </c>
      <c r="C98" s="300">
        <f t="shared" si="2"/>
        <v>1380.8553877478753</v>
      </c>
      <c r="D98" s="300">
        <f t="shared" si="2"/>
        <v>0</v>
      </c>
      <c r="E98" s="300">
        <f t="shared" si="1"/>
        <v>32068.193197606473</v>
      </c>
    </row>
    <row r="99" spans="1:5">
      <c r="A99" s="299" t="s">
        <v>753</v>
      </c>
      <c r="B99" s="300">
        <f t="shared" si="2"/>
        <v>64110.125313991506</v>
      </c>
      <c r="C99" s="300">
        <f t="shared" si="2"/>
        <v>2733.7086433910736</v>
      </c>
      <c r="D99" s="300">
        <f t="shared" si="2"/>
        <v>0</v>
      </c>
      <c r="E99" s="300">
        <f t="shared" si="1"/>
        <v>66843.83395738258</v>
      </c>
    </row>
    <row r="100" spans="1:5">
      <c r="A100" s="299" t="s">
        <v>754</v>
      </c>
      <c r="B100" s="300">
        <f t="shared" si="2"/>
        <v>89.385227072059266</v>
      </c>
      <c r="C100" s="300">
        <f t="shared" si="2"/>
        <v>3.6480162207395583</v>
      </c>
      <c r="D100" s="300">
        <f t="shared" si="2"/>
        <v>0</v>
      </c>
      <c r="E100" s="300">
        <f t="shared" si="1"/>
        <v>93.033243292798829</v>
      </c>
    </row>
    <row r="101" spans="1:5">
      <c r="A101" s="299" t="s">
        <v>755</v>
      </c>
      <c r="B101" s="300">
        <f t="shared" si="2"/>
        <v>876.02006992780491</v>
      </c>
      <c r="C101" s="300">
        <f t="shared" si="2"/>
        <v>35.36714315240031</v>
      </c>
      <c r="D101" s="300">
        <f t="shared" si="2"/>
        <v>0</v>
      </c>
      <c r="E101" s="300">
        <f t="shared" si="1"/>
        <v>911.38721308020524</v>
      </c>
    </row>
    <row r="102" spans="1:5">
      <c r="A102" s="299" t="s">
        <v>756</v>
      </c>
      <c r="B102" s="300">
        <f t="shared" si="2"/>
        <v>93660.01850237012</v>
      </c>
      <c r="C102" s="300">
        <f t="shared" si="2"/>
        <v>4042.6358014929465</v>
      </c>
      <c r="D102" s="300">
        <f t="shared" si="2"/>
        <v>0</v>
      </c>
      <c r="E102" s="300">
        <f t="shared" si="1"/>
        <v>97702.654303863063</v>
      </c>
    </row>
    <row r="103" spans="1:5">
      <c r="A103" s="299" t="s">
        <v>757</v>
      </c>
      <c r="B103" s="300">
        <f t="shared" ref="B103:D118" si="3">B$69*(B44/B$65)</f>
        <v>12828.973160470361</v>
      </c>
      <c r="C103" s="300">
        <f t="shared" si="3"/>
        <v>554.24633984874583</v>
      </c>
      <c r="D103" s="300">
        <f t="shared" si="3"/>
        <v>0</v>
      </c>
      <c r="E103" s="300">
        <f t="shared" si="1"/>
        <v>13383.219500319106</v>
      </c>
    </row>
    <row r="104" spans="1:5">
      <c r="A104" s="299" t="s">
        <v>758</v>
      </c>
      <c r="B104" s="300">
        <f t="shared" si="3"/>
        <v>-55021.902863419215</v>
      </c>
      <c r="C104" s="300">
        <f t="shared" si="3"/>
        <v>13126.702267016653</v>
      </c>
      <c r="D104" s="300">
        <f t="shared" si="3"/>
        <v>0</v>
      </c>
      <c r="E104" s="300">
        <f t="shared" si="1"/>
        <v>-41895.200596402559</v>
      </c>
    </row>
    <row r="105" spans="1:5">
      <c r="A105" s="299" t="s">
        <v>759</v>
      </c>
      <c r="B105" s="300">
        <f t="shared" si="3"/>
        <v>8.9669960708174479</v>
      </c>
      <c r="C105" s="300">
        <f t="shared" si="3"/>
        <v>0.351507280019695</v>
      </c>
      <c r="D105" s="300">
        <f t="shared" si="3"/>
        <v>0</v>
      </c>
      <c r="E105" s="300">
        <f t="shared" si="1"/>
        <v>9.3185033508371422</v>
      </c>
    </row>
    <row r="106" spans="1:5">
      <c r="A106" s="299" t="s">
        <v>760</v>
      </c>
      <c r="B106" s="300">
        <f t="shared" si="3"/>
        <v>899.4304484434241</v>
      </c>
      <c r="C106" s="300">
        <f t="shared" si="3"/>
        <v>36.229484603954958</v>
      </c>
      <c r="D106" s="300">
        <f t="shared" si="3"/>
        <v>0</v>
      </c>
      <c r="E106" s="300">
        <f t="shared" si="1"/>
        <v>935.65993304737901</v>
      </c>
    </row>
    <row r="107" spans="1:5">
      <c r="A107" s="299" t="s">
        <v>761</v>
      </c>
      <c r="B107" s="300">
        <f t="shared" si="3"/>
        <v>422497.3798085755</v>
      </c>
      <c r="C107" s="300">
        <f t="shared" si="3"/>
        <v>18718.978804576604</v>
      </c>
      <c r="D107" s="300">
        <f t="shared" si="3"/>
        <v>0</v>
      </c>
      <c r="E107" s="300">
        <f t="shared" si="1"/>
        <v>441216.35861315212</v>
      </c>
    </row>
    <row r="108" spans="1:5">
      <c r="A108" s="299" t="s">
        <v>762</v>
      </c>
      <c r="B108" s="300">
        <f t="shared" si="3"/>
        <v>1378.018751561671</v>
      </c>
      <c r="C108" s="300">
        <f t="shared" si="3"/>
        <v>66.508863216471497</v>
      </c>
      <c r="D108" s="300">
        <f t="shared" si="3"/>
        <v>0</v>
      </c>
      <c r="E108" s="300">
        <f t="shared" si="1"/>
        <v>1444.5276147781426</v>
      </c>
    </row>
    <row r="109" spans="1:5">
      <c r="A109" s="299" t="s">
        <v>763</v>
      </c>
      <c r="B109" s="300">
        <f t="shared" si="3"/>
        <v>3960.9190680875531</v>
      </c>
      <c r="C109" s="300">
        <f t="shared" si="3"/>
        <v>175.61455440566621</v>
      </c>
      <c r="D109" s="300">
        <f t="shared" si="3"/>
        <v>0</v>
      </c>
      <c r="E109" s="300">
        <f t="shared" si="1"/>
        <v>4136.5336224932189</v>
      </c>
    </row>
    <row r="110" spans="1:5">
      <c r="A110" s="299" t="s">
        <v>764</v>
      </c>
      <c r="B110" s="300">
        <f t="shared" si="3"/>
        <v>2245.9236946350675</v>
      </c>
      <c r="C110" s="300">
        <f t="shared" si="3"/>
        <v>97.736024340026958</v>
      </c>
      <c r="D110" s="300">
        <f t="shared" si="3"/>
        <v>0</v>
      </c>
      <c r="E110" s="300">
        <f t="shared" si="1"/>
        <v>2343.6597189750946</v>
      </c>
    </row>
    <row r="111" spans="1:5">
      <c r="A111" s="299" t="s">
        <v>765</v>
      </c>
      <c r="B111" s="300">
        <f t="shared" si="3"/>
        <v>3336.001120410262</v>
      </c>
      <c r="C111" s="300">
        <f t="shared" si="3"/>
        <v>142.03458498469681</v>
      </c>
      <c r="D111" s="300">
        <f t="shared" si="3"/>
        <v>0</v>
      </c>
      <c r="E111" s="300">
        <f t="shared" si="1"/>
        <v>3478.0357053949588</v>
      </c>
    </row>
    <row r="112" spans="1:5">
      <c r="A112" s="299" t="s">
        <v>766</v>
      </c>
      <c r="B112" s="300">
        <f t="shared" si="3"/>
        <v>1027.8028796254966</v>
      </c>
      <c r="C112" s="300">
        <f t="shared" si="3"/>
        <v>41.384345726068027</v>
      </c>
      <c r="D112" s="300">
        <f t="shared" si="3"/>
        <v>0</v>
      </c>
      <c r="E112" s="300">
        <f t="shared" si="1"/>
        <v>1069.1872253515646</v>
      </c>
    </row>
    <row r="113" spans="1:6">
      <c r="A113" s="299" t="s">
        <v>767</v>
      </c>
      <c r="B113" s="300">
        <f t="shared" si="3"/>
        <v>728.87220865173197</v>
      </c>
      <c r="C113" s="300">
        <f t="shared" si="3"/>
        <v>28.047797211163982</v>
      </c>
      <c r="D113" s="300">
        <f t="shared" si="3"/>
        <v>0</v>
      </c>
      <c r="E113" s="300">
        <f t="shared" si="1"/>
        <v>756.92000586289601</v>
      </c>
    </row>
    <row r="114" spans="1:6">
      <c r="A114" s="299" t="s">
        <v>768</v>
      </c>
      <c r="B114" s="300">
        <f t="shared" si="3"/>
        <v>28301.333202241818</v>
      </c>
      <c r="C114" s="300">
        <f t="shared" si="3"/>
        <v>1227.6343370231991</v>
      </c>
      <c r="D114" s="300">
        <f t="shared" si="3"/>
        <v>0</v>
      </c>
      <c r="E114" s="300">
        <f t="shared" si="1"/>
        <v>29528.967539265017</v>
      </c>
    </row>
    <row r="115" spans="1:6">
      <c r="A115" s="299" t="s">
        <v>769</v>
      </c>
      <c r="B115" s="300">
        <f t="shared" si="3"/>
        <v>135106.03653343453</v>
      </c>
      <c r="C115" s="300">
        <f t="shared" si="3"/>
        <v>5811.3467277792506</v>
      </c>
      <c r="D115" s="300">
        <f t="shared" si="3"/>
        <v>0</v>
      </c>
      <c r="E115" s="300">
        <f t="shared" si="1"/>
        <v>140917.38326121378</v>
      </c>
    </row>
    <row r="116" spans="1:6">
      <c r="A116" s="299" t="s">
        <v>770</v>
      </c>
      <c r="B116" s="300">
        <f t="shared" si="3"/>
        <v>499.66356916759543</v>
      </c>
      <c r="C116" s="300">
        <f t="shared" si="3"/>
        <v>21.998359908282929</v>
      </c>
      <c r="D116" s="300">
        <f t="shared" si="3"/>
        <v>0</v>
      </c>
      <c r="E116" s="300">
        <f t="shared" si="1"/>
        <v>521.66192907587833</v>
      </c>
    </row>
    <row r="117" spans="1:6">
      <c r="A117" s="299" t="s">
        <v>771</v>
      </c>
      <c r="B117" s="300">
        <f t="shared" si="3"/>
        <v>22664.061681602445</v>
      </c>
      <c r="C117" s="300">
        <f t="shared" si="3"/>
        <v>991.80421666893449</v>
      </c>
      <c r="D117" s="300">
        <f t="shared" si="3"/>
        <v>0</v>
      </c>
      <c r="E117" s="300">
        <f t="shared" si="1"/>
        <v>23655.865898271379</v>
      </c>
    </row>
    <row r="118" spans="1:6">
      <c r="A118" s="299" t="s">
        <v>772</v>
      </c>
      <c r="B118" s="300">
        <f t="shared" si="3"/>
        <v>140.50611358766497</v>
      </c>
      <c r="C118" s="300">
        <f t="shared" si="3"/>
        <v>5.6448511060693631</v>
      </c>
      <c r="D118" s="300">
        <f t="shared" si="3"/>
        <v>0</v>
      </c>
      <c r="E118" s="300">
        <f t="shared" si="1"/>
        <v>146.15096469373432</v>
      </c>
    </row>
    <row r="119" spans="1:6">
      <c r="A119" s="299" t="s">
        <v>773</v>
      </c>
      <c r="B119" s="300">
        <f t="shared" ref="B119:D123" si="4">B$69*(B60/B$65)</f>
        <v>222423.72144709004</v>
      </c>
      <c r="C119" s="300">
        <f t="shared" si="4"/>
        <v>10478.801270815704</v>
      </c>
      <c r="D119" s="300">
        <f t="shared" si="4"/>
        <v>27.843141813077789</v>
      </c>
      <c r="E119" s="300">
        <f t="shared" si="1"/>
        <v>232930.36585971882</v>
      </c>
    </row>
    <row r="120" spans="1:6">
      <c r="A120" s="299" t="s">
        <v>775</v>
      </c>
      <c r="B120" s="300">
        <f t="shared" si="4"/>
        <v>0</v>
      </c>
      <c r="C120" s="300">
        <f t="shared" si="4"/>
        <v>27.302177040440103</v>
      </c>
      <c r="D120" s="300">
        <f t="shared" si="4"/>
        <v>1282.5433402733227</v>
      </c>
      <c r="E120" s="300">
        <f t="shared" si="1"/>
        <v>1309.8455173137627</v>
      </c>
    </row>
    <row r="121" spans="1:6">
      <c r="A121" s="299" t="s">
        <v>776</v>
      </c>
      <c r="B121" s="300">
        <f t="shared" si="4"/>
        <v>3789.8683260853686</v>
      </c>
      <c r="C121" s="300">
        <f t="shared" si="4"/>
        <v>175.55567732996087</v>
      </c>
      <c r="D121" s="300">
        <f t="shared" si="4"/>
        <v>0</v>
      </c>
      <c r="E121" s="300">
        <f t="shared" si="1"/>
        <v>3965.4240034153295</v>
      </c>
    </row>
    <row r="122" spans="1:6">
      <c r="A122" s="299" t="s">
        <v>777</v>
      </c>
      <c r="B122" s="300">
        <f t="shared" si="4"/>
        <v>381.27482772442363</v>
      </c>
      <c r="C122" s="300">
        <f t="shared" si="4"/>
        <v>2248.9731778019041</v>
      </c>
      <c r="D122" s="300">
        <f t="shared" si="4"/>
        <v>0</v>
      </c>
      <c r="E122" s="300">
        <f t="shared" si="1"/>
        <v>2630.2480055263277</v>
      </c>
    </row>
    <row r="123" spans="1:6">
      <c r="A123" s="299" t="s">
        <v>778</v>
      </c>
      <c r="B123" s="300">
        <f t="shared" si="4"/>
        <v>373.589792312881</v>
      </c>
      <c r="C123" s="300">
        <f t="shared" si="4"/>
        <v>59803.594688487974</v>
      </c>
      <c r="D123" s="300">
        <f t="shared" si="4"/>
        <v>0</v>
      </c>
      <c r="E123" s="300">
        <f t="shared" si="1"/>
        <v>60177.184480800854</v>
      </c>
      <c r="F123" s="248" t="s">
        <v>821</v>
      </c>
    </row>
    <row r="124" spans="1:6">
      <c r="A124" s="307" t="s">
        <v>277</v>
      </c>
      <c r="B124" s="308">
        <f>SUM(B70:B123)</f>
        <v>1987153.75</v>
      </c>
      <c r="C124" s="308">
        <f t="shared" ref="C124:E124" si="5">SUM(C70:C123)</f>
        <v>252119.08250000008</v>
      </c>
      <c r="D124" s="308">
        <f t="shared" si="5"/>
        <v>1046536.68125</v>
      </c>
      <c r="E124" s="308">
        <f t="shared" si="5"/>
        <v>3285809.5137499999</v>
      </c>
      <c r="F124" s="309">
        <f>SUM(E82:E123)</f>
        <v>1657425.5647571597</v>
      </c>
    </row>
    <row r="127" spans="1:6">
      <c r="A127" s="304" t="s">
        <v>824</v>
      </c>
      <c r="B127" s="304" t="s">
        <v>806</v>
      </c>
      <c r="C127" s="304" t="s">
        <v>807</v>
      </c>
      <c r="D127" s="304" t="s">
        <v>808</v>
      </c>
      <c r="E127" s="304" t="s">
        <v>277</v>
      </c>
    </row>
    <row r="128" spans="1:6">
      <c r="A128" s="299" t="s">
        <v>809</v>
      </c>
      <c r="B128" s="300">
        <f>B70-B11</f>
        <v>-201002.0317370845</v>
      </c>
      <c r="C128" s="300">
        <f t="shared" ref="C128:D128" si="6">C70-C11</f>
        <v>-72245.489043742375</v>
      </c>
      <c r="D128" s="300">
        <f t="shared" si="6"/>
        <v>-25084.917564502801</v>
      </c>
      <c r="E128" s="300">
        <f t="shared" ref="E128:E182" si="7">SUM(B128:D128)</f>
        <v>-298332.43834532966</v>
      </c>
    </row>
    <row r="129" spans="1:5">
      <c r="A129" s="299" t="s">
        <v>810</v>
      </c>
      <c r="B129" s="300">
        <f t="shared" ref="B129:D144" si="8">B71-B12</f>
        <v>-34646.112148101674</v>
      </c>
      <c r="C129" s="300">
        <f t="shared" si="8"/>
        <v>-6364.5597520221163</v>
      </c>
      <c r="D129" s="300">
        <f t="shared" si="8"/>
        <v>-8504.0130861477483</v>
      </c>
      <c r="E129" s="300">
        <f t="shared" si="7"/>
        <v>-49514.684986271546</v>
      </c>
    </row>
    <row r="130" spans="1:5">
      <c r="A130" s="299" t="s">
        <v>811</v>
      </c>
      <c r="B130" s="300">
        <f t="shared" si="8"/>
        <v>0</v>
      </c>
      <c r="C130" s="300">
        <f t="shared" si="8"/>
        <v>-3994.7459689975858</v>
      </c>
      <c r="D130" s="300">
        <f t="shared" si="8"/>
        <v>-170523.54533748032</v>
      </c>
      <c r="E130" s="300">
        <f t="shared" si="7"/>
        <v>-174518.29130647791</v>
      </c>
    </row>
    <row r="131" spans="1:5">
      <c r="A131" s="299" t="s">
        <v>812</v>
      </c>
      <c r="B131" s="300">
        <f t="shared" si="8"/>
        <v>0</v>
      </c>
      <c r="C131" s="300">
        <f t="shared" si="8"/>
        <v>0</v>
      </c>
      <c r="D131" s="300">
        <f t="shared" si="8"/>
        <v>0</v>
      </c>
      <c r="E131" s="300">
        <f t="shared" si="7"/>
        <v>0</v>
      </c>
    </row>
    <row r="132" spans="1:5">
      <c r="A132" s="299" t="s">
        <v>813</v>
      </c>
      <c r="B132" s="300">
        <f t="shared" si="8"/>
        <v>0</v>
      </c>
      <c r="C132" s="300">
        <f t="shared" si="8"/>
        <v>0</v>
      </c>
      <c r="D132" s="300">
        <f t="shared" si="8"/>
        <v>0</v>
      </c>
      <c r="E132" s="300">
        <f t="shared" si="7"/>
        <v>0</v>
      </c>
    </row>
    <row r="133" spans="1:5">
      <c r="A133" s="299" t="s">
        <v>814</v>
      </c>
      <c r="B133" s="300">
        <f t="shared" si="8"/>
        <v>0</v>
      </c>
      <c r="C133" s="300">
        <f t="shared" si="8"/>
        <v>0</v>
      </c>
      <c r="D133" s="300">
        <f t="shared" si="8"/>
        <v>0</v>
      </c>
      <c r="E133" s="300">
        <f t="shared" si="7"/>
        <v>0</v>
      </c>
    </row>
    <row r="134" spans="1:5">
      <c r="A134" s="299" t="s">
        <v>815</v>
      </c>
      <c r="B134" s="300">
        <f t="shared" si="8"/>
        <v>-802.62521079059388</v>
      </c>
      <c r="C134" s="300">
        <f t="shared" si="8"/>
        <v>0</v>
      </c>
      <c r="D134" s="300">
        <f t="shared" si="8"/>
        <v>0</v>
      </c>
      <c r="E134" s="300">
        <f t="shared" si="7"/>
        <v>-802.62521079059388</v>
      </c>
    </row>
    <row r="135" spans="1:5">
      <c r="A135" s="299" t="s">
        <v>816</v>
      </c>
      <c r="B135" s="300">
        <f t="shared" si="8"/>
        <v>-2496.7472213672791</v>
      </c>
      <c r="C135" s="300">
        <f t="shared" si="8"/>
        <v>1.8025453763990176</v>
      </c>
      <c r="D135" s="300">
        <f t="shared" si="8"/>
        <v>-19188.036148461153</v>
      </c>
      <c r="E135" s="300">
        <f t="shared" si="7"/>
        <v>-21682.980824452032</v>
      </c>
    </row>
    <row r="136" spans="1:5">
      <c r="A136" s="299" t="s">
        <v>817</v>
      </c>
      <c r="B136" s="300">
        <f t="shared" si="8"/>
        <v>3.747317644122198</v>
      </c>
      <c r="C136" s="300">
        <f t="shared" si="8"/>
        <v>0.53170022289987184</v>
      </c>
      <c r="D136" s="300">
        <f t="shared" si="8"/>
        <v>0</v>
      </c>
      <c r="E136" s="300">
        <f t="shared" si="7"/>
        <v>4.2790178670220698</v>
      </c>
    </row>
    <row r="137" spans="1:5">
      <c r="A137" s="299" t="s">
        <v>818</v>
      </c>
      <c r="B137" s="300">
        <f t="shared" si="8"/>
        <v>0</v>
      </c>
      <c r="C137" s="300">
        <f t="shared" si="8"/>
        <v>-2.7829287595767105</v>
      </c>
      <c r="D137" s="300">
        <f t="shared" si="8"/>
        <v>-138.48866457717921</v>
      </c>
      <c r="E137" s="300">
        <f t="shared" si="7"/>
        <v>-141.27159333675593</v>
      </c>
    </row>
    <row r="138" spans="1:5">
      <c r="A138" s="299" t="s">
        <v>819</v>
      </c>
      <c r="B138" s="300">
        <f t="shared" si="8"/>
        <v>-3.4719999905836687</v>
      </c>
      <c r="C138" s="300">
        <f t="shared" si="8"/>
        <v>-0.52579600555262818</v>
      </c>
      <c r="D138" s="300">
        <f t="shared" si="8"/>
        <v>0</v>
      </c>
      <c r="E138" s="300">
        <f t="shared" si="7"/>
        <v>-3.997795996136297</v>
      </c>
    </row>
    <row r="139" spans="1:5">
      <c r="A139" s="299" t="s">
        <v>820</v>
      </c>
      <c r="B139" s="300">
        <f t="shared" si="8"/>
        <v>-158.24226217841101</v>
      </c>
      <c r="C139" s="300">
        <f t="shared" si="8"/>
        <v>-25.609800696099718</v>
      </c>
      <c r="D139" s="300">
        <f t="shared" si="8"/>
        <v>0</v>
      </c>
      <c r="E139" s="300">
        <f t="shared" si="7"/>
        <v>-183.85206287451072</v>
      </c>
    </row>
    <row r="140" spans="1:5">
      <c r="A140" s="299" t="s">
        <v>731</v>
      </c>
      <c r="B140" s="300">
        <f t="shared" si="8"/>
        <v>0</v>
      </c>
      <c r="C140" s="300">
        <f t="shared" si="8"/>
        <v>-181.15663028780571</v>
      </c>
      <c r="D140" s="300">
        <f t="shared" si="8"/>
        <v>-20197.04774496278</v>
      </c>
      <c r="E140" s="300">
        <f t="shared" si="7"/>
        <v>-20378.204375250585</v>
      </c>
    </row>
    <row r="141" spans="1:5">
      <c r="A141" s="299" t="s">
        <v>732</v>
      </c>
      <c r="B141" s="300">
        <f t="shared" si="8"/>
        <v>0</v>
      </c>
      <c r="C141" s="300">
        <f t="shared" si="8"/>
        <v>-2783.1049254922123</v>
      </c>
      <c r="D141" s="300">
        <f t="shared" si="8"/>
        <v>-120059.28575323825</v>
      </c>
      <c r="E141" s="300">
        <f t="shared" si="7"/>
        <v>-122842.39067873046</v>
      </c>
    </row>
    <row r="142" spans="1:5">
      <c r="A142" s="299" t="s">
        <v>733</v>
      </c>
      <c r="B142" s="300">
        <f t="shared" si="8"/>
        <v>0</v>
      </c>
      <c r="C142" s="300">
        <f t="shared" si="8"/>
        <v>-964.85006987280553</v>
      </c>
      <c r="D142" s="300">
        <f t="shared" si="8"/>
        <v>-41760.375685517683</v>
      </c>
      <c r="E142" s="300">
        <f t="shared" si="7"/>
        <v>-42725.225755390486</v>
      </c>
    </row>
    <row r="143" spans="1:5">
      <c r="A143" s="299" t="s">
        <v>734</v>
      </c>
      <c r="B143" s="300">
        <f t="shared" si="8"/>
        <v>0</v>
      </c>
      <c r="C143" s="300">
        <f t="shared" si="8"/>
        <v>-9.8855971183747837E-2</v>
      </c>
      <c r="D143" s="300">
        <f t="shared" si="8"/>
        <v>-3.4801195522595423</v>
      </c>
      <c r="E143" s="300">
        <f t="shared" si="7"/>
        <v>-3.5789755234432903</v>
      </c>
    </row>
    <row r="144" spans="1:5">
      <c r="A144" s="299" t="s">
        <v>735</v>
      </c>
      <c r="B144" s="300">
        <f t="shared" si="8"/>
        <v>52168.867876453383</v>
      </c>
      <c r="C144" s="300">
        <f t="shared" si="8"/>
        <v>-4625.6040591601004</v>
      </c>
      <c r="D144" s="300">
        <f t="shared" si="8"/>
        <v>-192860.02488269014</v>
      </c>
      <c r="E144" s="300">
        <f t="shared" si="7"/>
        <v>-145316.76106539686</v>
      </c>
    </row>
    <row r="145" spans="1:5">
      <c r="A145" s="299" t="s">
        <v>736</v>
      </c>
      <c r="B145" s="300">
        <f t="shared" ref="B145:D160" si="9">B87-B28</f>
        <v>0</v>
      </c>
      <c r="C145" s="300">
        <f t="shared" si="9"/>
        <v>-1992.0326331308488</v>
      </c>
      <c r="D145" s="300">
        <f t="shared" si="9"/>
        <v>-86873.356711467452</v>
      </c>
      <c r="E145" s="300">
        <f t="shared" si="7"/>
        <v>-88865.389344598298</v>
      </c>
    </row>
    <row r="146" spans="1:5">
      <c r="A146" s="299" t="s">
        <v>737</v>
      </c>
      <c r="B146" s="300">
        <f t="shared" si="9"/>
        <v>0</v>
      </c>
      <c r="C146" s="300">
        <f t="shared" si="9"/>
        <v>-131.68621994548437</v>
      </c>
      <c r="D146" s="300">
        <f t="shared" si="9"/>
        <v>-6635.3934280916092</v>
      </c>
      <c r="E146" s="300">
        <f t="shared" si="7"/>
        <v>-6767.0796480370936</v>
      </c>
    </row>
    <row r="147" spans="1:5">
      <c r="A147" s="299" t="s">
        <v>739</v>
      </c>
      <c r="B147" s="300">
        <f t="shared" si="9"/>
        <v>0</v>
      </c>
      <c r="C147" s="300">
        <f t="shared" si="9"/>
        <v>-3064.1334095486154</v>
      </c>
      <c r="D147" s="300">
        <f t="shared" si="9"/>
        <v>-126749.24855198077</v>
      </c>
      <c r="E147" s="300">
        <f t="shared" si="7"/>
        <v>-129813.38196152938</v>
      </c>
    </row>
    <row r="148" spans="1:5">
      <c r="A148" s="299" t="s">
        <v>741</v>
      </c>
      <c r="B148" s="300">
        <f t="shared" si="9"/>
        <v>-9.5449846288809965</v>
      </c>
      <c r="C148" s="300">
        <f t="shared" si="9"/>
        <v>-1568.5437835108851</v>
      </c>
      <c r="D148" s="300">
        <f t="shared" si="9"/>
        <v>-67789.436461524849</v>
      </c>
      <c r="E148" s="300">
        <f t="shared" si="7"/>
        <v>-69367.525229664621</v>
      </c>
    </row>
    <row r="149" spans="1:5">
      <c r="A149" s="299" t="s">
        <v>743</v>
      </c>
      <c r="B149" s="300">
        <f t="shared" si="9"/>
        <v>0</v>
      </c>
      <c r="C149" s="300">
        <f t="shared" si="9"/>
        <v>-844.38339995414458</v>
      </c>
      <c r="D149" s="300">
        <f t="shared" si="9"/>
        <v>-34175.0708369657</v>
      </c>
      <c r="E149" s="300">
        <f t="shared" si="7"/>
        <v>-35019.454236919846</v>
      </c>
    </row>
    <row r="150" spans="1:5">
      <c r="A150" s="299" t="s">
        <v>745</v>
      </c>
      <c r="B150" s="300">
        <f t="shared" si="9"/>
        <v>0</v>
      </c>
      <c r="C150" s="300">
        <f t="shared" si="9"/>
        <v>-2.3957162036665567</v>
      </c>
      <c r="D150" s="300">
        <f t="shared" si="9"/>
        <v>-132.83242237229018</v>
      </c>
      <c r="E150" s="300">
        <f t="shared" si="7"/>
        <v>-135.22813857595673</v>
      </c>
    </row>
    <row r="151" spans="1:5">
      <c r="A151" s="299" t="s">
        <v>747</v>
      </c>
      <c r="B151" s="300">
        <f t="shared" si="9"/>
        <v>0</v>
      </c>
      <c r="C151" s="300">
        <f t="shared" si="9"/>
        <v>-22.498389338197814</v>
      </c>
      <c r="D151" s="300">
        <f t="shared" si="9"/>
        <v>-844.78865074900966</v>
      </c>
      <c r="E151" s="300">
        <f t="shared" si="7"/>
        <v>-867.28704008720752</v>
      </c>
    </row>
    <row r="152" spans="1:5">
      <c r="A152" s="299" t="s">
        <v>748</v>
      </c>
      <c r="B152" s="300">
        <f t="shared" si="9"/>
        <v>0</v>
      </c>
      <c r="C152" s="300">
        <f t="shared" si="9"/>
        <v>-2.5633319141597539</v>
      </c>
      <c r="D152" s="300">
        <f t="shared" si="9"/>
        <v>0</v>
      </c>
      <c r="E152" s="300">
        <f t="shared" si="7"/>
        <v>-2.5633319141597539</v>
      </c>
    </row>
    <row r="153" spans="1:5">
      <c r="A153" s="299" t="s">
        <v>749</v>
      </c>
      <c r="B153" s="300">
        <f t="shared" si="9"/>
        <v>0</v>
      </c>
      <c r="C153" s="300">
        <f t="shared" si="9"/>
        <v>-206.46869753547963</v>
      </c>
      <c r="D153" s="300">
        <f t="shared" si="9"/>
        <v>0</v>
      </c>
      <c r="E153" s="300">
        <f t="shared" si="7"/>
        <v>-206.46869753547963</v>
      </c>
    </row>
    <row r="154" spans="1:5">
      <c r="A154" s="299" t="s">
        <v>750</v>
      </c>
      <c r="B154" s="300">
        <f t="shared" si="9"/>
        <v>0</v>
      </c>
      <c r="C154" s="300">
        <f t="shared" si="9"/>
        <v>1.0224782530607359</v>
      </c>
      <c r="D154" s="300">
        <f t="shared" si="9"/>
        <v>0</v>
      </c>
      <c r="E154" s="300">
        <f t="shared" si="7"/>
        <v>1.0224782530607359</v>
      </c>
    </row>
    <row r="155" spans="1:5">
      <c r="A155" s="299" t="s">
        <v>751</v>
      </c>
      <c r="B155" s="300">
        <f t="shared" si="9"/>
        <v>0</v>
      </c>
      <c r="C155" s="300">
        <f t="shared" si="9"/>
        <v>-68.628919841901634</v>
      </c>
      <c r="D155" s="300">
        <f t="shared" si="9"/>
        <v>0</v>
      </c>
      <c r="E155" s="300">
        <f t="shared" si="7"/>
        <v>-68.628919841901634</v>
      </c>
    </row>
    <row r="156" spans="1:5">
      <c r="A156" s="299" t="s">
        <v>752</v>
      </c>
      <c r="B156" s="300">
        <f t="shared" si="9"/>
        <v>-5793.8894004117392</v>
      </c>
      <c r="C156" s="300">
        <f t="shared" si="9"/>
        <v>-1051.3631263921188</v>
      </c>
      <c r="D156" s="300">
        <f t="shared" si="9"/>
        <v>0</v>
      </c>
      <c r="E156" s="300">
        <f t="shared" si="7"/>
        <v>-6845.252526803858</v>
      </c>
    </row>
    <row r="157" spans="1:5">
      <c r="A157" s="299" t="s">
        <v>753</v>
      </c>
      <c r="B157" s="300">
        <f t="shared" si="9"/>
        <v>-12104.242401778902</v>
      </c>
      <c r="C157" s="300">
        <f t="shared" si="9"/>
        <v>-2081.4058383393658</v>
      </c>
      <c r="D157" s="300">
        <f t="shared" si="9"/>
        <v>0</v>
      </c>
      <c r="E157" s="300">
        <f t="shared" si="7"/>
        <v>-14185.648240118267</v>
      </c>
    </row>
    <row r="158" spans="1:5">
      <c r="A158" s="299" t="s">
        <v>754</v>
      </c>
      <c r="B158" s="300">
        <f t="shared" si="9"/>
        <v>-16.87628046769909</v>
      </c>
      <c r="C158" s="300">
        <f t="shared" si="9"/>
        <v>-2.7775462752991711</v>
      </c>
      <c r="D158" s="300">
        <f t="shared" si="9"/>
        <v>0</v>
      </c>
      <c r="E158" s="300">
        <f t="shared" si="7"/>
        <v>-19.653826742998262</v>
      </c>
    </row>
    <row r="159" spans="1:5">
      <c r="A159" s="299" t="s">
        <v>755</v>
      </c>
      <c r="B159" s="300">
        <f t="shared" si="9"/>
        <v>-165.39601542340654</v>
      </c>
      <c r="C159" s="300">
        <f t="shared" si="9"/>
        <v>-26.92802629890916</v>
      </c>
      <c r="D159" s="300">
        <f t="shared" si="9"/>
        <v>0</v>
      </c>
      <c r="E159" s="300">
        <f t="shared" si="7"/>
        <v>-192.32404172231571</v>
      </c>
    </row>
    <row r="160" spans="1:5">
      <c r="A160" s="299" t="s">
        <v>756</v>
      </c>
      <c r="B160" s="300">
        <f t="shared" si="9"/>
        <v>-17683.377808970967</v>
      </c>
      <c r="C160" s="300">
        <f t="shared" si="9"/>
        <v>-3078.0038611098744</v>
      </c>
      <c r="D160" s="300">
        <f t="shared" si="9"/>
        <v>0</v>
      </c>
      <c r="E160" s="300">
        <f t="shared" si="7"/>
        <v>-20761.381670080842</v>
      </c>
    </row>
    <row r="161" spans="1:5">
      <c r="A161" s="299" t="s">
        <v>757</v>
      </c>
      <c r="B161" s="300">
        <f t="shared" ref="B161:D176" si="10">B103-B44</f>
        <v>-2422.1603083711216</v>
      </c>
      <c r="C161" s="300">
        <f t="shared" si="10"/>
        <v>-421.99506901671418</v>
      </c>
      <c r="D161" s="300">
        <f t="shared" si="10"/>
        <v>0</v>
      </c>
      <c r="E161" s="300">
        <f t="shared" si="7"/>
        <v>-2844.1553773878359</v>
      </c>
    </row>
    <row r="162" spans="1:5">
      <c r="A162" s="299" t="s">
        <v>758</v>
      </c>
      <c r="B162" s="300">
        <f t="shared" si="10"/>
        <v>10388.350457967528</v>
      </c>
      <c r="C162" s="300">
        <f t="shared" si="10"/>
        <v>-9994.4794053908536</v>
      </c>
      <c r="D162" s="300">
        <f t="shared" si="10"/>
        <v>0</v>
      </c>
      <c r="E162" s="300">
        <f t="shared" si="7"/>
        <v>393.87105257667463</v>
      </c>
    </row>
    <row r="163" spans="1:5">
      <c r="A163" s="299" t="s">
        <v>759</v>
      </c>
      <c r="B163" s="300">
        <f t="shared" si="10"/>
        <v>-1.6930039291825523</v>
      </c>
      <c r="C163" s="300">
        <f t="shared" si="10"/>
        <v>-0.26763250963870899</v>
      </c>
      <c r="D163" s="300">
        <f t="shared" si="10"/>
        <v>0</v>
      </c>
      <c r="E163" s="300">
        <f t="shared" si="7"/>
        <v>-1.9606364388212612</v>
      </c>
    </row>
    <row r="164" spans="1:5">
      <c r="A164" s="299" t="s">
        <v>760</v>
      </c>
      <c r="B164" s="300">
        <f t="shared" si="10"/>
        <v>-169.81598644799294</v>
      </c>
      <c r="C164" s="300">
        <f t="shared" si="10"/>
        <v>-27.584600486596344</v>
      </c>
      <c r="D164" s="300">
        <f t="shared" si="10"/>
        <v>0</v>
      </c>
      <c r="E164" s="300">
        <f t="shared" si="7"/>
        <v>-197.40058693458928</v>
      </c>
    </row>
    <row r="165" spans="1:5">
      <c r="A165" s="299" t="s">
        <v>761</v>
      </c>
      <c r="B165" s="300">
        <f t="shared" si="10"/>
        <v>-79769.157746496494</v>
      </c>
      <c r="C165" s="300">
        <f t="shared" si="10"/>
        <v>-14252.357092182945</v>
      </c>
      <c r="D165" s="300">
        <f t="shared" si="10"/>
        <v>0</v>
      </c>
      <c r="E165" s="300">
        <f t="shared" si="7"/>
        <v>-94021.514838679432</v>
      </c>
    </row>
    <row r="166" spans="1:5">
      <c r="A166" s="299" t="s">
        <v>762</v>
      </c>
      <c r="B166" s="300">
        <f t="shared" si="10"/>
        <v>-260.17532989377855</v>
      </c>
      <c r="C166" s="300">
        <f t="shared" si="10"/>
        <v>-50.638877165914025</v>
      </c>
      <c r="D166" s="300">
        <f t="shared" si="10"/>
        <v>0</v>
      </c>
      <c r="E166" s="300">
        <f t="shared" si="7"/>
        <v>-310.81420705969259</v>
      </c>
    </row>
    <row r="167" spans="1:5">
      <c r="A167" s="299" t="s">
        <v>763</v>
      </c>
      <c r="B167" s="300">
        <f t="shared" si="10"/>
        <v>-747.83701169114056</v>
      </c>
      <c r="C167" s="300">
        <f t="shared" si="10"/>
        <v>-133.71035707151961</v>
      </c>
      <c r="D167" s="300">
        <f t="shared" si="10"/>
        <v>0</v>
      </c>
      <c r="E167" s="300">
        <f t="shared" si="7"/>
        <v>-881.5473687626602</v>
      </c>
    </row>
    <row r="168" spans="1:5">
      <c r="A168" s="299" t="s">
        <v>764</v>
      </c>
      <c r="B168" s="300">
        <f t="shared" si="10"/>
        <v>-424.0391776278243</v>
      </c>
      <c r="C168" s="300">
        <f t="shared" si="10"/>
        <v>-74.414781607839714</v>
      </c>
      <c r="D168" s="300">
        <f t="shared" si="10"/>
        <v>0</v>
      </c>
      <c r="E168" s="300">
        <f t="shared" si="7"/>
        <v>-498.453959235664</v>
      </c>
    </row>
    <row r="169" spans="1:5">
      <c r="A169" s="299" t="s">
        <v>765</v>
      </c>
      <c r="B169" s="300">
        <f t="shared" si="10"/>
        <v>-629.85005903957062</v>
      </c>
      <c r="C169" s="300">
        <f t="shared" si="10"/>
        <v>-108.1430587520606</v>
      </c>
      <c r="D169" s="300">
        <f t="shared" si="10"/>
        <v>0</v>
      </c>
      <c r="E169" s="300">
        <f t="shared" si="7"/>
        <v>-737.99311779163122</v>
      </c>
    </row>
    <row r="170" spans="1:5">
      <c r="A170" s="299" t="s">
        <v>766</v>
      </c>
      <c r="B170" s="300">
        <f t="shared" si="10"/>
        <v>-194.05320353535944</v>
      </c>
      <c r="C170" s="300">
        <f t="shared" si="10"/>
        <v>-31.509436464027111</v>
      </c>
      <c r="D170" s="300">
        <f t="shared" si="10"/>
        <v>0</v>
      </c>
      <c r="E170" s="300">
        <f t="shared" si="7"/>
        <v>-225.56263999938656</v>
      </c>
    </row>
    <row r="171" spans="1:5">
      <c r="A171" s="299" t="s">
        <v>767</v>
      </c>
      <c r="B171" s="300">
        <f t="shared" si="10"/>
        <v>-137.61392370130204</v>
      </c>
      <c r="C171" s="300">
        <f t="shared" si="10"/>
        <v>-21.355183190063116</v>
      </c>
      <c r="D171" s="300">
        <f t="shared" si="10"/>
        <v>0</v>
      </c>
      <c r="E171" s="300">
        <f t="shared" si="7"/>
        <v>-158.96910689136516</v>
      </c>
    </row>
    <row r="172" spans="1:5">
      <c r="A172" s="299" t="s">
        <v>768</v>
      </c>
      <c r="B172" s="300">
        <f t="shared" si="10"/>
        <v>-5343.4023985394742</v>
      </c>
      <c r="C172" s="300">
        <f t="shared" si="10"/>
        <v>-934.70285599138219</v>
      </c>
      <c r="D172" s="300">
        <f t="shared" si="10"/>
        <v>0</v>
      </c>
      <c r="E172" s="300">
        <f t="shared" si="7"/>
        <v>-6278.1052545308567</v>
      </c>
    </row>
    <row r="173" spans="1:5">
      <c r="A173" s="299" t="s">
        <v>769</v>
      </c>
      <c r="B173" s="300">
        <f t="shared" si="10"/>
        <v>-25508.548113653203</v>
      </c>
      <c r="C173" s="300">
        <f t="shared" si="10"/>
        <v>-4424.6745303514517</v>
      </c>
      <c r="D173" s="300">
        <f t="shared" si="10"/>
        <v>0</v>
      </c>
      <c r="E173" s="300">
        <f t="shared" si="7"/>
        <v>-29933.222644004654</v>
      </c>
    </row>
    <row r="174" spans="1:5">
      <c r="A174" s="299" t="s">
        <v>770</v>
      </c>
      <c r="B174" s="300">
        <f t="shared" si="10"/>
        <v>-94.338436103831157</v>
      </c>
      <c r="C174" s="300">
        <f t="shared" si="10"/>
        <v>-16.749229972874083</v>
      </c>
      <c r="D174" s="300">
        <f t="shared" si="10"/>
        <v>0</v>
      </c>
      <c r="E174" s="300">
        <f t="shared" si="7"/>
        <v>-111.08766607670523</v>
      </c>
    </row>
    <row r="175" spans="1:5">
      <c r="A175" s="299" t="s">
        <v>771</v>
      </c>
      <c r="B175" s="300">
        <f t="shared" si="10"/>
        <v>-4279.06348738823</v>
      </c>
      <c r="C175" s="300">
        <f t="shared" si="10"/>
        <v>-755.14524638718217</v>
      </c>
      <c r="D175" s="300">
        <f t="shared" si="10"/>
        <v>0</v>
      </c>
      <c r="E175" s="300">
        <f t="shared" si="7"/>
        <v>-5034.2087337754119</v>
      </c>
    </row>
    <row r="176" spans="1:5">
      <c r="A176" s="299" t="s">
        <v>772</v>
      </c>
      <c r="B176" s="300">
        <f t="shared" si="10"/>
        <v>-26.528103781850035</v>
      </c>
      <c r="C176" s="300">
        <f t="shared" si="10"/>
        <v>-4.2979071954627477</v>
      </c>
      <c r="D176" s="300">
        <f t="shared" si="10"/>
        <v>0</v>
      </c>
      <c r="E176" s="300">
        <f t="shared" si="7"/>
        <v>-30.826010977312784</v>
      </c>
    </row>
    <row r="177" spans="1:6">
      <c r="A177" s="299" t="s">
        <v>773</v>
      </c>
      <c r="B177" s="300">
        <f t="shared" ref="B177:D182" si="11">B119-B60</f>
        <v>-41994.468535436841</v>
      </c>
      <c r="C177" s="300">
        <f t="shared" si="11"/>
        <v>-7978.4062564979176</v>
      </c>
      <c r="D177" s="300">
        <f t="shared" si="11"/>
        <v>-24.547788218337306</v>
      </c>
      <c r="E177" s="300">
        <f t="shared" si="7"/>
        <v>-49997.422580153099</v>
      </c>
    </row>
    <row r="178" spans="1:6">
      <c r="A178" s="299" t="s">
        <v>775</v>
      </c>
      <c r="B178" s="300">
        <f t="shared" si="11"/>
        <v>0</v>
      </c>
      <c r="C178" s="300">
        <f t="shared" si="11"/>
        <v>-20.787478881017531</v>
      </c>
      <c r="D178" s="300">
        <f t="shared" si="11"/>
        <v>-1130.7489114996617</v>
      </c>
      <c r="E178" s="300">
        <f t="shared" si="7"/>
        <v>-1151.5363903806792</v>
      </c>
    </row>
    <row r="179" spans="1:6">
      <c r="A179" s="299" t="s">
        <v>776</v>
      </c>
      <c r="B179" s="300">
        <f t="shared" si="11"/>
        <v>-715.54196260087247</v>
      </c>
      <c r="C179" s="300">
        <f t="shared" si="11"/>
        <v>-133.66552892591096</v>
      </c>
      <c r="D179" s="300">
        <f t="shared" si="11"/>
        <v>0</v>
      </c>
      <c r="E179" s="300">
        <f t="shared" si="7"/>
        <v>-849.20749152678343</v>
      </c>
    </row>
    <row r="180" spans="1:6">
      <c r="A180" s="299" t="s">
        <v>777</v>
      </c>
      <c r="B180" s="300">
        <f t="shared" si="11"/>
        <v>-71.98617868659386</v>
      </c>
      <c r="C180" s="300">
        <f t="shared" si="11"/>
        <v>-1712.3353338557927</v>
      </c>
      <c r="D180" s="300">
        <f t="shared" si="11"/>
        <v>0</v>
      </c>
      <c r="E180" s="300">
        <f t="shared" si="7"/>
        <v>-1784.3215125423865</v>
      </c>
    </row>
    <row r="181" spans="1:6">
      <c r="A181" s="299" t="s">
        <v>778</v>
      </c>
      <c r="B181" s="300">
        <f t="shared" si="11"/>
        <v>-70.535213943786459</v>
      </c>
      <c r="C181" s="300">
        <f t="shared" si="11"/>
        <v>-45533.58363160905</v>
      </c>
      <c r="D181" s="300">
        <f t="shared" si="11"/>
        <v>0</v>
      </c>
      <c r="E181" s="300">
        <f t="shared" si="7"/>
        <v>-45604.118845552839</v>
      </c>
      <c r="F181" s="248" t="s">
        <v>821</v>
      </c>
    </row>
    <row r="182" spans="1:6">
      <c r="A182" s="307" t="s">
        <v>277</v>
      </c>
      <c r="B182" s="308">
        <f t="shared" si="11"/>
        <v>-375182.39999999804</v>
      </c>
      <c r="C182" s="308">
        <f t="shared" si="11"/>
        <v>-191959.78750000015</v>
      </c>
      <c r="D182" s="308">
        <f t="shared" si="11"/>
        <v>-922674.63874999981</v>
      </c>
      <c r="E182" s="308">
        <f t="shared" si="7"/>
        <v>-1489816.8262499981</v>
      </c>
      <c r="F182" s="309">
        <f>SUM(E140:E181)</f>
        <v>-944640.96314233611</v>
      </c>
    </row>
    <row r="185" spans="1:6">
      <c r="A185" s="441" t="s">
        <v>2</v>
      </c>
      <c r="B185" s="248" t="s">
        <v>3</v>
      </c>
    </row>
  </sheetData>
  <pageMargins left="0.7" right="0.7" top="0.75" bottom="0.75" header="0.3" footer="0.3"/>
  <pageSetup scale="83" fitToHeight="100" orientation="portrait" horizontalDpi="1200" verticalDpi="1200" r:id="rId1"/>
  <rowBreaks count="1" manualBreakCount="1">
    <brk id="126"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7"/>
  <sheetViews>
    <sheetView zoomScale="90" zoomScaleNormal="90" workbookViewId="0">
      <selection activeCell="O41" sqref="O41"/>
    </sheetView>
  </sheetViews>
  <sheetFormatPr defaultColWidth="9.109375" defaultRowHeight="13.2"/>
  <cols>
    <col min="1" max="1" width="30.5546875" style="248" bestFit="1" customWidth="1"/>
    <col min="2" max="2" width="14.88671875" style="310" bestFit="1" customWidth="1"/>
    <col min="3" max="3" width="13.33203125" style="248" bestFit="1" customWidth="1"/>
    <col min="4" max="16384" width="9.109375" style="248"/>
  </cols>
  <sheetData>
    <row r="1" spans="1:2">
      <c r="B1" s="248"/>
    </row>
    <row r="2" spans="1:2">
      <c r="A2" s="230" t="s">
        <v>0</v>
      </c>
      <c r="B2" s="248"/>
    </row>
    <row r="3" spans="1:2">
      <c r="A3" s="282" t="s">
        <v>961</v>
      </c>
      <c r="B3" s="248"/>
    </row>
    <row r="4" spans="1:2">
      <c r="A4" s="230" t="s">
        <v>107</v>
      </c>
      <c r="B4" s="248"/>
    </row>
    <row r="5" spans="1:2">
      <c r="A5" s="248" t="s">
        <v>825</v>
      </c>
      <c r="B5" s="248"/>
    </row>
    <row r="6" spans="1:2">
      <c r="B6" s="248"/>
    </row>
    <row r="7" spans="1:2">
      <c r="A7" s="297" t="s">
        <v>802</v>
      </c>
      <c r="B7" s="297" t="s">
        <v>826</v>
      </c>
    </row>
    <row r="8" spans="1:2">
      <c r="B8" s="248"/>
    </row>
    <row r="9" spans="1:2" ht="52.8">
      <c r="A9" s="297" t="s">
        <v>258</v>
      </c>
      <c r="B9" s="311" t="s">
        <v>804</v>
      </c>
    </row>
    <row r="10" spans="1:2">
      <c r="A10" s="299" t="s">
        <v>809</v>
      </c>
      <c r="B10" s="300">
        <v>80634.974503637641</v>
      </c>
    </row>
    <row r="11" spans="1:2">
      <c r="A11" s="299" t="s">
        <v>810</v>
      </c>
      <c r="B11" s="300">
        <v>14329.663948155581</v>
      </c>
    </row>
    <row r="12" spans="1:2">
      <c r="A12" s="299" t="s">
        <v>811</v>
      </c>
      <c r="B12" s="300">
        <v>6142.6028826515021</v>
      </c>
    </row>
    <row r="13" spans="1:2">
      <c r="A13" s="299" t="s">
        <v>812</v>
      </c>
      <c r="B13" s="300">
        <v>0</v>
      </c>
    </row>
    <row r="14" spans="1:2">
      <c r="A14" s="299" t="s">
        <v>813</v>
      </c>
      <c r="B14" s="300">
        <v>-1.42</v>
      </c>
    </row>
    <row r="15" spans="1:2">
      <c r="A15" s="299" t="s">
        <v>814</v>
      </c>
      <c r="B15" s="300">
        <v>0</v>
      </c>
    </row>
    <row r="16" spans="1:2">
      <c r="A16" s="299" t="s">
        <v>815</v>
      </c>
      <c r="B16" s="300">
        <v>299.2299999999999</v>
      </c>
    </row>
    <row r="17" spans="1:2">
      <c r="A17" s="299" t="s">
        <v>816</v>
      </c>
      <c r="B17" s="300">
        <v>2027.01</v>
      </c>
    </row>
    <row r="18" spans="1:2">
      <c r="A18" s="299" t="s">
        <v>817</v>
      </c>
      <c r="B18" s="300">
        <v>-2.2402423649020564</v>
      </c>
    </row>
    <row r="19" spans="1:2">
      <c r="A19" s="299" t="s">
        <v>818</v>
      </c>
      <c r="B19" s="300">
        <v>6.9452728358943112</v>
      </c>
    </row>
    <row r="20" spans="1:2">
      <c r="A20" s="299" t="s">
        <v>819</v>
      </c>
      <c r="B20" s="300">
        <v>0.68002299083747497</v>
      </c>
    </row>
    <row r="21" spans="1:2">
      <c r="A21" s="299" t="s">
        <v>820</v>
      </c>
      <c r="B21" s="300">
        <v>64.536387595273055</v>
      </c>
    </row>
    <row r="22" spans="1:2">
      <c r="A22" s="299" t="s">
        <v>731</v>
      </c>
      <c r="B22" s="300">
        <v>1000.8973572771174</v>
      </c>
    </row>
    <row r="23" spans="1:2">
      <c r="A23" s="299" t="s">
        <v>732</v>
      </c>
      <c r="B23" s="300">
        <v>4258.4338658074403</v>
      </c>
    </row>
    <row r="24" spans="1:2">
      <c r="A24" s="299" t="s">
        <v>733</v>
      </c>
      <c r="B24" s="300">
        <v>1531.3248194712605</v>
      </c>
    </row>
    <row r="25" spans="1:2">
      <c r="A25" s="299" t="s">
        <v>734</v>
      </c>
      <c r="B25" s="300">
        <v>0.19019730193315099</v>
      </c>
    </row>
    <row r="26" spans="1:2">
      <c r="A26" s="299" t="s">
        <v>735</v>
      </c>
      <c r="B26" s="300">
        <v>4430.9265199231631</v>
      </c>
    </row>
    <row r="27" spans="1:2">
      <c r="A27" s="299" t="s">
        <v>736</v>
      </c>
      <c r="B27" s="300">
        <v>3216.0280085710356</v>
      </c>
    </row>
    <row r="28" spans="1:2">
      <c r="A28" s="299" t="s">
        <v>737</v>
      </c>
      <c r="B28" s="300">
        <v>224.77927141448538</v>
      </c>
    </row>
    <row r="29" spans="1:2">
      <c r="A29" s="299" t="s">
        <v>739</v>
      </c>
      <c r="B29" s="300">
        <v>4675.139845837025</v>
      </c>
    </row>
    <row r="30" spans="1:2">
      <c r="A30" s="299" t="s">
        <v>741</v>
      </c>
      <c r="B30" s="300">
        <v>2465.7802855805012</v>
      </c>
    </row>
    <row r="31" spans="1:2">
      <c r="A31" s="299" t="s">
        <v>743</v>
      </c>
      <c r="B31" s="300">
        <v>1208.7191433302653</v>
      </c>
    </row>
    <row r="32" spans="1:2">
      <c r="A32" s="299" t="s">
        <v>745</v>
      </c>
      <c r="B32" s="300">
        <v>1.9957556093592199</v>
      </c>
    </row>
    <row r="33" spans="1:2">
      <c r="A33" s="299" t="s">
        <v>747</v>
      </c>
      <c r="B33" s="300">
        <v>21.201755133757025</v>
      </c>
    </row>
    <row r="34" spans="1:2">
      <c r="A34" s="299" t="s">
        <v>750</v>
      </c>
      <c r="B34" s="300">
        <v>0</v>
      </c>
    </row>
    <row r="35" spans="1:2">
      <c r="A35" s="299" t="s">
        <v>751</v>
      </c>
      <c r="B35" s="300">
        <v>71.340001401345305</v>
      </c>
    </row>
    <row r="36" spans="1:2">
      <c r="A36" s="299" t="s">
        <v>752</v>
      </c>
      <c r="B36" s="300">
        <v>2298.8436659890922</v>
      </c>
    </row>
    <row r="37" spans="1:2">
      <c r="A37" s="299" t="s">
        <v>753</v>
      </c>
      <c r="B37" s="300">
        <v>5301.1798852639286</v>
      </c>
    </row>
    <row r="38" spans="1:2">
      <c r="A38" s="299" t="s">
        <v>754</v>
      </c>
      <c r="B38" s="300">
        <v>8.479792476309024</v>
      </c>
    </row>
    <row r="39" spans="1:2">
      <c r="A39" s="299" t="s">
        <v>755</v>
      </c>
      <c r="B39" s="300">
        <v>67.970231913201246</v>
      </c>
    </row>
    <row r="40" spans="1:2">
      <c r="A40" s="299" t="s">
        <v>756</v>
      </c>
      <c r="B40" s="300">
        <v>7117.4932559811687</v>
      </c>
    </row>
    <row r="41" spans="1:2">
      <c r="A41" s="299" t="s">
        <v>757</v>
      </c>
      <c r="B41" s="300">
        <v>959.46333830965466</v>
      </c>
    </row>
    <row r="42" spans="1:2">
      <c r="A42" s="299" t="s">
        <v>758</v>
      </c>
      <c r="B42" s="300">
        <v>14600.221415202641</v>
      </c>
    </row>
    <row r="43" spans="1:2">
      <c r="A43" s="299" t="s">
        <v>759</v>
      </c>
      <c r="B43" s="300">
        <v>0.91979497585277703</v>
      </c>
    </row>
    <row r="44" spans="1:2">
      <c r="A44" s="299" t="s">
        <v>760</v>
      </c>
      <c r="B44" s="300">
        <v>71.888150817560387</v>
      </c>
    </row>
    <row r="45" spans="1:2">
      <c r="A45" s="299" t="s">
        <v>761</v>
      </c>
      <c r="B45" s="300">
        <v>32643.368093702546</v>
      </c>
    </row>
    <row r="46" spans="1:2">
      <c r="A46" s="299" t="s">
        <v>762</v>
      </c>
      <c r="B46" s="300">
        <v>130.76892752861315</v>
      </c>
    </row>
    <row r="47" spans="1:2">
      <c r="A47" s="299" t="s">
        <v>763</v>
      </c>
      <c r="B47" s="300">
        <v>312.76450037777715</v>
      </c>
    </row>
    <row r="48" spans="1:2">
      <c r="A48" s="299" t="s">
        <v>764</v>
      </c>
      <c r="B48" s="300">
        <v>168.25026691049695</v>
      </c>
    </row>
    <row r="49" spans="1:3">
      <c r="A49" s="299" t="s">
        <v>765</v>
      </c>
      <c r="B49" s="300">
        <v>258.21909724335825</v>
      </c>
    </row>
    <row r="50" spans="1:3">
      <c r="A50" s="299" t="s">
        <v>766</v>
      </c>
      <c r="B50" s="300">
        <v>90.168557184592615</v>
      </c>
    </row>
    <row r="51" spans="1:3">
      <c r="A51" s="299" t="s">
        <v>767</v>
      </c>
      <c r="B51" s="300">
        <v>75.187188342571801</v>
      </c>
    </row>
    <row r="52" spans="1:3">
      <c r="A52" s="299" t="s">
        <v>768</v>
      </c>
      <c r="B52" s="300">
        <v>2111.2058014489508</v>
      </c>
    </row>
    <row r="53" spans="1:3">
      <c r="A53" s="299" t="s">
        <v>769</v>
      </c>
      <c r="B53" s="300">
        <v>10346.847671098178</v>
      </c>
    </row>
    <row r="54" spans="1:3">
      <c r="A54" s="299" t="s">
        <v>770</v>
      </c>
      <c r="B54" s="300">
        <v>37.318668156923842</v>
      </c>
    </row>
    <row r="55" spans="1:3">
      <c r="A55" s="299" t="s">
        <v>771</v>
      </c>
      <c r="B55" s="300">
        <v>1656.2972045580213</v>
      </c>
    </row>
    <row r="56" spans="1:3">
      <c r="A56" s="299" t="s">
        <v>772</v>
      </c>
      <c r="B56" s="300">
        <v>11.2285014932206</v>
      </c>
    </row>
    <row r="57" spans="1:3">
      <c r="A57" s="299" t="s">
        <v>773</v>
      </c>
      <c r="B57" s="300">
        <v>15626.082797433048</v>
      </c>
    </row>
    <row r="58" spans="1:3">
      <c r="A58" s="299" t="s">
        <v>775</v>
      </c>
      <c r="B58" s="300">
        <v>33.611521953438817</v>
      </c>
    </row>
    <row r="59" spans="1:3">
      <c r="A59" s="299" t="s">
        <v>776</v>
      </c>
      <c r="B59" s="300">
        <v>326.53873913938327</v>
      </c>
    </row>
    <row r="60" spans="1:3">
      <c r="A60" s="299" t="s">
        <v>777</v>
      </c>
      <c r="B60" s="300">
        <v>22.5768617410071</v>
      </c>
    </row>
    <row r="61" spans="1:3">
      <c r="A61" s="299" t="s">
        <v>778</v>
      </c>
      <c r="B61" s="300">
        <v>39.276468597956729</v>
      </c>
      <c r="C61" s="248" t="s">
        <v>821</v>
      </c>
    </row>
    <row r="62" spans="1:3">
      <c r="A62" s="312" t="s">
        <v>277</v>
      </c>
      <c r="B62" s="313">
        <v>220924.91</v>
      </c>
      <c r="C62" s="309">
        <f>SUM(B22:B61)</f>
        <v>117422.92722449818</v>
      </c>
    </row>
    <row r="65" spans="1:7" ht="26.4">
      <c r="A65" s="314" t="s">
        <v>827</v>
      </c>
      <c r="B65" s="305">
        <v>201113.92055555555</v>
      </c>
      <c r="C65" s="283"/>
      <c r="D65" s="283"/>
      <c r="E65" s="283"/>
      <c r="F65" s="283"/>
      <c r="G65" s="283"/>
    </row>
    <row r="66" spans="1:7">
      <c r="A66" s="299" t="s">
        <v>809</v>
      </c>
      <c r="B66" s="300">
        <f>B$65*(B10/B$62)</f>
        <v>73404.198088499063</v>
      </c>
    </row>
    <row r="67" spans="1:7">
      <c r="A67" s="299" t="s">
        <v>810</v>
      </c>
      <c r="B67" s="300">
        <f t="shared" ref="B67:B117" si="0">B$65*(B11/B$62)</f>
        <v>13044.680642201776</v>
      </c>
    </row>
    <row r="68" spans="1:7">
      <c r="A68" s="299" t="s">
        <v>811</v>
      </c>
      <c r="B68" s="300">
        <f t="shared" si="0"/>
        <v>5591.7775326734345</v>
      </c>
    </row>
    <row r="69" spans="1:7">
      <c r="A69" s="299" t="s">
        <v>812</v>
      </c>
      <c r="B69" s="300">
        <f t="shared" si="0"/>
        <v>0</v>
      </c>
    </row>
    <row r="70" spans="1:7">
      <c r="A70" s="299" t="s">
        <v>813</v>
      </c>
      <c r="B70" s="300">
        <f t="shared" si="0"/>
        <v>-1.2926644043394149</v>
      </c>
    </row>
    <row r="71" spans="1:7">
      <c r="A71" s="299" t="s">
        <v>814</v>
      </c>
      <c r="B71" s="300">
        <f t="shared" si="0"/>
        <v>0</v>
      </c>
    </row>
    <row r="72" spans="1:7">
      <c r="A72" s="299" t="s">
        <v>815</v>
      </c>
      <c r="B72" s="300">
        <f t="shared" si="0"/>
        <v>272.39716176794576</v>
      </c>
    </row>
    <row r="73" spans="1:7">
      <c r="A73" s="299" t="s">
        <v>816</v>
      </c>
      <c r="B73" s="300">
        <f t="shared" si="0"/>
        <v>1845.2420241127027</v>
      </c>
    </row>
    <row r="74" spans="1:7">
      <c r="A74" s="299" t="s">
        <v>817</v>
      </c>
      <c r="B74" s="300">
        <f t="shared" si="0"/>
        <v>-2.0393532128183374</v>
      </c>
    </row>
    <row r="75" spans="1:7">
      <c r="A75" s="299" t="s">
        <v>818</v>
      </c>
      <c r="B75" s="300">
        <f t="shared" si="0"/>
        <v>6.3224696995676339</v>
      </c>
    </row>
    <row r="76" spans="1:7">
      <c r="A76" s="299" t="s">
        <v>819</v>
      </c>
      <c r="B76" s="300">
        <f t="shared" si="0"/>
        <v>0.61904331999157192</v>
      </c>
    </row>
    <row r="77" spans="1:7">
      <c r="A77" s="299" t="s">
        <v>820</v>
      </c>
      <c r="B77" s="300">
        <f t="shared" si="0"/>
        <v>58.749219034550187</v>
      </c>
    </row>
    <row r="78" spans="1:7">
      <c r="A78" s="299" t="s">
        <v>731</v>
      </c>
      <c r="B78" s="300">
        <f t="shared" si="0"/>
        <v>911.14393390811256</v>
      </c>
    </row>
    <row r="79" spans="1:7">
      <c r="A79" s="299" t="s">
        <v>732</v>
      </c>
      <c r="B79" s="300">
        <f t="shared" si="0"/>
        <v>3876.5675187061743</v>
      </c>
    </row>
    <row r="80" spans="1:7">
      <c r="A80" s="299" t="s">
        <v>733</v>
      </c>
      <c r="B80" s="300">
        <f t="shared" si="0"/>
        <v>1394.0063983182954</v>
      </c>
    </row>
    <row r="81" spans="1:2">
      <c r="A81" s="299" t="s">
        <v>734</v>
      </c>
      <c r="B81" s="300">
        <f t="shared" si="0"/>
        <v>0.17314174789463416</v>
      </c>
    </row>
    <row r="82" spans="1:2">
      <c r="A82" s="299" t="s">
        <v>735</v>
      </c>
      <c r="B82" s="300">
        <f t="shared" si="0"/>
        <v>4033.5922468649246</v>
      </c>
    </row>
    <row r="83" spans="1:2">
      <c r="A83" s="299" t="s">
        <v>736</v>
      </c>
      <c r="B83" s="300">
        <f t="shared" si="0"/>
        <v>2927.6372746748962</v>
      </c>
    </row>
    <row r="84" spans="1:2">
      <c r="A84" s="299" t="s">
        <v>737</v>
      </c>
      <c r="B84" s="300">
        <f t="shared" si="0"/>
        <v>204.62264999355878</v>
      </c>
    </row>
    <row r="85" spans="1:2">
      <c r="A85" s="299" t="s">
        <v>739</v>
      </c>
      <c r="B85" s="300">
        <f t="shared" si="0"/>
        <v>4255.9062422692841</v>
      </c>
    </row>
    <row r="86" spans="1:2">
      <c r="A86" s="299" t="s">
        <v>741</v>
      </c>
      <c r="B86" s="300">
        <f t="shared" si="0"/>
        <v>2244.6664817547826</v>
      </c>
    </row>
    <row r="87" spans="1:2">
      <c r="A87" s="299" t="s">
        <v>743</v>
      </c>
      <c r="B87" s="300">
        <f t="shared" si="0"/>
        <v>1100.3297263568068</v>
      </c>
    </row>
    <row r="88" spans="1:2">
      <c r="A88" s="299" t="s">
        <v>745</v>
      </c>
      <c r="B88" s="300">
        <f t="shared" si="0"/>
        <v>1.8167903070277338</v>
      </c>
    </row>
    <row r="89" spans="1:2">
      <c r="A89" s="299" t="s">
        <v>747</v>
      </c>
      <c r="B89" s="300">
        <f t="shared" si="0"/>
        <v>19.300531106287437</v>
      </c>
    </row>
    <row r="90" spans="1:2">
      <c r="A90" s="299" t="s">
        <v>750</v>
      </c>
      <c r="B90" s="300">
        <f t="shared" si="0"/>
        <v>0</v>
      </c>
    </row>
    <row r="91" spans="1:2">
      <c r="A91" s="299" t="s">
        <v>751</v>
      </c>
      <c r="B91" s="300">
        <f t="shared" si="0"/>
        <v>64.942732688058499</v>
      </c>
    </row>
    <row r="92" spans="1:2">
      <c r="A92" s="299" t="s">
        <v>752</v>
      </c>
      <c r="B92" s="300">
        <f t="shared" si="0"/>
        <v>2092.699562088188</v>
      </c>
    </row>
    <row r="93" spans="1:2">
      <c r="A93" s="299" t="s">
        <v>753</v>
      </c>
      <c r="B93" s="300">
        <f t="shared" si="0"/>
        <v>4825.8074216061859</v>
      </c>
    </row>
    <row r="94" spans="1:2">
      <c r="A94" s="299" t="s">
        <v>754</v>
      </c>
      <c r="B94" s="300">
        <f t="shared" si="0"/>
        <v>7.7193844297956753</v>
      </c>
    </row>
    <row r="95" spans="1:2">
      <c r="A95" s="299" t="s">
        <v>755</v>
      </c>
      <c r="B95" s="300">
        <f t="shared" si="0"/>
        <v>61.875140386542384</v>
      </c>
    </row>
    <row r="96" spans="1:2">
      <c r="A96" s="299" t="s">
        <v>756</v>
      </c>
      <c r="B96" s="300">
        <f t="shared" si="0"/>
        <v>6479.2466057272541</v>
      </c>
    </row>
    <row r="97" spans="1:2">
      <c r="A97" s="299" t="s">
        <v>757</v>
      </c>
      <c r="B97" s="300">
        <f t="shared" si="0"/>
        <v>873.42542584616649</v>
      </c>
    </row>
    <row r="98" spans="1:2">
      <c r="A98" s="299" t="s">
        <v>758</v>
      </c>
      <c r="B98" s="300">
        <f t="shared" si="0"/>
        <v>13290.976421765135</v>
      </c>
    </row>
    <row r="99" spans="1:2">
      <c r="A99" s="299" t="s">
        <v>759</v>
      </c>
      <c r="B99" s="300">
        <f t="shared" si="0"/>
        <v>0.83731424265853283</v>
      </c>
    </row>
    <row r="100" spans="1:2">
      <c r="A100" s="299" t="s">
        <v>760</v>
      </c>
      <c r="B100" s="300">
        <f t="shared" si="0"/>
        <v>65.441727926509671</v>
      </c>
    </row>
    <row r="101" spans="1:2">
      <c r="A101" s="299" t="s">
        <v>761</v>
      </c>
      <c r="B101" s="300">
        <f t="shared" si="0"/>
        <v>29716.140825688919</v>
      </c>
    </row>
    <row r="102" spans="1:2">
      <c r="A102" s="299" t="s">
        <v>762</v>
      </c>
      <c r="B102" s="300">
        <f t="shared" si="0"/>
        <v>119.04249141540764</v>
      </c>
    </row>
    <row r="103" spans="1:2">
      <c r="A103" s="299" t="s">
        <v>763</v>
      </c>
      <c r="B103" s="300">
        <f t="shared" si="0"/>
        <v>284.71798350658736</v>
      </c>
    </row>
    <row r="104" spans="1:2">
      <c r="A104" s="299" t="s">
        <v>764</v>
      </c>
      <c r="B104" s="300">
        <f t="shared" si="0"/>
        <v>153.16276834915854</v>
      </c>
    </row>
    <row r="105" spans="1:2">
      <c r="A105" s="299" t="s">
        <v>765</v>
      </c>
      <c r="B105" s="300">
        <f t="shared" si="0"/>
        <v>235.06382783601913</v>
      </c>
    </row>
    <row r="106" spans="1:2">
      <c r="A106" s="299" t="s">
        <v>766</v>
      </c>
      <c r="B106" s="300">
        <f t="shared" si="0"/>
        <v>82.082876241666128</v>
      </c>
    </row>
    <row r="107" spans="1:2">
      <c r="A107" s="299" t="s">
        <v>767</v>
      </c>
      <c r="B107" s="300">
        <f t="shared" si="0"/>
        <v>68.444931009018305</v>
      </c>
    </row>
    <row r="108" spans="1:2">
      <c r="A108" s="299" t="s">
        <v>768</v>
      </c>
      <c r="B108" s="300">
        <f t="shared" si="0"/>
        <v>1921.887739273187</v>
      </c>
    </row>
    <row r="109" spans="1:2">
      <c r="A109" s="299" t="s">
        <v>769</v>
      </c>
      <c r="B109" s="300">
        <f t="shared" si="0"/>
        <v>9419.0152686977399</v>
      </c>
    </row>
    <row r="110" spans="1:2">
      <c r="A110" s="299" t="s">
        <v>770</v>
      </c>
      <c r="B110" s="300">
        <f t="shared" si="0"/>
        <v>33.972192918176233</v>
      </c>
    </row>
    <row r="111" spans="1:2">
      <c r="A111" s="299" t="s">
        <v>771</v>
      </c>
      <c r="B111" s="300">
        <f t="shared" si="0"/>
        <v>1507.7721403796008</v>
      </c>
    </row>
    <row r="112" spans="1:2">
      <c r="A112" s="299" t="s">
        <v>772</v>
      </c>
      <c r="B112" s="300">
        <f t="shared" si="0"/>
        <v>10.221608587576224</v>
      </c>
    </row>
    <row r="113" spans="1:3">
      <c r="A113" s="299" t="s">
        <v>773</v>
      </c>
      <c r="B113" s="300">
        <f t="shared" si="0"/>
        <v>14224.845782748007</v>
      </c>
    </row>
    <row r="114" spans="1:3">
      <c r="A114" s="299" t="s">
        <v>775</v>
      </c>
      <c r="B114" s="300">
        <f t="shared" si="0"/>
        <v>30.597477468227577</v>
      </c>
    </row>
    <row r="115" spans="1:3">
      <c r="A115" s="299" t="s">
        <v>776</v>
      </c>
      <c r="B115" s="300">
        <f t="shared" si="0"/>
        <v>297.25704557982715</v>
      </c>
    </row>
    <row r="116" spans="1:3">
      <c r="A116" s="299" t="s">
        <v>777</v>
      </c>
      <c r="B116" s="300">
        <f t="shared" si="0"/>
        <v>20.552327841050896</v>
      </c>
    </row>
    <row r="117" spans="1:3">
      <c r="A117" s="299" t="s">
        <v>778</v>
      </c>
      <c r="B117" s="300">
        <f t="shared" si="0"/>
        <v>35.754431608967238</v>
      </c>
      <c r="C117" s="248" t="s">
        <v>821</v>
      </c>
    </row>
    <row r="118" spans="1:3">
      <c r="A118" s="312" t="s">
        <v>277</v>
      </c>
      <c r="B118" s="313">
        <f>SUM(B66:B117)</f>
        <v>201113.92055555567</v>
      </c>
      <c r="C118" s="309">
        <f>SUM(B78:B117)</f>
        <v>106893.26639186365</v>
      </c>
    </row>
    <row r="121" spans="1:3" ht="26.4">
      <c r="A121" s="314" t="s">
        <v>828</v>
      </c>
      <c r="B121" s="304"/>
    </row>
    <row r="122" spans="1:3">
      <c r="A122" s="299" t="s">
        <v>809</v>
      </c>
      <c r="B122" s="300">
        <f>B66-B10</f>
        <v>-7230.7764151385782</v>
      </c>
    </row>
    <row r="123" spans="1:3">
      <c r="A123" s="299" t="s">
        <v>810</v>
      </c>
      <c r="B123" s="300">
        <f t="shared" ref="B123:B174" si="1">B67-B11</f>
        <v>-1284.983305953805</v>
      </c>
    </row>
    <row r="124" spans="1:3">
      <c r="A124" s="299" t="s">
        <v>811</v>
      </c>
      <c r="B124" s="300">
        <f t="shared" si="1"/>
        <v>-550.82534997806761</v>
      </c>
    </row>
    <row r="125" spans="1:3">
      <c r="A125" s="299" t="s">
        <v>812</v>
      </c>
      <c r="B125" s="300">
        <f t="shared" si="1"/>
        <v>0</v>
      </c>
    </row>
    <row r="126" spans="1:3">
      <c r="A126" s="299" t="s">
        <v>813</v>
      </c>
      <c r="B126" s="300">
        <f t="shared" si="1"/>
        <v>0.12733559566058505</v>
      </c>
    </row>
    <row r="127" spans="1:3">
      <c r="A127" s="299" t="s">
        <v>814</v>
      </c>
      <c r="B127" s="300">
        <f t="shared" si="1"/>
        <v>0</v>
      </c>
    </row>
    <row r="128" spans="1:3">
      <c r="A128" s="299" t="s">
        <v>815</v>
      </c>
      <c r="B128" s="300">
        <f t="shared" si="1"/>
        <v>-26.832838232054144</v>
      </c>
    </row>
    <row r="129" spans="1:2">
      <c r="A129" s="299" t="s">
        <v>816</v>
      </c>
      <c r="B129" s="300">
        <f t="shared" si="1"/>
        <v>-181.76797588729733</v>
      </c>
    </row>
    <row r="130" spans="1:2">
      <c r="A130" s="299" t="s">
        <v>817</v>
      </c>
      <c r="B130" s="300">
        <f t="shared" si="1"/>
        <v>0.20088915208371905</v>
      </c>
    </row>
    <row r="131" spans="1:2">
      <c r="A131" s="299" t="s">
        <v>818</v>
      </c>
      <c r="B131" s="300">
        <f t="shared" si="1"/>
        <v>-0.62280313632667728</v>
      </c>
    </row>
    <row r="132" spans="1:2">
      <c r="A132" s="299" t="s">
        <v>819</v>
      </c>
      <c r="B132" s="300">
        <f t="shared" si="1"/>
        <v>-6.0979670845903056E-2</v>
      </c>
    </row>
    <row r="133" spans="1:2">
      <c r="A133" s="299" t="s">
        <v>820</v>
      </c>
      <c r="B133" s="300">
        <f t="shared" si="1"/>
        <v>-5.7871685607228684</v>
      </c>
    </row>
    <row r="134" spans="1:2">
      <c r="A134" s="299" t="s">
        <v>731</v>
      </c>
      <c r="B134" s="300">
        <f t="shared" si="1"/>
        <v>-89.75342336900485</v>
      </c>
    </row>
    <row r="135" spans="1:2">
      <c r="A135" s="299" t="s">
        <v>732</v>
      </c>
      <c r="B135" s="300">
        <f t="shared" si="1"/>
        <v>-381.866347101266</v>
      </c>
    </row>
    <row r="136" spans="1:2">
      <c r="A136" s="299" t="s">
        <v>733</v>
      </c>
      <c r="B136" s="300">
        <f t="shared" si="1"/>
        <v>-137.31842115296513</v>
      </c>
    </row>
    <row r="137" spans="1:2">
      <c r="A137" s="299" t="s">
        <v>734</v>
      </c>
      <c r="B137" s="300">
        <f t="shared" si="1"/>
        <v>-1.7055554038516829E-2</v>
      </c>
    </row>
    <row r="138" spans="1:2">
      <c r="A138" s="299" t="s">
        <v>735</v>
      </c>
      <c r="B138" s="300">
        <f t="shared" si="1"/>
        <v>-397.33427305823852</v>
      </c>
    </row>
    <row r="139" spans="1:2">
      <c r="A139" s="299" t="s">
        <v>736</v>
      </c>
      <c r="B139" s="300">
        <f t="shared" si="1"/>
        <v>-288.39073389613941</v>
      </c>
    </row>
    <row r="140" spans="1:2">
      <c r="A140" s="299" t="s">
        <v>737</v>
      </c>
      <c r="B140" s="300">
        <f t="shared" si="1"/>
        <v>-20.156621420926598</v>
      </c>
    </row>
    <row r="141" spans="1:2">
      <c r="A141" s="299" t="s">
        <v>739</v>
      </c>
      <c r="B141" s="300">
        <f t="shared" si="1"/>
        <v>-419.23360356774083</v>
      </c>
    </row>
    <row r="142" spans="1:2">
      <c r="A142" s="299" t="s">
        <v>741</v>
      </c>
      <c r="B142" s="300">
        <f t="shared" si="1"/>
        <v>-221.11380382571861</v>
      </c>
    </row>
    <row r="143" spans="1:2">
      <c r="A143" s="299" t="s">
        <v>743</v>
      </c>
      <c r="B143" s="300">
        <f t="shared" si="1"/>
        <v>-108.38941697345854</v>
      </c>
    </row>
    <row r="144" spans="1:2">
      <c r="A144" s="299" t="s">
        <v>745</v>
      </c>
      <c r="B144" s="300">
        <f t="shared" si="1"/>
        <v>-0.17896530233148611</v>
      </c>
    </row>
    <row r="145" spans="1:2">
      <c r="A145" s="299" t="s">
        <v>747</v>
      </c>
      <c r="B145" s="300">
        <f t="shared" si="1"/>
        <v>-1.9012240274695884</v>
      </c>
    </row>
    <row r="146" spans="1:2">
      <c r="A146" s="299" t="s">
        <v>750</v>
      </c>
      <c r="B146" s="300">
        <f t="shared" si="1"/>
        <v>0</v>
      </c>
    </row>
    <row r="147" spans="1:2">
      <c r="A147" s="299" t="s">
        <v>751</v>
      </c>
      <c r="B147" s="300">
        <f t="shared" si="1"/>
        <v>-6.397268713286806</v>
      </c>
    </row>
    <row r="148" spans="1:2">
      <c r="A148" s="299" t="s">
        <v>752</v>
      </c>
      <c r="B148" s="300">
        <f t="shared" si="1"/>
        <v>-206.14410390090416</v>
      </c>
    </row>
    <row r="149" spans="1:2">
      <c r="A149" s="299" t="s">
        <v>753</v>
      </c>
      <c r="B149" s="300">
        <f t="shared" si="1"/>
        <v>-475.37246365774263</v>
      </c>
    </row>
    <row r="150" spans="1:2">
      <c r="A150" s="299" t="s">
        <v>754</v>
      </c>
      <c r="B150" s="300">
        <f t="shared" si="1"/>
        <v>-0.7604080465133487</v>
      </c>
    </row>
    <row r="151" spans="1:2">
      <c r="A151" s="299" t="s">
        <v>755</v>
      </c>
      <c r="B151" s="300">
        <f t="shared" si="1"/>
        <v>-6.0950915266588623</v>
      </c>
    </row>
    <row r="152" spans="1:2">
      <c r="A152" s="299" t="s">
        <v>756</v>
      </c>
      <c r="B152" s="300">
        <f t="shared" si="1"/>
        <v>-638.24665025391459</v>
      </c>
    </row>
    <row r="153" spans="1:2">
      <c r="A153" s="299" t="s">
        <v>757</v>
      </c>
      <c r="B153" s="300">
        <f t="shared" si="1"/>
        <v>-86.037912463488169</v>
      </c>
    </row>
    <row r="154" spans="1:2">
      <c r="A154" s="299" t="s">
        <v>758</v>
      </c>
      <c r="B154" s="300">
        <f t="shared" si="1"/>
        <v>-1309.2449934375054</v>
      </c>
    </row>
    <row r="155" spans="1:2">
      <c r="A155" s="299" t="s">
        <v>759</v>
      </c>
      <c r="B155" s="300">
        <f t="shared" si="1"/>
        <v>-8.2480733194244205E-2</v>
      </c>
    </row>
    <row r="156" spans="1:2">
      <c r="A156" s="299" t="s">
        <v>760</v>
      </c>
      <c r="B156" s="300">
        <f t="shared" si="1"/>
        <v>-6.446422891050716</v>
      </c>
    </row>
    <row r="157" spans="1:2">
      <c r="A157" s="299" t="s">
        <v>761</v>
      </c>
      <c r="B157" s="300">
        <f t="shared" si="1"/>
        <v>-2927.2272680136266</v>
      </c>
    </row>
    <row r="158" spans="1:2">
      <c r="A158" s="299" t="s">
        <v>762</v>
      </c>
      <c r="B158" s="300">
        <f t="shared" si="1"/>
        <v>-11.726436113205509</v>
      </c>
    </row>
    <row r="159" spans="1:2">
      <c r="A159" s="299" t="s">
        <v>763</v>
      </c>
      <c r="B159" s="300">
        <f t="shared" si="1"/>
        <v>-28.046516871189795</v>
      </c>
    </row>
    <row r="160" spans="1:2">
      <c r="A160" s="299" t="s">
        <v>764</v>
      </c>
      <c r="B160" s="300">
        <f t="shared" si="1"/>
        <v>-15.087498561338407</v>
      </c>
    </row>
    <row r="161" spans="1:3">
      <c r="A161" s="299" t="s">
        <v>765</v>
      </c>
      <c r="B161" s="300">
        <f t="shared" si="1"/>
        <v>-23.155269407339119</v>
      </c>
    </row>
    <row r="162" spans="1:3">
      <c r="A162" s="299" t="s">
        <v>766</v>
      </c>
      <c r="B162" s="300">
        <f t="shared" si="1"/>
        <v>-8.0856809429264871</v>
      </c>
    </row>
    <row r="163" spans="1:3">
      <c r="A163" s="299" t="s">
        <v>767</v>
      </c>
      <c r="B163" s="300">
        <f t="shared" si="1"/>
        <v>-6.7422573335534963</v>
      </c>
    </row>
    <row r="164" spans="1:3">
      <c r="A164" s="299" t="s">
        <v>768</v>
      </c>
      <c r="B164" s="300">
        <f t="shared" si="1"/>
        <v>-189.31806217576377</v>
      </c>
    </row>
    <row r="165" spans="1:3">
      <c r="A165" s="299" t="s">
        <v>769</v>
      </c>
      <c r="B165" s="300">
        <f t="shared" si="1"/>
        <v>-927.83240240043779</v>
      </c>
    </row>
    <row r="166" spans="1:3">
      <c r="A166" s="299" t="s">
        <v>770</v>
      </c>
      <c r="B166" s="300">
        <f t="shared" si="1"/>
        <v>-3.3464752387476082</v>
      </c>
    </row>
    <row r="167" spans="1:3">
      <c r="A167" s="299" t="s">
        <v>771</v>
      </c>
      <c r="B167" s="300">
        <f t="shared" si="1"/>
        <v>-148.52506417842051</v>
      </c>
    </row>
    <row r="168" spans="1:3">
      <c r="A168" s="299" t="s">
        <v>772</v>
      </c>
      <c r="B168" s="300">
        <f t="shared" si="1"/>
        <v>-1.0068929056443761</v>
      </c>
    </row>
    <row r="169" spans="1:3">
      <c r="A169" s="299" t="s">
        <v>773</v>
      </c>
      <c r="B169" s="300">
        <f t="shared" si="1"/>
        <v>-1401.2370146850408</v>
      </c>
    </row>
    <row r="170" spans="1:3">
      <c r="A170" s="299" t="s">
        <v>775</v>
      </c>
      <c r="B170" s="300">
        <f t="shared" si="1"/>
        <v>-3.0140444852112402</v>
      </c>
    </row>
    <row r="171" spans="1:3">
      <c r="A171" s="299" t="s">
        <v>776</v>
      </c>
      <c r="B171" s="300">
        <f t="shared" si="1"/>
        <v>-29.281693559556118</v>
      </c>
    </row>
    <row r="172" spans="1:3">
      <c r="A172" s="299" t="s">
        <v>777</v>
      </c>
      <c r="B172" s="300">
        <f t="shared" si="1"/>
        <v>-2.0245338999562037</v>
      </c>
    </row>
    <row r="173" spans="1:3">
      <c r="A173" s="299" t="s">
        <v>778</v>
      </c>
      <c r="B173" s="300">
        <f t="shared" si="1"/>
        <v>-3.5220369889894911</v>
      </c>
      <c r="C173" s="248" t="s">
        <v>821</v>
      </c>
    </row>
    <row r="174" spans="1:3">
      <c r="A174" s="312" t="s">
        <v>277</v>
      </c>
      <c r="B174" s="313">
        <f t="shared" si="1"/>
        <v>-19810.989444444334</v>
      </c>
      <c r="C174" s="309">
        <f>SUM(B134:B173)</f>
        <v>-10529.660832634507</v>
      </c>
    </row>
    <row r="177" spans="1:2">
      <c r="A177" s="441" t="s">
        <v>2</v>
      </c>
      <c r="B177" s="248" t="s">
        <v>3</v>
      </c>
    </row>
  </sheetData>
  <pageMargins left="0.7" right="0.7" top="0.75" bottom="0.75" header="0.3" footer="0.3"/>
  <pageSetup scale="79" fitToHeight="100" orientation="portrait" horizontalDpi="1200" verticalDpi="1200" r:id="rId1"/>
  <rowBreaks count="2" manualBreakCount="2">
    <brk id="62" max="16383" man="1"/>
    <brk id="120"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workbookViewId="0">
      <pane ySplit="8" topLeftCell="A21" activePane="bottomLeft" state="frozen"/>
      <selection activeCell="G50" sqref="G50"/>
      <selection pane="bottomLeft" activeCell="K44" sqref="K44"/>
    </sheetView>
  </sheetViews>
  <sheetFormatPr defaultColWidth="9.109375" defaultRowHeight="13.2"/>
  <cols>
    <col min="1" max="1" width="4.5546875" style="248" customWidth="1"/>
    <col min="2" max="2" width="12.33203125" style="248" bestFit="1" customWidth="1"/>
    <col min="3" max="4" width="17.33203125" style="248" bestFit="1" customWidth="1"/>
    <col min="5" max="5" width="16.88671875" style="248" bestFit="1" customWidth="1"/>
    <col min="6" max="6" width="2.6640625" style="248" customWidth="1"/>
    <col min="7" max="7" width="17.44140625" style="248" customWidth="1"/>
    <col min="8" max="8" width="17.109375" style="248" customWidth="1"/>
    <col min="9" max="9" width="12.6640625" style="248" customWidth="1"/>
    <col min="10" max="10" width="11.5546875" style="248" customWidth="1"/>
    <col min="11" max="16384" width="9.109375" style="248"/>
  </cols>
  <sheetData>
    <row r="1" spans="1:11">
      <c r="A1" s="230" t="s">
        <v>0</v>
      </c>
    </row>
    <row r="2" spans="1:11">
      <c r="A2" s="282" t="s">
        <v>963</v>
      </c>
    </row>
    <row r="3" spans="1:11">
      <c r="A3" s="230" t="s">
        <v>107</v>
      </c>
    </row>
    <row r="4" spans="1:11">
      <c r="A4" s="282" t="s">
        <v>962</v>
      </c>
    </row>
    <row r="6" spans="1:11" ht="51" customHeight="1">
      <c r="A6" s="552" t="s">
        <v>418</v>
      </c>
      <c r="B6" s="548" t="s">
        <v>134</v>
      </c>
      <c r="C6" s="549" t="s">
        <v>834</v>
      </c>
      <c r="D6" s="549" t="s">
        <v>835</v>
      </c>
      <c r="E6" s="549" t="s">
        <v>836</v>
      </c>
      <c r="F6" s="284"/>
      <c r="G6" s="549" t="s">
        <v>837</v>
      </c>
      <c r="H6" s="549" t="s">
        <v>838</v>
      </c>
      <c r="I6" s="549" t="s">
        <v>839</v>
      </c>
      <c r="J6" s="285" t="s">
        <v>790</v>
      </c>
      <c r="K6" s="283"/>
    </row>
    <row r="7" spans="1:11">
      <c r="A7" s="552"/>
      <c r="B7" s="548"/>
      <c r="C7" s="549"/>
      <c r="D7" s="549"/>
      <c r="E7" s="549"/>
      <c r="F7" s="284"/>
      <c r="G7" s="549"/>
      <c r="H7" s="549"/>
      <c r="I7" s="549"/>
      <c r="J7" s="286">
        <v>0.99</v>
      </c>
      <c r="K7" s="283"/>
    </row>
    <row r="8" spans="1:11">
      <c r="B8" s="287" t="s">
        <v>791</v>
      </c>
      <c r="C8" s="287" t="s">
        <v>792</v>
      </c>
      <c r="D8" s="287" t="s">
        <v>793</v>
      </c>
      <c r="E8" s="287" t="s">
        <v>794</v>
      </c>
      <c r="F8" s="287"/>
      <c r="G8" s="287" t="s">
        <v>795</v>
      </c>
      <c r="H8" s="287" t="s">
        <v>796</v>
      </c>
      <c r="I8" s="287" t="s">
        <v>797</v>
      </c>
      <c r="J8" s="289" t="s">
        <v>798</v>
      </c>
    </row>
    <row r="9" spans="1:11">
      <c r="A9" s="248">
        <v>1</v>
      </c>
      <c r="B9" s="248" t="s">
        <v>731</v>
      </c>
      <c r="C9" s="309">
        <f>W28_PG_2_of_4!B22</f>
        <v>464730.87050935585</v>
      </c>
      <c r="D9" s="309">
        <f>W28_PG_2_of_4!E22</f>
        <v>438793.78300900065</v>
      </c>
      <c r="E9" s="309">
        <f>D9-C9</f>
        <v>-25937.087500355206</v>
      </c>
      <c r="F9" s="309"/>
      <c r="G9" s="309">
        <f>IFERROR(VLOOKUP(B9,W28_PG_2_of_4!A$8:I$62,9,FALSE),0)</f>
        <v>450977.44899091811</v>
      </c>
      <c r="H9" s="309">
        <f>G9-D9</f>
        <v>12183.665981917467</v>
      </c>
      <c r="I9" s="309">
        <f>E9+H9</f>
        <v>-13753.421518437739</v>
      </c>
      <c r="J9" s="292">
        <f>I9*J$7</f>
        <v>-13615.887303253361</v>
      </c>
    </row>
    <row r="10" spans="1:11">
      <c r="A10" s="248">
        <f>A9+1</f>
        <v>2</v>
      </c>
      <c r="B10" s="248" t="s">
        <v>732</v>
      </c>
      <c r="C10" s="309">
        <f>W28_PG_2_of_4!B23</f>
        <v>1707900.4652666578</v>
      </c>
      <c r="D10" s="309">
        <f>W28_PG_2_of_4!E23</f>
        <v>1612580.8585425187</v>
      </c>
      <c r="E10" s="309">
        <f t="shared" ref="E10:E49" si="0">D10-C10</f>
        <v>-95319.60672413907</v>
      </c>
      <c r="F10" s="309"/>
      <c r="G10" s="309">
        <f>IFERROR(VLOOKUP(B10,W28_PG_2_of_4!A$8:I$62,9,FALSE),0)</f>
        <v>1657356.2115901089</v>
      </c>
      <c r="H10" s="309">
        <f t="shared" ref="H10:H49" si="1">G10-D10</f>
        <v>44775.353047590237</v>
      </c>
      <c r="I10" s="309">
        <f t="shared" ref="I10:I49" si="2">E10+H10</f>
        <v>-50544.253676548833</v>
      </c>
      <c r="J10" s="292">
        <f t="shared" ref="J10:J49" si="3">I10*J$7</f>
        <v>-50038.811139783342</v>
      </c>
    </row>
    <row r="11" spans="1:11">
      <c r="A11" s="248">
        <f t="shared" ref="A11:A50" si="4">A10+1</f>
        <v>3</v>
      </c>
      <c r="B11" s="248" t="s">
        <v>733</v>
      </c>
      <c r="C11" s="309">
        <f>W28_PG_2_of_4!B24</f>
        <v>680512.15392161941</v>
      </c>
      <c r="D11" s="309">
        <f>W28_PG_2_of_4!E24</f>
        <v>642532.10051570996</v>
      </c>
      <c r="E11" s="309">
        <f t="shared" si="0"/>
        <v>-37980.05340590945</v>
      </c>
      <c r="F11" s="309"/>
      <c r="G11" s="309">
        <f>IFERROR(VLOOKUP(B11,W28_PG_2_of_4!A$8:I$62,9,FALSE),0)</f>
        <v>660372.81931910862</v>
      </c>
      <c r="H11" s="309">
        <f t="shared" si="1"/>
        <v>17840.71880339866</v>
      </c>
      <c r="I11" s="309">
        <f t="shared" si="2"/>
        <v>-20139.334602510789</v>
      </c>
      <c r="J11" s="292">
        <f t="shared" si="3"/>
        <v>-19937.941256485683</v>
      </c>
    </row>
    <row r="12" spans="1:11">
      <c r="A12" s="248">
        <f t="shared" si="4"/>
        <v>4</v>
      </c>
      <c r="B12" s="248" t="s">
        <v>734</v>
      </c>
      <c r="C12" s="309">
        <f>W28_PG_2_of_4!B25</f>
        <v>112.775612519303</v>
      </c>
      <c r="D12" s="309">
        <f>W28_PG_2_of_4!E25</f>
        <v>106.48149453524618</v>
      </c>
      <c r="E12" s="309">
        <f t="shared" si="0"/>
        <v>-6.2941179840568111</v>
      </c>
      <c r="F12" s="309"/>
      <c r="G12" s="309">
        <f>IFERROR(VLOOKUP(B12,W28_PG_2_of_4!A$8:I$62,9,FALSE),0)</f>
        <v>109.43808829957989</v>
      </c>
      <c r="H12" s="309">
        <f t="shared" si="1"/>
        <v>2.9565937643337037</v>
      </c>
      <c r="I12" s="309">
        <f t="shared" si="2"/>
        <v>-3.3375242197231074</v>
      </c>
      <c r="J12" s="292">
        <f t="shared" si="3"/>
        <v>-3.3041489775258763</v>
      </c>
    </row>
    <row r="13" spans="1:11">
      <c r="A13" s="248">
        <f t="shared" si="4"/>
        <v>5</v>
      </c>
      <c r="B13" s="248" t="s">
        <v>735</v>
      </c>
      <c r="C13" s="309">
        <f>W28_PG_2_of_4!B26</f>
        <v>2980656.0594587959</v>
      </c>
      <c r="D13" s="309">
        <f>W28_PG_2_of_4!E26</f>
        <v>2814302.7097492889</v>
      </c>
      <c r="E13" s="309">
        <f>D13-C13</f>
        <v>-166353.34970950708</v>
      </c>
      <c r="F13" s="309"/>
      <c r="G13" s="309">
        <f>IFERROR(VLOOKUP(B13,W28_PG_2_of_4!A$8:I$62,9,FALSE),0)</f>
        <v>2892445.3943435391</v>
      </c>
      <c r="H13" s="309">
        <f t="shared" si="1"/>
        <v>78142.684594250284</v>
      </c>
      <c r="I13" s="309">
        <f t="shared" si="2"/>
        <v>-88210.665115256794</v>
      </c>
      <c r="J13" s="292">
        <f t="shared" si="3"/>
        <v>-87328.558464104222</v>
      </c>
    </row>
    <row r="14" spans="1:11">
      <c r="A14" s="248">
        <f t="shared" si="4"/>
        <v>6</v>
      </c>
      <c r="B14" s="248" t="s">
        <v>736</v>
      </c>
      <c r="C14" s="309">
        <f>W28_PG_2_of_4!B27</f>
        <v>1580657.3685810226</v>
      </c>
      <c r="D14" s="309">
        <f>W28_PG_2_of_4!E27</f>
        <v>1492439.3243782937</v>
      </c>
      <c r="E14" s="309">
        <f t="shared" si="0"/>
        <v>-88218.044202728895</v>
      </c>
      <c r="F14" s="309"/>
      <c r="G14" s="309">
        <f>IFERROR(VLOOKUP(B14,W28_PG_2_of_4!A$8:I$62,9,FALSE),0)</f>
        <v>1533878.7953339033</v>
      </c>
      <c r="H14" s="309">
        <f t="shared" si="1"/>
        <v>41439.470955609577</v>
      </c>
      <c r="I14" s="309">
        <f t="shared" si="2"/>
        <v>-46778.573247119319</v>
      </c>
      <c r="J14" s="292">
        <f t="shared" si="3"/>
        <v>-46310.787514648124</v>
      </c>
    </row>
    <row r="15" spans="1:11">
      <c r="A15" s="248">
        <f t="shared" si="4"/>
        <v>7</v>
      </c>
      <c r="B15" s="248" t="s">
        <v>737</v>
      </c>
      <c r="C15" s="309">
        <f>W28_PG_2_of_4!B28</f>
        <v>105227.86406707655</v>
      </c>
      <c r="D15" s="309">
        <f>W28_PG_2_of_4!E28</f>
        <v>99354.993356353458</v>
      </c>
      <c r="E15" s="309">
        <f t="shared" si="0"/>
        <v>-5872.8707107230875</v>
      </c>
      <c r="F15" s="309"/>
      <c r="G15" s="309">
        <f>IFERROR(VLOOKUP(B15,W28_PG_2_of_4!A$8:I$62,9,FALSE),0)</f>
        <v>102113.7107757035</v>
      </c>
      <c r="H15" s="309">
        <f t="shared" si="1"/>
        <v>2758.7174193500396</v>
      </c>
      <c r="I15" s="309">
        <f t="shared" si="2"/>
        <v>-3114.153291373048</v>
      </c>
      <c r="J15" s="292">
        <f t="shared" si="3"/>
        <v>-3083.0117584593177</v>
      </c>
    </row>
    <row r="16" spans="1:11">
      <c r="A16" s="248">
        <f t="shared" si="4"/>
        <v>8</v>
      </c>
      <c r="B16" s="248" t="s">
        <v>739</v>
      </c>
      <c r="C16" s="309">
        <f>W28_PG_2_of_4!B29</f>
        <v>2157854.6120672189</v>
      </c>
      <c r="D16" s="309">
        <f>W28_PG_2_of_4!E29</f>
        <v>2037422.621343449</v>
      </c>
      <c r="E16" s="309">
        <f t="shared" si="0"/>
        <v>-120431.99072376988</v>
      </c>
      <c r="F16" s="309"/>
      <c r="G16" s="309">
        <f>IFERROR(VLOOKUP(B16,W28_PG_2_of_4!A$8:I$62,9,FALSE),0)</f>
        <v>2093994.2448341628</v>
      </c>
      <c r="H16" s="309">
        <f t="shared" si="1"/>
        <v>56571.62349071377</v>
      </c>
      <c r="I16" s="309">
        <f t="shared" si="2"/>
        <v>-63860.367233056109</v>
      </c>
      <c r="J16" s="292">
        <f t="shared" si="3"/>
        <v>-63221.763560725551</v>
      </c>
    </row>
    <row r="17" spans="1:10">
      <c r="A17" s="248">
        <f t="shared" si="4"/>
        <v>9</v>
      </c>
      <c r="B17" s="248" t="s">
        <v>741</v>
      </c>
      <c r="C17" s="309">
        <f>W28_PG_2_of_4!B30</f>
        <v>1070403.3845777409</v>
      </c>
      <c r="D17" s="309">
        <f>W28_PG_2_of_4!E30</f>
        <v>1010663.1176657536</v>
      </c>
      <c r="E17" s="309">
        <f t="shared" si="0"/>
        <v>-59740.266911987332</v>
      </c>
      <c r="F17" s="309"/>
      <c r="G17" s="309">
        <f>IFERROR(VLOOKUP(B17,W28_PG_2_of_4!A$8:I$62,9,FALSE),0)</f>
        <v>1038725.4611234097</v>
      </c>
      <c r="H17" s="309">
        <f t="shared" si="1"/>
        <v>28062.343457656098</v>
      </c>
      <c r="I17" s="309">
        <f t="shared" si="2"/>
        <v>-31677.923454331234</v>
      </c>
      <c r="J17" s="292">
        <f t="shared" si="3"/>
        <v>-31361.144219787922</v>
      </c>
    </row>
    <row r="18" spans="1:10">
      <c r="A18" s="248">
        <f t="shared" si="4"/>
        <v>10</v>
      </c>
      <c r="B18" s="248" t="s">
        <v>743</v>
      </c>
      <c r="C18" s="309">
        <f>W28_PG_2_of_4!B31</f>
        <v>592890.66443861334</v>
      </c>
      <c r="D18" s="309">
        <f>W28_PG_2_of_4!E31</f>
        <v>559800.85264101624</v>
      </c>
      <c r="E18" s="309">
        <f t="shared" si="0"/>
        <v>-33089.811797597096</v>
      </c>
      <c r="F18" s="309"/>
      <c r="G18" s="309">
        <f>IFERROR(VLOOKUP(B18,W28_PG_2_of_4!A$8:I$62,9,FALSE),0)</f>
        <v>575344.43340508279</v>
      </c>
      <c r="H18" s="309">
        <f t="shared" si="1"/>
        <v>15543.580764066544</v>
      </c>
      <c r="I18" s="309">
        <f t="shared" si="2"/>
        <v>-17546.231033530552</v>
      </c>
      <c r="J18" s="292">
        <f t="shared" si="3"/>
        <v>-17370.768723195248</v>
      </c>
    </row>
    <row r="19" spans="1:10">
      <c r="A19" s="248">
        <f t="shared" si="4"/>
        <v>11</v>
      </c>
      <c r="B19" s="248" t="s">
        <v>747</v>
      </c>
      <c r="C19" s="309">
        <f>W28_PG_2_of_4!B32</f>
        <v>10446.532187707728</v>
      </c>
      <c r="D19" s="309">
        <f>W28_PG_2_of_4!E32</f>
        <v>9863.5009396847981</v>
      </c>
      <c r="E19" s="309">
        <f t="shared" si="0"/>
        <v>-583.0312480229295</v>
      </c>
      <c r="F19" s="309"/>
      <c r="G19" s="309">
        <f>IFERROR(VLOOKUP(B19,W28_PG_2_of_4!A$8:I$62,9,FALSE),0)</f>
        <v>10137.373554828442</v>
      </c>
      <c r="H19" s="309">
        <f t="shared" si="1"/>
        <v>273.872615143644</v>
      </c>
      <c r="I19" s="309">
        <f t="shared" si="2"/>
        <v>-309.15863287928551</v>
      </c>
      <c r="J19" s="292">
        <f t="shared" si="3"/>
        <v>-306.06704655049265</v>
      </c>
    </row>
    <row r="20" spans="1:10">
      <c r="A20" s="248">
        <f t="shared" si="4"/>
        <v>12</v>
      </c>
      <c r="B20" s="248" t="s">
        <v>748</v>
      </c>
      <c r="C20" s="309">
        <f>W28_PG_2_of_4!B33</f>
        <v>167.81495617047099</v>
      </c>
      <c r="D20" s="309">
        <f>W28_PG_2_of_4!E33</f>
        <v>158.44903822038697</v>
      </c>
      <c r="E20" s="309">
        <f t="shared" si="0"/>
        <v>-9.3659179500840253</v>
      </c>
      <c r="F20" s="309"/>
      <c r="G20" s="309">
        <f>IFERROR(VLOOKUP(B20,W28_PG_2_of_4!A$8:I$62,9,FALSE),0)</f>
        <v>162.84857675439955</v>
      </c>
      <c r="H20" s="309">
        <f t="shared" si="1"/>
        <v>4.3995385340125779</v>
      </c>
      <c r="I20" s="309">
        <f t="shared" si="2"/>
        <v>-4.9663794160714474</v>
      </c>
      <c r="J20" s="292">
        <f t="shared" si="3"/>
        <v>-4.9167156219107326</v>
      </c>
    </row>
    <row r="21" spans="1:10">
      <c r="A21" s="248">
        <f t="shared" si="4"/>
        <v>13</v>
      </c>
      <c r="B21" s="248" t="s">
        <v>749</v>
      </c>
      <c r="C21" s="309">
        <f>W28_PG_2_of_4!B34</f>
        <v>581.44128395060704</v>
      </c>
      <c r="D21" s="309">
        <f>W28_PG_2_of_4!E34</f>
        <v>548.9904733521704</v>
      </c>
      <c r="E21" s="309">
        <f t="shared" si="0"/>
        <v>-32.450810598436647</v>
      </c>
      <c r="F21" s="309"/>
      <c r="G21" s="309">
        <f>IFERROR(VLOOKUP(B21,W28_PG_2_of_4!A$8:I$62,9,FALSE),0)</f>
        <v>564.23389022264212</v>
      </c>
      <c r="H21" s="309">
        <f t="shared" si="1"/>
        <v>15.243416870471719</v>
      </c>
      <c r="I21" s="309">
        <f t="shared" si="2"/>
        <v>-17.207393727964927</v>
      </c>
      <c r="J21" s="292">
        <f t="shared" si="3"/>
        <v>-17.035319790685278</v>
      </c>
    </row>
    <row r="22" spans="1:10">
      <c r="A22" s="248">
        <f t="shared" si="4"/>
        <v>14</v>
      </c>
      <c r="B22" s="248" t="s">
        <v>750</v>
      </c>
      <c r="C22" s="309">
        <f>W28_PG_2_of_4!B35</f>
        <v>27.9966478338442</v>
      </c>
      <c r="D22" s="309">
        <f>W28_PG_2_of_4!E35</f>
        <v>26.434127350134634</v>
      </c>
      <c r="E22" s="309">
        <f t="shared" si="0"/>
        <v>-1.5625204837095659</v>
      </c>
      <c r="F22" s="309"/>
      <c r="G22" s="309">
        <f>IFERROR(VLOOKUP(B22,W28_PG_2_of_4!A$8:I$62,9,FALSE),0)</f>
        <v>27.16810442690398</v>
      </c>
      <c r="H22" s="309">
        <f t="shared" si="1"/>
        <v>0.73397707676934587</v>
      </c>
      <c r="I22" s="309">
        <f t="shared" si="2"/>
        <v>-0.82854340694022</v>
      </c>
      <c r="J22" s="292">
        <f t="shared" si="3"/>
        <v>-0.82025797287081781</v>
      </c>
    </row>
    <row r="23" spans="1:10">
      <c r="A23" s="248">
        <f t="shared" si="4"/>
        <v>15</v>
      </c>
      <c r="B23" s="248" t="s">
        <v>751</v>
      </c>
      <c r="C23" s="309">
        <f>W28_PG_2_of_4!B36</f>
        <v>3330.4923549073364</v>
      </c>
      <c r="D23" s="309">
        <f>W28_PG_2_of_4!E36</f>
        <v>3144.6142970675005</v>
      </c>
      <c r="E23" s="309">
        <f t="shared" si="0"/>
        <v>-185.87805783983595</v>
      </c>
      <c r="F23" s="309"/>
      <c r="G23" s="309">
        <f>IFERROR(VLOOKUP(B23,W28_PG_2_of_4!A$8:I$62,9,FALSE),0)</f>
        <v>3231.928501873922</v>
      </c>
      <c r="H23" s="309">
        <f t="shared" si="1"/>
        <v>87.314204806421458</v>
      </c>
      <c r="I23" s="309">
        <f t="shared" si="2"/>
        <v>-98.563853033414489</v>
      </c>
      <c r="J23" s="292">
        <f t="shared" si="3"/>
        <v>-97.578214503080346</v>
      </c>
    </row>
    <row r="24" spans="1:10">
      <c r="A24" s="248">
        <f t="shared" si="4"/>
        <v>16</v>
      </c>
      <c r="B24" s="248" t="s">
        <v>752</v>
      </c>
      <c r="C24" s="309">
        <f>W28_PG_2_of_4!B37</f>
        <v>247310.69327623845</v>
      </c>
      <c r="D24" s="309">
        <f>W28_PG_2_of_4!E37</f>
        <v>233508.03995938689</v>
      </c>
      <c r="E24" s="309">
        <f>D24-C24</f>
        <v>-13802.65331685156</v>
      </c>
      <c r="F24" s="309"/>
      <c r="G24" s="309">
        <f>IFERROR(VLOOKUP(B24,W28_PG_2_of_4!A$8:I$62,9,FALSE),0)</f>
        <v>239991.68688676148</v>
      </c>
      <c r="H24" s="309">
        <f>G24-D24</f>
        <v>6483.6469273745897</v>
      </c>
      <c r="I24" s="309">
        <f t="shared" si="2"/>
        <v>-7319.0063894769701</v>
      </c>
      <c r="J24" s="292">
        <f t="shared" si="3"/>
        <v>-7245.8163255822001</v>
      </c>
    </row>
    <row r="25" spans="1:10">
      <c r="A25" s="248">
        <f t="shared" si="4"/>
        <v>17</v>
      </c>
      <c r="B25" s="248" t="s">
        <v>753</v>
      </c>
      <c r="C25" s="309">
        <f>W28_PG_2_of_4!B38</f>
        <v>-49669.965442201028</v>
      </c>
      <c r="D25" s="309">
        <f>W28_PG_2_of_4!E38</f>
        <v>-46897.835761205264</v>
      </c>
      <c r="E25" s="309">
        <f t="shared" si="0"/>
        <v>2772.1296809957639</v>
      </c>
      <c r="F25" s="309"/>
      <c r="G25" s="309">
        <f>IFERROR(VLOOKUP(B25,W28_PG_2_of_4!A$8:I$62,9,FALSE),0)</f>
        <v>-48200.013659604578</v>
      </c>
      <c r="H25" s="309">
        <f t="shared" si="1"/>
        <v>-1302.1778983993136</v>
      </c>
      <c r="I25" s="309">
        <f t="shared" si="2"/>
        <v>1469.9517825964504</v>
      </c>
      <c r="J25" s="292">
        <f t="shared" si="3"/>
        <v>1455.2522647704859</v>
      </c>
    </row>
    <row r="26" spans="1:10">
      <c r="A26" s="248">
        <f t="shared" si="4"/>
        <v>18</v>
      </c>
      <c r="B26" s="248" t="s">
        <v>754</v>
      </c>
      <c r="C26" s="309">
        <f>W28_PG_2_of_4!B39</f>
        <v>749.96583246656905</v>
      </c>
      <c r="D26" s="309">
        <f>W28_PG_2_of_4!E39</f>
        <v>708.10950087051583</v>
      </c>
      <c r="E26" s="309">
        <f t="shared" si="0"/>
        <v>-41.856331596053224</v>
      </c>
      <c r="F26" s="309"/>
      <c r="G26" s="309">
        <f>IFERROR(VLOOKUP(B26,W28_PG_2_of_4!A$8:I$62,9,FALSE),0)</f>
        <v>727.77105937771921</v>
      </c>
      <c r="H26" s="309">
        <f t="shared" si="1"/>
        <v>19.661558507203381</v>
      </c>
      <c r="I26" s="309">
        <f t="shared" si="2"/>
        <v>-22.194773088849843</v>
      </c>
      <c r="J26" s="292">
        <f t="shared" si="3"/>
        <v>-21.972825357961344</v>
      </c>
    </row>
    <row r="27" spans="1:10">
      <c r="A27" s="248">
        <f t="shared" si="4"/>
        <v>19</v>
      </c>
      <c r="B27" s="248" t="s">
        <v>755</v>
      </c>
      <c r="C27" s="309">
        <f>W28_PG_2_of_4!B40</f>
        <v>8944.2552226703301</v>
      </c>
      <c r="D27" s="309">
        <f>W28_PG_2_of_4!E40</f>
        <v>8445.0675313477277</v>
      </c>
      <c r="E27" s="309">
        <f t="shared" si="0"/>
        <v>-499.1876913226024</v>
      </c>
      <c r="F27" s="309"/>
      <c r="G27" s="309">
        <f>IFERROR(VLOOKUP(B27,W28_PG_2_of_4!A$8:I$62,9,FALSE),0)</f>
        <v>8679.5555436689174</v>
      </c>
      <c r="H27" s="309">
        <f t="shared" si="1"/>
        <v>234.48801232118967</v>
      </c>
      <c r="I27" s="309">
        <f t="shared" si="2"/>
        <v>-264.69967900141273</v>
      </c>
      <c r="J27" s="292">
        <f t="shared" si="3"/>
        <v>-262.05268221139858</v>
      </c>
    </row>
    <row r="28" spans="1:10">
      <c r="A28" s="248">
        <f t="shared" si="4"/>
        <v>20</v>
      </c>
      <c r="B28" s="248" t="s">
        <v>756</v>
      </c>
      <c r="C28" s="309">
        <f>W28_PG_2_of_4!B41</f>
        <v>694966.55121778965</v>
      </c>
      <c r="D28" s="309">
        <f>W28_PG_2_of_4!E41</f>
        <v>656179.78366563725</v>
      </c>
      <c r="E28" s="309">
        <f t="shared" si="0"/>
        <v>-38786.767552152392</v>
      </c>
      <c r="F28" s="309"/>
      <c r="G28" s="309">
        <f>IFERROR(VLOOKUP(B28,W28_PG_2_of_4!A$8:I$62,9,FALSE),0)</f>
        <v>674399.44770336803</v>
      </c>
      <c r="H28" s="309">
        <f t="shared" si="1"/>
        <v>18219.664037730778</v>
      </c>
      <c r="I28" s="309">
        <f t="shared" si="2"/>
        <v>-20567.103514421615</v>
      </c>
      <c r="J28" s="292">
        <f t="shared" si="3"/>
        <v>-20361.432479277399</v>
      </c>
    </row>
    <row r="29" spans="1:10">
      <c r="A29" s="248">
        <f t="shared" si="4"/>
        <v>21</v>
      </c>
      <c r="B29" s="248" t="s">
        <v>757</v>
      </c>
      <c r="C29" s="309">
        <f>W28_PG_2_of_4!B42</f>
        <v>110208.79234043208</v>
      </c>
      <c r="D29" s="309">
        <f>W28_PG_2_of_4!E42</f>
        <v>104057.93111808789</v>
      </c>
      <c r="E29" s="309">
        <f t="shared" si="0"/>
        <v>-6150.8612223441887</v>
      </c>
      <c r="F29" s="309"/>
      <c r="G29" s="309">
        <f>IFERROR(VLOOKUP(B29,W28_PG_2_of_4!A$8:I$62,9,FALSE),0)</f>
        <v>106947.23156992713</v>
      </c>
      <c r="H29" s="309">
        <f t="shared" si="1"/>
        <v>2889.3004518392408</v>
      </c>
      <c r="I29" s="309">
        <f t="shared" si="2"/>
        <v>-3261.5607705049479</v>
      </c>
      <c r="J29" s="292">
        <f t="shared" si="3"/>
        <v>-3228.9451627998983</v>
      </c>
    </row>
    <row r="30" spans="1:10">
      <c r="A30" s="248">
        <f t="shared" si="4"/>
        <v>22</v>
      </c>
      <c r="B30" s="248" t="s">
        <v>758</v>
      </c>
      <c r="C30" s="309">
        <f>W28_PG_2_of_4!B43</f>
        <v>2442409.6236785697</v>
      </c>
      <c r="D30" s="309">
        <f>W28_PG_2_of_4!E43</f>
        <v>2306096.3375574467</v>
      </c>
      <c r="E30" s="309">
        <f t="shared" si="0"/>
        <v>-136313.286121123</v>
      </c>
      <c r="F30" s="309"/>
      <c r="G30" s="309">
        <f>IFERROR(VLOOKUP(B30,W28_PG_2_of_4!A$8:I$62,9,FALSE),0)</f>
        <v>2370128.0275833434</v>
      </c>
      <c r="H30" s="309">
        <f t="shared" si="1"/>
        <v>64031.690025896765</v>
      </c>
      <c r="I30" s="309">
        <f t="shared" si="2"/>
        <v>-72281.596095226239</v>
      </c>
      <c r="J30" s="292">
        <f t="shared" si="3"/>
        <v>-71558.780134273969</v>
      </c>
    </row>
    <row r="31" spans="1:10">
      <c r="A31" s="248">
        <f t="shared" si="4"/>
        <v>23</v>
      </c>
      <c r="B31" s="248" t="s">
        <v>759</v>
      </c>
      <c r="C31" s="309">
        <f>W28_PG_2_of_4!B44</f>
        <v>103.499092753851</v>
      </c>
      <c r="D31" s="309">
        <f>W28_PG_2_of_4!E44</f>
        <v>97.72270647242803</v>
      </c>
      <c r="E31" s="309">
        <f t="shared" si="0"/>
        <v>-5.7763862814229725</v>
      </c>
      <c r="F31" s="309"/>
      <c r="G31" s="309">
        <f>IFERROR(VLOOKUP(B31,W28_PG_2_of_4!A$8:I$62,9,FALSE),0)</f>
        <v>100.43610137593922</v>
      </c>
      <c r="H31" s="309">
        <f t="shared" si="1"/>
        <v>2.7133949035111868</v>
      </c>
      <c r="I31" s="309">
        <f t="shared" si="2"/>
        <v>-3.0629913779117857</v>
      </c>
      <c r="J31" s="292">
        <f t="shared" si="3"/>
        <v>-3.0323614641326677</v>
      </c>
    </row>
    <row r="32" spans="1:10">
      <c r="A32" s="248">
        <f t="shared" si="4"/>
        <v>24</v>
      </c>
      <c r="B32" s="248" t="s">
        <v>761</v>
      </c>
      <c r="C32" s="309">
        <f>W28_PG_2_of_4!B45</f>
        <v>1664790.7864955238</v>
      </c>
      <c r="D32" s="309">
        <f>W28_PG_2_of_4!E45</f>
        <v>1571877.1733934002</v>
      </c>
      <c r="E32" s="309">
        <f t="shared" si="0"/>
        <v>-92913.613102123607</v>
      </c>
      <c r="F32" s="309"/>
      <c r="G32" s="309">
        <f>IFERROR(VLOOKUP(B32,W28_PG_2_of_4!A$8:I$62,9,FALSE),0)</f>
        <v>1615522.3369914284</v>
      </c>
      <c r="H32" s="309">
        <f t="shared" si="1"/>
        <v>43645.163598028244</v>
      </c>
      <c r="I32" s="309">
        <f t="shared" si="2"/>
        <v>-49268.449504095362</v>
      </c>
      <c r="J32" s="292">
        <f t="shared" si="3"/>
        <v>-48775.765009054405</v>
      </c>
    </row>
    <row r="33" spans="1:10">
      <c r="A33" s="248">
        <f t="shared" si="4"/>
        <v>25</v>
      </c>
      <c r="B33" s="248" t="s">
        <v>762</v>
      </c>
      <c r="C33" s="309">
        <f>W28_PG_2_of_4!B46</f>
        <v>14564.400427236786</v>
      </c>
      <c r="D33" s="309">
        <f>W28_PG_2_of_4!E46</f>
        <v>13751.546897929775</v>
      </c>
      <c r="E33" s="309">
        <f t="shared" si="0"/>
        <v>-812.85352930701083</v>
      </c>
      <c r="F33" s="309"/>
      <c r="G33" s="309">
        <f>IFERROR(VLOOKUP(B33,W28_PG_2_of_4!A$8:I$62,9,FALSE),0)</f>
        <v>14133.37604097306</v>
      </c>
      <c r="H33" s="309">
        <f t="shared" si="1"/>
        <v>381.82914304328551</v>
      </c>
      <c r="I33" s="309">
        <f t="shared" si="2"/>
        <v>-431.02438626372532</v>
      </c>
      <c r="J33" s="292">
        <f t="shared" si="3"/>
        <v>-426.71414240108805</v>
      </c>
    </row>
    <row r="34" spans="1:10">
      <c r="A34" s="248">
        <f t="shared" si="4"/>
        <v>26</v>
      </c>
      <c r="B34" s="248" t="s">
        <v>763</v>
      </c>
      <c r="C34" s="309">
        <f>W28_PG_2_of_4!B47</f>
        <v>16133.564434222828</v>
      </c>
      <c r="D34" s="309">
        <f>W28_PG_2_of_4!E47</f>
        <v>15233.134316541136</v>
      </c>
      <c r="E34" s="309">
        <f t="shared" si="0"/>
        <v>-900.43011768169163</v>
      </c>
      <c r="F34" s="309"/>
      <c r="G34" s="309">
        <f>IFERROR(VLOOKUP(B34,W28_PG_2_of_4!A$8:I$62,9,FALSE),0)</f>
        <v>15656.101613611096</v>
      </c>
      <c r="H34" s="309">
        <f t="shared" si="1"/>
        <v>422.96729706995939</v>
      </c>
      <c r="I34" s="309">
        <f t="shared" si="2"/>
        <v>-477.46282061173224</v>
      </c>
      <c r="J34" s="292">
        <f t="shared" si="3"/>
        <v>-472.68819240561493</v>
      </c>
    </row>
    <row r="35" spans="1:10">
      <c r="A35" s="248">
        <f t="shared" si="4"/>
        <v>27</v>
      </c>
      <c r="B35" s="248" t="s">
        <v>764</v>
      </c>
      <c r="C35" s="309">
        <f>W28_PG_2_of_4!B48</f>
        <v>19093.627261404174</v>
      </c>
      <c r="D35" s="309">
        <f>W28_PG_2_of_4!E48</f>
        <v>18027.99312258439</v>
      </c>
      <c r="E35" s="309">
        <f t="shared" si="0"/>
        <v>-1065.6341388197834</v>
      </c>
      <c r="F35" s="309"/>
      <c r="G35" s="309">
        <f>IFERROR(VLOOKUP(B35,W28_PG_2_of_4!A$8:I$62,9,FALSE),0)</f>
        <v>18528.5632195982</v>
      </c>
      <c r="H35" s="309">
        <f t="shared" si="1"/>
        <v>500.57009701380957</v>
      </c>
      <c r="I35" s="309">
        <f t="shared" si="2"/>
        <v>-565.06404180597383</v>
      </c>
      <c r="J35" s="292">
        <f t="shared" si="3"/>
        <v>-559.41340138791406</v>
      </c>
    </row>
    <row r="36" spans="1:10">
      <c r="A36" s="248">
        <f t="shared" si="4"/>
        <v>28</v>
      </c>
      <c r="B36" s="248" t="s">
        <v>765</v>
      </c>
      <c r="C36" s="309">
        <f>W28_PG_2_of_4!B49</f>
        <v>33129.78792607932</v>
      </c>
      <c r="D36" s="309">
        <f>W28_PG_2_of_4!E49</f>
        <v>31280.781839255073</v>
      </c>
      <c r="E36" s="309">
        <f t="shared" si="0"/>
        <v>-1849.0060868242472</v>
      </c>
      <c r="F36" s="309"/>
      <c r="G36" s="309">
        <f>IFERROR(VLOOKUP(B36,W28_PG_2_of_4!A$8:I$62,9,FALSE),0)</f>
        <v>32149.33242574981</v>
      </c>
      <c r="H36" s="309">
        <f t="shared" si="1"/>
        <v>868.55058649473722</v>
      </c>
      <c r="I36" s="309">
        <f t="shared" si="2"/>
        <v>-980.45550032950996</v>
      </c>
      <c r="J36" s="292">
        <f t="shared" si="3"/>
        <v>-970.65094532621481</v>
      </c>
    </row>
    <row r="37" spans="1:10">
      <c r="A37" s="248">
        <f t="shared" si="4"/>
        <v>29</v>
      </c>
      <c r="B37" s="248" t="s">
        <v>766</v>
      </c>
      <c r="C37" s="309">
        <f>W28_PG_2_of_4!B50</f>
        <v>8469.737927295555</v>
      </c>
      <c r="D37" s="309">
        <f>W28_PG_2_of_4!E50</f>
        <v>7997.0335134816723</v>
      </c>
      <c r="E37" s="309">
        <f t="shared" si="0"/>
        <v>-472.70441381388264</v>
      </c>
      <c r="F37" s="309"/>
      <c r="G37" s="309">
        <f>IFERROR(VLOOKUP(B37,W28_PG_2_of_4!A$8:I$62,9,FALSE),0)</f>
        <v>8219.0812929791791</v>
      </c>
      <c r="H37" s="309">
        <f t="shared" si="1"/>
        <v>222.04777949750678</v>
      </c>
      <c r="I37" s="309">
        <f t="shared" si="2"/>
        <v>-250.65663431637586</v>
      </c>
      <c r="J37" s="292">
        <f t="shared" si="3"/>
        <v>-248.15006797321209</v>
      </c>
    </row>
    <row r="38" spans="1:10">
      <c r="A38" s="248">
        <f t="shared" si="4"/>
        <v>30</v>
      </c>
      <c r="B38" s="248" t="s">
        <v>767</v>
      </c>
      <c r="C38" s="309">
        <f>W28_PG_2_of_4!B51</f>
        <v>8509.9021791369487</v>
      </c>
      <c r="D38" s="309">
        <f>W28_PG_2_of_4!E51</f>
        <v>8034.9561588783381</v>
      </c>
      <c r="E38" s="309">
        <f t="shared" si="0"/>
        <v>-474.94602025861059</v>
      </c>
      <c r="F38" s="309"/>
      <c r="G38" s="309">
        <f>IFERROR(VLOOKUP(B38,W28_PG_2_of_4!A$8:I$62,9,FALSE),0)</f>
        <v>8258.0569087290169</v>
      </c>
      <c r="H38" s="309">
        <f t="shared" si="1"/>
        <v>223.10074985067877</v>
      </c>
      <c r="I38" s="309">
        <f t="shared" si="2"/>
        <v>-251.84527040793182</v>
      </c>
      <c r="J38" s="292">
        <f t="shared" si="3"/>
        <v>-249.3268177038525</v>
      </c>
    </row>
    <row r="39" spans="1:10">
      <c r="A39" s="248">
        <f t="shared" si="4"/>
        <v>31</v>
      </c>
      <c r="B39" s="248" t="s">
        <v>768</v>
      </c>
      <c r="C39" s="309">
        <f>W28_PG_2_of_4!B52</f>
        <v>264130.86072106194</v>
      </c>
      <c r="D39" s="309">
        <f>W28_PG_2_of_4!E52</f>
        <v>249389.45729641386</v>
      </c>
      <c r="E39" s="309">
        <f t="shared" si="0"/>
        <v>-14741.403424648073</v>
      </c>
      <c r="F39" s="309"/>
      <c r="G39" s="309">
        <f>IFERROR(VLOOKUP(B39,W28_PG_2_of_4!A$8:I$62,9,FALSE),0)</f>
        <v>256314.07192124968</v>
      </c>
      <c r="H39" s="309">
        <f t="shared" si="1"/>
        <v>6924.6146248358127</v>
      </c>
      <c r="I39" s="309">
        <f t="shared" si="2"/>
        <v>-7816.7887998122605</v>
      </c>
      <c r="J39" s="292">
        <f t="shared" si="3"/>
        <v>-7738.6209118141378</v>
      </c>
    </row>
    <row r="40" spans="1:10">
      <c r="A40" s="248">
        <f t="shared" si="4"/>
        <v>32</v>
      </c>
      <c r="B40" s="248" t="s">
        <v>769</v>
      </c>
      <c r="C40" s="309">
        <f>W28_PG_2_of_4!B53</f>
        <v>1087569.8336911816</v>
      </c>
      <c r="D40" s="309">
        <f>W28_PG_2_of_4!E53</f>
        <v>1026871.4903504911</v>
      </c>
      <c r="E40" s="309">
        <f t="shared" si="0"/>
        <v>-60698.343340690481</v>
      </c>
      <c r="F40" s="309"/>
      <c r="G40" s="309">
        <f>IFERROR(VLOOKUP(B40,W28_PG_2_of_4!A$8:I$62,9,FALSE),0)</f>
        <v>1055383.8798355705</v>
      </c>
      <c r="H40" s="309">
        <f t="shared" si="1"/>
        <v>28512.389485079329</v>
      </c>
      <c r="I40" s="309">
        <f t="shared" si="2"/>
        <v>-32185.953855611151</v>
      </c>
      <c r="J40" s="292">
        <f t="shared" si="3"/>
        <v>-31864.094317055038</v>
      </c>
    </row>
    <row r="41" spans="1:10">
      <c r="A41" s="248">
        <f t="shared" si="4"/>
        <v>33</v>
      </c>
      <c r="B41" s="248" t="s">
        <v>770</v>
      </c>
      <c r="C41" s="309">
        <f>W28_PG_2_of_4!B54</f>
        <v>3690.8138520208313</v>
      </c>
      <c r="D41" s="309">
        <f>W28_PG_2_of_4!E54</f>
        <v>3484.825896621041</v>
      </c>
      <c r="E41" s="309">
        <f t="shared" si="0"/>
        <v>-205.98795539979028</v>
      </c>
      <c r="F41" s="309"/>
      <c r="G41" s="309">
        <f>IFERROR(VLOOKUP(B41,W28_PG_2_of_4!A$8:I$62,9,FALSE),0)</f>
        <v>3581.5865080372132</v>
      </c>
      <c r="H41" s="309">
        <f t="shared" si="1"/>
        <v>96.760611416172196</v>
      </c>
      <c r="I41" s="309">
        <f t="shared" si="2"/>
        <v>-109.22734398361808</v>
      </c>
      <c r="J41" s="292">
        <f t="shared" si="3"/>
        <v>-108.13507054378191</v>
      </c>
    </row>
    <row r="42" spans="1:10">
      <c r="A42" s="248">
        <f t="shared" si="4"/>
        <v>34</v>
      </c>
      <c r="B42" s="248" t="s">
        <v>771</v>
      </c>
      <c r="C42" s="309">
        <f>W28_PG_2_of_4!B55</f>
        <v>175385.31121571167</v>
      </c>
      <c r="D42" s="309">
        <f>W28_PG_2_of_4!E55</f>
        <v>165596.88429607722</v>
      </c>
      <c r="E42" s="309">
        <f t="shared" si="0"/>
        <v>-9788.426919634454</v>
      </c>
      <c r="F42" s="309"/>
      <c r="G42" s="309">
        <f>IFERROR(VLOOKUP(B42,W28_PG_2_of_4!A$8:I$62,9,FALSE),0)</f>
        <v>170194.8918432084</v>
      </c>
      <c r="H42" s="309">
        <f t="shared" si="1"/>
        <v>4598.0075471311866</v>
      </c>
      <c r="I42" s="309">
        <f t="shared" si="2"/>
        <v>-5190.4193725032674</v>
      </c>
      <c r="J42" s="292">
        <f t="shared" si="3"/>
        <v>-5138.5151787782343</v>
      </c>
    </row>
    <row r="43" spans="1:10">
      <c r="A43" s="248">
        <f t="shared" si="4"/>
        <v>35</v>
      </c>
      <c r="B43" s="248" t="s">
        <v>772</v>
      </c>
      <c r="C43" s="309">
        <f>W28_PG_2_of_4!B56</f>
        <v>906.23073629891496</v>
      </c>
      <c r="D43" s="309">
        <f>W28_PG_2_of_4!E56</f>
        <v>855.65310654702387</v>
      </c>
      <c r="E43" s="309">
        <f t="shared" si="0"/>
        <v>-50.577629751891095</v>
      </c>
      <c r="F43" s="309"/>
      <c r="G43" s="309">
        <f>IFERROR(VLOOKUP(B43,W28_PG_2_of_4!A$8:I$62,9,FALSE),0)</f>
        <v>879.41140042044708</v>
      </c>
      <c r="H43" s="309">
        <f t="shared" si="1"/>
        <v>23.758293873423213</v>
      </c>
      <c r="I43" s="309">
        <f t="shared" si="2"/>
        <v>-26.819335878467882</v>
      </c>
      <c r="J43" s="292">
        <f t="shared" si="3"/>
        <v>-26.551142519683204</v>
      </c>
    </row>
    <row r="44" spans="1:10">
      <c r="A44" s="248">
        <f t="shared" si="4"/>
        <v>36</v>
      </c>
      <c r="B44" s="248" t="s">
        <v>773</v>
      </c>
      <c r="C44" s="309">
        <f>W28_PG_2_of_4!B57</f>
        <v>1734101.7932707618</v>
      </c>
      <c r="D44" s="309">
        <f>W28_PG_2_of_4!E57</f>
        <v>1637319.86463045</v>
      </c>
      <c r="E44" s="309">
        <f t="shared" si="0"/>
        <v>-96781.928640311817</v>
      </c>
      <c r="F44" s="309"/>
      <c r="G44" s="309">
        <f>IFERROR(VLOOKUP(B44,W28_PG_2_of_4!A$8:I$62,9,FALSE),0)</f>
        <v>1682782.1275627541</v>
      </c>
      <c r="H44" s="309">
        <f t="shared" si="1"/>
        <v>45462.26293230406</v>
      </c>
      <c r="I44" s="309">
        <f t="shared" si="2"/>
        <v>-51319.665708007757</v>
      </c>
      <c r="J44" s="292">
        <f t="shared" si="3"/>
        <v>-50806.469050927677</v>
      </c>
    </row>
    <row r="45" spans="1:10">
      <c r="A45" s="248">
        <f t="shared" si="4"/>
        <v>37</v>
      </c>
      <c r="B45" s="248" t="s">
        <v>774</v>
      </c>
      <c r="C45" s="309">
        <f>W28_PG_2_of_4!B58</f>
        <v>-485166</v>
      </c>
      <c r="D45" s="309">
        <f>W28_PG_2_of_4!E58</f>
        <v>-458088.40780044341</v>
      </c>
      <c r="E45" s="309">
        <f t="shared" si="0"/>
        <v>27077.592199556588</v>
      </c>
      <c r="F45" s="309"/>
      <c r="G45" s="309">
        <f>IFERROR(VLOOKUP(B45,W28_PG_2_of_4!A$8:I$62,9,FALSE),0)</f>
        <v>-470807.81351434445</v>
      </c>
      <c r="H45" s="309">
        <f t="shared" si="1"/>
        <v>-12719.40571390104</v>
      </c>
      <c r="I45" s="309">
        <f t="shared" si="2"/>
        <v>14358.186485655548</v>
      </c>
      <c r="J45" s="292">
        <f t="shared" si="3"/>
        <v>14214.604620798991</v>
      </c>
    </row>
    <row r="46" spans="1:10">
      <c r="A46" s="248">
        <f t="shared" si="4"/>
        <v>38</v>
      </c>
      <c r="B46" s="248" t="s">
        <v>775</v>
      </c>
      <c r="C46" s="309">
        <f>W28_PG_2_of_4!B59</f>
        <v>10630.39384910465</v>
      </c>
      <c r="D46" s="309">
        <f>W28_PG_2_of_4!E59</f>
        <v>10037.101100711872</v>
      </c>
      <c r="E46" s="309">
        <f t="shared" si="0"/>
        <v>-593.29274839277787</v>
      </c>
      <c r="F46" s="309"/>
      <c r="G46" s="309">
        <f>IFERROR(VLOOKUP(B46,W28_PG_2_of_4!A$8:I$62,9,FALSE),0)</f>
        <v>10315.793944532998</v>
      </c>
      <c r="H46" s="309">
        <f t="shared" si="1"/>
        <v>278.69284382112528</v>
      </c>
      <c r="I46" s="309">
        <f t="shared" si="2"/>
        <v>-314.59990457165259</v>
      </c>
      <c r="J46" s="292">
        <f t="shared" si="3"/>
        <v>-311.45390552593608</v>
      </c>
    </row>
    <row r="47" spans="1:10">
      <c r="A47" s="248">
        <f t="shared" si="4"/>
        <v>39</v>
      </c>
      <c r="B47" s="248" t="s">
        <v>776</v>
      </c>
      <c r="C47" s="309">
        <f>W28_PG_2_of_4!B60</f>
        <v>29782.410168032344</v>
      </c>
      <c r="D47" s="309">
        <f>W28_PG_2_of_4!E60</f>
        <v>28120.224530024097</v>
      </c>
      <c r="E47" s="309">
        <f t="shared" si="0"/>
        <v>-1662.1856380082463</v>
      </c>
      <c r="F47" s="309"/>
      <c r="G47" s="309">
        <f>IFERROR(VLOOKUP(B47,W28_PG_2_of_4!A$8:I$62,9,FALSE),0)</f>
        <v>28901.018233756458</v>
      </c>
      <c r="H47" s="309">
        <f t="shared" si="1"/>
        <v>780.79370373236088</v>
      </c>
      <c r="I47" s="309">
        <f t="shared" si="2"/>
        <v>-881.39193427588543</v>
      </c>
      <c r="J47" s="292">
        <f t="shared" si="3"/>
        <v>-872.57801493312661</v>
      </c>
    </row>
    <row r="48" spans="1:10">
      <c r="A48" s="248">
        <f t="shared" si="4"/>
        <v>40</v>
      </c>
      <c r="B48" s="248" t="s">
        <v>777</v>
      </c>
      <c r="C48" s="309">
        <f>W28_PG_2_of_4!B61</f>
        <v>6926.6959223125232</v>
      </c>
      <c r="D48" s="309">
        <f>W28_PG_2_of_4!E61</f>
        <v>6540.11020221938</v>
      </c>
      <c r="E48" s="309">
        <f t="shared" si="0"/>
        <v>-386.58572009314321</v>
      </c>
      <c r="F48" s="309"/>
      <c r="G48" s="309">
        <f>IFERROR(VLOOKUP(B48,W28_PG_2_of_4!A$8:I$62,9,FALSE),0)</f>
        <v>6721.7046579164344</v>
      </c>
      <c r="H48" s="309">
        <f t="shared" si="1"/>
        <v>181.5944556970544</v>
      </c>
      <c r="I48" s="309">
        <f t="shared" si="2"/>
        <v>-204.99126439608881</v>
      </c>
      <c r="J48" s="292">
        <f t="shared" si="3"/>
        <v>-202.94135175212793</v>
      </c>
    </row>
    <row r="49" spans="1:12">
      <c r="A49" s="248">
        <f t="shared" si="4"/>
        <v>41</v>
      </c>
      <c r="B49" s="248" t="s">
        <v>778</v>
      </c>
      <c r="C49" s="309">
        <f>W28_PG_2_of_4!B62</f>
        <v>630634.16016887419</v>
      </c>
      <c r="D49" s="309">
        <f>W28_PG_2_of_4!E62</f>
        <v>595437.84670881589</v>
      </c>
      <c r="E49" s="309">
        <f t="shared" si="0"/>
        <v>-35196.3134600583</v>
      </c>
      <c r="F49" s="309"/>
      <c r="G49" s="309">
        <f>IFERROR(VLOOKUP(B49,W28_PG_2_of_4!A$8:I$62,9,FALSE),0)</f>
        <v>611970.93381762644</v>
      </c>
      <c r="H49" s="309">
        <f t="shared" si="1"/>
        <v>16533.087108810549</v>
      </c>
      <c r="I49" s="309">
        <f t="shared" si="2"/>
        <v>-18663.226351247751</v>
      </c>
      <c r="J49" s="292">
        <f t="shared" si="3"/>
        <v>-18476.594087735273</v>
      </c>
    </row>
    <row r="50" spans="1:12">
      <c r="A50" s="248">
        <f t="shared" si="4"/>
        <v>42</v>
      </c>
      <c r="B50" s="294" t="s">
        <v>277</v>
      </c>
      <c r="C50" s="318">
        <f>SUM(C9:C49)</f>
        <v>20033808.221396167</v>
      </c>
      <c r="D50" s="318">
        <f>SUM(D9:D49)</f>
        <v>18915701.657409634</v>
      </c>
      <c r="E50" s="318">
        <f>SUM(E9:E49)</f>
        <v>-1118106.5639865331</v>
      </c>
      <c r="F50" s="318"/>
      <c r="G50" s="318">
        <f>SUM(G9:G49)</f>
        <v>19440920.107924353</v>
      </c>
      <c r="H50" s="318">
        <f>SUM(H9:H49)</f>
        <v>525218.4505147204</v>
      </c>
      <c r="I50" s="318">
        <f>SUM(I9:I49)</f>
        <v>-592888.11347181222</v>
      </c>
      <c r="J50" s="319">
        <f>SUM(J9:J49)</f>
        <v>-586959.23233709403</v>
      </c>
      <c r="K50" s="294"/>
      <c r="L50" s="294"/>
    </row>
    <row r="51" spans="1:12">
      <c r="J51" s="283"/>
    </row>
    <row r="52" spans="1:12">
      <c r="A52" s="248">
        <f>A50+1</f>
        <v>43</v>
      </c>
      <c r="B52" s="320" t="s">
        <v>840</v>
      </c>
    </row>
    <row r="53" spans="1:12">
      <c r="A53" s="248">
        <f>A52+1</f>
        <v>44</v>
      </c>
      <c r="B53" s="248" t="s">
        <v>841</v>
      </c>
    </row>
  </sheetData>
  <mergeCells count="8">
    <mergeCell ref="H6:H7"/>
    <mergeCell ref="I6:I7"/>
    <mergeCell ref="A6:A7"/>
    <mergeCell ref="B6:B7"/>
    <mergeCell ref="C6:C7"/>
    <mergeCell ref="D6:D7"/>
    <mergeCell ref="E6:E7"/>
    <mergeCell ref="G6:G7"/>
  </mergeCells>
  <pageMargins left="0.7" right="0.7" top="0.75" bottom="0.75" header="0.3" footer="0.3"/>
  <pageSetup scale="70" orientation="portrait" horizontalDpi="200" verticalDpi="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workbookViewId="0">
      <selection sqref="A1:A3"/>
    </sheetView>
  </sheetViews>
  <sheetFormatPr defaultColWidth="9.109375" defaultRowHeight="12.75" customHeight="1"/>
  <cols>
    <col min="1" max="1" width="12.6640625" style="248" bestFit="1" customWidth="1"/>
    <col min="2" max="2" width="16" style="248" bestFit="1" customWidth="1"/>
    <col min="3" max="3" width="16.88671875" style="248" customWidth="1"/>
    <col min="4" max="4" width="19.109375" style="248" customWidth="1"/>
    <col min="5" max="5" width="16" style="248" bestFit="1" customWidth="1"/>
    <col min="6" max="6" width="15.6640625" style="248" bestFit="1" customWidth="1"/>
    <col min="7" max="7" width="18.44140625" style="248" customWidth="1"/>
    <col min="8" max="8" width="18" style="248" customWidth="1"/>
    <col min="9" max="9" width="17.109375" style="248" customWidth="1"/>
    <col min="10" max="10" width="13.109375" style="248" bestFit="1" customWidth="1"/>
    <col min="11" max="11" width="15.6640625" style="248" bestFit="1" customWidth="1"/>
    <col min="12" max="16384" width="9.109375" style="248"/>
  </cols>
  <sheetData>
    <row r="1" spans="1:11" ht="12.75" customHeight="1">
      <c r="A1" s="230" t="s">
        <v>0</v>
      </c>
    </row>
    <row r="2" spans="1:11" ht="12.75" customHeight="1">
      <c r="A2" s="282" t="s">
        <v>963</v>
      </c>
    </row>
    <row r="3" spans="1:11" ht="12.75" customHeight="1">
      <c r="A3" s="230" t="s">
        <v>107</v>
      </c>
    </row>
    <row r="4" spans="1:11" ht="12.75" customHeight="1">
      <c r="A4" s="248" t="s">
        <v>842</v>
      </c>
    </row>
    <row r="6" spans="1:11" ht="66">
      <c r="A6" s="249" t="s">
        <v>134</v>
      </c>
      <c r="B6" s="249" t="s">
        <v>834</v>
      </c>
      <c r="C6" s="321" t="s">
        <v>843</v>
      </c>
      <c r="D6" s="322" t="s">
        <v>844</v>
      </c>
      <c r="E6" s="322" t="s">
        <v>845</v>
      </c>
      <c r="F6" s="323" t="s">
        <v>846</v>
      </c>
      <c r="G6" s="321" t="s">
        <v>847</v>
      </c>
      <c r="H6" s="322" t="s">
        <v>848</v>
      </c>
      <c r="I6" s="322" t="s">
        <v>849</v>
      </c>
      <c r="J6" s="323" t="s">
        <v>850</v>
      </c>
      <c r="K6" s="249" t="s">
        <v>851</v>
      </c>
    </row>
    <row r="7" spans="1:11" ht="12.75" customHeight="1">
      <c r="A7" s="324"/>
      <c r="B7" s="325" t="s">
        <v>791</v>
      </c>
      <c r="C7" s="326" t="s">
        <v>792</v>
      </c>
      <c r="D7" s="327" t="s">
        <v>793</v>
      </c>
      <c r="E7" s="327" t="s">
        <v>794</v>
      </c>
      <c r="F7" s="328" t="s">
        <v>795</v>
      </c>
      <c r="G7" s="326" t="s">
        <v>796</v>
      </c>
      <c r="H7" s="327" t="s">
        <v>797</v>
      </c>
      <c r="I7" s="327" t="s">
        <v>798</v>
      </c>
      <c r="J7" s="328" t="s">
        <v>799</v>
      </c>
      <c r="K7" s="306"/>
    </row>
    <row r="8" spans="1:11" ht="12.75" customHeight="1">
      <c r="A8" s="329" t="s">
        <v>809</v>
      </c>
      <c r="B8" s="330">
        <f>W28_PG_3_of_4!B11</f>
        <v>10093401.645348087</v>
      </c>
      <c r="C8" s="331">
        <f>W28_PG_4_of_4!$C$23*(B8/B$63)</f>
        <v>12052296.740606153</v>
      </c>
      <c r="D8" s="253">
        <f>(W28_PG_4_of_4!$C$36*0.5)*(B8/B$63)</f>
        <v>2522217.7799867354</v>
      </c>
      <c r="E8" s="332">
        <f>C8-D8</f>
        <v>9530078.960619418</v>
      </c>
      <c r="F8" s="333">
        <f>E8-B8</f>
        <v>-563322.684728669</v>
      </c>
      <c r="G8" s="331">
        <f>W28_PG_4_of_4!$G$23*(B8/B$63)</f>
        <v>12384656.416126357</v>
      </c>
      <c r="H8" s="253">
        <f>(W28_PG_4_of_4!$G$36*0.5)*(B8/B$63)</f>
        <v>2589962.7245477652</v>
      </c>
      <c r="I8" s="332">
        <f>G8-H8</f>
        <v>9794693.6915785931</v>
      </c>
      <c r="J8" s="333">
        <f>I8-E8</f>
        <v>264614.73095917515</v>
      </c>
      <c r="K8" s="334">
        <f>I8-B8</f>
        <v>-298707.95376949385</v>
      </c>
    </row>
    <row r="9" spans="1:11" ht="12.75" customHeight="1">
      <c r="A9" s="329" t="s">
        <v>810</v>
      </c>
      <c r="B9" s="330">
        <f>W28_PG_3_of_4!B12</f>
        <v>2162207.6711507551</v>
      </c>
      <c r="C9" s="331">
        <f>W28_PG_4_of_4!$C$23*(B9/B$63)</f>
        <v>2581842.0175059983</v>
      </c>
      <c r="D9" s="253">
        <f>(W28_PG_4_of_4!$C$36*0.5)*(B9/B$63)</f>
        <v>540309.28559289221</v>
      </c>
      <c r="E9" s="332">
        <f t="shared" ref="E9:E62" si="0">C9-D9</f>
        <v>2041532.7319131061</v>
      </c>
      <c r="F9" s="333">
        <f t="shared" ref="F9:F62" si="1">E9-B9</f>
        <v>-120674.93923764909</v>
      </c>
      <c r="G9" s="331">
        <f>W28_PG_4_of_4!$G$23*(B9/B$63)</f>
        <v>2653040.0798878879</v>
      </c>
      <c r="H9" s="253">
        <f>(W28_PG_4_of_4!$G$36*0.5)*(B9/B$63)</f>
        <v>554821.60205055051</v>
      </c>
      <c r="I9" s="332">
        <f t="shared" ref="I9:I62" si="2">G9-H9</f>
        <v>2098218.4778373372</v>
      </c>
      <c r="J9" s="333">
        <f t="shared" ref="J9:J62" si="3">I9-E9</f>
        <v>56685.745924231131</v>
      </c>
      <c r="K9" s="334">
        <f t="shared" ref="K9:K62" si="4">I9-B9</f>
        <v>-63989.193313417956</v>
      </c>
    </row>
    <row r="10" spans="1:11" ht="12.75" customHeight="1">
      <c r="A10" s="329" t="s">
        <v>811</v>
      </c>
      <c r="B10" s="330">
        <f>W28_PG_3_of_4!B13</f>
        <v>2586786.762785926</v>
      </c>
      <c r="C10" s="331">
        <f>W28_PG_4_of_4!$C$23*(B10/B$63)</f>
        <v>3088822.0607110085</v>
      </c>
      <c r="D10" s="253">
        <f>(W28_PG_4_of_4!$C$36*0.5)*(B10/B$63)</f>
        <v>646406.41434694314</v>
      </c>
      <c r="E10" s="332">
        <f t="shared" si="0"/>
        <v>2442415.6463640654</v>
      </c>
      <c r="F10" s="333">
        <f t="shared" si="1"/>
        <v>-144371.11642186064</v>
      </c>
      <c r="G10" s="331">
        <f>W28_PG_4_of_4!$G$23*(B10/B$63)</f>
        <v>3174000.8378297943</v>
      </c>
      <c r="H10" s="253">
        <f>(W28_PG_4_of_4!$G$36*0.5)*(B10/B$63)</f>
        <v>663768.42291388684</v>
      </c>
      <c r="I10" s="332">
        <f t="shared" si="2"/>
        <v>2510232.4149159072</v>
      </c>
      <c r="J10" s="333">
        <f t="shared" si="3"/>
        <v>67816.768551841844</v>
      </c>
      <c r="K10" s="334">
        <f t="shared" si="4"/>
        <v>-76554.347870018799</v>
      </c>
    </row>
    <row r="11" spans="1:11" ht="12.75" customHeight="1">
      <c r="A11" s="329" t="s">
        <v>812</v>
      </c>
      <c r="B11" s="330">
        <f>W28_PG_3_of_4!B14</f>
        <v>0</v>
      </c>
      <c r="C11" s="331">
        <f>W28_PG_4_of_4!$C$23*(B11/B$63)</f>
        <v>0</v>
      </c>
      <c r="D11" s="253">
        <f>(W28_PG_4_of_4!$C$36*0.5)*(B11/B$63)</f>
        <v>0</v>
      </c>
      <c r="E11" s="332">
        <f t="shared" si="0"/>
        <v>0</v>
      </c>
      <c r="F11" s="333">
        <f t="shared" si="1"/>
        <v>0</v>
      </c>
      <c r="G11" s="331">
        <f>W28_PG_4_of_4!$G$23*(B11/B$63)</f>
        <v>0</v>
      </c>
      <c r="H11" s="253">
        <f>(W28_PG_4_of_4!$G$36*0.5)*(B11/B$63)</f>
        <v>0</v>
      </c>
      <c r="I11" s="332">
        <f t="shared" si="2"/>
        <v>0</v>
      </c>
      <c r="J11" s="333">
        <f t="shared" si="3"/>
        <v>0</v>
      </c>
      <c r="K11" s="334">
        <f>I11-B11</f>
        <v>0</v>
      </c>
    </row>
    <row r="12" spans="1:11" ht="12.75" customHeight="1">
      <c r="A12" s="329" t="s">
        <v>813</v>
      </c>
      <c r="B12" s="330">
        <f>W28_PG_3_of_4!B15</f>
        <v>0</v>
      </c>
      <c r="C12" s="331">
        <f>W28_PG_4_of_4!$C$23*(B12/B$63)</f>
        <v>0</v>
      </c>
      <c r="D12" s="253">
        <f>(W28_PG_4_of_4!$C$36*0.5)*(B12/B$63)</f>
        <v>0</v>
      </c>
      <c r="E12" s="332">
        <f t="shared" si="0"/>
        <v>0</v>
      </c>
      <c r="F12" s="333">
        <f t="shared" si="1"/>
        <v>0</v>
      </c>
      <c r="G12" s="331">
        <f>W28_PG_4_of_4!$G$23*(B12/B$63)</f>
        <v>0</v>
      </c>
      <c r="H12" s="253">
        <f>(W28_PG_4_of_4!$G$36*0.5)*(B12/B$63)</f>
        <v>0</v>
      </c>
      <c r="I12" s="332">
        <f t="shared" si="2"/>
        <v>0</v>
      </c>
      <c r="J12" s="333">
        <f t="shared" si="3"/>
        <v>0</v>
      </c>
      <c r="K12" s="334">
        <f t="shared" si="4"/>
        <v>0</v>
      </c>
    </row>
    <row r="13" spans="1:11" ht="12.75" customHeight="1">
      <c r="A13" s="329" t="s">
        <v>814</v>
      </c>
      <c r="B13" s="330">
        <f>W28_PG_3_of_4!B16</f>
        <v>0</v>
      </c>
      <c r="C13" s="331">
        <f>W28_PG_4_of_4!$C$23*(B13/B$63)</f>
        <v>0</v>
      </c>
      <c r="D13" s="253">
        <f>(W28_PG_4_of_4!$C$36*0.5)*(B13/B$63)</f>
        <v>0</v>
      </c>
      <c r="E13" s="332">
        <f t="shared" si="0"/>
        <v>0</v>
      </c>
      <c r="F13" s="333">
        <f t="shared" si="1"/>
        <v>0</v>
      </c>
      <c r="G13" s="331">
        <f>W28_PG_4_of_4!$G$23*(B13/B$63)</f>
        <v>0</v>
      </c>
      <c r="H13" s="253">
        <f>(W28_PG_4_of_4!$G$36*0.5)*(B13/B$63)</f>
        <v>0</v>
      </c>
      <c r="I13" s="332">
        <f t="shared" si="2"/>
        <v>0</v>
      </c>
      <c r="J13" s="333">
        <f t="shared" si="3"/>
        <v>0</v>
      </c>
      <c r="K13" s="334">
        <f t="shared" si="4"/>
        <v>0</v>
      </c>
    </row>
    <row r="14" spans="1:11" ht="12.75" customHeight="1">
      <c r="A14" s="329" t="s">
        <v>815</v>
      </c>
      <c r="B14" s="330">
        <f>W28_PG_3_of_4!B17</f>
        <v>25309.130000000016</v>
      </c>
      <c r="C14" s="331">
        <f>W28_PG_4_of_4!$C$23*(B14/B$63)</f>
        <v>30221.044968240541</v>
      </c>
      <c r="D14" s="253">
        <f>(W28_PG_4_of_4!$C$36*0.5)*(B14/B$63)</f>
        <v>6324.4424352632868</v>
      </c>
      <c r="E14" s="332">
        <f t="shared" si="0"/>
        <v>23896.602532977253</v>
      </c>
      <c r="F14" s="333">
        <f t="shared" si="1"/>
        <v>-1412.5274670227627</v>
      </c>
      <c r="G14" s="331">
        <f>W28_PG_4_of_4!$G$23*(B14/B$63)</f>
        <v>31054.434397301407</v>
      </c>
      <c r="H14" s="253">
        <f>(W28_PG_4_of_4!$G$36*0.5)*(B14/B$63)</f>
        <v>6494.3123828768466</v>
      </c>
      <c r="I14" s="332">
        <f t="shared" si="2"/>
        <v>24560.12201442456</v>
      </c>
      <c r="J14" s="333">
        <f t="shared" si="3"/>
        <v>663.51948144730704</v>
      </c>
      <c r="K14" s="334">
        <f t="shared" si="4"/>
        <v>-749.00798557545568</v>
      </c>
    </row>
    <row r="15" spans="1:11" ht="12.75" customHeight="1">
      <c r="A15" s="329" t="s">
        <v>816</v>
      </c>
      <c r="B15" s="330">
        <f>W28_PG_3_of_4!B18</f>
        <v>261331.45999999993</v>
      </c>
      <c r="C15" s="331">
        <f>W28_PG_4_of_4!$C$23*(B15/B$63)</f>
        <v>312049.83356899064</v>
      </c>
      <c r="D15" s="253">
        <f>(W28_PG_4_of_4!$C$36*0.5)*(B15/B$63)</f>
        <v>65303.539682846036</v>
      </c>
      <c r="E15" s="332">
        <f t="shared" si="0"/>
        <v>246746.29388614459</v>
      </c>
      <c r="F15" s="333">
        <f t="shared" si="1"/>
        <v>-14585.166113855346</v>
      </c>
      <c r="G15" s="331">
        <f>W28_PG_4_of_4!$G$23*(B15/B$63)</f>
        <v>320655.06323295156</v>
      </c>
      <c r="H15" s="253">
        <f>(W28_PG_4_of_4!$G$36*0.5)*(B15/B$63)</f>
        <v>67057.545506830298</v>
      </c>
      <c r="I15" s="332">
        <f t="shared" si="2"/>
        <v>253597.51772612127</v>
      </c>
      <c r="J15" s="333">
        <f t="shared" si="3"/>
        <v>6851.2238399766793</v>
      </c>
      <c r="K15" s="334">
        <f t="shared" si="4"/>
        <v>-7733.942273878667</v>
      </c>
    </row>
    <row r="16" spans="1:11" ht="12.75" customHeight="1">
      <c r="A16" s="329" t="s">
        <v>817</v>
      </c>
      <c r="B16" s="330">
        <f>W28_PG_3_of_4!B19</f>
        <v>-344.65490302791852</v>
      </c>
      <c r="C16" s="331">
        <f>W28_PG_4_of_4!$C$23*(B16/B$63)</f>
        <v>-411.54442380798167</v>
      </c>
      <c r="D16" s="253">
        <f>(W28_PG_4_of_4!$C$36*0.5)*(B16/B$63)</f>
        <v>-86.12505029731642</v>
      </c>
      <c r="E16" s="332">
        <f t="shared" si="0"/>
        <v>-325.41937351066525</v>
      </c>
      <c r="F16" s="333">
        <f t="shared" si="1"/>
        <v>19.235529517253269</v>
      </c>
      <c r="G16" s="331">
        <f>W28_PG_4_of_4!$G$23*(B16/B$63)</f>
        <v>-422.89336203136054</v>
      </c>
      <c r="H16" s="253">
        <f>(W28_PG_4_of_4!$G$36*0.5)*(B16/B$63)</f>
        <v>-88.438306830516453</v>
      </c>
      <c r="I16" s="332">
        <f t="shared" si="2"/>
        <v>-334.45505520084407</v>
      </c>
      <c r="J16" s="333">
        <f t="shared" si="3"/>
        <v>-9.0356816901788193</v>
      </c>
      <c r="K16" s="334">
        <f t="shared" si="4"/>
        <v>10.19984782707445</v>
      </c>
    </row>
    <row r="17" spans="1:11" ht="12.75" customHeight="1">
      <c r="A17" s="329" t="s">
        <v>852</v>
      </c>
      <c r="B17" s="330">
        <f>W28_PG_3_of_4!B20</f>
        <v>0</v>
      </c>
      <c r="C17" s="331">
        <f>W28_PG_4_of_4!$C$23*(B17/B$63)</f>
        <v>0</v>
      </c>
      <c r="D17" s="253">
        <f>(W28_PG_4_of_4!$C$36*0.5)*(B17/B$63)</f>
        <v>0</v>
      </c>
      <c r="E17" s="332">
        <f t="shared" si="0"/>
        <v>0</v>
      </c>
      <c r="F17" s="333">
        <f t="shared" si="1"/>
        <v>0</v>
      </c>
      <c r="G17" s="331">
        <f>W28_PG_4_of_4!$G$23*(B17/B$63)</f>
        <v>0</v>
      </c>
      <c r="H17" s="253">
        <f>(W28_PG_4_of_4!$G$36*0.5)*(B17/B$63)</f>
        <v>0</v>
      </c>
      <c r="I17" s="332">
        <f t="shared" si="2"/>
        <v>0</v>
      </c>
      <c r="J17" s="333">
        <f t="shared" si="3"/>
        <v>0</v>
      </c>
      <c r="K17" s="334">
        <f t="shared" si="4"/>
        <v>0</v>
      </c>
    </row>
    <row r="18" spans="1:11" ht="12.75" customHeight="1">
      <c r="A18" s="329" t="s">
        <v>818</v>
      </c>
      <c r="B18" s="330">
        <f>W28_PG_3_of_4!B21</f>
        <v>2949.9080639061444</v>
      </c>
      <c r="C18" s="331">
        <f>W28_PG_4_of_4!$C$23*(B18/B$63)</f>
        <v>3522.4167820657185</v>
      </c>
      <c r="D18" s="253">
        <f>(W28_PG_4_of_4!$C$36*0.5)*(B18/B$63)</f>
        <v>737.14599195995186</v>
      </c>
      <c r="E18" s="332">
        <f t="shared" si="0"/>
        <v>2785.2707901057665</v>
      </c>
      <c r="F18" s="333">
        <f t="shared" si="1"/>
        <v>-164.6372738003779</v>
      </c>
      <c r="G18" s="331">
        <f>W28_PG_4_of_4!$G$23*(B18/B$63)</f>
        <v>3619.5525665498471</v>
      </c>
      <c r="H18" s="253">
        <f>(W28_PG_4_of_4!$G$36*0.5)*(B18/B$63)</f>
        <v>756.94519992484641</v>
      </c>
      <c r="I18" s="332">
        <f t="shared" si="2"/>
        <v>2862.6073666250009</v>
      </c>
      <c r="J18" s="333">
        <f t="shared" si="3"/>
        <v>77.336576519234313</v>
      </c>
      <c r="K18" s="334">
        <f t="shared" si="4"/>
        <v>-87.300697281143584</v>
      </c>
    </row>
    <row r="19" spans="1:11" ht="12.75" customHeight="1">
      <c r="A19" s="329" t="s">
        <v>819</v>
      </c>
      <c r="B19" s="330">
        <f>W28_PG_3_of_4!B22</f>
        <v>143.04985186605899</v>
      </c>
      <c r="C19" s="331">
        <f>W28_PG_4_of_4!$C$23*(B19/B$63)</f>
        <v>170.81250939658196</v>
      </c>
      <c r="D19" s="253">
        <f>(W28_PG_4_of_4!$C$36*0.5)*(B19/B$63)</f>
        <v>35.74641062335332</v>
      </c>
      <c r="E19" s="332">
        <f t="shared" si="0"/>
        <v>135.06609877322865</v>
      </c>
      <c r="F19" s="333">
        <f t="shared" si="1"/>
        <v>-7.9837530928303408</v>
      </c>
      <c r="G19" s="331">
        <f>W28_PG_4_of_4!$G$23*(B19/B$63)</f>
        <v>175.52291368048651</v>
      </c>
      <c r="H19" s="253">
        <f>(W28_PG_4_of_4!$G$36*0.5)*(B19/B$63)</f>
        <v>36.706533347548692</v>
      </c>
      <c r="I19" s="332">
        <f t="shared" si="2"/>
        <v>138.81638033293783</v>
      </c>
      <c r="J19" s="333">
        <f t="shared" si="3"/>
        <v>3.7502815597091796</v>
      </c>
      <c r="K19" s="334">
        <f t="shared" si="4"/>
        <v>-4.2334715331211612</v>
      </c>
    </row>
    <row r="20" spans="1:11" ht="12.75" customHeight="1">
      <c r="A20" s="329" t="s">
        <v>820</v>
      </c>
      <c r="B20" s="330">
        <f>W28_PG_3_of_4!B23</f>
        <v>6588.1063063619904</v>
      </c>
      <c r="C20" s="331">
        <f>W28_PG_4_of_4!$C$23*(B20/B$63)</f>
        <v>7866.7048981973967</v>
      </c>
      <c r="D20" s="253">
        <f>(W28_PG_4_of_4!$C$36*0.5)*(B20/B$63)</f>
        <v>1646.2872920555317</v>
      </c>
      <c r="E20" s="332">
        <f t="shared" si="0"/>
        <v>6220.4176061418648</v>
      </c>
      <c r="F20" s="333">
        <f t="shared" si="1"/>
        <v>-367.68870022012561</v>
      </c>
      <c r="G20" s="331">
        <f>W28_PG_4_of_4!$G$23*(B20/B$63)</f>
        <v>8083.6407688990494</v>
      </c>
      <c r="H20" s="253">
        <f>(W28_PG_4_of_4!$G$36*0.5)*(B20/B$63)</f>
        <v>1690.5053775106333</v>
      </c>
      <c r="I20" s="332">
        <f t="shared" si="2"/>
        <v>6393.1353913884159</v>
      </c>
      <c r="J20" s="333">
        <f t="shared" si="3"/>
        <v>172.7177852465511</v>
      </c>
      <c r="K20" s="334">
        <f t="shared" si="4"/>
        <v>-194.97091497357451</v>
      </c>
    </row>
    <row r="21" spans="1:11" ht="12.75" customHeight="1">
      <c r="A21" s="329" t="s">
        <v>853</v>
      </c>
      <c r="B21" s="330">
        <f>W28_PG_3_of_4!B24</f>
        <v>90.75</v>
      </c>
      <c r="C21" s="331">
        <f>W28_PG_4_of_4!$C$23*(B21/B$63)</f>
        <v>108.36246962530231</v>
      </c>
      <c r="D21" s="253">
        <f>(W28_PG_4_of_4!$C$36*0.5)*(B21/B$63)</f>
        <v>22.677316486190673</v>
      </c>
      <c r="E21" s="332">
        <f t="shared" si="0"/>
        <v>85.685153139111634</v>
      </c>
      <c r="F21" s="333">
        <f t="shared" si="1"/>
        <v>-5.0648468608883661</v>
      </c>
      <c r="G21" s="331">
        <f>W28_PG_4_of_4!$G$23*(B21/B$63)</f>
        <v>111.35072290335943</v>
      </c>
      <c r="H21" s="253">
        <f>(W28_PG_4_of_4!$G$36*0.5)*(B21/B$63)</f>
        <v>23.286412798309286</v>
      </c>
      <c r="I21" s="332">
        <f t="shared" si="2"/>
        <v>88.06431010505014</v>
      </c>
      <c r="J21" s="333">
        <f t="shared" si="3"/>
        <v>2.3791569659385061</v>
      </c>
      <c r="K21" s="334">
        <f t="shared" si="4"/>
        <v>-2.68568989494986</v>
      </c>
    </row>
    <row r="22" spans="1:11" ht="12.75" customHeight="1">
      <c r="A22" s="329" t="s">
        <v>731</v>
      </c>
      <c r="B22" s="330">
        <f>W28_PG_3_of_4!B25</f>
        <v>464730.87050935585</v>
      </c>
      <c r="C22" s="331">
        <f>W28_PG_4_of_4!$C$23*(B22/B$63)</f>
        <v>554924.3508485991</v>
      </c>
      <c r="D22" s="253">
        <f>(W28_PG_4_of_4!$C$36*0.5)*(B22/B$63)</f>
        <v>116130.56783959844</v>
      </c>
      <c r="E22" s="332">
        <f t="shared" si="0"/>
        <v>438793.78300900065</v>
      </c>
      <c r="F22" s="333">
        <f t="shared" si="1"/>
        <v>-25937.087500355206</v>
      </c>
      <c r="G22" s="331">
        <f>W28_PG_4_of_4!$G$23*(B22/B$63)</f>
        <v>570227.1998537113</v>
      </c>
      <c r="H22" s="253">
        <f>(W28_PG_4_of_4!$G$36*0.5)*(B22/B$63)</f>
        <v>119249.75086279315</v>
      </c>
      <c r="I22" s="332">
        <f t="shared" si="2"/>
        <v>450977.44899091811</v>
      </c>
      <c r="J22" s="333">
        <f t="shared" si="3"/>
        <v>12183.665981917467</v>
      </c>
      <c r="K22" s="334">
        <f t="shared" si="4"/>
        <v>-13753.421518437739</v>
      </c>
    </row>
    <row r="23" spans="1:11" ht="12.75" customHeight="1">
      <c r="A23" s="329" t="s">
        <v>732</v>
      </c>
      <c r="B23" s="330">
        <f>W28_PG_3_of_4!B26</f>
        <v>1707900.4652666578</v>
      </c>
      <c r="C23" s="331">
        <f>W28_PG_4_of_4!$C$23*(B23/B$63)</f>
        <v>2039364.3227603072</v>
      </c>
      <c r="D23" s="253">
        <f>(W28_PG_4_of_4!$C$36*0.5)*(B23/B$63)</f>
        <v>426783.46421778848</v>
      </c>
      <c r="E23" s="332">
        <f t="shared" si="0"/>
        <v>1612580.8585425187</v>
      </c>
      <c r="F23" s="333">
        <f t="shared" si="1"/>
        <v>-95319.60672413907</v>
      </c>
      <c r="G23" s="331">
        <f>W28_PG_4_of_4!$G$23*(B23/B$63)</f>
        <v>2095602.7708476724</v>
      </c>
      <c r="H23" s="253">
        <f>(W28_PG_4_of_4!$G$36*0.5)*(B23/B$63)</f>
        <v>438246.55925756344</v>
      </c>
      <c r="I23" s="332">
        <f t="shared" si="2"/>
        <v>1657356.2115901089</v>
      </c>
      <c r="J23" s="333">
        <f t="shared" si="3"/>
        <v>44775.353047590237</v>
      </c>
      <c r="K23" s="334">
        <f t="shared" si="4"/>
        <v>-50544.253676548833</v>
      </c>
    </row>
    <row r="24" spans="1:11" ht="12.75" customHeight="1">
      <c r="A24" s="329" t="s">
        <v>733</v>
      </c>
      <c r="B24" s="330">
        <f>W28_PG_3_of_4!B27</f>
        <v>680512.15392161941</v>
      </c>
      <c r="C24" s="331">
        <f>W28_PG_4_of_4!$C$23*(B24/B$63)</f>
        <v>812583.77530557069</v>
      </c>
      <c r="D24" s="253">
        <f>(W28_PG_4_of_4!$C$36*0.5)*(B24/B$63)</f>
        <v>170051.67478986079</v>
      </c>
      <c r="E24" s="332">
        <f t="shared" si="0"/>
        <v>642532.10051570996</v>
      </c>
      <c r="F24" s="333">
        <f t="shared" si="1"/>
        <v>-37980.05340590945</v>
      </c>
      <c r="G24" s="331">
        <f>W28_PG_4_of_4!$G$23*(B24/B$63)</f>
        <v>834991.95904897549</v>
      </c>
      <c r="H24" s="253">
        <f>(W28_PG_4_of_4!$G$36*0.5)*(B24/B$63)</f>
        <v>174619.13972986685</v>
      </c>
      <c r="I24" s="332">
        <f t="shared" si="2"/>
        <v>660372.81931910862</v>
      </c>
      <c r="J24" s="333">
        <f t="shared" si="3"/>
        <v>17840.71880339866</v>
      </c>
      <c r="K24" s="334">
        <f t="shared" si="4"/>
        <v>-20139.334602510789</v>
      </c>
    </row>
    <row r="25" spans="1:11" ht="12.75" customHeight="1">
      <c r="A25" s="329" t="s">
        <v>734</v>
      </c>
      <c r="B25" s="330">
        <f>W28_PG_3_of_4!B28</f>
        <v>112.775612519303</v>
      </c>
      <c r="C25" s="331">
        <f>W28_PG_4_of_4!$C$23*(B25/B$63)</f>
        <v>134.6627425465326</v>
      </c>
      <c r="D25" s="253">
        <f>(W28_PG_4_of_4!$C$36*0.5)*(B25/B$63)</f>
        <v>28.181248011286407</v>
      </c>
      <c r="E25" s="332">
        <f t="shared" si="0"/>
        <v>106.48149453524618</v>
      </c>
      <c r="F25" s="333">
        <f t="shared" si="1"/>
        <v>-6.2941179840568111</v>
      </c>
      <c r="G25" s="331">
        <f>W28_PG_4_of_4!$G$23*(B25/B$63)</f>
        <v>138.37626424125114</v>
      </c>
      <c r="H25" s="253">
        <f>(W28_PG_4_of_4!$G$36*0.5)*(B25/B$63)</f>
        <v>28.938175941671251</v>
      </c>
      <c r="I25" s="332">
        <f t="shared" si="2"/>
        <v>109.43808829957989</v>
      </c>
      <c r="J25" s="333">
        <f t="shared" si="3"/>
        <v>2.9565937643337037</v>
      </c>
      <c r="K25" s="334">
        <f t="shared" si="4"/>
        <v>-3.3375242197231074</v>
      </c>
    </row>
    <row r="26" spans="1:11" ht="12.75" customHeight="1">
      <c r="A26" s="329" t="s">
        <v>735</v>
      </c>
      <c r="B26" s="330">
        <f>W28_PG_3_of_4!B29</f>
        <v>2980656.0594587959</v>
      </c>
      <c r="C26" s="331">
        <f>W28_PG_4_of_4!$C$23*(B26/B$63)</f>
        <v>3559132.2502102153</v>
      </c>
      <c r="D26" s="253">
        <f>(W28_PG_4_of_4!$C$36*0.5)*(B26/B$63)</f>
        <v>744829.5404609266</v>
      </c>
      <c r="E26" s="332">
        <f t="shared" si="0"/>
        <v>2814302.7097492889</v>
      </c>
      <c r="F26" s="333">
        <f t="shared" si="1"/>
        <v>-166353.34970950708</v>
      </c>
      <c r="G26" s="331">
        <f>W28_PG_4_of_4!$G$23*(B26/B$63)</f>
        <v>3657280.5173224863</v>
      </c>
      <c r="H26" s="253">
        <f>(W28_PG_4_of_4!$G$36*0.5)*(B26/B$63)</f>
        <v>764835.12297894689</v>
      </c>
      <c r="I26" s="332">
        <f t="shared" si="2"/>
        <v>2892445.3943435391</v>
      </c>
      <c r="J26" s="333">
        <f t="shared" si="3"/>
        <v>78142.684594250284</v>
      </c>
      <c r="K26" s="334">
        <f t="shared" si="4"/>
        <v>-88210.665115256794</v>
      </c>
    </row>
    <row r="27" spans="1:11" ht="12.75" customHeight="1">
      <c r="A27" s="329" t="s">
        <v>736</v>
      </c>
      <c r="B27" s="330">
        <f>W28_PG_3_of_4!B30</f>
        <v>1580657.3685810226</v>
      </c>
      <c r="C27" s="331">
        <f>W28_PG_4_of_4!$C$23*(B27/B$63)</f>
        <v>1887426.2930123564</v>
      </c>
      <c r="D27" s="253">
        <f>(W28_PG_4_of_4!$C$36*0.5)*(B27/B$63)</f>
        <v>394986.96863406274</v>
      </c>
      <c r="E27" s="332">
        <f t="shared" si="0"/>
        <v>1492439.3243782937</v>
      </c>
      <c r="F27" s="333">
        <f t="shared" si="1"/>
        <v>-88218.044202728895</v>
      </c>
      <c r="G27" s="331">
        <f>W28_PG_4_of_4!$G$23*(B27/B$63)</f>
        <v>1939474.828143457</v>
      </c>
      <c r="H27" s="253">
        <f>(W28_PG_4_of_4!$G$36*0.5)*(B27/B$63)</f>
        <v>405596.03280955373</v>
      </c>
      <c r="I27" s="332">
        <f t="shared" si="2"/>
        <v>1533878.7953339033</v>
      </c>
      <c r="J27" s="333">
        <f t="shared" si="3"/>
        <v>41439.470955609577</v>
      </c>
      <c r="K27" s="334">
        <f t="shared" si="4"/>
        <v>-46778.573247119319</v>
      </c>
    </row>
    <row r="28" spans="1:11" ht="12.75" customHeight="1">
      <c r="A28" s="329" t="s">
        <v>737</v>
      </c>
      <c r="B28" s="330">
        <f>W28_PG_3_of_4!B31</f>
        <v>105227.86406707655</v>
      </c>
      <c r="C28" s="331">
        <f>W28_PG_4_of_4!$C$23*(B28/B$63)</f>
        <v>125650.15122538868</v>
      </c>
      <c r="D28" s="253">
        <f>(W28_PG_4_of_4!$C$36*0.5)*(B28/B$63)</f>
        <v>26295.157869035222</v>
      </c>
      <c r="E28" s="332">
        <f t="shared" si="0"/>
        <v>99354.993356353458</v>
      </c>
      <c r="F28" s="333">
        <f t="shared" si="1"/>
        <v>-5872.8707107230875</v>
      </c>
      <c r="G28" s="331">
        <f>W28_PG_4_of_4!$G$23*(B28/B$63)</f>
        <v>129115.13755862715</v>
      </c>
      <c r="H28" s="253">
        <f>(W28_PG_4_of_4!$G$36*0.5)*(B28/B$63)</f>
        <v>27001.426782923649</v>
      </c>
      <c r="I28" s="332">
        <f t="shared" si="2"/>
        <v>102113.7107757035</v>
      </c>
      <c r="J28" s="333">
        <f>I28-E28</f>
        <v>2758.7174193500396</v>
      </c>
      <c r="K28" s="334">
        <f t="shared" si="4"/>
        <v>-3114.153291373048</v>
      </c>
    </row>
    <row r="29" spans="1:11" ht="12.75" customHeight="1">
      <c r="A29" s="329" t="s">
        <v>739</v>
      </c>
      <c r="B29" s="330">
        <f>W28_PG_3_of_4!B32</f>
        <v>2157854.6120672189</v>
      </c>
      <c r="C29" s="331">
        <f>W28_PG_4_of_4!$C$23*(B29/B$63)</f>
        <v>2576644.1306441049</v>
      </c>
      <c r="D29" s="253">
        <f>(W28_PG_4_of_4!$C$36*0.5)*(B29/B$63)</f>
        <v>539221.50930065592</v>
      </c>
      <c r="E29" s="332">
        <f t="shared" si="0"/>
        <v>2037422.621343449</v>
      </c>
      <c r="F29" s="333">
        <f t="shared" si="1"/>
        <v>-120431.99072376988</v>
      </c>
      <c r="G29" s="331">
        <f>W28_PG_4_of_4!$G$23*(B29/B$63)</f>
        <v>2647698.8537083534</v>
      </c>
      <c r="H29" s="253">
        <f>(W28_PG_4_of_4!$G$36*0.5)*(B29/B$63)</f>
        <v>553704.60887419072</v>
      </c>
      <c r="I29" s="332">
        <f t="shared" si="2"/>
        <v>2093994.2448341628</v>
      </c>
      <c r="J29" s="333">
        <f t="shared" si="3"/>
        <v>56571.62349071377</v>
      </c>
      <c r="K29" s="334">
        <f t="shared" si="4"/>
        <v>-63860.367233056109</v>
      </c>
    </row>
    <row r="30" spans="1:11" ht="12.75" customHeight="1">
      <c r="A30" s="329" t="s">
        <v>741</v>
      </c>
      <c r="B30" s="330">
        <f>W28_PG_3_of_4!B33</f>
        <v>1070403.3845777409</v>
      </c>
      <c r="C30" s="331">
        <f>W28_PG_4_of_4!$C$23*(B30/B$63)</f>
        <v>1278143.848464201</v>
      </c>
      <c r="D30" s="253">
        <f>(W28_PG_4_of_4!$C$36*0.5)*(B30/B$63)</f>
        <v>267480.73079844739</v>
      </c>
      <c r="E30" s="332">
        <f t="shared" si="0"/>
        <v>1010663.1176657536</v>
      </c>
      <c r="F30" s="333">
        <f t="shared" si="1"/>
        <v>-59740.266911987332</v>
      </c>
      <c r="G30" s="331">
        <f>W28_PG_4_of_4!$G$23*(B30/B$63)</f>
        <v>1313390.5308091913</v>
      </c>
      <c r="H30" s="253">
        <f>(W28_PG_4_of_4!$G$36*0.5)*(B30/B$63)</f>
        <v>274665.06968578161</v>
      </c>
      <c r="I30" s="332">
        <f t="shared" si="2"/>
        <v>1038725.4611234097</v>
      </c>
      <c r="J30" s="333">
        <f t="shared" si="3"/>
        <v>28062.343457656098</v>
      </c>
      <c r="K30" s="334">
        <f t="shared" si="4"/>
        <v>-31677.923454331234</v>
      </c>
    </row>
    <row r="31" spans="1:11" ht="12.75" customHeight="1">
      <c r="A31" s="329" t="s">
        <v>743</v>
      </c>
      <c r="B31" s="330">
        <f>W28_PG_3_of_4!B34</f>
        <v>592890.66443861334</v>
      </c>
      <c r="C31" s="331">
        <f>W28_PG_4_of_4!$C$23*(B31/B$63)</f>
        <v>707956.98750803899</v>
      </c>
      <c r="D31" s="253">
        <f>(W28_PG_4_of_4!$C$36*0.5)*(B31/B$63)</f>
        <v>148156.13486702269</v>
      </c>
      <c r="E31" s="332">
        <f t="shared" si="0"/>
        <v>559800.85264101624</v>
      </c>
      <c r="F31" s="333">
        <f t="shared" si="1"/>
        <v>-33089.811797597096</v>
      </c>
      <c r="G31" s="331">
        <f>W28_PG_4_of_4!$G$23*(B31/B$63)</f>
        <v>727479.93485281197</v>
      </c>
      <c r="H31" s="253">
        <f>(W28_PG_4_of_4!$G$36*0.5)*(B31/B$63)</f>
        <v>152135.50144772916</v>
      </c>
      <c r="I31" s="332">
        <f t="shared" si="2"/>
        <v>575344.43340508279</v>
      </c>
      <c r="J31" s="333">
        <f t="shared" si="3"/>
        <v>15543.580764066544</v>
      </c>
      <c r="K31" s="334">
        <f t="shared" si="4"/>
        <v>-17546.231033530552</v>
      </c>
    </row>
    <row r="32" spans="1:11" ht="12.75" customHeight="1">
      <c r="A32" s="329" t="s">
        <v>747</v>
      </c>
      <c r="B32" s="330">
        <f>W28_PG_3_of_4!B35</f>
        <v>10446.532187707728</v>
      </c>
      <c r="C32" s="331">
        <f>W28_PG_4_of_4!$C$23*(B32/B$63)</f>
        <v>12473.961728707674</v>
      </c>
      <c r="D32" s="253">
        <f>(W28_PG_4_of_4!$C$36*0.5)*(B32/B$63)</f>
        <v>2610.4607890228758</v>
      </c>
      <c r="E32" s="332">
        <f t="shared" si="0"/>
        <v>9863.5009396847981</v>
      </c>
      <c r="F32" s="333">
        <f t="shared" si="1"/>
        <v>-583.0312480229295</v>
      </c>
      <c r="G32" s="331">
        <f>W28_PG_4_of_4!$G$23*(B32/B$63)</f>
        <v>12817.949431784775</v>
      </c>
      <c r="H32" s="253">
        <f>(W28_PG_4_of_4!$G$36*0.5)*(B32/B$63)</f>
        <v>2680.5758769563322</v>
      </c>
      <c r="I32" s="332">
        <f t="shared" si="2"/>
        <v>10137.373554828442</v>
      </c>
      <c r="J32" s="333">
        <f t="shared" si="3"/>
        <v>273.872615143644</v>
      </c>
      <c r="K32" s="334">
        <f t="shared" si="4"/>
        <v>-309.15863287928551</v>
      </c>
    </row>
    <row r="33" spans="1:11" ht="12.75" customHeight="1">
      <c r="A33" s="329" t="s">
        <v>748</v>
      </c>
      <c r="B33" s="330">
        <f>W28_PG_3_of_4!B36</f>
        <v>167.81495617047099</v>
      </c>
      <c r="C33" s="331">
        <f>W28_PG_4_of_4!$C$23*(B33/B$63)</f>
        <v>200.38394590296534</v>
      </c>
      <c r="D33" s="253">
        <f>(W28_PG_4_of_4!$C$36*0.5)*(B33/B$63)</f>
        <v>41.934907682578377</v>
      </c>
      <c r="E33" s="332">
        <f t="shared" si="0"/>
        <v>158.44903822038697</v>
      </c>
      <c r="F33" s="333">
        <f t="shared" si="1"/>
        <v>-9.3659179500840253</v>
      </c>
      <c r="G33" s="331">
        <f>W28_PG_4_of_4!$G$23*(B33/B$63)</f>
        <v>205.90982571435291</v>
      </c>
      <c r="H33" s="253">
        <f>(W28_PG_4_of_4!$G$36*0.5)*(B33/B$63)</f>
        <v>43.061248959953367</v>
      </c>
      <c r="I33" s="332">
        <f t="shared" si="2"/>
        <v>162.84857675439955</v>
      </c>
      <c r="J33" s="333">
        <f t="shared" si="3"/>
        <v>4.3995385340125779</v>
      </c>
      <c r="K33" s="334">
        <f t="shared" si="4"/>
        <v>-4.9663794160714474</v>
      </c>
    </row>
    <row r="34" spans="1:11" ht="12.75" customHeight="1">
      <c r="A34" s="329" t="s">
        <v>749</v>
      </c>
      <c r="B34" s="330">
        <f>W28_PG_3_of_4!B37</f>
        <v>581.44128395060704</v>
      </c>
      <c r="C34" s="331">
        <f>W28_PG_4_of_4!$C$23*(B34/B$63)</f>
        <v>694.28554788974589</v>
      </c>
      <c r="D34" s="253">
        <f>(W28_PG_4_of_4!$C$36*0.5)*(B34/B$63)</f>
        <v>145.29507453757549</v>
      </c>
      <c r="E34" s="332">
        <f t="shared" si="0"/>
        <v>548.9904733521704</v>
      </c>
      <c r="F34" s="333">
        <f t="shared" si="1"/>
        <v>-32.450810598436647</v>
      </c>
      <c r="G34" s="331">
        <f>W28_PG_4_of_4!$G$23*(B34/B$63)</f>
        <v>713.43148533066199</v>
      </c>
      <c r="H34" s="253">
        <f>(W28_PG_4_of_4!$G$36*0.5)*(B34/B$63)</f>
        <v>149.19759510801984</v>
      </c>
      <c r="I34" s="332">
        <f t="shared" si="2"/>
        <v>564.23389022264212</v>
      </c>
      <c r="J34" s="333">
        <f t="shared" si="3"/>
        <v>15.243416870471719</v>
      </c>
      <c r="K34" s="334">
        <f t="shared" si="4"/>
        <v>-17.207393727964927</v>
      </c>
    </row>
    <row r="35" spans="1:11" ht="12.75" customHeight="1">
      <c r="A35" s="329" t="s">
        <v>750</v>
      </c>
      <c r="B35" s="330">
        <f>W28_PG_3_of_4!B38</f>
        <v>27.9966478338442</v>
      </c>
      <c r="C35" s="331">
        <f>W28_PG_4_of_4!$C$23*(B35/B$63)</f>
        <v>33.43014766396945</v>
      </c>
      <c r="D35" s="253">
        <f>(W28_PG_4_of_4!$C$36*0.5)*(B35/B$63)</f>
        <v>6.9960203138348156</v>
      </c>
      <c r="E35" s="332">
        <f t="shared" si="0"/>
        <v>26.434127350134634</v>
      </c>
      <c r="F35" s="333">
        <f t="shared" si="1"/>
        <v>-1.5625204837095659</v>
      </c>
      <c r="G35" s="331">
        <f>W28_PG_4_of_4!$G$23*(B35/B$63)</f>
        <v>34.352032784234972</v>
      </c>
      <c r="H35" s="253">
        <f>(W28_PG_4_of_4!$G$36*0.5)*(B35/B$63)</f>
        <v>7.1839283573309913</v>
      </c>
      <c r="I35" s="332">
        <f t="shared" si="2"/>
        <v>27.16810442690398</v>
      </c>
      <c r="J35" s="333">
        <f t="shared" si="3"/>
        <v>0.73397707676934587</v>
      </c>
      <c r="K35" s="334">
        <f t="shared" si="4"/>
        <v>-0.82854340694022</v>
      </c>
    </row>
    <row r="36" spans="1:11" ht="12.75" customHeight="1">
      <c r="A36" s="329" t="s">
        <v>751</v>
      </c>
      <c r="B36" s="330">
        <f>W28_PG_3_of_4!B39</f>
        <v>3330.4923549073364</v>
      </c>
      <c r="C36" s="331">
        <f>W28_PG_4_of_4!$C$23*(B36/B$63)</f>
        <v>3976.8636545008026</v>
      </c>
      <c r="D36" s="253">
        <f>(W28_PG_4_of_4!$C$36*0.5)*(B36/B$63)</f>
        <v>832.24935743330195</v>
      </c>
      <c r="E36" s="332">
        <f t="shared" si="0"/>
        <v>3144.6142970675005</v>
      </c>
      <c r="F36" s="333">
        <f t="shared" si="1"/>
        <v>-185.87805783983595</v>
      </c>
      <c r="G36" s="331">
        <f>W28_PG_4_of_4!$G$23*(B36/B$63)</f>
        <v>4086.5314748544779</v>
      </c>
      <c r="H36" s="253">
        <f>(W28_PG_4_of_4!$G$36*0.5)*(B36/B$63)</f>
        <v>854.60297298055571</v>
      </c>
      <c r="I36" s="332">
        <f t="shared" si="2"/>
        <v>3231.928501873922</v>
      </c>
      <c r="J36" s="333">
        <f>I36-E36</f>
        <v>87.314204806421458</v>
      </c>
      <c r="K36" s="334">
        <f t="shared" si="4"/>
        <v>-98.563853033414489</v>
      </c>
    </row>
    <row r="37" spans="1:11" ht="12.75" customHeight="1">
      <c r="A37" s="329" t="s">
        <v>752</v>
      </c>
      <c r="B37" s="330">
        <f>W28_PG_3_of_4!B40</f>
        <v>247310.69327623845</v>
      </c>
      <c r="C37" s="331">
        <f>W28_PG_4_of_4!$C$23*(B37/B$63)</f>
        <v>295307.96130202588</v>
      </c>
      <c r="D37" s="253">
        <f>(W28_PG_4_of_4!$C$36*0.5)*(B37/B$63)</f>
        <v>61799.921342638983</v>
      </c>
      <c r="E37" s="332">
        <f t="shared" si="0"/>
        <v>233508.03995938689</v>
      </c>
      <c r="F37" s="333">
        <f t="shared" si="1"/>
        <v>-13802.65331685156</v>
      </c>
      <c r="G37" s="331">
        <f>W28_PG_4_of_4!$G$23*(B37/B$63)</f>
        <v>303451.50939989142</v>
      </c>
      <c r="H37" s="253">
        <f>(W28_PG_4_of_4!$G$36*0.5)*(B37/B$63)</f>
        <v>63459.822513129933</v>
      </c>
      <c r="I37" s="332">
        <f t="shared" si="2"/>
        <v>239991.68688676148</v>
      </c>
      <c r="J37" s="333">
        <f t="shared" si="3"/>
        <v>6483.6469273745897</v>
      </c>
      <c r="K37" s="334">
        <f t="shared" si="4"/>
        <v>-7319.0063894769701</v>
      </c>
    </row>
    <row r="38" spans="1:11" ht="12.75" customHeight="1">
      <c r="A38" s="329" t="s">
        <v>753</v>
      </c>
      <c r="B38" s="330">
        <f>W28_PG_3_of_4!B41</f>
        <v>-49669.965442201028</v>
      </c>
      <c r="C38" s="331">
        <f>W28_PG_4_of_4!$C$23*(B38/B$63)</f>
        <v>-59309.753405182637</v>
      </c>
      <c r="D38" s="253">
        <f>(W28_PG_4_of_4!$C$36*0.5)*(B38/B$63)</f>
        <v>-12411.917643977371</v>
      </c>
      <c r="E38" s="332">
        <f t="shared" si="0"/>
        <v>-46897.835761205264</v>
      </c>
      <c r="F38" s="333">
        <f t="shared" si="1"/>
        <v>2772.1296809957639</v>
      </c>
      <c r="G38" s="331">
        <f>W28_PG_4_of_4!$G$23*(B38/B$63)</f>
        <v>-60945.306430567107</v>
      </c>
      <c r="H38" s="253">
        <f>(W28_PG_4_of_4!$G$36*0.5)*(B38/B$63)</f>
        <v>-12745.292770962533</v>
      </c>
      <c r="I38" s="332">
        <f t="shared" si="2"/>
        <v>-48200.013659604578</v>
      </c>
      <c r="J38" s="333">
        <f t="shared" si="3"/>
        <v>-1302.1778983993136</v>
      </c>
      <c r="K38" s="334">
        <f t="shared" si="4"/>
        <v>1469.9517825964504</v>
      </c>
    </row>
    <row r="39" spans="1:11" ht="12.75" customHeight="1">
      <c r="A39" s="329" t="s">
        <v>754</v>
      </c>
      <c r="B39" s="330">
        <f>W28_PG_3_of_4!B42</f>
        <v>749.96583246656905</v>
      </c>
      <c r="C39" s="331">
        <f>W28_PG_4_of_4!$C$23*(B39/B$63)</f>
        <v>895.51680155011741</v>
      </c>
      <c r="D39" s="253">
        <f>(W28_PG_4_of_4!$C$36*0.5)*(B39/B$63)</f>
        <v>187.40730067960155</v>
      </c>
      <c r="E39" s="332">
        <f t="shared" si="0"/>
        <v>708.10950087051583</v>
      </c>
      <c r="F39" s="333">
        <f t="shared" si="1"/>
        <v>-41.856331596053224</v>
      </c>
      <c r="G39" s="331">
        <f>W28_PG_4_of_4!$G$23*(B39/B$63)</f>
        <v>920.21198455065803</v>
      </c>
      <c r="H39" s="253">
        <f>(W28_PG_4_of_4!$G$36*0.5)*(B39/B$63)</f>
        <v>192.44092517293876</v>
      </c>
      <c r="I39" s="332">
        <f t="shared" si="2"/>
        <v>727.77105937771921</v>
      </c>
      <c r="J39" s="333">
        <f>I39-E39</f>
        <v>19.661558507203381</v>
      </c>
      <c r="K39" s="334">
        <f>I39-B39</f>
        <v>-22.194773088849843</v>
      </c>
    </row>
    <row r="40" spans="1:11" ht="12.75" customHeight="1">
      <c r="A40" s="329" t="s">
        <v>755</v>
      </c>
      <c r="B40" s="330">
        <f>W28_PG_3_of_4!B43</f>
        <v>8944.2552226703301</v>
      </c>
      <c r="C40" s="331">
        <f>W28_PG_4_of_4!$C$23*(B40/B$63)</f>
        <v>10680.127657163253</v>
      </c>
      <c r="D40" s="253">
        <f>(W28_PG_4_of_4!$C$36*0.5)*(B40/B$63)</f>
        <v>2235.0601258155257</v>
      </c>
      <c r="E40" s="332">
        <f t="shared" si="0"/>
        <v>8445.0675313477277</v>
      </c>
      <c r="F40" s="333">
        <f t="shared" si="1"/>
        <v>-499.1876913226024</v>
      </c>
      <c r="G40" s="331">
        <f>W28_PG_4_of_4!$G$23*(B40/B$63)</f>
        <v>10974.647767234042</v>
      </c>
      <c r="H40" s="253">
        <f>(W28_PG_4_of_4!$G$36*0.5)*(B40/B$63)</f>
        <v>2295.0922235651246</v>
      </c>
      <c r="I40" s="332">
        <f t="shared" si="2"/>
        <v>8679.5555436689174</v>
      </c>
      <c r="J40" s="333">
        <f t="shared" si="3"/>
        <v>234.48801232118967</v>
      </c>
      <c r="K40" s="334">
        <f t="shared" si="4"/>
        <v>-264.69967900141273</v>
      </c>
    </row>
    <row r="41" spans="1:11" ht="12.75" customHeight="1">
      <c r="A41" s="329" t="s">
        <v>756</v>
      </c>
      <c r="B41" s="330">
        <f>W28_PG_3_of_4!B44</f>
        <v>694966.55121778965</v>
      </c>
      <c r="C41" s="331">
        <f>W28_PG_4_of_4!$C$23*(B41/B$63)</f>
        <v>829843.43577894033</v>
      </c>
      <c r="D41" s="253">
        <f>(W28_PG_4_of_4!$C$36*0.5)*(B41/B$63)</f>
        <v>173663.65211330311</v>
      </c>
      <c r="E41" s="332">
        <f t="shared" si="0"/>
        <v>656179.78366563725</v>
      </c>
      <c r="F41" s="333">
        <f t="shared" si="1"/>
        <v>-38786.767552152392</v>
      </c>
      <c r="G41" s="331">
        <f>W28_PG_4_of_4!$G$23*(B41/B$63)</f>
        <v>852727.57985405449</v>
      </c>
      <c r="H41" s="253">
        <f>(W28_PG_4_of_4!$G$36*0.5)*(B41/B$63)</f>
        <v>178328.13215068652</v>
      </c>
      <c r="I41" s="332">
        <f t="shared" si="2"/>
        <v>674399.44770336803</v>
      </c>
      <c r="J41" s="333">
        <f t="shared" si="3"/>
        <v>18219.664037730778</v>
      </c>
      <c r="K41" s="334">
        <f t="shared" si="4"/>
        <v>-20567.103514421615</v>
      </c>
    </row>
    <row r="42" spans="1:11" ht="12.75" customHeight="1">
      <c r="A42" s="329" t="s">
        <v>757</v>
      </c>
      <c r="B42" s="330">
        <f>W28_PG_3_of_4!B45</f>
        <v>110208.79234043208</v>
      </c>
      <c r="C42" s="331">
        <f>W28_PG_4_of_4!$C$23*(B42/B$63)</f>
        <v>131597.76212045533</v>
      </c>
      <c r="D42" s="253">
        <f>(W28_PG_4_of_4!$C$36*0.5)*(B42/B$63)</f>
        <v>27539.831002367438</v>
      </c>
      <c r="E42" s="332">
        <f t="shared" si="0"/>
        <v>104057.93111808789</v>
      </c>
      <c r="F42" s="333">
        <f t="shared" si="1"/>
        <v>-6150.8612223441887</v>
      </c>
      <c r="G42" s="331">
        <f>W28_PG_4_of_4!$G$23*(B42/B$63)</f>
        <v>135226.76250593207</v>
      </c>
      <c r="H42" s="253">
        <f>(W28_PG_4_of_4!$G$36*0.5)*(B42/B$63)</f>
        <v>28279.530936004936</v>
      </c>
      <c r="I42" s="332">
        <f t="shared" si="2"/>
        <v>106947.23156992713</v>
      </c>
      <c r="J42" s="333">
        <f t="shared" si="3"/>
        <v>2889.3004518392408</v>
      </c>
      <c r="K42" s="334">
        <f t="shared" si="4"/>
        <v>-3261.5607705049479</v>
      </c>
    </row>
    <row r="43" spans="1:11" ht="12.75" customHeight="1">
      <c r="A43" s="329" t="s">
        <v>758</v>
      </c>
      <c r="B43" s="330">
        <f>W28_PG_3_of_4!B46</f>
        <v>2442409.6236785697</v>
      </c>
      <c r="C43" s="331">
        <f>W28_PG_4_of_4!$C$23*(B43/B$63)</f>
        <v>2916424.6684122873</v>
      </c>
      <c r="D43" s="253">
        <f>(W28_PG_4_of_4!$C$36*0.5)*(B43/B$63)</f>
        <v>610328.33085484069</v>
      </c>
      <c r="E43" s="332">
        <f t="shared" si="0"/>
        <v>2306096.3375574467</v>
      </c>
      <c r="F43" s="333">
        <f t="shared" si="1"/>
        <v>-136313.286121123</v>
      </c>
      <c r="G43" s="331">
        <f>W28_PG_4_of_4!$G$23*(B43/B$63)</f>
        <v>2996849.3357876674</v>
      </c>
      <c r="H43" s="253">
        <f>(W28_PG_4_of_4!$G$36*0.5)*(B43/B$63)</f>
        <v>626721.3082043241</v>
      </c>
      <c r="I43" s="332">
        <f t="shared" si="2"/>
        <v>2370128.0275833434</v>
      </c>
      <c r="J43" s="333">
        <f>I43-E43</f>
        <v>64031.690025896765</v>
      </c>
      <c r="K43" s="334">
        <f t="shared" si="4"/>
        <v>-72281.596095226239</v>
      </c>
    </row>
    <row r="44" spans="1:11" ht="12.75" customHeight="1">
      <c r="A44" s="329" t="s">
        <v>759</v>
      </c>
      <c r="B44" s="330">
        <f>W28_PG_3_of_4!B47</f>
        <v>103.499092753851</v>
      </c>
      <c r="C44" s="331">
        <f>W28_PG_4_of_4!$C$23*(B44/B$63)</f>
        <v>123.58586550727853</v>
      </c>
      <c r="D44" s="253">
        <f>(W28_PG_4_of_4!$C$36*0.5)*(B44/B$63)</f>
        <v>25.863159034850504</v>
      </c>
      <c r="E44" s="332">
        <f t="shared" si="0"/>
        <v>97.72270647242803</v>
      </c>
      <c r="F44" s="333">
        <f t="shared" si="1"/>
        <v>-5.7763862814229725</v>
      </c>
      <c r="G44" s="331">
        <f>W28_PG_4_of_4!$G$23*(B44/B$63)</f>
        <v>126.99392614857476</v>
      </c>
      <c r="H44" s="253">
        <f>(W28_PG_4_of_4!$G$36*0.5)*(B44/B$63)</f>
        <v>26.557824772635549</v>
      </c>
      <c r="I44" s="332">
        <f t="shared" si="2"/>
        <v>100.43610137593922</v>
      </c>
      <c r="J44" s="333">
        <f t="shared" si="3"/>
        <v>2.7133949035111868</v>
      </c>
      <c r="K44" s="334">
        <f>I44-B44</f>
        <v>-3.0629913779117857</v>
      </c>
    </row>
    <row r="45" spans="1:11" ht="12.75" customHeight="1">
      <c r="A45" s="329" t="s">
        <v>761</v>
      </c>
      <c r="B45" s="330">
        <f>W28_PG_3_of_4!B48</f>
        <v>1664790.7864955238</v>
      </c>
      <c r="C45" s="331">
        <f>W28_PG_4_of_4!$C$23*(B45/B$63)</f>
        <v>1987888.0554722243</v>
      </c>
      <c r="D45" s="253">
        <f>(W28_PG_4_of_4!$C$36*0.5)*(B45/B$63)</f>
        <v>416010.88207882404</v>
      </c>
      <c r="E45" s="332">
        <f t="shared" si="0"/>
        <v>1571877.1733934002</v>
      </c>
      <c r="F45" s="333">
        <f t="shared" si="1"/>
        <v>-92913.613102123607</v>
      </c>
      <c r="G45" s="331">
        <f>W28_PG_4_of_4!$G$23*(B45/B$63)</f>
        <v>2042706.9703485277</v>
      </c>
      <c r="H45" s="253">
        <f>(W28_PG_4_of_4!$G$36*0.5)*(B45/B$63)</f>
        <v>427184.63335709914</v>
      </c>
      <c r="I45" s="332">
        <f t="shared" si="2"/>
        <v>1615522.3369914284</v>
      </c>
      <c r="J45" s="333">
        <f t="shared" si="3"/>
        <v>43645.163598028244</v>
      </c>
      <c r="K45" s="334">
        <f t="shared" si="4"/>
        <v>-49268.449504095362</v>
      </c>
    </row>
    <row r="46" spans="1:11" ht="12.75" customHeight="1">
      <c r="A46" s="329" t="s">
        <v>762</v>
      </c>
      <c r="B46" s="330">
        <f>W28_PG_3_of_4!B49</f>
        <v>14564.400427236786</v>
      </c>
      <c r="C46" s="331">
        <f>W28_PG_4_of_4!$C$23*(B46/B$63)</f>
        <v>17391.012660134285</v>
      </c>
      <c r="D46" s="253">
        <f>(W28_PG_4_of_4!$C$36*0.5)*(B46/B$63)</f>
        <v>3639.4657622045102</v>
      </c>
      <c r="E46" s="332">
        <f t="shared" si="0"/>
        <v>13751.546897929775</v>
      </c>
      <c r="F46" s="333">
        <f t="shared" si="1"/>
        <v>-812.85352930701083</v>
      </c>
      <c r="G46" s="331">
        <f>W28_PG_4_of_4!$G$23*(B46/B$63)</f>
        <v>17870.595220130173</v>
      </c>
      <c r="H46" s="253">
        <f>(W28_PG_4_of_4!$G$36*0.5)*(B46/B$63)</f>
        <v>3737.2191791571122</v>
      </c>
      <c r="I46" s="332">
        <f t="shared" si="2"/>
        <v>14133.37604097306</v>
      </c>
      <c r="J46" s="333">
        <f t="shared" si="3"/>
        <v>381.82914304328551</v>
      </c>
      <c r="K46" s="334">
        <f t="shared" si="4"/>
        <v>-431.02438626372532</v>
      </c>
    </row>
    <row r="47" spans="1:11" ht="12.75" customHeight="1">
      <c r="A47" s="329" t="s">
        <v>763</v>
      </c>
      <c r="B47" s="330">
        <f>W28_PG_3_of_4!B50</f>
        <v>16133.564434222828</v>
      </c>
      <c r="C47" s="331">
        <f>W28_PG_4_of_4!$C$23*(B47/B$63)</f>
        <v>19264.714996708859</v>
      </c>
      <c r="D47" s="253">
        <f>(W28_PG_4_of_4!$C$36*0.5)*(B47/B$63)</f>
        <v>4031.5806801677231</v>
      </c>
      <c r="E47" s="332">
        <f t="shared" si="0"/>
        <v>15233.134316541136</v>
      </c>
      <c r="F47" s="333">
        <f t="shared" si="1"/>
        <v>-900.43011768169163</v>
      </c>
      <c r="G47" s="331">
        <f>W28_PG_4_of_4!$G$23*(B47/B$63)</f>
        <v>19795.967633704033</v>
      </c>
      <c r="H47" s="253">
        <f>(W28_PG_4_of_4!$G$36*0.5)*(B47/B$63)</f>
        <v>4139.8660200929362</v>
      </c>
      <c r="I47" s="332">
        <f t="shared" si="2"/>
        <v>15656.101613611096</v>
      </c>
      <c r="J47" s="333">
        <f t="shared" si="3"/>
        <v>422.96729706995939</v>
      </c>
      <c r="K47" s="334">
        <f t="shared" si="4"/>
        <v>-477.46282061173224</v>
      </c>
    </row>
    <row r="48" spans="1:11" ht="12.75" customHeight="1">
      <c r="A48" s="329" t="s">
        <v>764</v>
      </c>
      <c r="B48" s="330">
        <f>W28_PG_3_of_4!B51</f>
        <v>19093.627261404174</v>
      </c>
      <c r="C48" s="331">
        <f>W28_PG_4_of_4!$C$23*(B48/B$63)</f>
        <v>22799.257346013819</v>
      </c>
      <c r="D48" s="253">
        <f>(W28_PG_4_of_4!$C$36*0.5)*(B48/B$63)</f>
        <v>4771.2642234294281</v>
      </c>
      <c r="E48" s="332">
        <f t="shared" si="0"/>
        <v>18027.99312258439</v>
      </c>
      <c r="F48" s="333">
        <f t="shared" si="1"/>
        <v>-1065.6341388197834</v>
      </c>
      <c r="G48" s="331">
        <f>W28_PG_4_of_4!$G$23*(B48/B$63)</f>
        <v>23427.980147709597</v>
      </c>
      <c r="H48" s="253">
        <f>(W28_PG_4_of_4!$G$36*0.5)*(B48/B$63)</f>
        <v>4899.4169281113964</v>
      </c>
      <c r="I48" s="332">
        <f t="shared" si="2"/>
        <v>18528.5632195982</v>
      </c>
      <c r="J48" s="333">
        <f t="shared" si="3"/>
        <v>500.57009701380957</v>
      </c>
      <c r="K48" s="334">
        <f t="shared" si="4"/>
        <v>-565.06404180597383</v>
      </c>
    </row>
    <row r="49" spans="1:11" ht="12.75" customHeight="1">
      <c r="A49" s="329" t="s">
        <v>765</v>
      </c>
      <c r="B49" s="330">
        <f>W28_PG_3_of_4!B52</f>
        <v>33129.78792607932</v>
      </c>
      <c r="C49" s="331">
        <f>W28_PG_4_of_4!$C$23*(B49/B$63)</f>
        <v>39559.511160688453</v>
      </c>
      <c r="D49" s="253">
        <f>(W28_PG_4_of_4!$C$36*0.5)*(B49/B$63)</f>
        <v>8278.7293214333804</v>
      </c>
      <c r="E49" s="332">
        <f t="shared" si="0"/>
        <v>31280.781839255073</v>
      </c>
      <c r="F49" s="333">
        <f t="shared" si="1"/>
        <v>-1849.0060868242472</v>
      </c>
      <c r="G49" s="331">
        <f>W28_PG_4_of_4!$G$23*(B49/B$63)</f>
        <v>40650.422426489487</v>
      </c>
      <c r="H49" s="253">
        <f>(W28_PG_4_of_4!$G$36*0.5)*(B49/B$63)</f>
        <v>8501.0900007396795</v>
      </c>
      <c r="I49" s="332">
        <f>G49-H49</f>
        <v>32149.33242574981</v>
      </c>
      <c r="J49" s="333">
        <f t="shared" si="3"/>
        <v>868.55058649473722</v>
      </c>
      <c r="K49" s="334">
        <f t="shared" si="4"/>
        <v>-980.45550032950996</v>
      </c>
    </row>
    <row r="50" spans="1:11" ht="12.75" customHeight="1">
      <c r="A50" s="329" t="s">
        <v>766</v>
      </c>
      <c r="B50" s="330">
        <f>W28_PG_3_of_4!B53</f>
        <v>8469.737927295555</v>
      </c>
      <c r="C50" s="331">
        <f>W28_PG_4_of_4!$C$23*(B50/B$63)</f>
        <v>10113.517563425186</v>
      </c>
      <c r="D50" s="253">
        <f>(W28_PG_4_of_4!$C$36*0.5)*(B50/B$63)</f>
        <v>2116.4840499435145</v>
      </c>
      <c r="E50" s="332">
        <f t="shared" si="0"/>
        <v>7997.0335134816723</v>
      </c>
      <c r="F50" s="333">
        <f t="shared" si="1"/>
        <v>-472.70441381388264</v>
      </c>
      <c r="G50" s="331">
        <f>W28_PG_4_of_4!$G$23*(B50/B$63)</f>
        <v>10392.412573072852</v>
      </c>
      <c r="H50" s="253">
        <f>(W28_PG_4_of_4!$G$36*0.5)*(B50/B$63)</f>
        <v>2173.3312800936724</v>
      </c>
      <c r="I50" s="332">
        <f t="shared" si="2"/>
        <v>8219.0812929791791</v>
      </c>
      <c r="J50" s="333">
        <f t="shared" si="3"/>
        <v>222.04777949750678</v>
      </c>
      <c r="K50" s="334">
        <f t="shared" si="4"/>
        <v>-250.65663431637586</v>
      </c>
    </row>
    <row r="51" spans="1:11" ht="12.75" customHeight="1">
      <c r="A51" s="329" t="s">
        <v>767</v>
      </c>
      <c r="B51" s="330">
        <f>W28_PG_3_of_4!B54</f>
        <v>8509.9021791369487</v>
      </c>
      <c r="C51" s="331">
        <f>W28_PG_4_of_4!$C$23*(B51/B$63)</f>
        <v>10161.476764749548</v>
      </c>
      <c r="D51" s="253">
        <f>(W28_PG_4_of_4!$C$36*0.5)*(B51/B$63)</f>
        <v>2126.5206058712097</v>
      </c>
      <c r="E51" s="332">
        <f t="shared" si="0"/>
        <v>8034.9561588783381</v>
      </c>
      <c r="F51" s="333">
        <f t="shared" si="1"/>
        <v>-474.94602025861059</v>
      </c>
      <c r="G51" s="331">
        <f>W28_PG_4_of_4!$G$23*(B51/B$63)</f>
        <v>10441.694319380418</v>
      </c>
      <c r="H51" s="253">
        <f>(W28_PG_4_of_4!$G$36*0.5)*(B51/B$63)</f>
        <v>2183.6374106514018</v>
      </c>
      <c r="I51" s="332">
        <f t="shared" si="2"/>
        <v>8258.0569087290169</v>
      </c>
      <c r="J51" s="333">
        <f t="shared" si="3"/>
        <v>223.10074985067877</v>
      </c>
      <c r="K51" s="334">
        <f t="shared" si="4"/>
        <v>-251.84527040793182</v>
      </c>
    </row>
    <row r="52" spans="1:11" ht="12.75" customHeight="1">
      <c r="A52" s="329" t="s">
        <v>768</v>
      </c>
      <c r="B52" s="330">
        <f>W28_PG_3_of_4!B55</f>
        <v>264130.86072106194</v>
      </c>
      <c r="C52" s="331">
        <f>W28_PG_4_of_4!$C$23*(B52/B$63)</f>
        <v>315392.53302469454</v>
      </c>
      <c r="D52" s="253">
        <f>(W28_PG_4_of_4!$C$36*0.5)*(B52/B$63)</f>
        <v>66003.075728280674</v>
      </c>
      <c r="E52" s="332">
        <f t="shared" si="0"/>
        <v>249389.45729641386</v>
      </c>
      <c r="F52" s="333">
        <f t="shared" si="1"/>
        <v>-14741.403424648073</v>
      </c>
      <c r="G52" s="331">
        <f>W28_PG_4_of_4!$G$23*(B52/B$63)</f>
        <v>324089.94250552938</v>
      </c>
      <c r="H52" s="253">
        <f>(W28_PG_4_of_4!$G$36*0.5)*(B52/B$63)</f>
        <v>67775.870584279706</v>
      </c>
      <c r="I52" s="332">
        <f t="shared" si="2"/>
        <v>256314.07192124968</v>
      </c>
      <c r="J52" s="333">
        <f t="shared" si="3"/>
        <v>6924.6146248358127</v>
      </c>
      <c r="K52" s="334">
        <f>I52-B52</f>
        <v>-7816.7887998122605</v>
      </c>
    </row>
    <row r="53" spans="1:11" ht="12.75" customHeight="1">
      <c r="A53" s="329" t="s">
        <v>769</v>
      </c>
      <c r="B53" s="330">
        <f>W28_PG_3_of_4!B56</f>
        <v>1087569.8336911816</v>
      </c>
      <c r="C53" s="331">
        <f>W28_PG_4_of_4!$C$23*(B53/B$63)</f>
        <v>1298641.9070937273</v>
      </c>
      <c r="D53" s="253">
        <f>(W28_PG_4_of_4!$C$36*0.5)*(B53/B$63)</f>
        <v>271770.41674323619</v>
      </c>
      <c r="E53" s="332">
        <f t="shared" si="0"/>
        <v>1026871.4903504911</v>
      </c>
      <c r="F53" s="333">
        <f t="shared" si="1"/>
        <v>-60698.343340690481</v>
      </c>
      <c r="G53" s="331">
        <f>W28_PG_4_of_4!$G$23*(B53/B$63)</f>
        <v>1334453.8533267158</v>
      </c>
      <c r="H53" s="253">
        <f>(W28_PG_4_of_4!$G$36*0.5)*(B53/B$63)</f>
        <v>279069.97349114524</v>
      </c>
      <c r="I53" s="332">
        <f t="shared" si="2"/>
        <v>1055383.8798355705</v>
      </c>
      <c r="J53" s="333">
        <f t="shared" si="3"/>
        <v>28512.389485079329</v>
      </c>
      <c r="K53" s="334">
        <f t="shared" si="4"/>
        <v>-32185.953855611151</v>
      </c>
    </row>
    <row r="54" spans="1:11" ht="12.75" customHeight="1">
      <c r="A54" s="329" t="s">
        <v>770</v>
      </c>
      <c r="B54" s="330">
        <f>W28_PG_3_of_4!B57</f>
        <v>3690.8138520208313</v>
      </c>
      <c r="C54" s="331">
        <f>W28_PG_4_of_4!$C$23*(B54/B$63)</f>
        <v>4407.1151948457564</v>
      </c>
      <c r="D54" s="253">
        <f>(W28_PG_4_of_4!$C$36*0.5)*(B54/B$63)</f>
        <v>922.28929822471525</v>
      </c>
      <c r="E54" s="332">
        <f t="shared" si="0"/>
        <v>3484.825896621041</v>
      </c>
      <c r="F54" s="333">
        <f t="shared" si="1"/>
        <v>-205.98795539979028</v>
      </c>
      <c r="G54" s="331">
        <f>W28_PG_4_of_4!$G$23*(B54/B$63)</f>
        <v>4528.6478294683438</v>
      </c>
      <c r="H54" s="253">
        <f>(W28_PG_4_of_4!$G$36*0.5)*(B54/B$63)</f>
        <v>947.06132143113041</v>
      </c>
      <c r="I54" s="332">
        <f t="shared" si="2"/>
        <v>3581.5865080372132</v>
      </c>
      <c r="J54" s="333">
        <f t="shared" si="3"/>
        <v>96.760611416172196</v>
      </c>
      <c r="K54" s="334">
        <f t="shared" si="4"/>
        <v>-109.22734398361808</v>
      </c>
    </row>
    <row r="55" spans="1:11" ht="12.75" customHeight="1">
      <c r="A55" s="329" t="s">
        <v>771</v>
      </c>
      <c r="B55" s="330">
        <f>W28_PG_3_of_4!B58</f>
        <v>175385.31121571167</v>
      </c>
      <c r="C55" s="331">
        <f>W28_PG_4_of_4!$C$23*(B55/B$63)</f>
        <v>209423.53123236087</v>
      </c>
      <c r="D55" s="253">
        <f>(W28_PG_4_of_4!$C$36*0.5)*(B55/B$63)</f>
        <v>43826.646936283643</v>
      </c>
      <c r="E55" s="332">
        <f t="shared" si="0"/>
        <v>165596.88429607722</v>
      </c>
      <c r="F55" s="333">
        <f t="shared" si="1"/>
        <v>-9788.426919634454</v>
      </c>
      <c r="G55" s="331">
        <f>W28_PG_4_of_4!$G$23*(B55/B$63)</f>
        <v>215198.69080440956</v>
      </c>
      <c r="H55" s="253">
        <f>(W28_PG_4_of_4!$G$36*0.5)*(B55/B$63)</f>
        <v>45003.798961201159</v>
      </c>
      <c r="I55" s="332">
        <f t="shared" si="2"/>
        <v>170194.8918432084</v>
      </c>
      <c r="J55" s="333">
        <f t="shared" si="3"/>
        <v>4598.0075471311866</v>
      </c>
      <c r="K55" s="334">
        <f t="shared" si="4"/>
        <v>-5190.4193725032674</v>
      </c>
    </row>
    <row r="56" spans="1:11" ht="12.75" customHeight="1">
      <c r="A56" s="329" t="s">
        <v>772</v>
      </c>
      <c r="B56" s="330">
        <f>W28_PG_3_of_4!B59</f>
        <v>906.23073629891496</v>
      </c>
      <c r="C56" s="331">
        <f>W28_PG_4_of_4!$C$23*(B56/B$63)</f>
        <v>1082.1090979141213</v>
      </c>
      <c r="D56" s="253">
        <f>(W28_PG_4_of_4!$C$36*0.5)*(B56/B$63)</f>
        <v>226.45599136709748</v>
      </c>
      <c r="E56" s="332">
        <f t="shared" si="0"/>
        <v>855.65310654702387</v>
      </c>
      <c r="F56" s="333">
        <f t="shared" si="1"/>
        <v>-50.577629751891095</v>
      </c>
      <c r="G56" s="331">
        <f>W28_PG_4_of_4!$G$23*(B56/B$63)</f>
        <v>1111.9498358581584</v>
      </c>
      <c r="H56" s="253">
        <f>(W28_PG_4_of_4!$G$36*0.5)*(B56/B$63)</f>
        <v>232.53843543771129</v>
      </c>
      <c r="I56" s="332">
        <f t="shared" si="2"/>
        <v>879.41140042044708</v>
      </c>
      <c r="J56" s="333">
        <f t="shared" si="3"/>
        <v>23.758293873423213</v>
      </c>
      <c r="K56" s="334">
        <f t="shared" si="4"/>
        <v>-26.819335878467882</v>
      </c>
    </row>
    <row r="57" spans="1:11" ht="12.75" customHeight="1">
      <c r="A57" s="329" t="s">
        <v>773</v>
      </c>
      <c r="B57" s="330">
        <f>W28_PG_3_of_4!B60</f>
        <v>1734101.7932707618</v>
      </c>
      <c r="C57" s="331">
        <f>W28_PG_4_of_4!$C$23*(B57/B$63)</f>
        <v>2070650.7206665038</v>
      </c>
      <c r="D57" s="253">
        <f>(W28_PG_4_of_4!$C$36*0.5)*(B57/B$63)</f>
        <v>433330.85603605362</v>
      </c>
      <c r="E57" s="332">
        <f t="shared" si="0"/>
        <v>1637319.86463045</v>
      </c>
      <c r="F57" s="333">
        <f t="shared" si="1"/>
        <v>-96781.928640311817</v>
      </c>
      <c r="G57" s="331">
        <f>W28_PG_4_of_4!$G$23*(B57/B$63)</f>
        <v>2127751.9368453035</v>
      </c>
      <c r="H57" s="253">
        <f>(W28_PG_4_of_4!$G$36*0.5)*(B57/B$63)</f>
        <v>444969.80928254937</v>
      </c>
      <c r="I57" s="332">
        <f t="shared" si="2"/>
        <v>1682782.1275627541</v>
      </c>
      <c r="J57" s="333">
        <f t="shared" si="3"/>
        <v>45462.26293230406</v>
      </c>
      <c r="K57" s="334">
        <f t="shared" si="4"/>
        <v>-51319.665708007757</v>
      </c>
    </row>
    <row r="58" spans="1:11" ht="12.75" customHeight="1">
      <c r="A58" s="329" t="s">
        <v>774</v>
      </c>
      <c r="B58" s="330">
        <f>W28_PG_3_of_4!B61</f>
        <v>-485166</v>
      </c>
      <c r="C58" s="331">
        <f>W28_PG_4_of_4!$C$23*(B58/B$63)</f>
        <v>-579325.4648840708</v>
      </c>
      <c r="D58" s="253">
        <f>(W28_PG_4_of_4!$C$36*0.5)*(B58/B$63)</f>
        <v>-121237.05708362738</v>
      </c>
      <c r="E58" s="332">
        <f t="shared" si="0"/>
        <v>-458088.40780044341</v>
      </c>
      <c r="F58" s="333">
        <f t="shared" si="1"/>
        <v>27077.592199556588</v>
      </c>
      <c r="G58" s="331">
        <f>W28_PG_4_of_4!$G$23*(B58/B$63)</f>
        <v>-595301.21022734197</v>
      </c>
      <c r="H58" s="253">
        <f>(W28_PG_4_of_4!$G$36*0.5)*(B58/B$63)</f>
        <v>-124493.39671299751</v>
      </c>
      <c r="I58" s="332">
        <f t="shared" si="2"/>
        <v>-470807.81351434445</v>
      </c>
      <c r="J58" s="333">
        <f t="shared" si="3"/>
        <v>-12719.40571390104</v>
      </c>
      <c r="K58" s="334">
        <f t="shared" si="4"/>
        <v>14358.186485655548</v>
      </c>
    </row>
    <row r="59" spans="1:11" ht="12.75" customHeight="1">
      <c r="A59" s="329" t="s">
        <v>775</v>
      </c>
      <c r="B59" s="330">
        <f>W28_PG_3_of_4!B62</f>
        <v>10630.39384910465</v>
      </c>
      <c r="C59" s="331">
        <f>W28_PG_4_of_4!$C$23*(B59/B$63)</f>
        <v>12693.506673042459</v>
      </c>
      <c r="D59" s="253">
        <f>(W28_PG_4_of_4!$C$36*0.5)*(B59/B$63)</f>
        <v>2656.4055723305873</v>
      </c>
      <c r="E59" s="332">
        <f t="shared" si="0"/>
        <v>10037.101100711872</v>
      </c>
      <c r="F59" s="333">
        <f t="shared" si="1"/>
        <v>-593.29274839277787</v>
      </c>
      <c r="G59" s="331">
        <f>W28_PG_4_of_4!$G$23*(B59/B$63)</f>
        <v>13043.548648432268</v>
      </c>
      <c r="H59" s="253">
        <f>(W28_PG_4_of_4!$G$36*0.5)*(B59/B$63)</f>
        <v>2727.7547038992707</v>
      </c>
      <c r="I59" s="332">
        <f t="shared" si="2"/>
        <v>10315.793944532998</v>
      </c>
      <c r="J59" s="333">
        <f>I59-E59</f>
        <v>278.69284382112528</v>
      </c>
      <c r="K59" s="334">
        <f t="shared" si="4"/>
        <v>-314.59990457165259</v>
      </c>
    </row>
    <row r="60" spans="1:11" ht="12.75" customHeight="1">
      <c r="A60" s="329" t="s">
        <v>776</v>
      </c>
      <c r="B60" s="330">
        <f>W28_PG_3_of_4!B63</f>
        <v>29782.410168032344</v>
      </c>
      <c r="C60" s="331">
        <f>W28_PG_4_of_4!$C$23*(B60/B$63)</f>
        <v>35562.485038035258</v>
      </c>
      <c r="D60" s="253">
        <f>(W28_PG_4_of_4!$C$36*0.5)*(B60/B$63)</f>
        <v>7442.2605080111589</v>
      </c>
      <c r="E60" s="332">
        <f t="shared" si="0"/>
        <v>28120.224530024097</v>
      </c>
      <c r="F60" s="333">
        <f t="shared" si="1"/>
        <v>-1662.1856380082463</v>
      </c>
      <c r="G60" s="331">
        <f>W28_PG_4_of_4!$G$23*(B60/B$63)</f>
        <v>36543.172473991886</v>
      </c>
      <c r="H60" s="253">
        <f>(W28_PG_4_of_4!$G$36*0.5)*(B60/B$63)</f>
        <v>7642.1542402354271</v>
      </c>
      <c r="I60" s="332">
        <f t="shared" si="2"/>
        <v>28901.018233756458</v>
      </c>
      <c r="J60" s="333">
        <f t="shared" si="3"/>
        <v>780.79370373236088</v>
      </c>
      <c r="K60" s="334">
        <f t="shared" si="4"/>
        <v>-881.39193427588543</v>
      </c>
    </row>
    <row r="61" spans="1:11" ht="12.75" customHeight="1">
      <c r="A61" s="329" t="s">
        <v>777</v>
      </c>
      <c r="B61" s="330">
        <f>W28_PG_3_of_4!B64</f>
        <v>6926.6959223125232</v>
      </c>
      <c r="C61" s="331">
        <f>W28_PG_4_of_4!$C$23*(B61/B$63)</f>
        <v>8271.006903419242</v>
      </c>
      <c r="D61" s="253">
        <f>(W28_PG_4_of_4!$C$36*0.5)*(B61/B$63)</f>
        <v>1730.8967011998623</v>
      </c>
      <c r="E61" s="332">
        <f t="shared" si="0"/>
        <v>6540.11020221938</v>
      </c>
      <c r="F61" s="333">
        <f t="shared" si="1"/>
        <v>-386.58572009314321</v>
      </c>
      <c r="G61" s="331">
        <f>W28_PG_4_of_4!$G$23*(B61/B$63)</f>
        <v>8499.091992079906</v>
      </c>
      <c r="H61" s="253">
        <f>(W28_PG_4_of_4!$G$36*0.5)*(B61/B$63)</f>
        <v>1777.3873341634719</v>
      </c>
      <c r="I61" s="332">
        <f t="shared" si="2"/>
        <v>6721.7046579164344</v>
      </c>
      <c r="J61" s="333">
        <f t="shared" si="3"/>
        <v>181.5944556970544</v>
      </c>
      <c r="K61" s="334">
        <f t="shared" si="4"/>
        <v>-204.99126439608881</v>
      </c>
    </row>
    <row r="62" spans="1:11" ht="12.75" customHeight="1">
      <c r="A62" s="329" t="s">
        <v>778</v>
      </c>
      <c r="B62" s="330">
        <f>W28_PG_3_of_4!B65</f>
        <v>630634.16016887419</v>
      </c>
      <c r="C62" s="331">
        <f>W28_PG_4_of_4!$C$23*(B62/B$63)</f>
        <v>753025.62012096599</v>
      </c>
      <c r="D62" s="253">
        <f>(W28_PG_4_of_4!$C$36*0.5)*(B62/B$63)</f>
        <v>157587.7734121501</v>
      </c>
      <c r="E62" s="332">
        <f t="shared" si="0"/>
        <v>595437.84670881589</v>
      </c>
      <c r="F62" s="333">
        <f t="shared" si="1"/>
        <v>-35196.3134600583</v>
      </c>
      <c r="G62" s="331">
        <f>W28_PG_4_of_4!$G$23*(B62/B$63)</f>
        <v>773791.40079732344</v>
      </c>
      <c r="H62" s="253">
        <f>(W28_PG_4_of_4!$G$36*0.5)*(B62/B$63)</f>
        <v>161820.46697969697</v>
      </c>
      <c r="I62" s="332">
        <f t="shared" si="2"/>
        <v>611970.93381762644</v>
      </c>
      <c r="J62" s="333">
        <f t="shared" si="3"/>
        <v>16533.087108810549</v>
      </c>
      <c r="K62" s="334">
        <f t="shared" si="4"/>
        <v>-18663.226351247751</v>
      </c>
    </row>
    <row r="63" spans="1:11" ht="12.75" customHeight="1">
      <c r="A63" s="335" t="s">
        <v>277</v>
      </c>
      <c r="B63" s="336">
        <f>SUM(B8:B62)</f>
        <v>35172272.050000042</v>
      </c>
      <c r="C63" s="337">
        <f>SUM(C8:C62)</f>
        <v>41998394.067999981</v>
      </c>
      <c r="D63" s="338">
        <f>SUM(D8:D62)</f>
        <v>8789121.1549999919</v>
      </c>
      <c r="E63" s="338">
        <f t="shared" ref="E63:F63" si="5">SUM(E8:E62)</f>
        <v>33209272.912999995</v>
      </c>
      <c r="F63" s="339">
        <f t="shared" si="5"/>
        <v>-1962999.1370000467</v>
      </c>
      <c r="G63" s="337">
        <f>SUM(G8:G62)</f>
        <v>43156561.090039983</v>
      </c>
      <c r="H63" s="338">
        <f>SUM(H8:H62)</f>
        <v>9025190.5896499921</v>
      </c>
      <c r="I63" s="338">
        <f t="shared" ref="I63:K63" si="6">SUM(I8:I62)</f>
        <v>34131370.500390001</v>
      </c>
      <c r="J63" s="339">
        <f t="shared" si="6"/>
        <v>922097.58738999371</v>
      </c>
      <c r="K63" s="336">
        <f t="shared" si="6"/>
        <v>-1040901.5496100531</v>
      </c>
    </row>
    <row r="64" spans="1:11" ht="12.75" customHeight="1">
      <c r="F64" s="340"/>
    </row>
    <row r="65" spans="1:11" ht="12.75" customHeight="1">
      <c r="A65" s="294" t="s">
        <v>821</v>
      </c>
      <c r="B65" s="341">
        <f>SUM(B22:B62)</f>
        <v>20033808.221396167</v>
      </c>
      <c r="C65" s="341">
        <f t="shared" ref="C65:K65" si="7">SUM(C22:C62)</f>
        <v>23921905.61840412</v>
      </c>
      <c r="D65" s="341">
        <f t="shared" si="7"/>
        <v>5006203.9609944876</v>
      </c>
      <c r="E65" s="341">
        <f t="shared" si="7"/>
        <v>18915701.657409634</v>
      </c>
      <c r="F65" s="341">
        <f t="shared" si="7"/>
        <v>-1118106.5639865331</v>
      </c>
      <c r="G65" s="341">
        <f t="shared" si="7"/>
        <v>24581587.084955696</v>
      </c>
      <c r="H65" s="341">
        <f t="shared" si="7"/>
        <v>5140666.9770313315</v>
      </c>
      <c r="I65" s="341">
        <f t="shared" si="7"/>
        <v>19440920.107924353</v>
      </c>
      <c r="J65" s="341">
        <f t="shared" si="7"/>
        <v>525218.4505147204</v>
      </c>
      <c r="K65" s="341">
        <f t="shared" si="7"/>
        <v>-592888.11347181222</v>
      </c>
    </row>
    <row r="66" spans="1:11" ht="12.75" customHeight="1">
      <c r="F66" s="340" t="s">
        <v>62</v>
      </c>
      <c r="J66" s="340" t="s">
        <v>59</v>
      </c>
    </row>
  </sheetData>
  <pageMargins left="0.7" right="0.7" top="0.75" bottom="0.75" header="0.3" footer="0.3"/>
  <pageSetup scale="57" orientation="landscape" horizontalDpi="200" verticalDpi="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66"/>
  <sheetViews>
    <sheetView workbookViewId="0">
      <selection activeCell="A2" sqref="A2:A4"/>
    </sheetView>
  </sheetViews>
  <sheetFormatPr defaultColWidth="9.109375" defaultRowHeight="13.2"/>
  <cols>
    <col min="1" max="1" width="15.5546875" style="248" customWidth="1"/>
    <col min="2" max="2" width="21.44140625" style="310" customWidth="1"/>
    <col min="3" max="16384" width="9.109375" style="248"/>
  </cols>
  <sheetData>
    <row r="2" spans="1:2">
      <c r="A2" s="230" t="s">
        <v>0</v>
      </c>
    </row>
    <row r="3" spans="1:2">
      <c r="A3" s="282" t="s">
        <v>963</v>
      </c>
    </row>
    <row r="4" spans="1:2">
      <c r="A4" s="230" t="s">
        <v>107</v>
      </c>
    </row>
    <row r="5" spans="1:2">
      <c r="A5" s="248" t="s">
        <v>854</v>
      </c>
    </row>
    <row r="8" spans="1:2">
      <c r="A8" s="342" t="s">
        <v>802</v>
      </c>
      <c r="B8" s="343" t="s">
        <v>855</v>
      </c>
    </row>
    <row r="10" spans="1:2" ht="26.4">
      <c r="A10" s="342" t="s">
        <v>258</v>
      </c>
      <c r="B10" s="344" t="s">
        <v>804</v>
      </c>
    </row>
    <row r="11" spans="1:2">
      <c r="A11" s="299" t="s">
        <v>809</v>
      </c>
      <c r="B11" s="300">
        <v>10093401.645348087</v>
      </c>
    </row>
    <row r="12" spans="1:2">
      <c r="A12" s="299" t="s">
        <v>810</v>
      </c>
      <c r="B12" s="300">
        <v>2162207.6711507551</v>
      </c>
    </row>
    <row r="13" spans="1:2">
      <c r="A13" s="299" t="s">
        <v>811</v>
      </c>
      <c r="B13" s="300">
        <v>2586786.762785926</v>
      </c>
    </row>
    <row r="14" spans="1:2">
      <c r="A14" s="299" t="s">
        <v>812</v>
      </c>
      <c r="B14" s="300">
        <v>0</v>
      </c>
    </row>
    <row r="15" spans="1:2">
      <c r="A15" s="299" t="s">
        <v>813</v>
      </c>
      <c r="B15" s="300">
        <v>0</v>
      </c>
    </row>
    <row r="16" spans="1:2">
      <c r="A16" s="299" t="s">
        <v>814</v>
      </c>
      <c r="B16" s="300">
        <v>0</v>
      </c>
    </row>
    <row r="17" spans="1:2">
      <c r="A17" s="299" t="s">
        <v>815</v>
      </c>
      <c r="B17" s="300">
        <v>25309.130000000016</v>
      </c>
    </row>
    <row r="18" spans="1:2">
      <c r="A18" s="299" t="s">
        <v>816</v>
      </c>
      <c r="B18" s="300">
        <v>261331.45999999993</v>
      </c>
    </row>
    <row r="19" spans="1:2">
      <c r="A19" s="299" t="s">
        <v>817</v>
      </c>
      <c r="B19" s="300">
        <v>-344.65490302791852</v>
      </c>
    </row>
    <row r="20" spans="1:2">
      <c r="A20" s="299" t="s">
        <v>852</v>
      </c>
      <c r="B20" s="300">
        <v>0</v>
      </c>
    </row>
    <row r="21" spans="1:2">
      <c r="A21" s="299" t="s">
        <v>818</v>
      </c>
      <c r="B21" s="300">
        <v>2949.9080639061444</v>
      </c>
    </row>
    <row r="22" spans="1:2">
      <c r="A22" s="299" t="s">
        <v>819</v>
      </c>
      <c r="B22" s="300">
        <v>143.04985186605899</v>
      </c>
    </row>
    <row r="23" spans="1:2">
      <c r="A23" s="299" t="s">
        <v>820</v>
      </c>
      <c r="B23" s="300">
        <v>6588.1063063619904</v>
      </c>
    </row>
    <row r="24" spans="1:2">
      <c r="A24" s="299" t="s">
        <v>853</v>
      </c>
      <c r="B24" s="300">
        <v>90.75</v>
      </c>
    </row>
    <row r="25" spans="1:2">
      <c r="A25" s="299" t="s">
        <v>731</v>
      </c>
      <c r="B25" s="300">
        <v>464730.87050935585</v>
      </c>
    </row>
    <row r="26" spans="1:2">
      <c r="A26" s="299" t="s">
        <v>732</v>
      </c>
      <c r="B26" s="300">
        <v>1707900.4652666578</v>
      </c>
    </row>
    <row r="27" spans="1:2">
      <c r="A27" s="299" t="s">
        <v>733</v>
      </c>
      <c r="B27" s="300">
        <v>680512.15392161941</v>
      </c>
    </row>
    <row r="28" spans="1:2">
      <c r="A28" s="299" t="s">
        <v>734</v>
      </c>
      <c r="B28" s="300">
        <v>112.775612519303</v>
      </c>
    </row>
    <row r="29" spans="1:2">
      <c r="A29" s="299" t="s">
        <v>735</v>
      </c>
      <c r="B29" s="300">
        <v>2980656.0594587959</v>
      </c>
    </row>
    <row r="30" spans="1:2">
      <c r="A30" s="299" t="s">
        <v>736</v>
      </c>
      <c r="B30" s="300">
        <v>1580657.3685810226</v>
      </c>
    </row>
    <row r="31" spans="1:2">
      <c r="A31" s="299" t="s">
        <v>737</v>
      </c>
      <c r="B31" s="300">
        <v>105227.86406707655</v>
      </c>
    </row>
    <row r="32" spans="1:2">
      <c r="A32" s="299" t="s">
        <v>739</v>
      </c>
      <c r="B32" s="300">
        <v>2157854.6120672189</v>
      </c>
    </row>
    <row r="33" spans="1:2">
      <c r="A33" s="299" t="s">
        <v>741</v>
      </c>
      <c r="B33" s="300">
        <v>1070403.3845777409</v>
      </c>
    </row>
    <row r="34" spans="1:2">
      <c r="A34" s="299" t="s">
        <v>743</v>
      </c>
      <c r="B34" s="300">
        <v>592890.66443861334</v>
      </c>
    </row>
    <row r="35" spans="1:2">
      <c r="A35" s="299" t="s">
        <v>747</v>
      </c>
      <c r="B35" s="300">
        <v>10446.532187707728</v>
      </c>
    </row>
    <row r="36" spans="1:2">
      <c r="A36" s="299" t="s">
        <v>748</v>
      </c>
      <c r="B36" s="300">
        <v>167.81495617047099</v>
      </c>
    </row>
    <row r="37" spans="1:2">
      <c r="A37" s="299" t="s">
        <v>749</v>
      </c>
      <c r="B37" s="300">
        <v>581.44128395060704</v>
      </c>
    </row>
    <row r="38" spans="1:2">
      <c r="A38" s="299" t="s">
        <v>750</v>
      </c>
      <c r="B38" s="300">
        <v>27.9966478338442</v>
      </c>
    </row>
    <row r="39" spans="1:2">
      <c r="A39" s="299" t="s">
        <v>751</v>
      </c>
      <c r="B39" s="300">
        <v>3330.4923549073364</v>
      </c>
    </row>
    <row r="40" spans="1:2">
      <c r="A40" s="299" t="s">
        <v>752</v>
      </c>
      <c r="B40" s="300">
        <v>247310.69327623845</v>
      </c>
    </row>
    <row r="41" spans="1:2">
      <c r="A41" s="299" t="s">
        <v>753</v>
      </c>
      <c r="B41" s="300">
        <v>-49669.965442201028</v>
      </c>
    </row>
    <row r="42" spans="1:2">
      <c r="A42" s="299" t="s">
        <v>754</v>
      </c>
      <c r="B42" s="300">
        <v>749.96583246656905</v>
      </c>
    </row>
    <row r="43" spans="1:2">
      <c r="A43" s="299" t="s">
        <v>755</v>
      </c>
      <c r="B43" s="300">
        <v>8944.2552226703301</v>
      </c>
    </row>
    <row r="44" spans="1:2">
      <c r="A44" s="299" t="s">
        <v>756</v>
      </c>
      <c r="B44" s="300">
        <v>694966.55121778965</v>
      </c>
    </row>
    <row r="45" spans="1:2">
      <c r="A45" s="299" t="s">
        <v>757</v>
      </c>
      <c r="B45" s="300">
        <v>110208.79234043208</v>
      </c>
    </row>
    <row r="46" spans="1:2">
      <c r="A46" s="299" t="s">
        <v>758</v>
      </c>
      <c r="B46" s="300">
        <v>2442409.6236785697</v>
      </c>
    </row>
    <row r="47" spans="1:2">
      <c r="A47" s="299" t="s">
        <v>759</v>
      </c>
      <c r="B47" s="300">
        <v>103.499092753851</v>
      </c>
    </row>
    <row r="48" spans="1:2">
      <c r="A48" s="299" t="s">
        <v>761</v>
      </c>
      <c r="B48" s="300">
        <v>1664790.7864955238</v>
      </c>
    </row>
    <row r="49" spans="1:2">
      <c r="A49" s="299" t="s">
        <v>762</v>
      </c>
      <c r="B49" s="300">
        <v>14564.400427236786</v>
      </c>
    </row>
    <row r="50" spans="1:2">
      <c r="A50" s="299" t="s">
        <v>763</v>
      </c>
      <c r="B50" s="300">
        <v>16133.564434222828</v>
      </c>
    </row>
    <row r="51" spans="1:2">
      <c r="A51" s="299" t="s">
        <v>764</v>
      </c>
      <c r="B51" s="300">
        <v>19093.627261404174</v>
      </c>
    </row>
    <row r="52" spans="1:2">
      <c r="A52" s="299" t="s">
        <v>765</v>
      </c>
      <c r="B52" s="300">
        <v>33129.78792607932</v>
      </c>
    </row>
    <row r="53" spans="1:2">
      <c r="A53" s="299" t="s">
        <v>766</v>
      </c>
      <c r="B53" s="300">
        <v>8469.737927295555</v>
      </c>
    </row>
    <row r="54" spans="1:2">
      <c r="A54" s="299" t="s">
        <v>767</v>
      </c>
      <c r="B54" s="300">
        <v>8509.9021791369487</v>
      </c>
    </row>
    <row r="55" spans="1:2">
      <c r="A55" s="299" t="s">
        <v>768</v>
      </c>
      <c r="B55" s="300">
        <v>264130.86072106194</v>
      </c>
    </row>
    <row r="56" spans="1:2">
      <c r="A56" s="299" t="s">
        <v>769</v>
      </c>
      <c r="B56" s="300">
        <v>1087569.8336911816</v>
      </c>
    </row>
    <row r="57" spans="1:2">
      <c r="A57" s="299" t="s">
        <v>770</v>
      </c>
      <c r="B57" s="300">
        <v>3690.8138520208313</v>
      </c>
    </row>
    <row r="58" spans="1:2">
      <c r="A58" s="299" t="s">
        <v>771</v>
      </c>
      <c r="B58" s="300">
        <v>175385.31121571167</v>
      </c>
    </row>
    <row r="59" spans="1:2">
      <c r="A59" s="299" t="s">
        <v>772</v>
      </c>
      <c r="B59" s="300">
        <v>906.23073629891496</v>
      </c>
    </row>
    <row r="60" spans="1:2">
      <c r="A60" s="299" t="s">
        <v>773</v>
      </c>
      <c r="B60" s="300">
        <v>1734101.7932707618</v>
      </c>
    </row>
    <row r="61" spans="1:2">
      <c r="A61" s="299" t="s">
        <v>774</v>
      </c>
      <c r="B61" s="300">
        <v>-485166</v>
      </c>
    </row>
    <row r="62" spans="1:2">
      <c r="A62" s="299" t="s">
        <v>775</v>
      </c>
      <c r="B62" s="300">
        <v>10630.39384910465</v>
      </c>
    </row>
    <row r="63" spans="1:2">
      <c r="A63" s="299" t="s">
        <v>776</v>
      </c>
      <c r="B63" s="300">
        <v>29782.410168032344</v>
      </c>
    </row>
    <row r="64" spans="1:2">
      <c r="A64" s="299" t="s">
        <v>777</v>
      </c>
      <c r="B64" s="300">
        <v>6926.6959223125232</v>
      </c>
    </row>
    <row r="65" spans="1:2">
      <c r="A65" s="299" t="s">
        <v>778</v>
      </c>
      <c r="B65" s="300">
        <v>630634.16016887419</v>
      </c>
    </row>
    <row r="66" spans="1:2">
      <c r="A66" s="312" t="s">
        <v>277</v>
      </c>
      <c r="B66" s="313">
        <v>35172272.050000042</v>
      </c>
    </row>
  </sheetData>
  <pageMargins left="0.7" right="0.7" top="0.75" bottom="0.75" header="0.3" footer="0.3"/>
  <pageSetup scale="81"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opLeftCell="A7" workbookViewId="0">
      <selection activeCell="O53" sqref="O53"/>
    </sheetView>
  </sheetViews>
  <sheetFormatPr defaultColWidth="9.109375" defaultRowHeight="13.2"/>
  <cols>
    <col min="1" max="1" width="10.5546875" style="248" customWidth="1"/>
    <col min="2" max="2" width="20.33203125" style="248" customWidth="1"/>
    <col min="3" max="3" width="17.44140625" style="248" customWidth="1"/>
    <col min="4" max="4" width="4.33203125" style="283" customWidth="1"/>
    <col min="5" max="5" width="14.6640625" style="345" customWidth="1"/>
    <col min="6" max="6" width="10.33203125" style="248" bestFit="1" customWidth="1"/>
    <col min="7" max="7" width="19.33203125" style="248" customWidth="1"/>
    <col min="8" max="8" width="4.44140625" style="248" customWidth="1"/>
    <col min="9" max="16384" width="9.109375" style="248"/>
  </cols>
  <sheetData>
    <row r="1" spans="1:7">
      <c r="A1" s="248" t="s">
        <v>0</v>
      </c>
    </row>
    <row r="2" spans="1:7">
      <c r="A2" s="248" t="s">
        <v>833</v>
      </c>
    </row>
    <row r="3" spans="1:7">
      <c r="A3" s="248" t="s">
        <v>783</v>
      </c>
    </row>
    <row r="4" spans="1:7">
      <c r="A4" s="248" t="s">
        <v>856</v>
      </c>
    </row>
    <row r="6" spans="1:7">
      <c r="A6" s="342" t="s">
        <v>857</v>
      </c>
      <c r="B6" s="346">
        <v>43921</v>
      </c>
    </row>
    <row r="8" spans="1:7" ht="39.6">
      <c r="A8" s="342" t="s">
        <v>858</v>
      </c>
      <c r="B8" s="342" t="s">
        <v>859</v>
      </c>
      <c r="C8" s="342" t="s">
        <v>860</v>
      </c>
      <c r="D8" s="347"/>
      <c r="E8" s="348" t="s">
        <v>861</v>
      </c>
      <c r="F8" s="349" t="s">
        <v>862</v>
      </c>
      <c r="G8" s="316" t="s">
        <v>863</v>
      </c>
    </row>
    <row r="9" spans="1:7">
      <c r="A9" s="299">
        <v>110</v>
      </c>
      <c r="B9" s="299" t="s">
        <v>864</v>
      </c>
      <c r="C9" s="300">
        <v>256048</v>
      </c>
      <c r="D9" s="350"/>
      <c r="E9" s="345">
        <v>43922</v>
      </c>
      <c r="F9" s="349">
        <v>2.5000000000000001E-2</v>
      </c>
      <c r="G9" s="310">
        <f>C9*(1+F9)</f>
        <v>262449.19999999995</v>
      </c>
    </row>
    <row r="10" spans="1:7">
      <c r="A10" s="299">
        <v>110</v>
      </c>
      <c r="B10" s="299" t="s">
        <v>865</v>
      </c>
      <c r="C10" s="300">
        <v>2735262.3999999994</v>
      </c>
      <c r="D10" s="350"/>
      <c r="E10" s="345">
        <v>43952</v>
      </c>
      <c r="F10" s="349">
        <v>2.5000000000000001E-2</v>
      </c>
      <c r="G10" s="310">
        <f t="shared" ref="G10:G21" si="0">C10*(1+F10)</f>
        <v>2803643.959999999</v>
      </c>
    </row>
    <row r="11" spans="1:7">
      <c r="A11" s="299">
        <v>110</v>
      </c>
      <c r="B11" s="299" t="s">
        <v>866</v>
      </c>
      <c r="C11" s="300">
        <v>13694903.588000003</v>
      </c>
      <c r="D11" s="350"/>
      <c r="E11" s="345">
        <v>43922</v>
      </c>
      <c r="F11" s="349">
        <v>0.03</v>
      </c>
      <c r="G11" s="310">
        <f t="shared" si="0"/>
        <v>14105750.695640003</v>
      </c>
    </row>
    <row r="12" spans="1:7">
      <c r="A12" s="299">
        <v>110</v>
      </c>
      <c r="B12" s="299" t="s">
        <v>867</v>
      </c>
      <c r="C12" s="300">
        <v>1971944.0000000002</v>
      </c>
      <c r="D12" s="350"/>
      <c r="E12" s="345">
        <v>43952</v>
      </c>
      <c r="F12" s="349">
        <v>2.5000000000000001E-2</v>
      </c>
      <c r="G12" s="310">
        <f t="shared" si="0"/>
        <v>2021242.6</v>
      </c>
    </row>
    <row r="13" spans="1:7">
      <c r="A13" s="299">
        <v>110</v>
      </c>
      <c r="B13" s="299" t="s">
        <v>868</v>
      </c>
      <c r="C13" s="300">
        <v>311480</v>
      </c>
      <c r="D13" s="350"/>
      <c r="E13" s="345">
        <v>43952</v>
      </c>
      <c r="F13" s="349">
        <v>2.5000000000000001E-2</v>
      </c>
      <c r="G13" s="310">
        <f t="shared" si="0"/>
        <v>319267</v>
      </c>
    </row>
    <row r="14" spans="1:7">
      <c r="A14" s="299">
        <v>110</v>
      </c>
      <c r="B14" s="299" t="s">
        <v>869</v>
      </c>
      <c r="C14" s="300">
        <v>44948.800000000003</v>
      </c>
      <c r="D14" s="350"/>
      <c r="E14" s="345">
        <v>43952</v>
      </c>
      <c r="F14" s="349">
        <v>2.5000000000000001E-2</v>
      </c>
      <c r="G14" s="310">
        <f t="shared" si="0"/>
        <v>46072.52</v>
      </c>
    </row>
    <row r="15" spans="1:7">
      <c r="A15" s="299">
        <v>110</v>
      </c>
      <c r="B15" s="299" t="s">
        <v>870</v>
      </c>
      <c r="C15" s="300">
        <v>286187.2</v>
      </c>
      <c r="D15" s="350"/>
      <c r="E15" s="345">
        <v>43952</v>
      </c>
      <c r="F15" s="349">
        <v>2.5000000000000001E-2</v>
      </c>
      <c r="G15" s="310">
        <f t="shared" si="0"/>
        <v>293341.88</v>
      </c>
    </row>
    <row r="16" spans="1:7">
      <c r="A16" s="299">
        <v>110</v>
      </c>
      <c r="B16" s="299" t="s">
        <v>871</v>
      </c>
      <c r="C16" s="300">
        <v>2219048.0000000009</v>
      </c>
      <c r="D16" s="350"/>
      <c r="E16" s="345">
        <v>43952</v>
      </c>
      <c r="F16" s="349">
        <v>2.5000000000000001E-2</v>
      </c>
      <c r="G16" s="310">
        <f t="shared" si="0"/>
        <v>2274524.2000000007</v>
      </c>
    </row>
    <row r="17" spans="1:9">
      <c r="A17" s="299">
        <v>110</v>
      </c>
      <c r="B17" s="299" t="s">
        <v>872</v>
      </c>
      <c r="C17" s="300">
        <v>52374.400000000001</v>
      </c>
      <c r="D17" s="350"/>
      <c r="F17" s="349">
        <v>0</v>
      </c>
      <c r="G17" s="310">
        <f t="shared" si="0"/>
        <v>52374.400000000001</v>
      </c>
    </row>
    <row r="18" spans="1:9">
      <c r="A18" s="342">
        <v>110</v>
      </c>
      <c r="B18" s="342"/>
      <c r="C18" s="343">
        <v>21572196.388</v>
      </c>
      <c r="D18" s="350"/>
      <c r="F18" s="349"/>
    </row>
    <row r="19" spans="1:9">
      <c r="A19" s="351">
        <v>117</v>
      </c>
      <c r="B19" s="299" t="s">
        <v>866</v>
      </c>
      <c r="C19" s="300">
        <v>8208402.4799999986</v>
      </c>
      <c r="D19" s="350"/>
      <c r="E19" s="345">
        <v>43922</v>
      </c>
      <c r="F19" s="349">
        <v>0.03</v>
      </c>
      <c r="G19" s="310">
        <f t="shared" si="0"/>
        <v>8454654.5543999989</v>
      </c>
    </row>
    <row r="20" spans="1:9">
      <c r="A20" s="351">
        <v>117</v>
      </c>
      <c r="B20" s="299" t="s">
        <v>873</v>
      </c>
      <c r="C20" s="300">
        <v>1176115.2</v>
      </c>
      <c r="D20" s="350"/>
      <c r="E20" s="345">
        <v>43952</v>
      </c>
      <c r="F20" s="349">
        <v>2.5000000000000001E-2</v>
      </c>
      <c r="G20" s="310">
        <f t="shared" si="0"/>
        <v>1205518.0799999998</v>
      </c>
    </row>
    <row r="21" spans="1:9">
      <c r="A21" s="351">
        <v>117</v>
      </c>
      <c r="B21" s="299" t="s">
        <v>874</v>
      </c>
      <c r="C21" s="300">
        <v>11041679.999999989</v>
      </c>
      <c r="D21" s="350"/>
      <c r="E21" s="345">
        <v>43952</v>
      </c>
      <c r="F21" s="349">
        <v>2.5000000000000001E-2</v>
      </c>
      <c r="G21" s="310">
        <f t="shared" si="0"/>
        <v>11317721.999999987</v>
      </c>
    </row>
    <row r="22" spans="1:9" ht="14.4">
      <c r="A22" s="352">
        <v>117</v>
      </c>
      <c r="B22" s="342"/>
      <c r="C22" s="343">
        <v>20426197.679999985</v>
      </c>
      <c r="D22" s="350"/>
      <c r="I22" s="353" t="s">
        <v>875</v>
      </c>
    </row>
    <row r="23" spans="1:9" ht="13.8" thickBot="1">
      <c r="A23" s="553" t="s">
        <v>277</v>
      </c>
      <c r="B23" s="553"/>
      <c r="C23" s="343">
        <v>41998394.067999989</v>
      </c>
      <c r="D23" s="350"/>
      <c r="G23" s="354">
        <f>SUM(G9:G21)</f>
        <v>43156561.090039983</v>
      </c>
      <c r="I23" s="355">
        <f>(G23-C23)/C23</f>
        <v>2.7576459713311793E-2</v>
      </c>
    </row>
    <row r="24" spans="1:9">
      <c r="C24" s="310"/>
      <c r="D24" s="356"/>
    </row>
    <row r="28" spans="1:9">
      <c r="A28" s="357" t="s">
        <v>876</v>
      </c>
    </row>
    <row r="29" spans="1:9">
      <c r="A29" s="342" t="s">
        <v>857</v>
      </c>
      <c r="B29" s="346">
        <v>43921</v>
      </c>
    </row>
    <row r="30" spans="1:9">
      <c r="A30" s="342" t="s">
        <v>469</v>
      </c>
      <c r="B30" s="342" t="s">
        <v>877</v>
      </c>
    </row>
    <row r="32" spans="1:9">
      <c r="A32" s="358" t="s">
        <v>858</v>
      </c>
      <c r="B32" s="342" t="s">
        <v>859</v>
      </c>
      <c r="C32" s="342" t="s">
        <v>860</v>
      </c>
      <c r="D32" s="347"/>
    </row>
    <row r="33" spans="1:7">
      <c r="A33" s="299" t="s">
        <v>878</v>
      </c>
      <c r="B33" s="299" t="s">
        <v>866</v>
      </c>
      <c r="C33" s="300">
        <v>6536562.3100000005</v>
      </c>
      <c r="D33" s="350"/>
      <c r="E33" s="345">
        <v>43922</v>
      </c>
      <c r="F33" s="349">
        <v>0.03</v>
      </c>
      <c r="G33" s="310">
        <f t="shared" ref="G33:G34" si="1">C33*(1+F33)</f>
        <v>6732659.1793000009</v>
      </c>
    </row>
    <row r="34" spans="1:7">
      <c r="A34" s="299" t="s">
        <v>878</v>
      </c>
      <c r="B34" s="299" t="s">
        <v>874</v>
      </c>
      <c r="C34" s="300">
        <v>11041679.999999989</v>
      </c>
      <c r="D34" s="350"/>
      <c r="E34" s="345">
        <v>43952</v>
      </c>
      <c r="F34" s="349">
        <v>2.5000000000000001E-2</v>
      </c>
      <c r="G34" s="310">
        <f t="shared" si="1"/>
        <v>11317721.999999987</v>
      </c>
    </row>
    <row r="35" spans="1:7">
      <c r="A35" s="342" t="s">
        <v>878</v>
      </c>
      <c r="B35" s="342"/>
      <c r="C35" s="343">
        <v>17578242.309999987</v>
      </c>
      <c r="D35" s="350"/>
    </row>
    <row r="36" spans="1:7" ht="13.8" thickBot="1">
      <c r="A36" s="342" t="s">
        <v>277</v>
      </c>
      <c r="B36" s="342"/>
      <c r="C36" s="343">
        <v>17578242.309999987</v>
      </c>
      <c r="D36" s="350"/>
      <c r="G36" s="354">
        <f>SUM(G33:G34)</f>
        <v>18050381.179299988</v>
      </c>
    </row>
    <row r="39" spans="1:7" ht="24.75" customHeight="1" thickBot="1">
      <c r="A39" s="554" t="s">
        <v>879</v>
      </c>
      <c r="B39" s="554"/>
      <c r="C39" s="359">
        <f>C23-C36*0.5</f>
        <v>33209272.912999995</v>
      </c>
      <c r="D39" s="360"/>
      <c r="E39" s="555" t="s">
        <v>880</v>
      </c>
      <c r="F39" s="555"/>
      <c r="G39" s="361">
        <f>G23-G36*0.5</f>
        <v>34131370.500389993</v>
      </c>
    </row>
    <row r="40" spans="1:7" ht="13.8" thickTop="1"/>
  </sheetData>
  <mergeCells count="3">
    <mergeCell ref="A23:B23"/>
    <mergeCell ref="A39:B39"/>
    <mergeCell ref="E39:F39"/>
  </mergeCells>
  <pageMargins left="0.7" right="0.7" top="0.75" bottom="0.75" header="0.3" footer="0.3"/>
  <pageSetup scale="76" orientation="portrait" horizontalDpi="200" verticalDpi="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workbookViewId="0">
      <pane ySplit="9" topLeftCell="A10" activePane="bottomLeft" state="frozen"/>
      <selection activeCell="G50" sqref="G50"/>
      <selection pane="bottomLeft" sqref="A1:A4"/>
    </sheetView>
  </sheetViews>
  <sheetFormatPr defaultColWidth="9.109375" defaultRowHeight="13.2"/>
  <cols>
    <col min="1" max="1" width="4.5546875" style="248" customWidth="1"/>
    <col min="2" max="2" width="12.33203125" style="248" bestFit="1" customWidth="1"/>
    <col min="3" max="4" width="17.33203125" style="248" bestFit="1" customWidth="1"/>
    <col min="5" max="5" width="16.88671875" style="248" bestFit="1" customWidth="1"/>
    <col min="6" max="6" width="11.5546875" style="283" customWidth="1"/>
    <col min="7" max="16384" width="9.109375" style="248"/>
  </cols>
  <sheetData>
    <row r="1" spans="1:7">
      <c r="A1" s="230" t="s">
        <v>0</v>
      </c>
    </row>
    <row r="2" spans="1:7">
      <c r="A2" s="282" t="s">
        <v>964</v>
      </c>
    </row>
    <row r="3" spans="1:7">
      <c r="A3" s="230" t="s">
        <v>107</v>
      </c>
    </row>
    <row r="4" spans="1:7">
      <c r="A4" s="282" t="s">
        <v>962</v>
      </c>
    </row>
    <row r="7" spans="1:7" ht="51" customHeight="1">
      <c r="A7" s="552" t="s">
        <v>418</v>
      </c>
      <c r="B7" s="556" t="s">
        <v>134</v>
      </c>
      <c r="C7" s="545" t="s">
        <v>829</v>
      </c>
      <c r="D7" s="545" t="s">
        <v>830</v>
      </c>
      <c r="E7" s="545" t="s">
        <v>831</v>
      </c>
      <c r="F7" s="285" t="s">
        <v>790</v>
      </c>
      <c r="G7" s="283"/>
    </row>
    <row r="8" spans="1:7">
      <c r="A8" s="552"/>
      <c r="B8" s="557"/>
      <c r="C8" s="546"/>
      <c r="D8" s="546"/>
      <c r="E8" s="546"/>
      <c r="F8" s="286">
        <v>0.99</v>
      </c>
      <c r="G8" s="283"/>
    </row>
    <row r="9" spans="1:7">
      <c r="B9" s="287" t="s">
        <v>791</v>
      </c>
      <c r="C9" s="287" t="s">
        <v>792</v>
      </c>
      <c r="D9" s="287" t="s">
        <v>793</v>
      </c>
      <c r="E9" s="287" t="s">
        <v>794</v>
      </c>
      <c r="F9" s="289" t="s">
        <v>795</v>
      </c>
    </row>
    <row r="10" spans="1:7">
      <c r="A10" s="248">
        <v>1</v>
      </c>
      <c r="B10" s="248" t="s">
        <v>731</v>
      </c>
      <c r="C10" s="309">
        <f>W29_PG_2_of_2!B17</f>
        <v>48176.603888259408</v>
      </c>
      <c r="D10" s="309">
        <f>W29_PG_2_of_2!C17</f>
        <v>1328.5401762487659</v>
      </c>
      <c r="E10" s="309">
        <f>C10+D10</f>
        <v>49505.144064508175</v>
      </c>
      <c r="F10" s="317">
        <f>D10*F$8</f>
        <v>1315.2547744862782</v>
      </c>
    </row>
    <row r="11" spans="1:7">
      <c r="A11" s="248">
        <f>A10+1</f>
        <v>2</v>
      </c>
      <c r="B11" s="248" t="s">
        <v>732</v>
      </c>
      <c r="C11" s="309">
        <f>W29_PG_2_of_2!B18</f>
        <v>443498.6584676053</v>
      </c>
      <c r="D11" s="309">
        <f>W29_PG_2_of_2!C18</f>
        <v>12230.122888139744</v>
      </c>
      <c r="E11" s="309">
        <f t="shared" ref="E11:E40" si="0">C11+D11</f>
        <v>455728.78135574504</v>
      </c>
      <c r="F11" s="317">
        <f t="shared" ref="F11:F40" si="1">D11*F$8</f>
        <v>12107.821659258347</v>
      </c>
    </row>
    <row r="12" spans="1:7">
      <c r="A12" s="248">
        <f t="shared" ref="A12:A40" si="2">A11+1</f>
        <v>3</v>
      </c>
      <c r="B12" s="248" t="s">
        <v>733</v>
      </c>
      <c r="C12" s="309">
        <f>W29_PG_2_of_2!B19</f>
        <v>123197.52215332398</v>
      </c>
      <c r="D12" s="309">
        <f>W29_PG_2_of_2!C19</f>
        <v>3397.3515064409758</v>
      </c>
      <c r="E12" s="309">
        <f t="shared" si="0"/>
        <v>126594.87365976495</v>
      </c>
      <c r="F12" s="317">
        <f t="shared" si="1"/>
        <v>3363.3779913765661</v>
      </c>
    </row>
    <row r="13" spans="1:7">
      <c r="A13" s="248">
        <f t="shared" si="2"/>
        <v>4</v>
      </c>
      <c r="B13" s="248" t="s">
        <v>735</v>
      </c>
      <c r="C13" s="309">
        <f>W29_PG_2_of_2!B20</f>
        <v>439302.43675777904</v>
      </c>
      <c r="D13" s="309">
        <f>W29_PG_2_of_2!C20</f>
        <v>12114.405949210595</v>
      </c>
      <c r="E13" s="309">
        <f t="shared" si="0"/>
        <v>451416.84270698961</v>
      </c>
      <c r="F13" s="317">
        <f t="shared" si="1"/>
        <v>11993.261889718489</v>
      </c>
    </row>
    <row r="14" spans="1:7">
      <c r="A14" s="248">
        <f t="shared" si="2"/>
        <v>5</v>
      </c>
      <c r="B14" s="248" t="s">
        <v>736</v>
      </c>
      <c r="C14" s="309">
        <f>W29_PG_2_of_2!B21</f>
        <v>59068.54901835222</v>
      </c>
      <c r="D14" s="309">
        <f>W29_PG_2_of_2!C21</f>
        <v>1628.9014623283729</v>
      </c>
      <c r="E14" s="309">
        <f t="shared" si="0"/>
        <v>60697.450480680593</v>
      </c>
      <c r="F14" s="317">
        <f t="shared" si="1"/>
        <v>1612.6124477050892</v>
      </c>
    </row>
    <row r="15" spans="1:7">
      <c r="A15" s="248">
        <f t="shared" si="2"/>
        <v>6</v>
      </c>
      <c r="B15" s="248" t="s">
        <v>737</v>
      </c>
      <c r="C15" s="309">
        <f>W29_PG_2_of_2!B22</f>
        <v>10656.829050827926</v>
      </c>
      <c r="D15" s="309">
        <f>W29_PG_2_of_2!C22</f>
        <v>293.87761699180703</v>
      </c>
      <c r="E15" s="309">
        <f t="shared" si="0"/>
        <v>10950.706667819733</v>
      </c>
      <c r="F15" s="317">
        <f t="shared" si="1"/>
        <v>290.93884082188896</v>
      </c>
    </row>
    <row r="16" spans="1:7">
      <c r="A16" s="248">
        <f t="shared" si="2"/>
        <v>7</v>
      </c>
      <c r="B16" s="248" t="s">
        <v>739</v>
      </c>
      <c r="C16" s="309">
        <f>W29_PG_2_of_2!B23</f>
        <v>283187.32337161666</v>
      </c>
      <c r="D16" s="309">
        <f>W29_PG_2_of_2!C23</f>
        <v>7809.303814277986</v>
      </c>
      <c r="E16" s="309">
        <f t="shared" si="0"/>
        <v>290996.62718589464</v>
      </c>
      <c r="F16" s="317">
        <f t="shared" si="1"/>
        <v>7731.2107761352063</v>
      </c>
    </row>
    <row r="17" spans="1:6">
      <c r="A17" s="248">
        <f t="shared" si="2"/>
        <v>8</v>
      </c>
      <c r="B17" s="248" t="s">
        <v>741</v>
      </c>
      <c r="C17" s="309">
        <f>W29_PG_2_of_2!B24</f>
        <v>127928.00340929539</v>
      </c>
      <c r="D17" s="309">
        <f>W29_PG_2_of_2!C24</f>
        <v>3527.8014322208478</v>
      </c>
      <c r="E17" s="309">
        <f t="shared" si="0"/>
        <v>131455.80484151625</v>
      </c>
      <c r="F17" s="317">
        <f t="shared" si="1"/>
        <v>3492.5234178986393</v>
      </c>
    </row>
    <row r="18" spans="1:6">
      <c r="A18" s="248">
        <f t="shared" si="2"/>
        <v>9</v>
      </c>
      <c r="B18" s="248" t="s">
        <v>743</v>
      </c>
      <c r="C18" s="309">
        <f>W29_PG_2_of_2!B25</f>
        <v>60144.461430650408</v>
      </c>
      <c r="D18" s="309">
        <f>W29_PG_2_of_2!C25</f>
        <v>1658.5713176211659</v>
      </c>
      <c r="E18" s="309">
        <f t="shared" si="0"/>
        <v>61803.032748271573</v>
      </c>
      <c r="F18" s="317">
        <f t="shared" si="1"/>
        <v>1641.9856044449543</v>
      </c>
    </row>
    <row r="19" spans="1:6">
      <c r="A19" s="248">
        <f t="shared" si="2"/>
        <v>10</v>
      </c>
      <c r="B19" s="248" t="s">
        <v>745</v>
      </c>
      <c r="C19" s="309">
        <f>W29_PG_2_of_2!B26</f>
        <v>680.60662197192198</v>
      </c>
      <c r="D19" s="309">
        <f>W29_PG_2_of_2!C26</f>
        <v>18.768721091421934</v>
      </c>
      <c r="E19" s="309">
        <f t="shared" si="0"/>
        <v>699.37534306334396</v>
      </c>
      <c r="F19" s="317">
        <f t="shared" si="1"/>
        <v>18.581033880507714</v>
      </c>
    </row>
    <row r="20" spans="1:6">
      <c r="A20" s="248">
        <f t="shared" si="2"/>
        <v>11</v>
      </c>
      <c r="B20" s="248" t="s">
        <v>752</v>
      </c>
      <c r="C20" s="309">
        <f>W29_PG_2_of_2!B28</f>
        <v>3469.2701199759085</v>
      </c>
      <c r="D20" s="309">
        <f>W29_PG_2_of_2!C28</f>
        <v>95.670187698112017</v>
      </c>
      <c r="E20" s="309">
        <f t="shared" si="0"/>
        <v>3564.9403076740205</v>
      </c>
      <c r="F20" s="317">
        <f t="shared" si="1"/>
        <v>94.713485821130902</v>
      </c>
    </row>
    <row r="21" spans="1:6">
      <c r="A21" s="248">
        <f t="shared" si="2"/>
        <v>12</v>
      </c>
      <c r="B21" s="248" t="s">
        <v>753</v>
      </c>
      <c r="C21" s="309">
        <f>W29_PG_2_of_2!B29</f>
        <v>44344.173363168615</v>
      </c>
      <c r="D21" s="309">
        <f>W29_PG_2_of_2!C29</f>
        <v>1222.8553102695332</v>
      </c>
      <c r="E21" s="309">
        <f t="shared" si="0"/>
        <v>45567.028673438152</v>
      </c>
      <c r="F21" s="317">
        <f t="shared" si="1"/>
        <v>1210.6267571668379</v>
      </c>
    </row>
    <row r="22" spans="1:6">
      <c r="A22" s="248">
        <f t="shared" si="2"/>
        <v>13</v>
      </c>
      <c r="B22" s="248" t="s">
        <v>754</v>
      </c>
      <c r="C22" s="309">
        <f>W29_PG_2_of_2!B30</f>
        <v>247.19530457688211</v>
      </c>
      <c r="D22" s="309">
        <f>W29_PG_2_of_2!C30</f>
        <v>6.8167713579842273</v>
      </c>
      <c r="E22" s="309">
        <f t="shared" si="0"/>
        <v>254.01207593486635</v>
      </c>
      <c r="F22" s="317">
        <f t="shared" si="1"/>
        <v>6.7486036444043851</v>
      </c>
    </row>
    <row r="23" spans="1:6">
      <c r="A23" s="248">
        <f t="shared" si="2"/>
        <v>14</v>
      </c>
      <c r="B23" s="248" t="s">
        <v>755</v>
      </c>
      <c r="C23" s="309">
        <f>W29_PG_2_of_2!B31</f>
        <v>135.04313437488</v>
      </c>
      <c r="D23" s="309">
        <f>W29_PG_2_of_2!C31</f>
        <v>3.7240115546482291</v>
      </c>
      <c r="E23" s="309">
        <f t="shared" si="0"/>
        <v>138.76714592952823</v>
      </c>
      <c r="F23" s="317">
        <f t="shared" si="1"/>
        <v>3.6867714391017468</v>
      </c>
    </row>
    <row r="24" spans="1:6">
      <c r="A24" s="248">
        <f t="shared" si="2"/>
        <v>15</v>
      </c>
      <c r="B24" s="248" t="s">
        <v>756</v>
      </c>
      <c r="C24" s="309">
        <f>W29_PG_2_of_2!B32</f>
        <v>26819.634507639985</v>
      </c>
      <c r="D24" s="309">
        <f>W29_PG_2_of_2!C32</f>
        <v>739.59057052568085</v>
      </c>
      <c r="E24" s="309">
        <f t="shared" si="0"/>
        <v>27559.225078165666</v>
      </c>
      <c r="F24" s="317">
        <f t="shared" si="1"/>
        <v>732.19466482042401</v>
      </c>
    </row>
    <row r="25" spans="1:6">
      <c r="A25" s="248">
        <f t="shared" si="2"/>
        <v>16</v>
      </c>
      <c r="B25" s="248" t="s">
        <v>757</v>
      </c>
      <c r="C25" s="309">
        <f>W29_PG_2_of_2!B33</f>
        <v>808.44669750910407</v>
      </c>
      <c r="D25" s="309">
        <f>W29_PG_2_of_2!C33</f>
        <v>22.294097784219773</v>
      </c>
      <c r="E25" s="309">
        <f t="shared" si="0"/>
        <v>830.7407952933238</v>
      </c>
      <c r="F25" s="317">
        <f t="shared" si="1"/>
        <v>22.071156806377573</v>
      </c>
    </row>
    <row r="26" spans="1:6">
      <c r="A26" s="248">
        <f t="shared" si="2"/>
        <v>17</v>
      </c>
      <c r="B26" s="248" t="s">
        <v>758</v>
      </c>
      <c r="C26" s="309">
        <f>W29_PG_2_of_2!B34</f>
        <v>52409.955244556506</v>
      </c>
      <c r="D26" s="309">
        <f>W29_PG_2_of_2!C34</f>
        <v>1445.2810193779867</v>
      </c>
      <c r="E26" s="309">
        <f t="shared" si="0"/>
        <v>53855.236263934494</v>
      </c>
      <c r="F26" s="317">
        <f t="shared" si="1"/>
        <v>1430.8282091842068</v>
      </c>
    </row>
    <row r="27" spans="1:6">
      <c r="A27" s="248">
        <f t="shared" si="2"/>
        <v>18</v>
      </c>
      <c r="B27" s="248" t="s">
        <v>760</v>
      </c>
      <c r="C27" s="309">
        <f>W29_PG_2_of_2!B35</f>
        <v>5540.1406814291322</v>
      </c>
      <c r="D27" s="309">
        <f>W29_PG_2_of_2!C35</f>
        <v>152.7774663075102</v>
      </c>
      <c r="E27" s="309">
        <f t="shared" si="0"/>
        <v>5692.9181477366428</v>
      </c>
      <c r="F27" s="317">
        <f t="shared" si="1"/>
        <v>151.2496916444351</v>
      </c>
    </row>
    <row r="28" spans="1:6">
      <c r="A28" s="248">
        <f t="shared" si="2"/>
        <v>19</v>
      </c>
      <c r="B28" s="248" t="s">
        <v>761</v>
      </c>
      <c r="C28" s="309">
        <f>W29_PG_2_of_2!B36</f>
        <v>1604681.6342457465</v>
      </c>
      <c r="D28" s="309">
        <f>W29_PG_2_of_2!C36</f>
        <v>44251.438439469159</v>
      </c>
      <c r="E28" s="309">
        <f t="shared" si="0"/>
        <v>1648933.0726852156</v>
      </c>
      <c r="F28" s="317">
        <f t="shared" si="1"/>
        <v>43808.924055074465</v>
      </c>
    </row>
    <row r="29" spans="1:6">
      <c r="A29" s="248">
        <f t="shared" si="2"/>
        <v>20</v>
      </c>
      <c r="B29" s="248" t="s">
        <v>762</v>
      </c>
      <c r="C29" s="309">
        <f>W29_PG_2_of_2!B37</f>
        <v>56.550301443337339</v>
      </c>
      <c r="D29" s="309">
        <f>W29_PG_2_of_2!C37</f>
        <v>1.5594571095278298</v>
      </c>
      <c r="E29" s="309">
        <f t="shared" si="0"/>
        <v>58.109758552865166</v>
      </c>
      <c r="F29" s="317">
        <f t="shared" si="1"/>
        <v>1.5438625384325515</v>
      </c>
    </row>
    <row r="30" spans="1:6">
      <c r="A30" s="248">
        <f t="shared" si="2"/>
        <v>21</v>
      </c>
      <c r="B30" s="248" t="s">
        <v>763</v>
      </c>
      <c r="C30" s="309">
        <f>W29_PG_2_of_2!B38</f>
        <v>18896.248536754043</v>
      </c>
      <c r="D30" s="309">
        <f>W29_PG_2_of_2!C38</f>
        <v>521.09163650652476</v>
      </c>
      <c r="E30" s="309">
        <f t="shared" si="0"/>
        <v>19417.340173260567</v>
      </c>
      <c r="F30" s="317">
        <f t="shared" si="1"/>
        <v>515.88072014145951</v>
      </c>
    </row>
    <row r="31" spans="1:6">
      <c r="A31" s="248">
        <f t="shared" si="2"/>
        <v>22</v>
      </c>
      <c r="B31" s="248" t="s">
        <v>764</v>
      </c>
      <c r="C31" s="309">
        <f>W29_PG_2_of_2!B39</f>
        <v>1734.3946029715371</v>
      </c>
      <c r="D31" s="309">
        <f>W29_PG_2_of_2!C39</f>
        <v>47.828462895829993</v>
      </c>
      <c r="E31" s="309">
        <f t="shared" si="0"/>
        <v>1782.223065867367</v>
      </c>
      <c r="F31" s="317">
        <f t="shared" si="1"/>
        <v>47.350178266871694</v>
      </c>
    </row>
    <row r="32" spans="1:6">
      <c r="A32" s="248">
        <f t="shared" si="2"/>
        <v>23</v>
      </c>
      <c r="B32" s="248" t="s">
        <v>765</v>
      </c>
      <c r="C32" s="309">
        <f>W29_PG_2_of_2!B40</f>
        <v>1109.6267555138786</v>
      </c>
      <c r="D32" s="309">
        <f>W29_PG_2_of_2!C40</f>
        <v>30.599577520241347</v>
      </c>
      <c r="E32" s="309">
        <f t="shared" si="0"/>
        <v>1140.22633303412</v>
      </c>
      <c r="F32" s="317">
        <f t="shared" si="1"/>
        <v>30.293581745038932</v>
      </c>
    </row>
    <row r="33" spans="1:8">
      <c r="A33" s="248">
        <f t="shared" si="2"/>
        <v>24</v>
      </c>
      <c r="B33" s="248" t="s">
        <v>766</v>
      </c>
      <c r="C33" s="309">
        <f>W29_PG_2_of_2!B41</f>
        <v>946.70348025127134</v>
      </c>
      <c r="D33" s="309">
        <f>W29_PG_2_of_2!C41</f>
        <v>26.106730383601249</v>
      </c>
      <c r="E33" s="309">
        <f t="shared" si="0"/>
        <v>972.81021063487265</v>
      </c>
      <c r="F33" s="317">
        <f t="shared" si="1"/>
        <v>25.845663079765238</v>
      </c>
    </row>
    <row r="34" spans="1:8">
      <c r="A34" s="248">
        <f t="shared" si="2"/>
        <v>25</v>
      </c>
      <c r="B34" s="248" t="s">
        <v>768</v>
      </c>
      <c r="C34" s="309">
        <f>W29_PG_2_of_2!B42</f>
        <v>4591.7016786091408</v>
      </c>
      <c r="D34" s="309">
        <f>W29_PG_2_of_2!C42</f>
        <v>126.6228763557111</v>
      </c>
      <c r="E34" s="309">
        <f t="shared" si="0"/>
        <v>4718.3245549648518</v>
      </c>
      <c r="F34" s="317">
        <f t="shared" si="1"/>
        <v>125.35664759215399</v>
      </c>
    </row>
    <row r="35" spans="1:8">
      <c r="A35" s="248">
        <f t="shared" si="2"/>
        <v>26</v>
      </c>
      <c r="B35" s="248" t="s">
        <v>769</v>
      </c>
      <c r="C35" s="309">
        <f>W29_PG_2_of_2!B43</f>
        <v>96592.424297313482</v>
      </c>
      <c r="D35" s="309">
        <f>W29_PG_2_of_2!C43</f>
        <v>2663.6770972459844</v>
      </c>
      <c r="E35" s="309">
        <f t="shared" si="0"/>
        <v>99256.10139455946</v>
      </c>
      <c r="F35" s="317">
        <f t="shared" si="1"/>
        <v>2637.0403262735244</v>
      </c>
    </row>
    <row r="36" spans="1:8">
      <c r="A36" s="248">
        <f t="shared" si="2"/>
        <v>27</v>
      </c>
      <c r="B36" s="248" t="s">
        <v>770</v>
      </c>
      <c r="C36" s="309">
        <f>W29_PG_2_of_2!B44</f>
        <v>261.90562866785751</v>
      </c>
      <c r="D36" s="309">
        <f>W29_PG_2_of_2!C44</f>
        <v>7.2224300176487706</v>
      </c>
      <c r="E36" s="309">
        <f t="shared" si="0"/>
        <v>269.12805868550629</v>
      </c>
      <c r="F36" s="317">
        <f t="shared" si="1"/>
        <v>7.1502057174722831</v>
      </c>
    </row>
    <row r="37" spans="1:8">
      <c r="A37" s="248">
        <f t="shared" si="2"/>
        <v>28</v>
      </c>
      <c r="B37" s="248" t="s">
        <v>773</v>
      </c>
      <c r="C37" s="309">
        <f>W29_PG_2_of_2!B45</f>
        <v>1142.6967220284437</v>
      </c>
      <c r="D37" s="309">
        <f>W29_PG_2_of_2!C45</f>
        <v>31.51153011955082</v>
      </c>
      <c r="E37" s="309">
        <f t="shared" si="0"/>
        <v>1174.2082521479945</v>
      </c>
      <c r="F37" s="317">
        <f t="shared" si="1"/>
        <v>31.196414818355311</v>
      </c>
    </row>
    <row r="38" spans="1:8">
      <c r="A38" s="248">
        <f t="shared" si="2"/>
        <v>29</v>
      </c>
      <c r="B38" s="248" t="s">
        <v>775</v>
      </c>
      <c r="C38" s="309">
        <f>W29_PG_2_of_2!B46</f>
        <v>3363.9621168333579</v>
      </c>
      <c r="D38" s="309">
        <f>W29_PG_2_of_2!C46</f>
        <v>92.766165791962152</v>
      </c>
      <c r="E38" s="309">
        <f t="shared" si="0"/>
        <v>3456.7282826253199</v>
      </c>
      <c r="F38" s="317">
        <f t="shared" si="1"/>
        <v>91.838504134042523</v>
      </c>
    </row>
    <row r="39" spans="1:8">
      <c r="A39" s="248">
        <f t="shared" si="2"/>
        <v>30</v>
      </c>
      <c r="B39" s="248" t="s">
        <v>777</v>
      </c>
      <c r="C39" s="309">
        <f>W29_PG_2_of_2!B47</f>
        <v>3435.2261333536399</v>
      </c>
      <c r="D39" s="309">
        <f>W29_PG_2_of_2!C47</f>
        <v>94.731375072542491</v>
      </c>
      <c r="E39" s="309">
        <f t="shared" si="0"/>
        <v>3529.9575084261824</v>
      </c>
      <c r="F39" s="317">
        <f t="shared" si="1"/>
        <v>93.784061321817063</v>
      </c>
    </row>
    <row r="40" spans="1:8">
      <c r="A40" s="248">
        <f t="shared" si="2"/>
        <v>31</v>
      </c>
      <c r="B40" s="248" t="s">
        <v>778</v>
      </c>
      <c r="C40" s="309">
        <f>W29_PG_2_of_2!B48</f>
        <v>44276.397800210907</v>
      </c>
      <c r="D40" s="309">
        <f>W29_PG_2_of_2!C48</f>
        <v>1220.9863001880829</v>
      </c>
      <c r="E40" s="309">
        <f t="shared" si="0"/>
        <v>45497.384100398987</v>
      </c>
      <c r="F40" s="317">
        <f t="shared" si="1"/>
        <v>1208.776437186202</v>
      </c>
    </row>
    <row r="41" spans="1:8">
      <c r="B41" s="294" t="s">
        <v>277</v>
      </c>
      <c r="C41" s="318">
        <f>SUM(C10:C40)</f>
        <v>3510704.32552261</v>
      </c>
      <c r="D41" s="318">
        <f>SUM(D10:D40)</f>
        <v>96812.796398123726</v>
      </c>
      <c r="E41" s="318">
        <f>SUM(E10:E40)</f>
        <v>3607517.1219207351</v>
      </c>
      <c r="F41" s="319">
        <f>SUM(F10:F40)</f>
        <v>95844.668434142455</v>
      </c>
      <c r="G41" s="294"/>
      <c r="H41" s="294"/>
    </row>
    <row r="43" spans="1:8">
      <c r="B43" s="320" t="s">
        <v>832</v>
      </c>
    </row>
    <row r="45" spans="1:8">
      <c r="B45" s="441" t="s">
        <v>2</v>
      </c>
      <c r="C45" s="248" t="s">
        <v>3</v>
      </c>
    </row>
  </sheetData>
  <mergeCells count="5">
    <mergeCell ref="A7:A8"/>
    <mergeCell ref="B7:B8"/>
    <mergeCell ref="C7:C8"/>
    <mergeCell ref="D7:D8"/>
    <mergeCell ref="E7:E8"/>
  </mergeCells>
  <pageMargins left="0.7" right="0.7" top="0.75" bottom="0.75" header="0.3" footer="0.3"/>
  <pageSetup orientation="portrait" horizontalDpi="200" verticalDpi="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4"/>
  <sheetViews>
    <sheetView topLeftCell="A13" workbookViewId="0">
      <selection activeCell="E13" sqref="E13"/>
    </sheetView>
  </sheetViews>
  <sheetFormatPr defaultColWidth="9.109375" defaultRowHeight="13.2"/>
  <cols>
    <col min="1" max="1" width="12.6640625" style="248" bestFit="1" customWidth="1"/>
    <col min="2" max="2" width="19.33203125" style="310" customWidth="1"/>
    <col min="3" max="3" width="15.88671875" style="248" customWidth="1"/>
    <col min="4" max="16384" width="9.109375" style="248"/>
  </cols>
  <sheetData>
    <row r="1" spans="1:4">
      <c r="A1" s="230" t="s">
        <v>0</v>
      </c>
    </row>
    <row r="2" spans="1:4">
      <c r="A2" s="282" t="s">
        <v>964</v>
      </c>
    </row>
    <row r="3" spans="1:4">
      <c r="A3" s="230" t="s">
        <v>107</v>
      </c>
    </row>
    <row r="4" spans="1:4">
      <c r="A4" s="248" t="s">
        <v>881</v>
      </c>
    </row>
    <row r="6" spans="1:4">
      <c r="A6" s="297" t="s">
        <v>802</v>
      </c>
      <c r="B6" s="362" t="s">
        <v>882</v>
      </c>
    </row>
    <row r="8" spans="1:4" ht="39.6">
      <c r="A8" s="297" t="s">
        <v>258</v>
      </c>
      <c r="B8" s="363" t="s">
        <v>804</v>
      </c>
      <c r="C8" s="316" t="s">
        <v>883</v>
      </c>
      <c r="D8" s="355">
        <f>W28_PG_4_of_4!I23</f>
        <v>2.7576459713311793E-2</v>
      </c>
    </row>
    <row r="9" spans="1:4">
      <c r="A9" s="299" t="s">
        <v>809</v>
      </c>
      <c r="B9" s="300">
        <v>1393743.6677989766</v>
      </c>
      <c r="C9" s="293">
        <f>B9*D$8</f>
        <v>38434.516105741895</v>
      </c>
    </row>
    <row r="10" spans="1:4">
      <c r="A10" s="299" t="s">
        <v>810</v>
      </c>
      <c r="B10" s="300">
        <v>227874.52749296528</v>
      </c>
      <c r="C10" s="293">
        <f t="shared" ref="C10:C48" si="0">B10*D$8</f>
        <v>6283.9727270997173</v>
      </c>
    </row>
    <row r="11" spans="1:4">
      <c r="A11" s="299" t="s">
        <v>811</v>
      </c>
      <c r="B11" s="300">
        <v>533461.63918544806</v>
      </c>
      <c r="C11" s="293">
        <f t="shared" si="0"/>
        <v>14710.98340159478</v>
      </c>
    </row>
    <row r="12" spans="1:4">
      <c r="A12" s="299" t="s">
        <v>812</v>
      </c>
      <c r="B12" s="300">
        <v>0</v>
      </c>
      <c r="C12" s="293">
        <f t="shared" si="0"/>
        <v>0</v>
      </c>
    </row>
    <row r="13" spans="1:4">
      <c r="A13" s="299" t="s">
        <v>814</v>
      </c>
      <c r="B13" s="300">
        <v>0</v>
      </c>
      <c r="C13" s="293">
        <f t="shared" si="0"/>
        <v>0</v>
      </c>
    </row>
    <row r="14" spans="1:4">
      <c r="A14" s="299" t="s">
        <v>815</v>
      </c>
      <c r="B14" s="300">
        <v>2037.21</v>
      </c>
      <c r="C14" s="293">
        <f t="shared" si="0"/>
        <v>56.179039492555916</v>
      </c>
    </row>
    <row r="15" spans="1:4">
      <c r="A15" s="299" t="s">
        <v>816</v>
      </c>
      <c r="B15" s="300">
        <v>131324.91</v>
      </c>
      <c r="C15" s="293">
        <f t="shared" si="0"/>
        <v>3621.4760899692969</v>
      </c>
    </row>
    <row r="16" spans="1:4">
      <c r="A16" s="299" t="s">
        <v>817</v>
      </c>
      <c r="B16" s="300">
        <v>0</v>
      </c>
      <c r="C16" s="293">
        <f t="shared" si="0"/>
        <v>0</v>
      </c>
    </row>
    <row r="17" spans="1:3">
      <c r="A17" s="299" t="s">
        <v>731</v>
      </c>
      <c r="B17" s="300">
        <v>48176.603888259408</v>
      </c>
      <c r="C17" s="293">
        <f t="shared" si="0"/>
        <v>1328.5401762487659</v>
      </c>
    </row>
    <row r="18" spans="1:3">
      <c r="A18" s="299" t="s">
        <v>732</v>
      </c>
      <c r="B18" s="300">
        <v>443498.6584676053</v>
      </c>
      <c r="C18" s="293">
        <f t="shared" si="0"/>
        <v>12230.122888139744</v>
      </c>
    </row>
    <row r="19" spans="1:3">
      <c r="A19" s="299" t="s">
        <v>733</v>
      </c>
      <c r="B19" s="300">
        <v>123197.52215332398</v>
      </c>
      <c r="C19" s="293">
        <f t="shared" si="0"/>
        <v>3397.3515064409758</v>
      </c>
    </row>
    <row r="20" spans="1:3">
      <c r="A20" s="299" t="s">
        <v>735</v>
      </c>
      <c r="B20" s="300">
        <v>439302.43675777904</v>
      </c>
      <c r="C20" s="293">
        <f t="shared" si="0"/>
        <v>12114.405949210595</v>
      </c>
    </row>
    <row r="21" spans="1:3">
      <c r="A21" s="299" t="s">
        <v>736</v>
      </c>
      <c r="B21" s="300">
        <v>59068.54901835222</v>
      </c>
      <c r="C21" s="293">
        <f>B21*D$8</f>
        <v>1628.9014623283729</v>
      </c>
    </row>
    <row r="22" spans="1:3">
      <c r="A22" s="299" t="s">
        <v>737</v>
      </c>
      <c r="B22" s="300">
        <v>10656.829050827926</v>
      </c>
      <c r="C22" s="293">
        <f t="shared" si="0"/>
        <v>293.87761699180703</v>
      </c>
    </row>
    <row r="23" spans="1:3">
      <c r="A23" s="299" t="s">
        <v>739</v>
      </c>
      <c r="B23" s="300">
        <v>283187.32337161666</v>
      </c>
      <c r="C23" s="293">
        <f t="shared" si="0"/>
        <v>7809.303814277986</v>
      </c>
    </row>
    <row r="24" spans="1:3">
      <c r="A24" s="299" t="s">
        <v>741</v>
      </c>
      <c r="B24" s="300">
        <v>127928.00340929539</v>
      </c>
      <c r="C24" s="293">
        <f t="shared" si="0"/>
        <v>3527.8014322208478</v>
      </c>
    </row>
    <row r="25" spans="1:3">
      <c r="A25" s="299" t="s">
        <v>743</v>
      </c>
      <c r="B25" s="300">
        <v>60144.461430650408</v>
      </c>
      <c r="C25" s="293">
        <f t="shared" si="0"/>
        <v>1658.5713176211659</v>
      </c>
    </row>
    <row r="26" spans="1:3">
      <c r="A26" s="299" t="s">
        <v>745</v>
      </c>
      <c r="B26" s="300">
        <v>680.60662197192198</v>
      </c>
      <c r="C26" s="293">
        <f t="shared" si="0"/>
        <v>18.768721091421934</v>
      </c>
    </row>
    <row r="27" spans="1:3">
      <c r="A27" s="299" t="s">
        <v>750</v>
      </c>
      <c r="B27" s="300">
        <v>0</v>
      </c>
      <c r="C27" s="293">
        <f t="shared" si="0"/>
        <v>0</v>
      </c>
    </row>
    <row r="28" spans="1:3">
      <c r="A28" s="299" t="s">
        <v>752</v>
      </c>
      <c r="B28" s="300">
        <v>3469.2701199759085</v>
      </c>
      <c r="C28" s="293">
        <f t="shared" si="0"/>
        <v>95.670187698112017</v>
      </c>
    </row>
    <row r="29" spans="1:3">
      <c r="A29" s="299" t="s">
        <v>753</v>
      </c>
      <c r="B29" s="300">
        <v>44344.173363168615</v>
      </c>
      <c r="C29" s="293">
        <f t="shared" si="0"/>
        <v>1222.8553102695332</v>
      </c>
    </row>
    <row r="30" spans="1:3">
      <c r="A30" s="299" t="s">
        <v>754</v>
      </c>
      <c r="B30" s="300">
        <v>247.19530457688211</v>
      </c>
      <c r="C30" s="293">
        <f t="shared" si="0"/>
        <v>6.8167713579842273</v>
      </c>
    </row>
    <row r="31" spans="1:3">
      <c r="A31" s="299" t="s">
        <v>755</v>
      </c>
      <c r="B31" s="300">
        <v>135.04313437488</v>
      </c>
      <c r="C31" s="293">
        <f t="shared" si="0"/>
        <v>3.7240115546482291</v>
      </c>
    </row>
    <row r="32" spans="1:3">
      <c r="A32" s="299" t="s">
        <v>756</v>
      </c>
      <c r="B32" s="300">
        <v>26819.634507639985</v>
      </c>
      <c r="C32" s="293">
        <f t="shared" si="0"/>
        <v>739.59057052568085</v>
      </c>
    </row>
    <row r="33" spans="1:3">
      <c r="A33" s="299" t="s">
        <v>757</v>
      </c>
      <c r="B33" s="300">
        <v>808.44669750910407</v>
      </c>
      <c r="C33" s="293">
        <f t="shared" si="0"/>
        <v>22.294097784219773</v>
      </c>
    </row>
    <row r="34" spans="1:3">
      <c r="A34" s="299" t="s">
        <v>758</v>
      </c>
      <c r="B34" s="300">
        <v>52409.955244556506</v>
      </c>
      <c r="C34" s="293">
        <f t="shared" si="0"/>
        <v>1445.2810193779867</v>
      </c>
    </row>
    <row r="35" spans="1:3">
      <c r="A35" s="299" t="s">
        <v>760</v>
      </c>
      <c r="B35" s="300">
        <v>5540.1406814291322</v>
      </c>
      <c r="C35" s="293">
        <f t="shared" si="0"/>
        <v>152.7774663075102</v>
      </c>
    </row>
    <row r="36" spans="1:3">
      <c r="A36" s="299" t="s">
        <v>761</v>
      </c>
      <c r="B36" s="300">
        <v>1604681.6342457465</v>
      </c>
      <c r="C36" s="293">
        <f>B36*D$8</f>
        <v>44251.438439469159</v>
      </c>
    </row>
    <row r="37" spans="1:3">
      <c r="A37" s="299" t="s">
        <v>762</v>
      </c>
      <c r="B37" s="300">
        <v>56.550301443337339</v>
      </c>
      <c r="C37" s="293">
        <f t="shared" si="0"/>
        <v>1.5594571095278298</v>
      </c>
    </row>
    <row r="38" spans="1:3">
      <c r="A38" s="299" t="s">
        <v>763</v>
      </c>
      <c r="B38" s="300">
        <v>18896.248536754043</v>
      </c>
      <c r="C38" s="293">
        <f t="shared" si="0"/>
        <v>521.09163650652476</v>
      </c>
    </row>
    <row r="39" spans="1:3">
      <c r="A39" s="299" t="s">
        <v>764</v>
      </c>
      <c r="B39" s="300">
        <v>1734.3946029715371</v>
      </c>
      <c r="C39" s="293">
        <f t="shared" si="0"/>
        <v>47.828462895829993</v>
      </c>
    </row>
    <row r="40" spans="1:3">
      <c r="A40" s="299" t="s">
        <v>765</v>
      </c>
      <c r="B40" s="300">
        <v>1109.6267555138786</v>
      </c>
      <c r="C40" s="293">
        <f t="shared" si="0"/>
        <v>30.599577520241347</v>
      </c>
    </row>
    <row r="41" spans="1:3">
      <c r="A41" s="299" t="s">
        <v>766</v>
      </c>
      <c r="B41" s="300">
        <v>946.70348025127134</v>
      </c>
      <c r="C41" s="293">
        <f>B41*D$8</f>
        <v>26.106730383601249</v>
      </c>
    </row>
    <row r="42" spans="1:3">
      <c r="A42" s="299" t="s">
        <v>768</v>
      </c>
      <c r="B42" s="300">
        <v>4591.7016786091408</v>
      </c>
      <c r="C42" s="293">
        <f t="shared" si="0"/>
        <v>126.6228763557111</v>
      </c>
    </row>
    <row r="43" spans="1:3">
      <c r="A43" s="299" t="s">
        <v>769</v>
      </c>
      <c r="B43" s="300">
        <v>96592.424297313482</v>
      </c>
      <c r="C43" s="293">
        <f t="shared" si="0"/>
        <v>2663.6770972459844</v>
      </c>
    </row>
    <row r="44" spans="1:3">
      <c r="A44" s="299" t="s">
        <v>770</v>
      </c>
      <c r="B44" s="300">
        <v>261.90562866785751</v>
      </c>
      <c r="C44" s="293">
        <f t="shared" si="0"/>
        <v>7.2224300176487706</v>
      </c>
    </row>
    <row r="45" spans="1:3">
      <c r="A45" s="299" t="s">
        <v>773</v>
      </c>
      <c r="B45" s="300">
        <v>1142.6967220284437</v>
      </c>
      <c r="C45" s="293">
        <f t="shared" si="0"/>
        <v>31.51153011955082</v>
      </c>
    </row>
    <row r="46" spans="1:3">
      <c r="A46" s="299" t="s">
        <v>775</v>
      </c>
      <c r="B46" s="300">
        <v>3363.9621168333579</v>
      </c>
      <c r="C46" s="293">
        <f t="shared" si="0"/>
        <v>92.766165791962152</v>
      </c>
    </row>
    <row r="47" spans="1:3">
      <c r="A47" s="299" t="s">
        <v>777</v>
      </c>
      <c r="B47" s="300">
        <v>3435.2261333536399</v>
      </c>
      <c r="C47" s="293">
        <f t="shared" si="0"/>
        <v>94.731375072542491</v>
      </c>
    </row>
    <row r="48" spans="1:3">
      <c r="A48" s="299" t="s">
        <v>778</v>
      </c>
      <c r="B48" s="300">
        <v>44276.397800210907</v>
      </c>
      <c r="C48" s="293">
        <f t="shared" si="0"/>
        <v>1220.9863001880829</v>
      </c>
    </row>
    <row r="49" spans="1:3">
      <c r="A49" s="297" t="s">
        <v>277</v>
      </c>
      <c r="B49" s="362">
        <v>5799146.2800000021</v>
      </c>
      <c r="C49" s="341">
        <f>SUM(C9:C48)</f>
        <v>159919.92376202194</v>
      </c>
    </row>
    <row r="51" spans="1:3">
      <c r="A51" s="294" t="s">
        <v>821</v>
      </c>
      <c r="B51" s="364">
        <f>SUM(B17:B48)</f>
        <v>3510704.32552261</v>
      </c>
      <c r="C51" s="364">
        <f>SUM(C17:C48)</f>
        <v>96812.796398123726</v>
      </c>
    </row>
    <row r="54" spans="1:3">
      <c r="A54" s="441" t="s">
        <v>2</v>
      </c>
      <c r="B54" s="248" t="s">
        <v>3</v>
      </c>
    </row>
  </sheetData>
  <pageMargins left="0.7" right="0.7" top="0.75" bottom="0.75" header="0.3" footer="0.3"/>
  <pageSetup scale="98"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Ruler="0" zoomScaleNormal="100" workbookViewId="0">
      <selection sqref="A1:C1"/>
    </sheetView>
  </sheetViews>
  <sheetFormatPr defaultColWidth="13.6640625" defaultRowHeight="13.2"/>
  <cols>
    <col min="1" max="1" width="11" customWidth="1"/>
    <col min="2" max="2" width="8.44140625" customWidth="1"/>
    <col min="4" max="4" width="32.44140625" customWidth="1"/>
    <col min="5" max="5" width="19.109375" customWidth="1"/>
  </cols>
  <sheetData>
    <row r="1" spans="1:6">
      <c r="A1" s="489" t="s">
        <v>0</v>
      </c>
      <c r="B1" s="489"/>
      <c r="C1" s="489"/>
      <c r="D1" s="6"/>
      <c r="E1" s="6"/>
    </row>
    <row r="2" spans="1:6">
      <c r="A2" s="490" t="s">
        <v>105</v>
      </c>
      <c r="B2" s="487"/>
      <c r="C2" s="487"/>
      <c r="D2" s="487"/>
      <c r="E2" s="487"/>
    </row>
    <row r="3" spans="1:6">
      <c r="A3" s="490" t="s">
        <v>146</v>
      </c>
      <c r="B3" s="490"/>
      <c r="C3" s="490"/>
      <c r="D3" s="490"/>
      <c r="E3" s="6"/>
    </row>
    <row r="4" spans="1:6">
      <c r="A4" s="489" t="s">
        <v>107</v>
      </c>
      <c r="B4" s="489"/>
      <c r="C4" s="489"/>
      <c r="D4" s="489"/>
      <c r="E4" s="489"/>
    </row>
    <row r="5" spans="1:6">
      <c r="A5" s="7"/>
      <c r="B5" s="7"/>
      <c r="C5" s="7"/>
      <c r="D5" s="7"/>
      <c r="E5" s="7"/>
    </row>
    <row r="6" spans="1:6">
      <c r="A6" s="29" t="s">
        <v>108</v>
      </c>
      <c r="B6" s="29" t="s">
        <v>147</v>
      </c>
      <c r="C6" s="29" t="s">
        <v>148</v>
      </c>
      <c r="D6" s="29" t="s">
        <v>149</v>
      </c>
      <c r="E6" s="29" t="s">
        <v>150</v>
      </c>
      <c r="F6" s="21"/>
    </row>
    <row r="7" spans="1:6">
      <c r="A7" s="9" t="s">
        <v>120</v>
      </c>
      <c r="B7" s="30">
        <v>117</v>
      </c>
      <c r="C7" s="30">
        <v>1823377</v>
      </c>
      <c r="D7" s="9" t="s">
        <v>151</v>
      </c>
      <c r="E7" s="10">
        <v>181654.85</v>
      </c>
    </row>
    <row r="8" spans="1:6">
      <c r="A8" s="6" t="s">
        <v>121</v>
      </c>
      <c r="B8" s="28">
        <v>117</v>
      </c>
      <c r="C8" s="28">
        <v>1823377</v>
      </c>
      <c r="D8" s="6" t="s">
        <v>151</v>
      </c>
      <c r="E8" s="13">
        <v>174678.06</v>
      </c>
    </row>
    <row r="9" spans="1:6">
      <c r="A9" s="6" t="s">
        <v>122</v>
      </c>
      <c r="B9" s="28">
        <v>117</v>
      </c>
      <c r="C9" s="28">
        <v>1823377</v>
      </c>
      <c r="D9" s="6" t="s">
        <v>151</v>
      </c>
      <c r="E9" s="13">
        <v>162430.62</v>
      </c>
    </row>
    <row r="10" spans="1:6">
      <c r="A10" s="6" t="s">
        <v>123</v>
      </c>
      <c r="B10" s="28">
        <v>117</v>
      </c>
      <c r="C10" s="28">
        <v>1823377</v>
      </c>
      <c r="D10" s="6" t="s">
        <v>151</v>
      </c>
      <c r="E10" s="13">
        <v>150773.68</v>
      </c>
    </row>
    <row r="11" spans="1:6">
      <c r="A11" s="6" t="s">
        <v>124</v>
      </c>
      <c r="B11" s="28">
        <v>117</v>
      </c>
      <c r="C11" s="28">
        <v>1823377</v>
      </c>
      <c r="D11" s="6" t="s">
        <v>151</v>
      </c>
      <c r="E11" s="13">
        <v>143434.57</v>
      </c>
    </row>
    <row r="12" spans="1:6">
      <c r="A12" s="6" t="s">
        <v>125</v>
      </c>
      <c r="B12" s="28">
        <v>117</v>
      </c>
      <c r="C12" s="28">
        <v>1823377</v>
      </c>
      <c r="D12" s="6" t="s">
        <v>151</v>
      </c>
      <c r="E12" s="13">
        <v>135332.12</v>
      </c>
    </row>
    <row r="13" spans="1:6">
      <c r="A13" s="6" t="s">
        <v>126</v>
      </c>
      <c r="B13" s="28">
        <v>117</v>
      </c>
      <c r="C13" s="28">
        <v>1823377</v>
      </c>
      <c r="D13" s="6" t="s">
        <v>151</v>
      </c>
      <c r="E13" s="13">
        <v>127244.14</v>
      </c>
    </row>
    <row r="14" spans="1:6">
      <c r="A14" s="6" t="s">
        <v>127</v>
      </c>
      <c r="B14" s="28">
        <v>117</v>
      </c>
      <c r="C14" s="28">
        <v>1823377</v>
      </c>
      <c r="D14" s="6" t="s">
        <v>151</v>
      </c>
      <c r="E14" s="13">
        <v>119020.02</v>
      </c>
    </row>
    <row r="15" spans="1:6">
      <c r="A15" s="6" t="s">
        <v>128</v>
      </c>
      <c r="B15" s="28">
        <v>117</v>
      </c>
      <c r="C15" s="28">
        <v>1823377</v>
      </c>
      <c r="D15" s="6" t="s">
        <v>151</v>
      </c>
      <c r="E15" s="13">
        <v>112177.01</v>
      </c>
    </row>
    <row r="16" spans="1:6">
      <c r="A16" s="6" t="s">
        <v>129</v>
      </c>
      <c r="B16" s="28">
        <v>117</v>
      </c>
      <c r="C16" s="28">
        <v>1823377</v>
      </c>
      <c r="D16" s="6" t="s">
        <v>151</v>
      </c>
      <c r="E16" s="13">
        <v>109088.2</v>
      </c>
    </row>
    <row r="17" spans="1:5">
      <c r="A17" s="6" t="s">
        <v>130</v>
      </c>
      <c r="B17" s="28">
        <v>117</v>
      </c>
      <c r="C17" s="28">
        <v>1823377</v>
      </c>
      <c r="D17" s="6" t="s">
        <v>151</v>
      </c>
      <c r="E17" s="13">
        <v>104719.54</v>
      </c>
    </row>
    <row r="18" spans="1:5">
      <c r="A18" s="7" t="s">
        <v>131</v>
      </c>
      <c r="B18" s="31">
        <v>117</v>
      </c>
      <c r="C18" s="31">
        <v>1823377</v>
      </c>
      <c r="D18" s="7" t="s">
        <v>151</v>
      </c>
      <c r="E18" s="16">
        <v>100882.99</v>
      </c>
    </row>
    <row r="19" spans="1:5">
      <c r="A19" s="9" t="s">
        <v>143</v>
      </c>
      <c r="B19" s="9"/>
      <c r="C19" s="9"/>
      <c r="D19" s="9"/>
      <c r="E19" s="25">
        <f>SUM(E7:E18)</f>
        <v>1621435.8</v>
      </c>
    </row>
    <row r="20" spans="1:5">
      <c r="A20" s="6"/>
      <c r="B20" s="6"/>
      <c r="C20" s="6"/>
      <c r="D20" s="6"/>
      <c r="E20" s="26"/>
    </row>
    <row r="21" spans="1:5" ht="39.15" customHeight="1">
      <c r="A21" s="490" t="s">
        <v>152</v>
      </c>
      <c r="B21" s="490"/>
      <c r="C21" s="28">
        <v>4111005</v>
      </c>
      <c r="D21" s="6"/>
      <c r="E21" s="27">
        <f>-E19</f>
        <v>-1621435.8</v>
      </c>
    </row>
    <row r="22" spans="1:5">
      <c r="A22" s="490" t="s">
        <v>134</v>
      </c>
      <c r="B22" s="487"/>
      <c r="E22" s="32">
        <v>411.1</v>
      </c>
    </row>
    <row r="24" spans="1:5">
      <c r="A24" s="5" t="s">
        <v>2</v>
      </c>
      <c r="B24" s="489" t="s">
        <v>3</v>
      </c>
      <c r="C24" s="487"/>
    </row>
  </sheetData>
  <mergeCells count="7">
    <mergeCell ref="A22:B22"/>
    <mergeCell ref="B24:C24"/>
    <mergeCell ref="A3:D3"/>
    <mergeCell ref="A1:C1"/>
    <mergeCell ref="A2:E2"/>
    <mergeCell ref="A4:E4"/>
    <mergeCell ref="A21:B21"/>
  </mergeCells>
  <pageMargins left="0.75" right="0.75" top="1" bottom="1" header="0.5" footer="0.5"/>
  <pageSetup scale="92"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pane ySplit="7" topLeftCell="A8" activePane="bottomLeft" state="frozen"/>
      <selection activeCell="G50" sqref="G50"/>
      <selection pane="bottomLeft" activeCell="E44" sqref="E44"/>
    </sheetView>
  </sheetViews>
  <sheetFormatPr defaultColWidth="10.6640625" defaultRowHeight="13.2"/>
  <cols>
    <col min="1" max="1" width="7.88671875" style="365" bestFit="1" customWidth="1"/>
    <col min="2" max="2" width="1.109375" style="315" customWidth="1"/>
    <col min="3" max="3" width="6.33203125" style="315" customWidth="1"/>
    <col min="4" max="4" width="13.6640625" style="315" customWidth="1"/>
    <col min="5" max="5" width="29.6640625" style="315" customWidth="1"/>
    <col min="6" max="6" width="38.6640625" style="315" customWidth="1"/>
    <col min="7" max="7" width="1.109375" style="315" customWidth="1"/>
    <col min="8" max="8" width="15.44140625" style="315" customWidth="1"/>
    <col min="9" max="9" width="4.109375" style="315" customWidth="1"/>
    <col min="10" max="10" width="11.88671875" style="315" bestFit="1" customWidth="1"/>
    <col min="11" max="16384" width="10.6640625" style="315"/>
  </cols>
  <sheetData>
    <row r="1" spans="1:9">
      <c r="A1" s="230" t="s">
        <v>0</v>
      </c>
    </row>
    <row r="2" spans="1:9">
      <c r="A2" s="282" t="s">
        <v>968</v>
      </c>
    </row>
    <row r="3" spans="1:9">
      <c r="A3" s="230" t="s">
        <v>107</v>
      </c>
    </row>
    <row r="4" spans="1:9">
      <c r="A4" s="282" t="s">
        <v>962</v>
      </c>
      <c r="G4" s="560"/>
      <c r="H4" s="560"/>
    </row>
    <row r="5" spans="1:9" ht="15">
      <c r="A5" s="366"/>
      <c r="C5" s="367"/>
      <c r="D5" s="367"/>
      <c r="E5" s="367"/>
      <c r="F5" s="367"/>
      <c r="G5" s="367"/>
      <c r="H5" s="367"/>
      <c r="I5" s="368"/>
    </row>
    <row r="6" spans="1:9" s="370" customFormat="1">
      <c r="A6" s="369" t="s">
        <v>399</v>
      </c>
      <c r="C6" s="558" t="s">
        <v>160</v>
      </c>
      <c r="D6" s="558"/>
      <c r="E6" s="558"/>
      <c r="F6" s="558"/>
      <c r="G6" s="371"/>
      <c r="H6" s="372" t="s">
        <v>150</v>
      </c>
      <c r="I6" s="315"/>
    </row>
    <row r="7" spans="1:9" s="376" customFormat="1" ht="11.4">
      <c r="A7" s="373" t="s">
        <v>884</v>
      </c>
      <c r="B7" s="374"/>
      <c r="C7" s="559" t="s">
        <v>791</v>
      </c>
      <c r="D7" s="559"/>
      <c r="E7" s="559"/>
      <c r="F7" s="559"/>
      <c r="G7" s="375"/>
      <c r="H7" s="375" t="s">
        <v>792</v>
      </c>
    </row>
    <row r="8" spans="1:9" ht="15">
      <c r="A8" s="369">
        <v>1</v>
      </c>
      <c r="B8" s="377"/>
      <c r="C8" s="315" t="s">
        <v>885</v>
      </c>
      <c r="G8" s="378"/>
      <c r="H8" s="379">
        <f>W27_PG_1_of_3!E51</f>
        <v>-944640.96314233623</v>
      </c>
      <c r="I8" s="380"/>
    </row>
    <row r="9" spans="1:9" ht="15">
      <c r="A9" s="369">
        <f>1+A8</f>
        <v>2</v>
      </c>
      <c r="B9" s="377"/>
      <c r="C9" s="315" t="s">
        <v>886</v>
      </c>
      <c r="G9" s="378"/>
      <c r="H9" s="381">
        <f>W27_PG_1_of_3!I51</f>
        <v>-10529.660832634507</v>
      </c>
      <c r="I9" s="380"/>
    </row>
    <row r="10" spans="1:9" ht="15">
      <c r="A10" s="369">
        <f t="shared" ref="A10:A13" si="0">1+A9</f>
        <v>3</v>
      </c>
      <c r="B10" s="377"/>
      <c r="C10" s="315" t="s">
        <v>887</v>
      </c>
      <c r="G10" s="378"/>
      <c r="H10" s="379">
        <f>W28_PG_1_of_4!E50</f>
        <v>-1118106.5639865331</v>
      </c>
      <c r="I10" s="380"/>
    </row>
    <row r="11" spans="1:9" ht="15">
      <c r="A11" s="369">
        <f t="shared" si="0"/>
        <v>4</v>
      </c>
      <c r="B11" s="377"/>
      <c r="C11" s="315" t="s">
        <v>888</v>
      </c>
      <c r="G11" s="378"/>
      <c r="H11" s="382">
        <f>W28_PG_1_of_4!H50</f>
        <v>525218.4505147204</v>
      </c>
      <c r="I11" s="380"/>
    </row>
    <row r="12" spans="1:9" ht="15">
      <c r="A12" s="369">
        <f t="shared" si="0"/>
        <v>5</v>
      </c>
      <c r="B12" s="377"/>
      <c r="C12" s="315" t="s">
        <v>889</v>
      </c>
      <c r="G12" s="383"/>
      <c r="H12" s="384">
        <f>W29_PG_1_of_2!D41</f>
        <v>96812.796398123726</v>
      </c>
      <c r="I12" s="380"/>
    </row>
    <row r="13" spans="1:9" s="380" customFormat="1" ht="15">
      <c r="A13" s="369">
        <f t="shared" si="0"/>
        <v>6</v>
      </c>
      <c r="B13" s="385"/>
      <c r="C13" s="315" t="s">
        <v>890</v>
      </c>
      <c r="D13" s="385"/>
      <c r="E13" s="385"/>
      <c r="F13" s="386"/>
      <c r="G13" s="387"/>
      <c r="H13" s="387">
        <f>SUM(H8:H12)</f>
        <v>-1451245.9410486598</v>
      </c>
      <c r="I13" s="315"/>
    </row>
    <row r="14" spans="1:9" s="380" customFormat="1" ht="15">
      <c r="A14" s="388"/>
      <c r="B14" s="385"/>
      <c r="C14" s="389"/>
      <c r="D14" s="385"/>
      <c r="E14" s="385"/>
      <c r="F14" s="386"/>
      <c r="G14" s="387"/>
      <c r="H14" s="390"/>
      <c r="I14" s="315"/>
    </row>
    <row r="15" spans="1:9" ht="15">
      <c r="A15" s="369">
        <f>1+A13</f>
        <v>7</v>
      </c>
      <c r="B15" s="377"/>
      <c r="C15" s="315" t="s">
        <v>891</v>
      </c>
      <c r="E15" s="391"/>
      <c r="G15" s="392"/>
      <c r="H15" s="392">
        <f>W32_PG_2_of_3!P34</f>
        <v>1777556.3149999995</v>
      </c>
    </row>
    <row r="16" spans="1:9" ht="15">
      <c r="A16" s="393">
        <f>1+A15</f>
        <v>8</v>
      </c>
      <c r="B16" s="385"/>
      <c r="C16" s="315" t="s">
        <v>892</v>
      </c>
      <c r="D16" s="380"/>
      <c r="E16" s="386"/>
      <c r="F16" s="380"/>
      <c r="G16" s="383"/>
      <c r="H16" s="383">
        <f>W32_PG_3_of_3!B16</f>
        <v>53502824.480000094</v>
      </c>
    </row>
    <row r="17" spans="1:10" ht="15">
      <c r="A17" s="369">
        <f>1+A16</f>
        <v>9</v>
      </c>
      <c r="B17" s="377"/>
      <c r="C17" s="315" t="s">
        <v>893</v>
      </c>
      <c r="E17" s="377"/>
      <c r="G17" s="394"/>
      <c r="H17" s="394">
        <f>H15/H16</f>
        <v>3.3223597675006267E-2</v>
      </c>
    </row>
    <row r="18" spans="1:10" ht="15">
      <c r="A18" s="369">
        <f>1+A17</f>
        <v>10</v>
      </c>
      <c r="B18" s="377"/>
      <c r="C18" s="315" t="s">
        <v>894</v>
      </c>
      <c r="D18" s="391"/>
      <c r="E18" s="377"/>
      <c r="G18" s="394"/>
      <c r="H18" s="394">
        <f>1-H17</f>
        <v>0.96677640232499373</v>
      </c>
    </row>
    <row r="19" spans="1:10" ht="15">
      <c r="A19" s="395"/>
      <c r="B19" s="377"/>
      <c r="C19" s="396"/>
      <c r="D19" s="391"/>
      <c r="E19" s="377"/>
      <c r="G19" s="394"/>
      <c r="H19" s="394"/>
    </row>
    <row r="20" spans="1:10" ht="15">
      <c r="A20" s="369">
        <f>1+A18</f>
        <v>11</v>
      </c>
      <c r="B20" s="377"/>
      <c r="C20" s="391" t="s">
        <v>895</v>
      </c>
      <c r="D20" s="377"/>
      <c r="E20" s="391"/>
      <c r="F20" s="377"/>
      <c r="G20" s="390"/>
      <c r="H20" s="387">
        <f>H13*H18</f>
        <v>-1403030.3297757732</v>
      </c>
    </row>
    <row r="21" spans="1:10" ht="15">
      <c r="A21" s="369">
        <f>1+A20</f>
        <v>12</v>
      </c>
      <c r="B21" s="377"/>
      <c r="C21" s="391" t="s">
        <v>896</v>
      </c>
      <c r="D21" s="391"/>
      <c r="E21" s="391"/>
      <c r="F21" s="391"/>
      <c r="G21" s="391"/>
      <c r="H21" s="394">
        <v>6.2E-2</v>
      </c>
    </row>
    <row r="22" spans="1:10" ht="15">
      <c r="A22" s="369">
        <f>1+A21</f>
        <v>13</v>
      </c>
      <c r="B22" s="377"/>
      <c r="C22" s="391" t="s">
        <v>897</v>
      </c>
      <c r="D22" s="391"/>
      <c r="E22" s="391"/>
      <c r="F22" s="391"/>
      <c r="G22" s="390"/>
      <c r="H22" s="390">
        <f>H20*H21</f>
        <v>-86987.880446097945</v>
      </c>
      <c r="J22" s="397"/>
    </row>
    <row r="23" spans="1:10" ht="15">
      <c r="A23" s="369"/>
      <c r="B23" s="377"/>
      <c r="C23" s="391"/>
      <c r="D23" s="391"/>
      <c r="E23" s="391"/>
      <c r="F23" s="391"/>
      <c r="H23" s="398"/>
    </row>
    <row r="24" spans="1:10" ht="15">
      <c r="A24" s="369">
        <f>1+A22</f>
        <v>14</v>
      </c>
      <c r="B24" s="377"/>
      <c r="C24" s="391" t="s">
        <v>898</v>
      </c>
      <c r="E24" s="399"/>
      <c r="F24" s="391"/>
      <c r="G24" s="371"/>
      <c r="H24" s="400">
        <v>0.99</v>
      </c>
    </row>
    <row r="25" spans="1:10" ht="15.6" thickBot="1">
      <c r="A25" s="369">
        <f t="shared" ref="A25" si="1">1+A24</f>
        <v>15</v>
      </c>
      <c r="B25" s="377"/>
      <c r="C25" s="391" t="s">
        <v>899</v>
      </c>
      <c r="D25" s="377"/>
      <c r="F25" s="391"/>
      <c r="G25" s="401"/>
      <c r="H25" s="402">
        <f>H24*H22</f>
        <v>-86118.001641636962</v>
      </c>
    </row>
    <row r="26" spans="1:10" ht="13.8" thickTop="1">
      <c r="A26" s="369"/>
    </row>
    <row r="28" spans="1:10">
      <c r="C28" s="441" t="s">
        <v>2</v>
      </c>
      <c r="D28" s="248" t="s">
        <v>3</v>
      </c>
    </row>
  </sheetData>
  <mergeCells count="3">
    <mergeCell ref="C6:F6"/>
    <mergeCell ref="C7:F7"/>
    <mergeCell ref="G4:H4"/>
  </mergeCells>
  <pageMargins left="0.7" right="0.7" top="0.75" bottom="0.75" header="0.3" footer="0.3"/>
  <pageSetup orientation="portrait" horizontalDpi="200" verticalDpi="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workbookViewId="0">
      <selection activeCell="M44" sqref="M44"/>
    </sheetView>
  </sheetViews>
  <sheetFormatPr defaultRowHeight="13.2"/>
  <cols>
    <col min="1" max="8" width="9.109375" style="248"/>
    <col min="9" max="9" width="11.5546875" style="310" bestFit="1" customWidth="1"/>
    <col min="10" max="10" width="19.109375" style="310" bestFit="1" customWidth="1"/>
    <col min="11" max="11" width="9.109375" style="248"/>
    <col min="12" max="12" width="13.6640625" style="248" bestFit="1" customWidth="1"/>
    <col min="13" max="13" width="27" style="248" bestFit="1" customWidth="1"/>
    <col min="14" max="14" width="9.109375" style="248"/>
    <col min="15" max="15" width="20.33203125" style="248" customWidth="1"/>
    <col min="16" max="16" width="25.33203125" style="248" bestFit="1" customWidth="1"/>
    <col min="17" max="262" width="9.109375" style="248"/>
    <col min="263" max="263" width="9.44140625" style="248" bestFit="1" customWidth="1"/>
    <col min="264" max="264" width="16.5546875" style="248" bestFit="1" customWidth="1"/>
    <col min="265" max="518" width="9.109375" style="248"/>
    <col min="519" max="519" width="9.44140625" style="248" bestFit="1" customWidth="1"/>
    <col min="520" max="520" width="16.5546875" style="248" bestFit="1" customWidth="1"/>
    <col min="521" max="774" width="9.109375" style="248"/>
    <col min="775" max="775" width="9.44140625" style="248" bestFit="1" customWidth="1"/>
    <col min="776" max="776" width="16.5546875" style="248" bestFit="1" customWidth="1"/>
    <col min="777" max="1030" width="9.109375" style="248"/>
    <col min="1031" max="1031" width="9.44140625" style="248" bestFit="1" customWidth="1"/>
    <col min="1032" max="1032" width="16.5546875" style="248" bestFit="1" customWidth="1"/>
    <col min="1033" max="1286" width="9.109375" style="248"/>
    <col min="1287" max="1287" width="9.44140625" style="248" bestFit="1" customWidth="1"/>
    <col min="1288" max="1288" width="16.5546875" style="248" bestFit="1" customWidth="1"/>
    <col min="1289" max="1542" width="9.109375" style="248"/>
    <col min="1543" max="1543" width="9.44140625" style="248" bestFit="1" customWidth="1"/>
    <col min="1544" max="1544" width="16.5546875" style="248" bestFit="1" customWidth="1"/>
    <col min="1545" max="1798" width="9.109375" style="248"/>
    <col min="1799" max="1799" width="9.44140625" style="248" bestFit="1" customWidth="1"/>
    <col min="1800" max="1800" width="16.5546875" style="248" bestFit="1" customWidth="1"/>
    <col min="1801" max="2054" width="9.109375" style="248"/>
    <col min="2055" max="2055" width="9.44140625" style="248" bestFit="1" customWidth="1"/>
    <col min="2056" max="2056" width="16.5546875" style="248" bestFit="1" customWidth="1"/>
    <col min="2057" max="2310" width="9.109375" style="248"/>
    <col min="2311" max="2311" width="9.44140625" style="248" bestFit="1" customWidth="1"/>
    <col min="2312" max="2312" width="16.5546875" style="248" bestFit="1" customWidth="1"/>
    <col min="2313" max="2566" width="9.109375" style="248"/>
    <col min="2567" max="2567" width="9.44140625" style="248" bestFit="1" customWidth="1"/>
    <col min="2568" max="2568" width="16.5546875" style="248" bestFit="1" customWidth="1"/>
    <col min="2569" max="2822" width="9.109375" style="248"/>
    <col min="2823" max="2823" width="9.44140625" style="248" bestFit="1" customWidth="1"/>
    <col min="2824" max="2824" width="16.5546875" style="248" bestFit="1" customWidth="1"/>
    <col min="2825" max="3078" width="9.109375" style="248"/>
    <col min="3079" max="3079" width="9.44140625" style="248" bestFit="1" customWidth="1"/>
    <col min="3080" max="3080" width="16.5546875" style="248" bestFit="1" customWidth="1"/>
    <col min="3081" max="3334" width="9.109375" style="248"/>
    <col min="3335" max="3335" width="9.44140625" style="248" bestFit="1" customWidth="1"/>
    <col min="3336" max="3336" width="16.5546875" style="248" bestFit="1" customWidth="1"/>
    <col min="3337" max="3590" width="9.109375" style="248"/>
    <col min="3591" max="3591" width="9.44140625" style="248" bestFit="1" customWidth="1"/>
    <col min="3592" max="3592" width="16.5546875" style="248" bestFit="1" customWidth="1"/>
    <col min="3593" max="3846" width="9.109375" style="248"/>
    <col min="3847" max="3847" width="9.44140625" style="248" bestFit="1" customWidth="1"/>
    <col min="3848" max="3848" width="16.5546875" style="248" bestFit="1" customWidth="1"/>
    <col min="3849" max="4102" width="9.109375" style="248"/>
    <col min="4103" max="4103" width="9.44140625" style="248" bestFit="1" customWidth="1"/>
    <col min="4104" max="4104" width="16.5546875" style="248" bestFit="1" customWidth="1"/>
    <col min="4105" max="4358" width="9.109375" style="248"/>
    <col min="4359" max="4359" width="9.44140625" style="248" bestFit="1" customWidth="1"/>
    <col min="4360" max="4360" width="16.5546875" style="248" bestFit="1" customWidth="1"/>
    <col min="4361" max="4614" width="9.109375" style="248"/>
    <col min="4615" max="4615" width="9.44140625" style="248" bestFit="1" customWidth="1"/>
    <col min="4616" max="4616" width="16.5546875" style="248" bestFit="1" customWidth="1"/>
    <col min="4617" max="4870" width="9.109375" style="248"/>
    <col min="4871" max="4871" width="9.44140625" style="248" bestFit="1" customWidth="1"/>
    <col min="4872" max="4872" width="16.5546875" style="248" bestFit="1" customWidth="1"/>
    <col min="4873" max="5126" width="9.109375" style="248"/>
    <col min="5127" max="5127" width="9.44140625" style="248" bestFit="1" customWidth="1"/>
    <col min="5128" max="5128" width="16.5546875" style="248" bestFit="1" customWidth="1"/>
    <col min="5129" max="5382" width="9.109375" style="248"/>
    <col min="5383" max="5383" width="9.44140625" style="248" bestFit="1" customWidth="1"/>
    <col min="5384" max="5384" width="16.5546875" style="248" bestFit="1" customWidth="1"/>
    <col min="5385" max="5638" width="9.109375" style="248"/>
    <col min="5639" max="5639" width="9.44140625" style="248" bestFit="1" customWidth="1"/>
    <col min="5640" max="5640" width="16.5546875" style="248" bestFit="1" customWidth="1"/>
    <col min="5641" max="5894" width="9.109375" style="248"/>
    <col min="5895" max="5895" width="9.44140625" style="248" bestFit="1" customWidth="1"/>
    <col min="5896" max="5896" width="16.5546875" style="248" bestFit="1" customWidth="1"/>
    <col min="5897" max="6150" width="9.109375" style="248"/>
    <col min="6151" max="6151" width="9.44140625" style="248" bestFit="1" customWidth="1"/>
    <col min="6152" max="6152" width="16.5546875" style="248" bestFit="1" customWidth="1"/>
    <col min="6153" max="6406" width="9.109375" style="248"/>
    <col min="6407" max="6407" width="9.44140625" style="248" bestFit="1" customWidth="1"/>
    <col min="6408" max="6408" width="16.5546875" style="248" bestFit="1" customWidth="1"/>
    <col min="6409" max="6662" width="9.109375" style="248"/>
    <col min="6663" max="6663" width="9.44140625" style="248" bestFit="1" customWidth="1"/>
    <col min="6664" max="6664" width="16.5546875" style="248" bestFit="1" customWidth="1"/>
    <col min="6665" max="6918" width="9.109375" style="248"/>
    <col min="6919" max="6919" width="9.44140625" style="248" bestFit="1" customWidth="1"/>
    <col min="6920" max="6920" width="16.5546875" style="248" bestFit="1" customWidth="1"/>
    <col min="6921" max="7174" width="9.109375" style="248"/>
    <col min="7175" max="7175" width="9.44140625" style="248" bestFit="1" customWidth="1"/>
    <col min="7176" max="7176" width="16.5546875" style="248" bestFit="1" customWidth="1"/>
    <col min="7177" max="7430" width="9.109375" style="248"/>
    <col min="7431" max="7431" width="9.44140625" style="248" bestFit="1" customWidth="1"/>
    <col min="7432" max="7432" width="16.5546875" style="248" bestFit="1" customWidth="1"/>
    <col min="7433" max="7686" width="9.109375" style="248"/>
    <col min="7687" max="7687" width="9.44140625" style="248" bestFit="1" customWidth="1"/>
    <col min="7688" max="7688" width="16.5546875" style="248" bestFit="1" customWidth="1"/>
    <col min="7689" max="7942" width="9.109375" style="248"/>
    <col min="7943" max="7943" width="9.44140625" style="248" bestFit="1" customWidth="1"/>
    <col min="7944" max="7944" width="16.5546875" style="248" bestFit="1" customWidth="1"/>
    <col min="7945" max="8198" width="9.109375" style="248"/>
    <col min="8199" max="8199" width="9.44140625" style="248" bestFit="1" customWidth="1"/>
    <col min="8200" max="8200" width="16.5546875" style="248" bestFit="1" customWidth="1"/>
    <col min="8201" max="8454" width="9.109375" style="248"/>
    <col min="8455" max="8455" width="9.44140625" style="248" bestFit="1" customWidth="1"/>
    <col min="8456" max="8456" width="16.5546875" style="248" bestFit="1" customWidth="1"/>
    <col min="8457" max="8710" width="9.109375" style="248"/>
    <col min="8711" max="8711" width="9.44140625" style="248" bestFit="1" customWidth="1"/>
    <col min="8712" max="8712" width="16.5546875" style="248" bestFit="1" customWidth="1"/>
    <col min="8713" max="8966" width="9.109375" style="248"/>
    <col min="8967" max="8967" width="9.44140625" style="248" bestFit="1" customWidth="1"/>
    <col min="8968" max="8968" width="16.5546875" style="248" bestFit="1" customWidth="1"/>
    <col min="8969" max="9222" width="9.109375" style="248"/>
    <col min="9223" max="9223" width="9.44140625" style="248" bestFit="1" customWidth="1"/>
    <col min="9224" max="9224" width="16.5546875" style="248" bestFit="1" customWidth="1"/>
    <col min="9225" max="9478" width="9.109375" style="248"/>
    <col min="9479" max="9479" width="9.44140625" style="248" bestFit="1" customWidth="1"/>
    <col min="9480" max="9480" width="16.5546875" style="248" bestFit="1" customWidth="1"/>
    <col min="9481" max="9734" width="9.109375" style="248"/>
    <col min="9735" max="9735" width="9.44140625" style="248" bestFit="1" customWidth="1"/>
    <col min="9736" max="9736" width="16.5546875" style="248" bestFit="1" customWidth="1"/>
    <col min="9737" max="9990" width="9.109375" style="248"/>
    <col min="9991" max="9991" width="9.44140625" style="248" bestFit="1" customWidth="1"/>
    <col min="9992" max="9992" width="16.5546875" style="248" bestFit="1" customWidth="1"/>
    <col min="9993" max="10246" width="9.109375" style="248"/>
    <col min="10247" max="10247" width="9.44140625" style="248" bestFit="1" customWidth="1"/>
    <col min="10248" max="10248" width="16.5546875" style="248" bestFit="1" customWidth="1"/>
    <col min="10249" max="10502" width="9.109375" style="248"/>
    <col min="10503" max="10503" width="9.44140625" style="248" bestFit="1" customWidth="1"/>
    <col min="10504" max="10504" width="16.5546875" style="248" bestFit="1" customWidth="1"/>
    <col min="10505" max="10758" width="9.109375" style="248"/>
    <col min="10759" max="10759" width="9.44140625" style="248" bestFit="1" customWidth="1"/>
    <col min="10760" max="10760" width="16.5546875" style="248" bestFit="1" customWidth="1"/>
    <col min="10761" max="11014" width="9.109375" style="248"/>
    <col min="11015" max="11015" width="9.44140625" style="248" bestFit="1" customWidth="1"/>
    <col min="11016" max="11016" width="16.5546875" style="248" bestFit="1" customWidth="1"/>
    <col min="11017" max="11270" width="9.109375" style="248"/>
    <col min="11271" max="11271" width="9.44140625" style="248" bestFit="1" customWidth="1"/>
    <col min="11272" max="11272" width="16.5546875" style="248" bestFit="1" customWidth="1"/>
    <col min="11273" max="11526" width="9.109375" style="248"/>
    <col min="11527" max="11527" width="9.44140625" style="248" bestFit="1" customWidth="1"/>
    <col min="11528" max="11528" width="16.5546875" style="248" bestFit="1" customWidth="1"/>
    <col min="11529" max="11782" width="9.109375" style="248"/>
    <col min="11783" max="11783" width="9.44140625" style="248" bestFit="1" customWidth="1"/>
    <col min="11784" max="11784" width="16.5546875" style="248" bestFit="1" customWidth="1"/>
    <col min="11785" max="12038" width="9.109375" style="248"/>
    <col min="12039" max="12039" width="9.44140625" style="248" bestFit="1" customWidth="1"/>
    <col min="12040" max="12040" width="16.5546875" style="248" bestFit="1" customWidth="1"/>
    <col min="12041" max="12294" width="9.109375" style="248"/>
    <col min="12295" max="12295" width="9.44140625" style="248" bestFit="1" customWidth="1"/>
    <col min="12296" max="12296" width="16.5546875" style="248" bestFit="1" customWidth="1"/>
    <col min="12297" max="12550" width="9.109375" style="248"/>
    <col min="12551" max="12551" width="9.44140625" style="248" bestFit="1" customWidth="1"/>
    <col min="12552" max="12552" width="16.5546875" style="248" bestFit="1" customWidth="1"/>
    <col min="12553" max="12806" width="9.109375" style="248"/>
    <col min="12807" max="12807" width="9.44140625" style="248" bestFit="1" customWidth="1"/>
    <col min="12808" max="12808" width="16.5546875" style="248" bestFit="1" customWidth="1"/>
    <col min="12809" max="13062" width="9.109375" style="248"/>
    <col min="13063" max="13063" width="9.44140625" style="248" bestFit="1" customWidth="1"/>
    <col min="13064" max="13064" width="16.5546875" style="248" bestFit="1" customWidth="1"/>
    <col min="13065" max="13318" width="9.109375" style="248"/>
    <col min="13319" max="13319" width="9.44140625" style="248" bestFit="1" customWidth="1"/>
    <col min="13320" max="13320" width="16.5546875" style="248" bestFit="1" customWidth="1"/>
    <col min="13321" max="13574" width="9.109375" style="248"/>
    <col min="13575" max="13575" width="9.44140625" style="248" bestFit="1" customWidth="1"/>
    <col min="13576" max="13576" width="16.5546875" style="248" bestFit="1" customWidth="1"/>
    <col min="13577" max="13830" width="9.109375" style="248"/>
    <col min="13831" max="13831" width="9.44140625" style="248" bestFit="1" customWidth="1"/>
    <col min="13832" max="13832" width="16.5546875" style="248" bestFit="1" customWidth="1"/>
    <col min="13833" max="14086" width="9.109375" style="248"/>
    <col min="14087" max="14087" width="9.44140625" style="248" bestFit="1" customWidth="1"/>
    <col min="14088" max="14088" width="16.5546875" style="248" bestFit="1" customWidth="1"/>
    <col min="14089" max="14342" width="9.109375" style="248"/>
    <col min="14343" max="14343" width="9.44140625" style="248" bestFit="1" customWidth="1"/>
    <col min="14344" max="14344" width="16.5546875" style="248" bestFit="1" customWidth="1"/>
    <col min="14345" max="14598" width="9.109375" style="248"/>
    <col min="14599" max="14599" width="9.44140625" style="248" bestFit="1" customWidth="1"/>
    <col min="14600" max="14600" width="16.5546875" style="248" bestFit="1" customWidth="1"/>
    <col min="14601" max="14854" width="9.109375" style="248"/>
    <col min="14855" max="14855" width="9.44140625" style="248" bestFit="1" customWidth="1"/>
    <col min="14856" max="14856" width="16.5546875" style="248" bestFit="1" customWidth="1"/>
    <col min="14857" max="15110" width="9.109375" style="248"/>
    <col min="15111" max="15111" width="9.44140625" style="248" bestFit="1" customWidth="1"/>
    <col min="15112" max="15112" width="16.5546875" style="248" bestFit="1" customWidth="1"/>
    <col min="15113" max="15366" width="9.109375" style="248"/>
    <col min="15367" max="15367" width="9.44140625" style="248" bestFit="1" customWidth="1"/>
    <col min="15368" max="15368" width="16.5546875" style="248" bestFit="1" customWidth="1"/>
    <col min="15369" max="15622" width="9.109375" style="248"/>
    <col min="15623" max="15623" width="9.44140625" style="248" bestFit="1" customWidth="1"/>
    <col min="15624" max="15624" width="16.5546875" style="248" bestFit="1" customWidth="1"/>
    <col min="15625" max="15878" width="9.109375" style="248"/>
    <col min="15879" max="15879" width="9.44140625" style="248" bestFit="1" customWidth="1"/>
    <col min="15880" max="15880" width="16.5546875" style="248" bestFit="1" customWidth="1"/>
    <col min="15881" max="16134" width="9.109375" style="248"/>
    <col min="16135" max="16135" width="9.44140625" style="248" bestFit="1" customWidth="1"/>
    <col min="16136" max="16136" width="16.5546875" style="248" bestFit="1" customWidth="1"/>
    <col min="16137" max="16384" width="9.109375" style="248"/>
  </cols>
  <sheetData>
    <row r="1" spans="1:16">
      <c r="A1" s="230" t="s">
        <v>0</v>
      </c>
    </row>
    <row r="2" spans="1:16">
      <c r="A2" s="282" t="s">
        <v>968</v>
      </c>
    </row>
    <row r="3" spans="1:16">
      <c r="A3" s="230" t="s">
        <v>107</v>
      </c>
    </row>
    <row r="4" spans="1:16">
      <c r="A4" s="248" t="s">
        <v>969</v>
      </c>
    </row>
    <row r="5" spans="1:16" ht="13.8" thickBot="1"/>
    <row r="6" spans="1:16" ht="14.4" thickTop="1" thickBot="1">
      <c r="A6" s="430" t="s">
        <v>433</v>
      </c>
      <c r="B6" s="430" t="s">
        <v>913</v>
      </c>
      <c r="C6" s="430" t="s">
        <v>690</v>
      </c>
      <c r="D6" s="430" t="s">
        <v>914</v>
      </c>
      <c r="E6" s="430" t="s">
        <v>915</v>
      </c>
      <c r="F6" s="430" t="s">
        <v>916</v>
      </c>
      <c r="G6" s="430" t="s">
        <v>917</v>
      </c>
      <c r="H6" s="430" t="s">
        <v>918</v>
      </c>
      <c r="I6" s="431" t="s">
        <v>919</v>
      </c>
      <c r="J6" s="431" t="s">
        <v>920</v>
      </c>
      <c r="L6" s="248" t="s">
        <v>258</v>
      </c>
      <c r="M6" s="248" t="s">
        <v>921</v>
      </c>
      <c r="O6" s="248" t="s">
        <v>258</v>
      </c>
      <c r="P6" s="248" t="s">
        <v>922</v>
      </c>
    </row>
    <row r="7" spans="1:16" ht="13.8" thickTop="1">
      <c r="A7" s="248">
        <v>2019</v>
      </c>
      <c r="B7" s="432" t="s">
        <v>923</v>
      </c>
      <c r="C7" s="432" t="s">
        <v>924</v>
      </c>
      <c r="D7" s="432" t="s">
        <v>925</v>
      </c>
      <c r="E7" s="432" t="s">
        <v>926</v>
      </c>
      <c r="F7" s="432" t="s">
        <v>927</v>
      </c>
      <c r="G7" s="432" t="s">
        <v>640</v>
      </c>
      <c r="H7" s="432" t="s">
        <v>928</v>
      </c>
      <c r="I7" s="310">
        <v>146261.41</v>
      </c>
      <c r="J7" s="310">
        <v>13361.41</v>
      </c>
      <c r="L7" s="433" t="s">
        <v>924</v>
      </c>
      <c r="M7" s="434">
        <v>36</v>
      </c>
      <c r="O7" s="433" t="s">
        <v>924</v>
      </c>
      <c r="P7" s="293">
        <v>1257035.6499999997</v>
      </c>
    </row>
    <row r="8" spans="1:16">
      <c r="A8" s="248">
        <v>2019</v>
      </c>
      <c r="B8" s="432" t="s">
        <v>923</v>
      </c>
      <c r="C8" s="432" t="s">
        <v>924</v>
      </c>
      <c r="D8" s="432" t="s">
        <v>925</v>
      </c>
      <c r="E8" s="432" t="s">
        <v>929</v>
      </c>
      <c r="F8" s="432" t="s">
        <v>930</v>
      </c>
      <c r="G8" s="432" t="s">
        <v>640</v>
      </c>
      <c r="H8" s="432" t="s">
        <v>928</v>
      </c>
      <c r="I8" s="310">
        <v>205593.65</v>
      </c>
      <c r="J8" s="310">
        <v>72693.649999999994</v>
      </c>
      <c r="L8" s="435" t="s">
        <v>931</v>
      </c>
      <c r="M8" s="434">
        <v>2</v>
      </c>
      <c r="O8" s="435" t="s">
        <v>931</v>
      </c>
      <c r="P8" s="293">
        <v>9740.33</v>
      </c>
    </row>
    <row r="9" spans="1:16">
      <c r="A9" s="248">
        <v>2019</v>
      </c>
      <c r="B9" s="432" t="s">
        <v>923</v>
      </c>
      <c r="C9" s="432" t="s">
        <v>924</v>
      </c>
      <c r="D9" s="432" t="s">
        <v>925</v>
      </c>
      <c r="E9" s="432" t="s">
        <v>932</v>
      </c>
      <c r="F9" s="432" t="s">
        <v>930</v>
      </c>
      <c r="G9" s="432" t="s">
        <v>640</v>
      </c>
      <c r="H9" s="432" t="s">
        <v>928</v>
      </c>
      <c r="I9" s="310">
        <v>152013.21</v>
      </c>
      <c r="J9" s="310">
        <v>19113.21</v>
      </c>
      <c r="L9" s="435" t="s">
        <v>933</v>
      </c>
      <c r="M9" s="434">
        <v>8</v>
      </c>
      <c r="O9" s="435" t="s">
        <v>933</v>
      </c>
      <c r="P9" s="293">
        <v>55008.390000000014</v>
      </c>
    </row>
    <row r="10" spans="1:16">
      <c r="A10" s="248">
        <v>2019</v>
      </c>
      <c r="B10" s="432" t="s">
        <v>923</v>
      </c>
      <c r="C10" s="432" t="s">
        <v>924</v>
      </c>
      <c r="D10" s="432" t="s">
        <v>925</v>
      </c>
      <c r="E10" s="432" t="s">
        <v>934</v>
      </c>
      <c r="F10" s="432" t="s">
        <v>930</v>
      </c>
      <c r="G10" s="432" t="s">
        <v>640</v>
      </c>
      <c r="H10" s="432" t="s">
        <v>928</v>
      </c>
      <c r="I10" s="310">
        <v>367530.74</v>
      </c>
      <c r="J10" s="310">
        <v>234630.74</v>
      </c>
      <c r="L10" s="435" t="s">
        <v>935</v>
      </c>
      <c r="M10" s="434">
        <v>1</v>
      </c>
      <c r="O10" s="435" t="s">
        <v>935</v>
      </c>
      <c r="P10" s="293">
        <v>248346.04</v>
      </c>
    </row>
    <row r="11" spans="1:16">
      <c r="A11" s="248">
        <v>2019</v>
      </c>
      <c r="B11" s="432" t="s">
        <v>923</v>
      </c>
      <c r="C11" s="432" t="s">
        <v>924</v>
      </c>
      <c r="D11" s="432" t="s">
        <v>925</v>
      </c>
      <c r="E11" s="432" t="s">
        <v>932</v>
      </c>
      <c r="F11" s="432" t="s">
        <v>930</v>
      </c>
      <c r="G11" s="432" t="s">
        <v>640</v>
      </c>
      <c r="H11" s="432" t="s">
        <v>928</v>
      </c>
      <c r="I11" s="310">
        <v>359455.32</v>
      </c>
      <c r="J11" s="310">
        <v>226555.32</v>
      </c>
      <c r="L11" s="435" t="s">
        <v>936</v>
      </c>
      <c r="M11" s="434">
        <v>2</v>
      </c>
      <c r="O11" s="435" t="s">
        <v>936</v>
      </c>
      <c r="P11" s="293">
        <v>9653.82</v>
      </c>
    </row>
    <row r="12" spans="1:16">
      <c r="A12" s="248">
        <v>2019</v>
      </c>
      <c r="B12" s="432" t="s">
        <v>923</v>
      </c>
      <c r="C12" s="432" t="s">
        <v>924</v>
      </c>
      <c r="D12" s="432" t="s">
        <v>925</v>
      </c>
      <c r="E12" s="432" t="s">
        <v>937</v>
      </c>
      <c r="F12" s="432" t="s">
        <v>930</v>
      </c>
      <c r="G12" s="432" t="s">
        <v>640</v>
      </c>
      <c r="H12" s="432" t="s">
        <v>928</v>
      </c>
      <c r="I12" s="310">
        <v>145678.15</v>
      </c>
      <c r="J12" s="310">
        <v>12778.15</v>
      </c>
      <c r="L12" s="435" t="s">
        <v>938</v>
      </c>
      <c r="M12" s="434">
        <v>5</v>
      </c>
      <c r="O12" s="435" t="s">
        <v>938</v>
      </c>
      <c r="P12" s="293">
        <v>67915.070000000007</v>
      </c>
    </row>
    <row r="13" spans="1:16">
      <c r="A13" s="248">
        <v>2019</v>
      </c>
      <c r="B13" s="432" t="s">
        <v>923</v>
      </c>
      <c r="C13" s="432" t="s">
        <v>924</v>
      </c>
      <c r="D13" s="432" t="s">
        <v>925</v>
      </c>
      <c r="E13" s="432" t="s">
        <v>929</v>
      </c>
      <c r="F13" s="432" t="s">
        <v>930</v>
      </c>
      <c r="G13" s="432" t="s">
        <v>640</v>
      </c>
      <c r="H13" s="432" t="s">
        <v>928</v>
      </c>
      <c r="I13" s="310">
        <v>148909.01</v>
      </c>
      <c r="J13" s="310">
        <v>16009.01</v>
      </c>
      <c r="L13" s="435" t="s">
        <v>939</v>
      </c>
      <c r="M13" s="434">
        <v>2</v>
      </c>
      <c r="O13" s="435" t="s">
        <v>939</v>
      </c>
      <c r="P13" s="293">
        <v>26715.8</v>
      </c>
    </row>
    <row r="14" spans="1:16">
      <c r="A14" s="248">
        <v>2019</v>
      </c>
      <c r="B14" s="432" t="s">
        <v>923</v>
      </c>
      <c r="C14" s="432" t="s">
        <v>924</v>
      </c>
      <c r="D14" s="432" t="s">
        <v>925</v>
      </c>
      <c r="E14" s="432" t="s">
        <v>940</v>
      </c>
      <c r="F14" s="432" t="s">
        <v>930</v>
      </c>
      <c r="G14" s="432" t="s">
        <v>640</v>
      </c>
      <c r="H14" s="432" t="s">
        <v>928</v>
      </c>
      <c r="I14" s="310">
        <v>206757.02</v>
      </c>
      <c r="J14" s="310">
        <v>73857.02</v>
      </c>
      <c r="L14" s="435" t="s">
        <v>940</v>
      </c>
      <c r="M14" s="434">
        <v>1</v>
      </c>
      <c r="O14" s="435" t="s">
        <v>940</v>
      </c>
      <c r="P14" s="293">
        <v>73857.02</v>
      </c>
    </row>
    <row r="15" spans="1:16">
      <c r="A15" s="248">
        <v>2019</v>
      </c>
      <c r="B15" s="432" t="s">
        <v>923</v>
      </c>
      <c r="C15" s="432" t="s">
        <v>924</v>
      </c>
      <c r="D15" s="432" t="s">
        <v>925</v>
      </c>
      <c r="E15" s="432" t="s">
        <v>935</v>
      </c>
      <c r="F15" s="432" t="s">
        <v>930</v>
      </c>
      <c r="G15" s="432" t="s">
        <v>640</v>
      </c>
      <c r="H15" s="432" t="s">
        <v>928</v>
      </c>
      <c r="I15" s="310">
        <v>381246.04</v>
      </c>
      <c r="J15" s="310">
        <v>248346.04</v>
      </c>
      <c r="L15" s="435" t="s">
        <v>941</v>
      </c>
      <c r="M15" s="434">
        <v>1</v>
      </c>
      <c r="O15" s="435" t="s">
        <v>941</v>
      </c>
      <c r="P15" s="293">
        <v>30786.37</v>
      </c>
    </row>
    <row r="16" spans="1:16">
      <c r="A16" s="248">
        <v>2019</v>
      </c>
      <c r="B16" s="432" t="s">
        <v>923</v>
      </c>
      <c r="C16" s="432" t="s">
        <v>924</v>
      </c>
      <c r="D16" s="432" t="s">
        <v>567</v>
      </c>
      <c r="E16" s="432" t="s">
        <v>931</v>
      </c>
      <c r="F16" s="432" t="s">
        <v>942</v>
      </c>
      <c r="G16" s="432" t="s">
        <v>640</v>
      </c>
      <c r="H16" s="432" t="s">
        <v>928</v>
      </c>
      <c r="I16" s="310">
        <v>142043.79999999999</v>
      </c>
      <c r="J16" s="310">
        <v>9143.7999999999993</v>
      </c>
      <c r="L16" s="435" t="s">
        <v>934</v>
      </c>
      <c r="M16" s="434">
        <v>1</v>
      </c>
      <c r="O16" s="435" t="s">
        <v>934</v>
      </c>
      <c r="P16" s="293">
        <v>234630.74</v>
      </c>
    </row>
    <row r="17" spans="1:16">
      <c r="A17" s="248">
        <v>2019</v>
      </c>
      <c r="B17" s="432" t="s">
        <v>923</v>
      </c>
      <c r="C17" s="432" t="s">
        <v>924</v>
      </c>
      <c r="D17" s="432" t="s">
        <v>567</v>
      </c>
      <c r="E17" s="432" t="s">
        <v>931</v>
      </c>
      <c r="F17" s="432" t="s">
        <v>942</v>
      </c>
      <c r="G17" s="432" t="s">
        <v>640</v>
      </c>
      <c r="H17" s="432" t="s">
        <v>928</v>
      </c>
      <c r="I17" s="310">
        <v>133496.53</v>
      </c>
      <c r="J17" s="310">
        <v>596.53</v>
      </c>
      <c r="L17" s="435" t="s">
        <v>943</v>
      </c>
      <c r="M17" s="434">
        <v>1</v>
      </c>
      <c r="O17" s="435" t="s">
        <v>943</v>
      </c>
      <c r="P17" s="293">
        <v>12756.89</v>
      </c>
    </row>
    <row r="18" spans="1:16">
      <c r="A18" s="248">
        <v>2019</v>
      </c>
      <c r="B18" s="432" t="s">
        <v>923</v>
      </c>
      <c r="C18" s="432" t="s">
        <v>924</v>
      </c>
      <c r="D18" s="432" t="s">
        <v>925</v>
      </c>
      <c r="E18" s="432" t="s">
        <v>944</v>
      </c>
      <c r="F18" s="432" t="s">
        <v>942</v>
      </c>
      <c r="G18" s="432" t="s">
        <v>640</v>
      </c>
      <c r="H18" s="432" t="s">
        <v>928</v>
      </c>
      <c r="I18" s="310">
        <v>143048.26</v>
      </c>
      <c r="J18" s="310">
        <v>10148.26</v>
      </c>
      <c r="L18" s="435" t="s">
        <v>932</v>
      </c>
      <c r="M18" s="434">
        <v>3</v>
      </c>
      <c r="O18" s="435" t="s">
        <v>932</v>
      </c>
      <c r="P18" s="293">
        <v>311207.96999999997</v>
      </c>
    </row>
    <row r="19" spans="1:16">
      <c r="A19" s="248">
        <v>2019</v>
      </c>
      <c r="B19" s="432" t="s">
        <v>923</v>
      </c>
      <c r="C19" s="432" t="s">
        <v>924</v>
      </c>
      <c r="D19" s="432" t="s">
        <v>925</v>
      </c>
      <c r="E19" s="432" t="s">
        <v>945</v>
      </c>
      <c r="F19" s="432" t="s">
        <v>942</v>
      </c>
      <c r="G19" s="432" t="s">
        <v>640</v>
      </c>
      <c r="H19" s="432" t="s">
        <v>928</v>
      </c>
      <c r="I19" s="310">
        <v>138405.20000000001</v>
      </c>
      <c r="J19" s="310">
        <v>5505.2</v>
      </c>
      <c r="L19" s="435" t="s">
        <v>945</v>
      </c>
      <c r="M19" s="434">
        <v>1</v>
      </c>
      <c r="O19" s="435" t="s">
        <v>945</v>
      </c>
      <c r="P19" s="293">
        <v>5505.2</v>
      </c>
    </row>
    <row r="20" spans="1:16">
      <c r="A20" s="248">
        <v>2019</v>
      </c>
      <c r="B20" s="432" t="s">
        <v>923</v>
      </c>
      <c r="C20" s="432" t="s">
        <v>924</v>
      </c>
      <c r="D20" s="432" t="s">
        <v>925</v>
      </c>
      <c r="E20" s="432" t="s">
        <v>932</v>
      </c>
      <c r="F20" s="432" t="s">
        <v>942</v>
      </c>
      <c r="G20" s="432" t="s">
        <v>640</v>
      </c>
      <c r="H20" s="432" t="s">
        <v>928</v>
      </c>
      <c r="I20" s="310">
        <v>198439.44</v>
      </c>
      <c r="J20" s="310">
        <v>65539.44</v>
      </c>
      <c r="L20" s="435" t="s">
        <v>944</v>
      </c>
      <c r="M20" s="434">
        <v>1</v>
      </c>
      <c r="O20" s="435" t="s">
        <v>944</v>
      </c>
      <c r="P20" s="293">
        <v>10148.26</v>
      </c>
    </row>
    <row r="21" spans="1:16">
      <c r="A21" s="248">
        <v>2019</v>
      </c>
      <c r="B21" s="432" t="s">
        <v>923</v>
      </c>
      <c r="C21" s="432" t="s">
        <v>924</v>
      </c>
      <c r="D21" s="432" t="s">
        <v>567</v>
      </c>
      <c r="E21" s="432" t="s">
        <v>938</v>
      </c>
      <c r="F21" s="432" t="s">
        <v>946</v>
      </c>
      <c r="G21" s="432" t="s">
        <v>640</v>
      </c>
      <c r="H21" s="432" t="s">
        <v>928</v>
      </c>
      <c r="I21" s="310">
        <v>134631.06</v>
      </c>
      <c r="J21" s="310">
        <v>1731.06</v>
      </c>
      <c r="L21" s="435" t="s">
        <v>947</v>
      </c>
      <c r="M21" s="434">
        <v>1</v>
      </c>
      <c r="O21" s="435" t="s">
        <v>947</v>
      </c>
      <c r="P21" s="293">
        <v>5042.79</v>
      </c>
    </row>
    <row r="22" spans="1:16">
      <c r="A22" s="248">
        <v>2019</v>
      </c>
      <c r="B22" s="432" t="s">
        <v>923</v>
      </c>
      <c r="C22" s="432" t="s">
        <v>924</v>
      </c>
      <c r="D22" s="432" t="s">
        <v>567</v>
      </c>
      <c r="E22" s="432" t="s">
        <v>938</v>
      </c>
      <c r="F22" s="432" t="s">
        <v>946</v>
      </c>
      <c r="G22" s="432" t="s">
        <v>640</v>
      </c>
      <c r="H22" s="432" t="s">
        <v>928</v>
      </c>
      <c r="I22" s="310">
        <v>133588.10999999999</v>
      </c>
      <c r="J22" s="310">
        <v>688.11</v>
      </c>
      <c r="L22" s="435" t="s">
        <v>948</v>
      </c>
      <c r="M22" s="434">
        <v>1</v>
      </c>
      <c r="O22" s="435" t="s">
        <v>948</v>
      </c>
      <c r="P22" s="293">
        <v>9690.11</v>
      </c>
    </row>
    <row r="23" spans="1:16">
      <c r="A23" s="248">
        <v>2019</v>
      </c>
      <c r="B23" s="432" t="s">
        <v>923</v>
      </c>
      <c r="C23" s="432" t="s">
        <v>924</v>
      </c>
      <c r="D23" s="432" t="s">
        <v>567</v>
      </c>
      <c r="E23" s="432" t="s">
        <v>938</v>
      </c>
      <c r="F23" s="432" t="s">
        <v>946</v>
      </c>
      <c r="G23" s="432" t="s">
        <v>640</v>
      </c>
      <c r="H23" s="432" t="s">
        <v>928</v>
      </c>
      <c r="I23" s="310">
        <v>164219.76999999999</v>
      </c>
      <c r="J23" s="310">
        <v>31319.77</v>
      </c>
      <c r="L23" s="435" t="s">
        <v>929</v>
      </c>
      <c r="M23" s="434">
        <v>2</v>
      </c>
      <c r="O23" s="435" t="s">
        <v>929</v>
      </c>
      <c r="P23" s="293">
        <v>88702.659999999989</v>
      </c>
    </row>
    <row r="24" spans="1:16">
      <c r="A24" s="248">
        <v>2019</v>
      </c>
      <c r="B24" s="432" t="s">
        <v>923</v>
      </c>
      <c r="C24" s="432" t="s">
        <v>924</v>
      </c>
      <c r="D24" s="432" t="s">
        <v>567</v>
      </c>
      <c r="E24" s="432" t="s">
        <v>938</v>
      </c>
      <c r="F24" s="432" t="s">
        <v>946</v>
      </c>
      <c r="G24" s="432" t="s">
        <v>640</v>
      </c>
      <c r="H24" s="432" t="s">
        <v>928</v>
      </c>
      <c r="I24" s="310">
        <v>137399.47</v>
      </c>
      <c r="J24" s="310">
        <v>4499.47</v>
      </c>
      <c r="L24" s="435" t="s">
        <v>949</v>
      </c>
      <c r="M24" s="434">
        <v>1</v>
      </c>
      <c r="O24" s="435" t="s">
        <v>949</v>
      </c>
      <c r="P24" s="293">
        <v>31188.63</v>
      </c>
    </row>
    <row r="25" spans="1:16">
      <c r="A25" s="248">
        <v>2019</v>
      </c>
      <c r="B25" s="432" t="s">
        <v>923</v>
      </c>
      <c r="C25" s="432" t="s">
        <v>924</v>
      </c>
      <c r="D25" s="432" t="s">
        <v>567</v>
      </c>
      <c r="E25" s="432" t="s">
        <v>938</v>
      </c>
      <c r="F25" s="432" t="s">
        <v>946</v>
      </c>
      <c r="G25" s="432" t="s">
        <v>640</v>
      </c>
      <c r="H25" s="432" t="s">
        <v>928</v>
      </c>
      <c r="I25" s="310">
        <v>162576.66</v>
      </c>
      <c r="J25" s="310">
        <v>29676.66</v>
      </c>
      <c r="L25" s="435" t="s">
        <v>926</v>
      </c>
      <c r="M25" s="434">
        <v>1</v>
      </c>
      <c r="O25" s="435" t="s">
        <v>926</v>
      </c>
      <c r="P25" s="293">
        <v>13361.41</v>
      </c>
    </row>
    <row r="26" spans="1:16">
      <c r="A26" s="248">
        <v>2019</v>
      </c>
      <c r="B26" s="432" t="s">
        <v>923</v>
      </c>
      <c r="C26" s="432" t="s">
        <v>924</v>
      </c>
      <c r="D26" s="432" t="s">
        <v>925</v>
      </c>
      <c r="E26" s="432" t="s">
        <v>949</v>
      </c>
      <c r="F26" s="432" t="s">
        <v>946</v>
      </c>
      <c r="G26" s="432" t="s">
        <v>640</v>
      </c>
      <c r="H26" s="432" t="s">
        <v>928</v>
      </c>
      <c r="I26" s="310">
        <v>164088.63</v>
      </c>
      <c r="J26" s="310">
        <v>31188.63</v>
      </c>
      <c r="L26" s="435" t="s">
        <v>937</v>
      </c>
      <c r="M26" s="434">
        <v>1</v>
      </c>
      <c r="O26" s="435" t="s">
        <v>937</v>
      </c>
      <c r="P26" s="293">
        <v>12778.15</v>
      </c>
    </row>
    <row r="27" spans="1:16">
      <c r="A27" s="248">
        <v>2019</v>
      </c>
      <c r="B27" s="432" t="s">
        <v>923</v>
      </c>
      <c r="C27" s="432" t="s">
        <v>924</v>
      </c>
      <c r="D27" s="432" t="s">
        <v>925</v>
      </c>
      <c r="E27" s="432" t="s">
        <v>947</v>
      </c>
      <c r="F27" s="432" t="s">
        <v>946</v>
      </c>
      <c r="G27" s="432" t="s">
        <v>640</v>
      </c>
      <c r="H27" s="432" t="s">
        <v>928</v>
      </c>
      <c r="I27" s="310">
        <v>137942.79</v>
      </c>
      <c r="J27" s="310">
        <v>5042.79</v>
      </c>
      <c r="L27" s="433" t="s">
        <v>950</v>
      </c>
      <c r="M27" s="434">
        <v>38</v>
      </c>
      <c r="O27" s="433" t="s">
        <v>950</v>
      </c>
      <c r="P27" s="293">
        <v>864593.30999999994</v>
      </c>
    </row>
    <row r="28" spans="1:16">
      <c r="A28" s="248">
        <v>2019</v>
      </c>
      <c r="B28" s="432" t="s">
        <v>923</v>
      </c>
      <c r="C28" s="432" t="s">
        <v>924</v>
      </c>
      <c r="D28" s="432" t="s">
        <v>567</v>
      </c>
      <c r="E28" s="432" t="s">
        <v>939</v>
      </c>
      <c r="F28" s="432" t="s">
        <v>951</v>
      </c>
      <c r="G28" s="432" t="s">
        <v>640</v>
      </c>
      <c r="H28" s="432" t="s">
        <v>928</v>
      </c>
      <c r="I28" s="310">
        <v>157922.1</v>
      </c>
      <c r="J28" s="310">
        <v>25022.1</v>
      </c>
      <c r="L28" s="435" t="s">
        <v>952</v>
      </c>
      <c r="M28" s="434">
        <v>5</v>
      </c>
      <c r="O28" s="435" t="s">
        <v>952</v>
      </c>
      <c r="P28" s="293">
        <v>172865.49</v>
      </c>
    </row>
    <row r="29" spans="1:16">
      <c r="A29" s="248">
        <v>2019</v>
      </c>
      <c r="B29" s="432" t="s">
        <v>923</v>
      </c>
      <c r="C29" s="432" t="s">
        <v>924</v>
      </c>
      <c r="D29" s="432" t="s">
        <v>567</v>
      </c>
      <c r="E29" s="432" t="s">
        <v>933</v>
      </c>
      <c r="F29" s="432" t="s">
        <v>953</v>
      </c>
      <c r="G29" s="432" t="s">
        <v>640</v>
      </c>
      <c r="H29" s="432" t="s">
        <v>928</v>
      </c>
      <c r="I29" s="310">
        <v>135955.54</v>
      </c>
      <c r="J29" s="310">
        <v>3055.54</v>
      </c>
      <c r="L29" s="435" t="s">
        <v>954</v>
      </c>
      <c r="M29" s="434">
        <v>1</v>
      </c>
      <c r="O29" s="435" t="s">
        <v>954</v>
      </c>
      <c r="P29" s="293">
        <v>3582.53</v>
      </c>
    </row>
    <row r="30" spans="1:16">
      <c r="A30" s="248">
        <v>2019</v>
      </c>
      <c r="B30" s="432" t="s">
        <v>923</v>
      </c>
      <c r="C30" s="432" t="s">
        <v>924</v>
      </c>
      <c r="D30" s="432" t="s">
        <v>567</v>
      </c>
      <c r="E30" s="432" t="s">
        <v>933</v>
      </c>
      <c r="F30" s="432" t="s">
        <v>953</v>
      </c>
      <c r="G30" s="432" t="s">
        <v>640</v>
      </c>
      <c r="H30" s="432" t="s">
        <v>928</v>
      </c>
      <c r="I30" s="310">
        <v>141318.26999999999</v>
      </c>
      <c r="J30" s="310">
        <v>8418.27</v>
      </c>
      <c r="L30" s="436" t="s">
        <v>955</v>
      </c>
      <c r="M30" s="437">
        <v>32</v>
      </c>
      <c r="O30" s="436" t="s">
        <v>955</v>
      </c>
      <c r="P30" s="438">
        <v>688145.28999999992</v>
      </c>
    </row>
    <row r="31" spans="1:16">
      <c r="A31" s="248">
        <v>2019</v>
      </c>
      <c r="B31" s="432" t="s">
        <v>923</v>
      </c>
      <c r="C31" s="432" t="s">
        <v>924</v>
      </c>
      <c r="D31" s="432" t="s">
        <v>567</v>
      </c>
      <c r="E31" s="432" t="s">
        <v>933</v>
      </c>
      <c r="F31" s="432" t="s">
        <v>953</v>
      </c>
      <c r="G31" s="432" t="s">
        <v>640</v>
      </c>
      <c r="H31" s="432" t="s">
        <v>928</v>
      </c>
      <c r="I31" s="310">
        <v>136387.69</v>
      </c>
      <c r="J31" s="310">
        <v>3487.69</v>
      </c>
      <c r="L31" s="433" t="s">
        <v>277</v>
      </c>
      <c r="M31" s="434">
        <v>74</v>
      </c>
      <c r="O31" s="433" t="s">
        <v>277</v>
      </c>
      <c r="P31" s="293">
        <v>2121628.9599999995</v>
      </c>
    </row>
    <row r="32" spans="1:16">
      <c r="A32" s="248">
        <v>2019</v>
      </c>
      <c r="B32" s="432" t="s">
        <v>923</v>
      </c>
      <c r="C32" s="432" t="s">
        <v>924</v>
      </c>
      <c r="D32" s="432" t="s">
        <v>567</v>
      </c>
      <c r="E32" s="432" t="s">
        <v>933</v>
      </c>
      <c r="F32" s="432" t="s">
        <v>953</v>
      </c>
      <c r="G32" s="432" t="s">
        <v>640</v>
      </c>
      <c r="H32" s="432" t="s">
        <v>928</v>
      </c>
      <c r="I32" s="310">
        <v>145553.09</v>
      </c>
      <c r="J32" s="310">
        <v>12653.09</v>
      </c>
    </row>
    <row r="33" spans="1:16">
      <c r="A33" s="248">
        <v>2019</v>
      </c>
      <c r="B33" s="432" t="s">
        <v>923</v>
      </c>
      <c r="C33" s="432" t="s">
        <v>924</v>
      </c>
      <c r="D33" s="432" t="s">
        <v>567</v>
      </c>
      <c r="E33" s="432" t="s">
        <v>933</v>
      </c>
      <c r="F33" s="432" t="s">
        <v>953</v>
      </c>
      <c r="G33" s="432" t="s">
        <v>640</v>
      </c>
      <c r="H33" s="432" t="s">
        <v>928</v>
      </c>
      <c r="I33" s="310">
        <v>138188.47</v>
      </c>
      <c r="J33" s="310">
        <v>5288.47</v>
      </c>
      <c r="O33" s="248" t="s">
        <v>956</v>
      </c>
      <c r="P33" s="293">
        <f>P30/-2</f>
        <v>-344072.64499999996</v>
      </c>
    </row>
    <row r="34" spans="1:16" ht="66">
      <c r="A34" s="248">
        <v>2019</v>
      </c>
      <c r="B34" s="432" t="s">
        <v>923</v>
      </c>
      <c r="C34" s="432" t="s">
        <v>924</v>
      </c>
      <c r="D34" s="432" t="s">
        <v>567</v>
      </c>
      <c r="E34" s="432" t="s">
        <v>936</v>
      </c>
      <c r="F34" s="432" t="s">
        <v>953</v>
      </c>
      <c r="G34" s="432" t="s">
        <v>640</v>
      </c>
      <c r="H34" s="432" t="s">
        <v>928</v>
      </c>
      <c r="I34" s="310">
        <v>140715.46</v>
      </c>
      <c r="J34" s="310">
        <v>7815.46</v>
      </c>
      <c r="O34" s="439" t="s">
        <v>891</v>
      </c>
      <c r="P34" s="293">
        <f>SUM(P31:P33)</f>
        <v>1777556.3149999995</v>
      </c>
    </row>
    <row r="35" spans="1:16">
      <c r="A35" s="248">
        <v>2019</v>
      </c>
      <c r="B35" s="432" t="s">
        <v>923</v>
      </c>
      <c r="C35" s="432" t="s">
        <v>924</v>
      </c>
      <c r="D35" s="432" t="s">
        <v>567</v>
      </c>
      <c r="E35" s="432" t="s">
        <v>936</v>
      </c>
      <c r="F35" s="432" t="s">
        <v>953</v>
      </c>
      <c r="G35" s="432" t="s">
        <v>640</v>
      </c>
      <c r="H35" s="432" t="s">
        <v>928</v>
      </c>
      <c r="I35" s="310">
        <v>134738.35999999999</v>
      </c>
      <c r="J35" s="310">
        <v>1838.36</v>
      </c>
    </row>
    <row r="36" spans="1:16">
      <c r="A36" s="248">
        <v>2019</v>
      </c>
      <c r="B36" s="432" t="s">
        <v>923</v>
      </c>
      <c r="C36" s="432" t="s">
        <v>924</v>
      </c>
      <c r="D36" s="432" t="s">
        <v>567</v>
      </c>
      <c r="E36" s="432" t="s">
        <v>933</v>
      </c>
      <c r="F36" s="432" t="s">
        <v>953</v>
      </c>
      <c r="G36" s="432" t="s">
        <v>640</v>
      </c>
      <c r="H36" s="432" t="s">
        <v>928</v>
      </c>
      <c r="I36" s="310">
        <v>135036.69</v>
      </c>
      <c r="J36" s="310">
        <v>2136.69</v>
      </c>
    </row>
    <row r="37" spans="1:16">
      <c r="A37" s="248">
        <v>2019</v>
      </c>
      <c r="B37" s="432" t="s">
        <v>923</v>
      </c>
      <c r="C37" s="432" t="s">
        <v>924</v>
      </c>
      <c r="D37" s="432" t="s">
        <v>567</v>
      </c>
      <c r="E37" s="432" t="s">
        <v>933</v>
      </c>
      <c r="F37" s="432" t="s">
        <v>953</v>
      </c>
      <c r="G37" s="432" t="s">
        <v>640</v>
      </c>
      <c r="H37" s="432" t="s">
        <v>928</v>
      </c>
      <c r="I37" s="310">
        <v>143020.44</v>
      </c>
      <c r="J37" s="310">
        <v>10120.44</v>
      </c>
    </row>
    <row r="38" spans="1:16">
      <c r="A38" s="248">
        <v>2019</v>
      </c>
      <c r="B38" s="432" t="s">
        <v>923</v>
      </c>
      <c r="C38" s="432" t="s">
        <v>924</v>
      </c>
      <c r="D38" s="432" t="s">
        <v>925</v>
      </c>
      <c r="E38" s="432" t="s">
        <v>948</v>
      </c>
      <c r="F38" s="432" t="s">
        <v>953</v>
      </c>
      <c r="G38" s="432" t="s">
        <v>640</v>
      </c>
      <c r="H38" s="432" t="s">
        <v>928</v>
      </c>
      <c r="I38" s="310">
        <v>142590.10999999999</v>
      </c>
      <c r="J38" s="310">
        <v>9690.11</v>
      </c>
    </row>
    <row r="39" spans="1:16">
      <c r="A39" s="248">
        <v>2019</v>
      </c>
      <c r="B39" s="432" t="s">
        <v>923</v>
      </c>
      <c r="C39" s="432" t="s">
        <v>924</v>
      </c>
      <c r="D39" s="432" t="s">
        <v>925</v>
      </c>
      <c r="E39" s="432" t="s">
        <v>941</v>
      </c>
      <c r="F39" s="432" t="s">
        <v>953</v>
      </c>
      <c r="G39" s="432" t="s">
        <v>640</v>
      </c>
      <c r="H39" s="432" t="s">
        <v>928</v>
      </c>
      <c r="I39" s="310">
        <v>163686.37</v>
      </c>
      <c r="J39" s="310">
        <v>30786.37</v>
      </c>
    </row>
    <row r="40" spans="1:16">
      <c r="A40" s="248">
        <v>2019</v>
      </c>
      <c r="B40" s="432" t="s">
        <v>923</v>
      </c>
      <c r="C40" s="432" t="s">
        <v>924</v>
      </c>
      <c r="D40" s="432" t="s">
        <v>925</v>
      </c>
      <c r="E40" s="432" t="s">
        <v>943</v>
      </c>
      <c r="F40" s="432" t="s">
        <v>930</v>
      </c>
      <c r="G40" s="432" t="s">
        <v>957</v>
      </c>
      <c r="H40" s="432" t="s">
        <v>928</v>
      </c>
      <c r="I40" s="310">
        <v>145656.89000000001</v>
      </c>
      <c r="J40" s="310">
        <v>12756.89</v>
      </c>
    </row>
    <row r="41" spans="1:16">
      <c r="A41" s="248">
        <v>2019</v>
      </c>
      <c r="B41" s="432" t="s">
        <v>923</v>
      </c>
      <c r="C41" s="432" t="s">
        <v>924</v>
      </c>
      <c r="D41" s="432" t="s">
        <v>567</v>
      </c>
      <c r="E41" s="432" t="s">
        <v>939</v>
      </c>
      <c r="F41" s="432" t="s">
        <v>953</v>
      </c>
      <c r="G41" s="432" t="s">
        <v>957</v>
      </c>
      <c r="H41" s="432" t="s">
        <v>928</v>
      </c>
      <c r="I41" s="310">
        <v>134593.70000000001</v>
      </c>
      <c r="J41" s="310">
        <v>1693.7</v>
      </c>
    </row>
    <row r="42" spans="1:16">
      <c r="A42" s="248">
        <v>2019</v>
      </c>
      <c r="B42" s="432" t="s">
        <v>923</v>
      </c>
      <c r="C42" s="432" t="s">
        <v>924</v>
      </c>
      <c r="D42" s="432" t="s">
        <v>567</v>
      </c>
      <c r="E42" s="432" t="s">
        <v>933</v>
      </c>
      <c r="F42" s="432" t="s">
        <v>953</v>
      </c>
      <c r="G42" s="432" t="s">
        <v>957</v>
      </c>
      <c r="H42" s="432" t="s">
        <v>928</v>
      </c>
      <c r="I42" s="310">
        <v>142748.20000000001</v>
      </c>
      <c r="J42" s="310">
        <v>9848.2000000000007</v>
      </c>
    </row>
    <row r="43" spans="1:16">
      <c r="A43" s="248">
        <v>2019</v>
      </c>
      <c r="B43" s="432" t="s">
        <v>923</v>
      </c>
      <c r="C43" s="432" t="s">
        <v>950</v>
      </c>
      <c r="D43" s="432" t="s">
        <v>925</v>
      </c>
      <c r="E43" s="432" t="s">
        <v>952</v>
      </c>
      <c r="F43" s="432" t="s">
        <v>958</v>
      </c>
      <c r="G43" s="432" t="s">
        <v>640</v>
      </c>
      <c r="H43" s="432" t="s">
        <v>928</v>
      </c>
      <c r="I43" s="310">
        <v>195300.98</v>
      </c>
      <c r="J43" s="310">
        <v>62400.98</v>
      </c>
    </row>
    <row r="44" spans="1:16">
      <c r="A44" s="248">
        <v>2019</v>
      </c>
      <c r="B44" s="432" t="s">
        <v>923</v>
      </c>
      <c r="C44" s="432" t="s">
        <v>950</v>
      </c>
      <c r="D44" s="432" t="s">
        <v>925</v>
      </c>
      <c r="E44" s="432" t="s">
        <v>952</v>
      </c>
      <c r="F44" s="432" t="s">
        <v>958</v>
      </c>
      <c r="G44" s="432" t="s">
        <v>640</v>
      </c>
      <c r="H44" s="432" t="s">
        <v>928</v>
      </c>
      <c r="I44" s="310">
        <v>140398.95000000001</v>
      </c>
      <c r="J44" s="310">
        <v>7498.95</v>
      </c>
    </row>
    <row r="45" spans="1:16">
      <c r="A45" s="248">
        <v>2019</v>
      </c>
      <c r="B45" s="432" t="s">
        <v>923</v>
      </c>
      <c r="C45" s="432" t="s">
        <v>950</v>
      </c>
      <c r="D45" s="432" t="s">
        <v>925</v>
      </c>
      <c r="E45" s="432" t="s">
        <v>954</v>
      </c>
      <c r="F45" s="432" t="s">
        <v>958</v>
      </c>
      <c r="G45" s="432" t="s">
        <v>640</v>
      </c>
      <c r="H45" s="432" t="s">
        <v>928</v>
      </c>
      <c r="I45" s="310">
        <v>136482.53</v>
      </c>
      <c r="J45" s="310">
        <v>3582.53</v>
      </c>
    </row>
    <row r="46" spans="1:16">
      <c r="A46" s="248">
        <v>2019</v>
      </c>
      <c r="B46" s="432" t="s">
        <v>923</v>
      </c>
      <c r="C46" s="432" t="s">
        <v>950</v>
      </c>
      <c r="D46" s="432" t="s">
        <v>925</v>
      </c>
      <c r="E46" s="432" t="s">
        <v>952</v>
      </c>
      <c r="F46" s="432" t="s">
        <v>958</v>
      </c>
      <c r="G46" s="432" t="s">
        <v>640</v>
      </c>
      <c r="H46" s="432" t="s">
        <v>928</v>
      </c>
      <c r="I46" s="310">
        <v>137302.81</v>
      </c>
      <c r="J46" s="310">
        <v>4402.8100000000004</v>
      </c>
    </row>
    <row r="47" spans="1:16">
      <c r="A47" s="248">
        <v>2019</v>
      </c>
      <c r="B47" s="432" t="s">
        <v>923</v>
      </c>
      <c r="C47" s="432" t="s">
        <v>950</v>
      </c>
      <c r="D47" s="432" t="s">
        <v>925</v>
      </c>
      <c r="E47" s="432" t="s">
        <v>952</v>
      </c>
      <c r="F47" s="432" t="s">
        <v>958</v>
      </c>
      <c r="G47" s="432" t="s">
        <v>640</v>
      </c>
      <c r="H47" s="432" t="s">
        <v>928</v>
      </c>
      <c r="I47" s="310">
        <v>139712.22</v>
      </c>
      <c r="J47" s="310">
        <v>6812.22</v>
      </c>
    </row>
    <row r="48" spans="1:16">
      <c r="A48" s="248">
        <v>2019</v>
      </c>
      <c r="B48" s="432" t="s">
        <v>923</v>
      </c>
      <c r="C48" s="432" t="s">
        <v>950</v>
      </c>
      <c r="D48" s="432" t="s">
        <v>567</v>
      </c>
      <c r="E48" s="432" t="s">
        <v>955</v>
      </c>
      <c r="F48" s="432" t="s">
        <v>959</v>
      </c>
      <c r="G48" s="432" t="s">
        <v>960</v>
      </c>
      <c r="H48" s="432" t="s">
        <v>928</v>
      </c>
      <c r="I48" s="310">
        <v>136074.56</v>
      </c>
      <c r="J48" s="310">
        <v>3174.56</v>
      </c>
    </row>
    <row r="49" spans="1:10">
      <c r="A49" s="248">
        <v>2019</v>
      </c>
      <c r="B49" s="432" t="s">
        <v>923</v>
      </c>
      <c r="C49" s="432" t="s">
        <v>950</v>
      </c>
      <c r="D49" s="432" t="s">
        <v>925</v>
      </c>
      <c r="E49" s="432" t="s">
        <v>955</v>
      </c>
      <c r="F49" s="432" t="s">
        <v>959</v>
      </c>
      <c r="G49" s="432" t="s">
        <v>960</v>
      </c>
      <c r="H49" s="432" t="s">
        <v>928</v>
      </c>
      <c r="I49" s="310">
        <v>152299.41</v>
      </c>
      <c r="J49" s="310">
        <v>19399.41</v>
      </c>
    </row>
    <row r="50" spans="1:10">
      <c r="A50" s="248">
        <v>2019</v>
      </c>
      <c r="B50" s="432" t="s">
        <v>923</v>
      </c>
      <c r="C50" s="432" t="s">
        <v>950</v>
      </c>
      <c r="D50" s="432" t="s">
        <v>925</v>
      </c>
      <c r="E50" s="432" t="s">
        <v>955</v>
      </c>
      <c r="F50" s="432" t="s">
        <v>959</v>
      </c>
      <c r="G50" s="432" t="s">
        <v>960</v>
      </c>
      <c r="H50" s="432" t="s">
        <v>928</v>
      </c>
      <c r="I50" s="310">
        <v>142360.44</v>
      </c>
      <c r="J50" s="310">
        <v>9460.44</v>
      </c>
    </row>
    <row r="51" spans="1:10">
      <c r="A51" s="248">
        <v>2019</v>
      </c>
      <c r="B51" s="432" t="s">
        <v>923</v>
      </c>
      <c r="C51" s="432" t="s">
        <v>950</v>
      </c>
      <c r="D51" s="432" t="s">
        <v>925</v>
      </c>
      <c r="E51" s="432" t="s">
        <v>955</v>
      </c>
      <c r="F51" s="432" t="s">
        <v>959</v>
      </c>
      <c r="G51" s="432" t="s">
        <v>960</v>
      </c>
      <c r="H51" s="432" t="s">
        <v>928</v>
      </c>
      <c r="I51" s="310">
        <v>136015.37</v>
      </c>
      <c r="J51" s="310">
        <v>3115.37</v>
      </c>
    </row>
    <row r="52" spans="1:10">
      <c r="A52" s="248">
        <v>2019</v>
      </c>
      <c r="B52" s="432" t="s">
        <v>923</v>
      </c>
      <c r="C52" s="432" t="s">
        <v>950</v>
      </c>
      <c r="D52" s="432" t="s">
        <v>925</v>
      </c>
      <c r="E52" s="432" t="s">
        <v>955</v>
      </c>
      <c r="F52" s="432" t="s">
        <v>959</v>
      </c>
      <c r="G52" s="432" t="s">
        <v>960</v>
      </c>
      <c r="H52" s="432" t="s">
        <v>928</v>
      </c>
      <c r="I52" s="310">
        <v>139721.85</v>
      </c>
      <c r="J52" s="310">
        <v>6821.85</v>
      </c>
    </row>
    <row r="53" spans="1:10">
      <c r="A53" s="248">
        <v>2019</v>
      </c>
      <c r="B53" s="432" t="s">
        <v>923</v>
      </c>
      <c r="C53" s="432" t="s">
        <v>950</v>
      </c>
      <c r="D53" s="432" t="s">
        <v>925</v>
      </c>
      <c r="E53" s="432" t="s">
        <v>955</v>
      </c>
      <c r="F53" s="432" t="s">
        <v>959</v>
      </c>
      <c r="G53" s="432" t="s">
        <v>960</v>
      </c>
      <c r="H53" s="432" t="s">
        <v>928</v>
      </c>
      <c r="I53" s="310">
        <v>184068.77</v>
      </c>
      <c r="J53" s="310">
        <v>51168.77</v>
      </c>
    </row>
    <row r="54" spans="1:10">
      <c r="A54" s="248">
        <v>2019</v>
      </c>
      <c r="B54" s="432" t="s">
        <v>923</v>
      </c>
      <c r="C54" s="432" t="s">
        <v>950</v>
      </c>
      <c r="D54" s="432" t="s">
        <v>925</v>
      </c>
      <c r="E54" s="432" t="s">
        <v>955</v>
      </c>
      <c r="F54" s="432" t="s">
        <v>959</v>
      </c>
      <c r="G54" s="432" t="s">
        <v>960</v>
      </c>
      <c r="H54" s="432" t="s">
        <v>928</v>
      </c>
      <c r="I54" s="310">
        <v>151927.20000000001</v>
      </c>
      <c r="J54" s="310">
        <v>19027.2</v>
      </c>
    </row>
    <row r="55" spans="1:10">
      <c r="A55" s="248">
        <v>2019</v>
      </c>
      <c r="B55" s="432" t="s">
        <v>923</v>
      </c>
      <c r="C55" s="432" t="s">
        <v>950</v>
      </c>
      <c r="D55" s="432" t="s">
        <v>925</v>
      </c>
      <c r="E55" s="432" t="s">
        <v>955</v>
      </c>
      <c r="F55" s="432" t="s">
        <v>959</v>
      </c>
      <c r="G55" s="432" t="s">
        <v>960</v>
      </c>
      <c r="H55" s="432" t="s">
        <v>928</v>
      </c>
      <c r="I55" s="310">
        <v>144518.39999999999</v>
      </c>
      <c r="J55" s="310">
        <v>11618.4</v>
      </c>
    </row>
    <row r="56" spans="1:10">
      <c r="A56" s="248">
        <v>2019</v>
      </c>
      <c r="B56" s="432" t="s">
        <v>923</v>
      </c>
      <c r="C56" s="432" t="s">
        <v>950</v>
      </c>
      <c r="D56" s="432" t="s">
        <v>925</v>
      </c>
      <c r="E56" s="432" t="s">
        <v>955</v>
      </c>
      <c r="F56" s="432" t="s">
        <v>959</v>
      </c>
      <c r="G56" s="432" t="s">
        <v>960</v>
      </c>
      <c r="H56" s="432" t="s">
        <v>928</v>
      </c>
      <c r="I56" s="310">
        <v>136316.79999999999</v>
      </c>
      <c r="J56" s="310">
        <v>3416.8</v>
      </c>
    </row>
    <row r="57" spans="1:10">
      <c r="A57" s="248">
        <v>2019</v>
      </c>
      <c r="B57" s="432" t="s">
        <v>923</v>
      </c>
      <c r="C57" s="432" t="s">
        <v>950</v>
      </c>
      <c r="D57" s="432" t="s">
        <v>925</v>
      </c>
      <c r="E57" s="432" t="s">
        <v>955</v>
      </c>
      <c r="F57" s="432" t="s">
        <v>959</v>
      </c>
      <c r="G57" s="432" t="s">
        <v>960</v>
      </c>
      <c r="H57" s="432" t="s">
        <v>928</v>
      </c>
      <c r="I57" s="310">
        <v>225409.5</v>
      </c>
      <c r="J57" s="310">
        <v>92509.5</v>
      </c>
    </row>
    <row r="58" spans="1:10">
      <c r="A58" s="248">
        <v>2019</v>
      </c>
      <c r="B58" s="432" t="s">
        <v>923</v>
      </c>
      <c r="C58" s="432" t="s">
        <v>950</v>
      </c>
      <c r="D58" s="432" t="s">
        <v>925</v>
      </c>
      <c r="E58" s="432" t="s">
        <v>955</v>
      </c>
      <c r="F58" s="432" t="s">
        <v>959</v>
      </c>
      <c r="G58" s="432" t="s">
        <v>960</v>
      </c>
      <c r="H58" s="432" t="s">
        <v>928</v>
      </c>
      <c r="I58" s="310">
        <v>158196.03</v>
      </c>
      <c r="J58" s="310">
        <v>25296.03</v>
      </c>
    </row>
    <row r="59" spans="1:10">
      <c r="A59" s="248">
        <v>2019</v>
      </c>
      <c r="B59" s="432" t="s">
        <v>923</v>
      </c>
      <c r="C59" s="432" t="s">
        <v>950</v>
      </c>
      <c r="D59" s="432" t="s">
        <v>925</v>
      </c>
      <c r="E59" s="432" t="s">
        <v>955</v>
      </c>
      <c r="F59" s="432" t="s">
        <v>959</v>
      </c>
      <c r="G59" s="432" t="s">
        <v>960</v>
      </c>
      <c r="H59" s="432" t="s">
        <v>928</v>
      </c>
      <c r="I59" s="310">
        <v>143881.37</v>
      </c>
      <c r="J59" s="310">
        <v>10981.37</v>
      </c>
    </row>
    <row r="60" spans="1:10">
      <c r="A60" s="248">
        <v>2019</v>
      </c>
      <c r="B60" s="432" t="s">
        <v>923</v>
      </c>
      <c r="C60" s="432" t="s">
        <v>950</v>
      </c>
      <c r="D60" s="432" t="s">
        <v>925</v>
      </c>
      <c r="E60" s="432" t="s">
        <v>955</v>
      </c>
      <c r="F60" s="432" t="s">
        <v>959</v>
      </c>
      <c r="G60" s="432" t="s">
        <v>960</v>
      </c>
      <c r="H60" s="432" t="s">
        <v>928</v>
      </c>
      <c r="I60" s="310">
        <v>145555.29</v>
      </c>
      <c r="J60" s="310">
        <v>12655.29</v>
      </c>
    </row>
    <row r="61" spans="1:10">
      <c r="A61" s="248">
        <v>2019</v>
      </c>
      <c r="B61" s="432" t="s">
        <v>923</v>
      </c>
      <c r="C61" s="432" t="s">
        <v>950</v>
      </c>
      <c r="D61" s="432" t="s">
        <v>925</v>
      </c>
      <c r="E61" s="432" t="s">
        <v>955</v>
      </c>
      <c r="F61" s="432" t="s">
        <v>959</v>
      </c>
      <c r="G61" s="432" t="s">
        <v>960</v>
      </c>
      <c r="H61" s="432" t="s">
        <v>928</v>
      </c>
      <c r="I61" s="310">
        <v>143197.13</v>
      </c>
      <c r="J61" s="310">
        <v>10297.129999999999</v>
      </c>
    </row>
    <row r="62" spans="1:10">
      <c r="A62" s="248">
        <v>2019</v>
      </c>
      <c r="B62" s="432" t="s">
        <v>923</v>
      </c>
      <c r="C62" s="432" t="s">
        <v>950</v>
      </c>
      <c r="D62" s="432" t="s">
        <v>925</v>
      </c>
      <c r="E62" s="432" t="s">
        <v>952</v>
      </c>
      <c r="F62" s="432" t="s">
        <v>958</v>
      </c>
      <c r="G62" s="432" t="s">
        <v>957</v>
      </c>
      <c r="H62" s="432" t="s">
        <v>928</v>
      </c>
      <c r="I62" s="310">
        <v>224650.53</v>
      </c>
      <c r="J62" s="310">
        <v>91750.53</v>
      </c>
    </row>
    <row r="63" spans="1:10">
      <c r="A63" s="248">
        <v>2019</v>
      </c>
      <c r="B63" s="432" t="s">
        <v>923</v>
      </c>
      <c r="C63" s="432" t="s">
        <v>950</v>
      </c>
      <c r="D63" s="432" t="s">
        <v>567</v>
      </c>
      <c r="E63" s="432" t="s">
        <v>955</v>
      </c>
      <c r="F63" s="432" t="s">
        <v>959</v>
      </c>
      <c r="G63" s="432" t="s">
        <v>957</v>
      </c>
      <c r="H63" s="432" t="s">
        <v>928</v>
      </c>
      <c r="I63" s="310">
        <v>143525.5</v>
      </c>
      <c r="J63" s="310">
        <v>10625.5</v>
      </c>
    </row>
    <row r="64" spans="1:10">
      <c r="A64" s="248">
        <v>2019</v>
      </c>
      <c r="B64" s="432" t="s">
        <v>923</v>
      </c>
      <c r="C64" s="432" t="s">
        <v>950</v>
      </c>
      <c r="D64" s="432" t="s">
        <v>567</v>
      </c>
      <c r="E64" s="432" t="s">
        <v>955</v>
      </c>
      <c r="F64" s="432" t="s">
        <v>959</v>
      </c>
      <c r="G64" s="432" t="s">
        <v>957</v>
      </c>
      <c r="H64" s="432" t="s">
        <v>928</v>
      </c>
      <c r="I64" s="310">
        <v>153266.97</v>
      </c>
      <c r="J64" s="310">
        <v>20366.97</v>
      </c>
    </row>
    <row r="65" spans="1:10">
      <c r="A65" s="248">
        <v>2019</v>
      </c>
      <c r="B65" s="432" t="s">
        <v>923</v>
      </c>
      <c r="C65" s="432" t="s">
        <v>950</v>
      </c>
      <c r="D65" s="432" t="s">
        <v>567</v>
      </c>
      <c r="E65" s="432" t="s">
        <v>955</v>
      </c>
      <c r="F65" s="432" t="s">
        <v>959</v>
      </c>
      <c r="G65" s="432" t="s">
        <v>957</v>
      </c>
      <c r="H65" s="432" t="s">
        <v>928</v>
      </c>
      <c r="I65" s="310">
        <v>148870.73000000001</v>
      </c>
      <c r="J65" s="310">
        <v>15970.73</v>
      </c>
    </row>
    <row r="66" spans="1:10">
      <c r="A66" s="248">
        <v>2019</v>
      </c>
      <c r="B66" s="432" t="s">
        <v>923</v>
      </c>
      <c r="C66" s="432" t="s">
        <v>950</v>
      </c>
      <c r="D66" s="432" t="s">
        <v>567</v>
      </c>
      <c r="E66" s="432" t="s">
        <v>955</v>
      </c>
      <c r="F66" s="432" t="s">
        <v>959</v>
      </c>
      <c r="G66" s="432" t="s">
        <v>957</v>
      </c>
      <c r="H66" s="432" t="s">
        <v>928</v>
      </c>
      <c r="I66" s="310">
        <v>136935.12</v>
      </c>
      <c r="J66" s="310">
        <v>4035.12</v>
      </c>
    </row>
    <row r="67" spans="1:10">
      <c r="A67" s="248">
        <v>2019</v>
      </c>
      <c r="B67" s="432" t="s">
        <v>923</v>
      </c>
      <c r="C67" s="432" t="s">
        <v>950</v>
      </c>
      <c r="D67" s="432" t="s">
        <v>925</v>
      </c>
      <c r="E67" s="432" t="s">
        <v>955</v>
      </c>
      <c r="F67" s="432" t="s">
        <v>959</v>
      </c>
      <c r="G67" s="432" t="s">
        <v>957</v>
      </c>
      <c r="H67" s="432" t="s">
        <v>928</v>
      </c>
      <c r="I67" s="310">
        <v>158490.76999999999</v>
      </c>
      <c r="J67" s="310">
        <v>25590.77</v>
      </c>
    </row>
    <row r="68" spans="1:10">
      <c r="A68" s="248">
        <v>2019</v>
      </c>
      <c r="B68" s="432" t="s">
        <v>923</v>
      </c>
      <c r="C68" s="432" t="s">
        <v>950</v>
      </c>
      <c r="D68" s="432" t="s">
        <v>925</v>
      </c>
      <c r="E68" s="432" t="s">
        <v>955</v>
      </c>
      <c r="F68" s="432" t="s">
        <v>959</v>
      </c>
      <c r="G68" s="432" t="s">
        <v>957</v>
      </c>
      <c r="H68" s="432" t="s">
        <v>928</v>
      </c>
      <c r="I68" s="310">
        <v>135833.76999999999</v>
      </c>
      <c r="J68" s="310">
        <v>2933.77</v>
      </c>
    </row>
    <row r="69" spans="1:10">
      <c r="A69" s="248">
        <v>2019</v>
      </c>
      <c r="B69" s="432" t="s">
        <v>923</v>
      </c>
      <c r="C69" s="432" t="s">
        <v>950</v>
      </c>
      <c r="D69" s="432" t="s">
        <v>925</v>
      </c>
      <c r="E69" s="432" t="s">
        <v>955</v>
      </c>
      <c r="F69" s="432" t="s">
        <v>959</v>
      </c>
      <c r="G69" s="432" t="s">
        <v>957</v>
      </c>
      <c r="H69" s="432" t="s">
        <v>928</v>
      </c>
      <c r="I69" s="310">
        <v>150032.99</v>
      </c>
      <c r="J69" s="310">
        <v>17132.990000000002</v>
      </c>
    </row>
    <row r="70" spans="1:10">
      <c r="A70" s="248">
        <v>2019</v>
      </c>
      <c r="B70" s="432" t="s">
        <v>923</v>
      </c>
      <c r="C70" s="432" t="s">
        <v>950</v>
      </c>
      <c r="D70" s="432" t="s">
        <v>925</v>
      </c>
      <c r="E70" s="432" t="s">
        <v>955</v>
      </c>
      <c r="F70" s="432" t="s">
        <v>959</v>
      </c>
      <c r="G70" s="432" t="s">
        <v>957</v>
      </c>
      <c r="H70" s="432" t="s">
        <v>928</v>
      </c>
      <c r="I70" s="310">
        <v>138420.29999999999</v>
      </c>
      <c r="J70" s="310">
        <v>5520.3</v>
      </c>
    </row>
    <row r="71" spans="1:10">
      <c r="A71" s="248">
        <v>2019</v>
      </c>
      <c r="B71" s="432" t="s">
        <v>923</v>
      </c>
      <c r="C71" s="432" t="s">
        <v>950</v>
      </c>
      <c r="D71" s="432" t="s">
        <v>925</v>
      </c>
      <c r="E71" s="432" t="s">
        <v>955</v>
      </c>
      <c r="F71" s="432" t="s">
        <v>959</v>
      </c>
      <c r="G71" s="432" t="s">
        <v>957</v>
      </c>
      <c r="H71" s="432" t="s">
        <v>928</v>
      </c>
      <c r="I71" s="310">
        <v>154313.89000000001</v>
      </c>
      <c r="J71" s="310">
        <v>21413.89</v>
      </c>
    </row>
    <row r="72" spans="1:10">
      <c r="A72" s="248">
        <v>2019</v>
      </c>
      <c r="B72" s="432" t="s">
        <v>923</v>
      </c>
      <c r="C72" s="432" t="s">
        <v>950</v>
      </c>
      <c r="D72" s="432" t="s">
        <v>925</v>
      </c>
      <c r="E72" s="432" t="s">
        <v>955</v>
      </c>
      <c r="F72" s="432" t="s">
        <v>959</v>
      </c>
      <c r="G72" s="432" t="s">
        <v>957</v>
      </c>
      <c r="H72" s="432" t="s">
        <v>928</v>
      </c>
      <c r="I72" s="310">
        <v>148482.26</v>
      </c>
      <c r="J72" s="310">
        <v>15582.26</v>
      </c>
    </row>
    <row r="73" spans="1:10">
      <c r="A73" s="248">
        <v>2019</v>
      </c>
      <c r="B73" s="432" t="s">
        <v>923</v>
      </c>
      <c r="C73" s="432" t="s">
        <v>950</v>
      </c>
      <c r="D73" s="432" t="s">
        <v>925</v>
      </c>
      <c r="E73" s="432" t="s">
        <v>955</v>
      </c>
      <c r="F73" s="432" t="s">
        <v>959</v>
      </c>
      <c r="G73" s="432" t="s">
        <v>957</v>
      </c>
      <c r="H73" s="432" t="s">
        <v>928</v>
      </c>
      <c r="I73" s="310">
        <v>151521.64000000001</v>
      </c>
      <c r="J73" s="310">
        <v>18621.64</v>
      </c>
    </row>
    <row r="74" spans="1:10">
      <c r="A74" s="248">
        <v>2019</v>
      </c>
      <c r="B74" s="432" t="s">
        <v>923</v>
      </c>
      <c r="C74" s="432" t="s">
        <v>950</v>
      </c>
      <c r="D74" s="432" t="s">
        <v>925</v>
      </c>
      <c r="E74" s="432" t="s">
        <v>955</v>
      </c>
      <c r="F74" s="432" t="s">
        <v>959</v>
      </c>
      <c r="G74" s="432" t="s">
        <v>957</v>
      </c>
      <c r="H74" s="432" t="s">
        <v>928</v>
      </c>
      <c r="I74" s="310">
        <v>287322.8</v>
      </c>
      <c r="J74" s="310">
        <v>154422.79999999999</v>
      </c>
    </row>
    <row r="75" spans="1:10">
      <c r="A75" s="248">
        <v>2019</v>
      </c>
      <c r="B75" s="432" t="s">
        <v>923</v>
      </c>
      <c r="C75" s="432" t="s">
        <v>950</v>
      </c>
      <c r="D75" s="432" t="s">
        <v>925</v>
      </c>
      <c r="E75" s="432" t="s">
        <v>955</v>
      </c>
      <c r="F75" s="432" t="s">
        <v>959</v>
      </c>
      <c r="G75" s="432" t="s">
        <v>957</v>
      </c>
      <c r="H75" s="432" t="s">
        <v>928</v>
      </c>
      <c r="I75" s="310">
        <v>151322.99</v>
      </c>
      <c r="J75" s="310">
        <v>18422.990000000002</v>
      </c>
    </row>
    <row r="76" spans="1:10">
      <c r="A76" s="248">
        <v>2019</v>
      </c>
      <c r="B76" s="432" t="s">
        <v>923</v>
      </c>
      <c r="C76" s="432" t="s">
        <v>950</v>
      </c>
      <c r="D76" s="432" t="s">
        <v>925</v>
      </c>
      <c r="E76" s="432" t="s">
        <v>955</v>
      </c>
      <c r="F76" s="432" t="s">
        <v>959</v>
      </c>
      <c r="G76" s="432" t="s">
        <v>957</v>
      </c>
      <c r="H76" s="432" t="s">
        <v>928</v>
      </c>
      <c r="I76" s="310">
        <v>165263.22</v>
      </c>
      <c r="J76" s="310">
        <v>32363.22</v>
      </c>
    </row>
    <row r="77" spans="1:10">
      <c r="A77" s="248">
        <v>2019</v>
      </c>
      <c r="B77" s="432" t="s">
        <v>923</v>
      </c>
      <c r="C77" s="432" t="s">
        <v>950</v>
      </c>
      <c r="D77" s="432" t="s">
        <v>925</v>
      </c>
      <c r="E77" s="432" t="s">
        <v>955</v>
      </c>
      <c r="F77" s="432" t="s">
        <v>959</v>
      </c>
      <c r="G77" s="432" t="s">
        <v>957</v>
      </c>
      <c r="H77" s="432" t="s">
        <v>928</v>
      </c>
      <c r="I77" s="310">
        <v>150040.46</v>
      </c>
      <c r="J77" s="310">
        <v>17140.46</v>
      </c>
    </row>
    <row r="78" spans="1:10">
      <c r="A78" s="248">
        <v>2019</v>
      </c>
      <c r="B78" s="432" t="s">
        <v>923</v>
      </c>
      <c r="C78" s="432" t="s">
        <v>950</v>
      </c>
      <c r="D78" s="432" t="s">
        <v>925</v>
      </c>
      <c r="E78" s="432" t="s">
        <v>955</v>
      </c>
      <c r="F78" s="432" t="s">
        <v>959</v>
      </c>
      <c r="G78" s="432" t="s">
        <v>957</v>
      </c>
      <c r="H78" s="432" t="s">
        <v>928</v>
      </c>
      <c r="I78" s="310">
        <v>147786.85999999999</v>
      </c>
      <c r="J78" s="310">
        <v>14886.86</v>
      </c>
    </row>
    <row r="79" spans="1:10">
      <c r="A79" s="248">
        <v>2019</v>
      </c>
      <c r="B79" s="432" t="s">
        <v>923</v>
      </c>
      <c r="C79" s="432" t="s">
        <v>950</v>
      </c>
      <c r="D79" s="432" t="s">
        <v>925</v>
      </c>
      <c r="E79" s="432" t="s">
        <v>955</v>
      </c>
      <c r="F79" s="432" t="s">
        <v>959</v>
      </c>
      <c r="G79" s="432" t="s">
        <v>957</v>
      </c>
      <c r="H79" s="432" t="s">
        <v>928</v>
      </c>
      <c r="I79" s="310">
        <v>143852.47</v>
      </c>
      <c r="J79" s="310">
        <v>10952.47</v>
      </c>
    </row>
    <row r="80" spans="1:10">
      <c r="A80" s="248">
        <v>2019</v>
      </c>
      <c r="B80" s="432" t="s">
        <v>923</v>
      </c>
      <c r="C80" s="432" t="s">
        <v>950</v>
      </c>
      <c r="D80" s="432" t="s">
        <v>925</v>
      </c>
      <c r="E80" s="432" t="s">
        <v>955</v>
      </c>
      <c r="F80" s="432" t="s">
        <v>959</v>
      </c>
      <c r="G80" s="432" t="s">
        <v>957</v>
      </c>
      <c r="H80" s="432" t="s">
        <v>928</v>
      </c>
      <c r="I80" s="310">
        <v>136120.43</v>
      </c>
      <c r="J80" s="310">
        <v>3220.43</v>
      </c>
    </row>
    <row r="81" spans="1:10">
      <c r="J81" s="310">
        <f>SUM(J7:J80)</f>
        <v>2121628.9600000009</v>
      </c>
    </row>
    <row r="84" spans="1:10">
      <c r="A84" s="441" t="s">
        <v>2</v>
      </c>
      <c r="B84" s="248" t="s">
        <v>3</v>
      </c>
    </row>
  </sheetData>
  <pageMargins left="0.7" right="0.7" top="0.75" bottom="0.75" header="0.3" footer="0.3"/>
  <pageSetup orientation="portrait" horizontalDpi="1200" verticalDpi="1200"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activeCell="V46" sqref="V46"/>
    </sheetView>
  </sheetViews>
  <sheetFormatPr defaultRowHeight="13.2"/>
  <cols>
    <col min="1" max="1" width="16.6640625" bestFit="1" customWidth="1"/>
    <col min="2" max="2" width="30.5546875" bestFit="1" customWidth="1"/>
  </cols>
  <sheetData>
    <row r="1" spans="1:2">
      <c r="A1" s="230" t="s">
        <v>0</v>
      </c>
    </row>
    <row r="2" spans="1:2">
      <c r="A2" s="282" t="s">
        <v>968</v>
      </c>
    </row>
    <row r="3" spans="1:2">
      <c r="A3" s="230" t="s">
        <v>107</v>
      </c>
    </row>
    <row r="4" spans="1:2">
      <c r="A4" t="s">
        <v>892</v>
      </c>
    </row>
    <row r="6" spans="1:2">
      <c r="A6" s="442" t="s">
        <v>965</v>
      </c>
      <c r="B6" s="443">
        <v>2019</v>
      </c>
    </row>
    <row r="7" spans="1:2">
      <c r="A7" s="442"/>
      <c r="B7" s="444"/>
    </row>
    <row r="8" spans="1:2">
      <c r="A8" s="442" t="s">
        <v>258</v>
      </c>
      <c r="B8" s="442" t="s">
        <v>804</v>
      </c>
    </row>
    <row r="9" spans="1:2">
      <c r="A9" s="445" t="s">
        <v>855</v>
      </c>
      <c r="B9" s="444">
        <v>35250327.990000091</v>
      </c>
    </row>
    <row r="10" spans="1:2">
      <c r="A10" s="445" t="s">
        <v>882</v>
      </c>
      <c r="B10" s="444">
        <v>6160554.7000000058</v>
      </c>
    </row>
    <row r="11" spans="1:2">
      <c r="A11" s="445" t="s">
        <v>966</v>
      </c>
      <c r="B11" s="444">
        <v>6436481.2400000012</v>
      </c>
    </row>
    <row r="12" spans="1:2">
      <c r="A12" s="445" t="s">
        <v>143</v>
      </c>
      <c r="B12" s="444">
        <f>SUM(B9:B11)</f>
        <v>47847363.930000097</v>
      </c>
    </row>
    <row r="13" spans="1:2">
      <c r="A13" s="442"/>
      <c r="B13" s="444"/>
    </row>
    <row r="14" spans="1:2">
      <c r="A14" s="445" t="s">
        <v>967</v>
      </c>
      <c r="B14" s="444">
        <v>5655460.5499999989</v>
      </c>
    </row>
    <row r="15" spans="1:2">
      <c r="A15" s="445"/>
      <c r="B15" s="444"/>
    </row>
    <row r="16" spans="1:2">
      <c r="A16" s="442" t="s">
        <v>277</v>
      </c>
      <c r="B16" s="444">
        <f>B12+B14</f>
        <v>53502824.480000094</v>
      </c>
    </row>
    <row r="19" spans="1:2">
      <c r="A19" s="441" t="s">
        <v>2</v>
      </c>
      <c r="B19" s="248" t="s">
        <v>3</v>
      </c>
    </row>
  </sheetData>
  <pageMargins left="0.7" right="0.7" top="0.75" bottom="0.75" header="0.3" footer="0.3"/>
  <pageSetup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workbookViewId="0">
      <pane ySplit="7" topLeftCell="A8" activePane="bottomLeft" state="frozen"/>
      <selection activeCell="G50" sqref="G50"/>
      <selection pane="bottomLeft" sqref="A1:A3"/>
    </sheetView>
  </sheetViews>
  <sheetFormatPr defaultColWidth="10.6640625" defaultRowHeight="13.2"/>
  <cols>
    <col min="1" max="1" width="5" style="365" customWidth="1"/>
    <col min="2" max="2" width="1.109375" style="315" customWidth="1"/>
    <col min="3" max="3" width="6.33203125" style="315" customWidth="1"/>
    <col min="4" max="4" width="13.6640625" style="315" customWidth="1"/>
    <col min="5" max="5" width="47.88671875" style="315" customWidth="1"/>
    <col min="6" max="6" width="3.33203125" style="315" customWidth="1"/>
    <col min="7" max="7" width="12.6640625" style="403" bestFit="1" customWidth="1"/>
    <col min="8" max="8" width="1.109375" style="403" customWidth="1"/>
    <col min="9" max="9" width="11.33203125" style="403" bestFit="1" customWidth="1"/>
    <col min="10" max="10" width="1.109375" style="403" customWidth="1"/>
    <col min="11" max="11" width="8.88671875" style="403" bestFit="1" customWidth="1"/>
    <col min="12" max="16384" width="10.6640625" style="315"/>
  </cols>
  <sheetData>
    <row r="1" spans="1:11">
      <c r="A1" s="230" t="s">
        <v>0</v>
      </c>
    </row>
    <row r="2" spans="1:11">
      <c r="A2" s="282" t="s">
        <v>970</v>
      </c>
    </row>
    <row r="3" spans="1:11">
      <c r="A3" s="230" t="s">
        <v>107</v>
      </c>
    </row>
    <row r="4" spans="1:11">
      <c r="A4" s="282" t="s">
        <v>962</v>
      </c>
      <c r="K4" s="404"/>
    </row>
    <row r="5" spans="1:11" s="370" customFormat="1" ht="15">
      <c r="A5" s="369"/>
      <c r="C5" s="558"/>
      <c r="D5" s="558"/>
      <c r="E5" s="558"/>
      <c r="F5" s="558"/>
      <c r="G5" s="385"/>
      <c r="H5" s="385"/>
      <c r="I5" s="385"/>
      <c r="J5" s="385"/>
      <c r="K5" s="385"/>
    </row>
    <row r="6" spans="1:11" s="376" customFormat="1" ht="39.6">
      <c r="A6" s="373" t="s">
        <v>418</v>
      </c>
      <c r="B6" s="374"/>
      <c r="C6" s="558" t="s">
        <v>160</v>
      </c>
      <c r="D6" s="558"/>
      <c r="E6" s="558"/>
      <c r="F6" s="558"/>
      <c r="G6" s="405" t="s">
        <v>900</v>
      </c>
      <c r="H6" s="406"/>
      <c r="I6" s="407" t="s">
        <v>469</v>
      </c>
      <c r="J6" s="406"/>
      <c r="K6" s="405" t="s">
        <v>150</v>
      </c>
    </row>
    <row r="7" spans="1:11" s="376" customFormat="1">
      <c r="A7" s="373"/>
      <c r="B7" s="374"/>
      <c r="C7" s="561" t="s">
        <v>791</v>
      </c>
      <c r="D7" s="561"/>
      <c r="E7" s="561"/>
      <c r="F7" s="561"/>
      <c r="G7" s="408" t="s">
        <v>792</v>
      </c>
      <c r="H7" s="408"/>
      <c r="I7" s="408" t="s">
        <v>793</v>
      </c>
      <c r="J7" s="408"/>
      <c r="K7" s="409" t="s">
        <v>794</v>
      </c>
    </row>
    <row r="8" spans="1:11">
      <c r="A8" s="369" t="s">
        <v>901</v>
      </c>
      <c r="C8" s="410" t="s">
        <v>902</v>
      </c>
      <c r="G8" s="411">
        <f>W32_PG_2_of_3!M31-W32_PG_2_of_3!M30</f>
        <v>42</v>
      </c>
      <c r="H8" s="411"/>
      <c r="I8" s="411">
        <f>W32_PG_2_of_3!M30</f>
        <v>32</v>
      </c>
      <c r="J8" s="411"/>
      <c r="K8" s="411"/>
    </row>
    <row r="9" spans="1:11">
      <c r="A9" s="369"/>
      <c r="C9" s="410"/>
      <c r="G9" s="411"/>
      <c r="H9" s="411"/>
      <c r="I9" s="411"/>
      <c r="J9" s="411"/>
      <c r="K9" s="411"/>
    </row>
    <row r="10" spans="1:11">
      <c r="A10" s="369">
        <f>1+A8</f>
        <v>2</v>
      </c>
      <c r="C10" s="389" t="s">
        <v>903</v>
      </c>
      <c r="G10" s="412">
        <v>137700</v>
      </c>
      <c r="H10" s="413"/>
      <c r="I10" s="413"/>
      <c r="J10" s="413"/>
    </row>
    <row r="11" spans="1:11">
      <c r="A11" s="369">
        <f>1+A10</f>
        <v>3</v>
      </c>
      <c r="C11" s="389" t="s">
        <v>904</v>
      </c>
      <c r="G11" s="414">
        <v>132900</v>
      </c>
      <c r="H11" s="415"/>
      <c r="I11" s="415"/>
      <c r="J11" s="415"/>
    </row>
    <row r="12" spans="1:11" ht="15">
      <c r="A12" s="369">
        <f>1+A11</f>
        <v>4</v>
      </c>
      <c r="C12" s="389" t="s">
        <v>905</v>
      </c>
      <c r="G12" s="416">
        <f>+G10-G11</f>
        <v>4800</v>
      </c>
      <c r="H12" s="417"/>
      <c r="I12" s="418">
        <f>+G12</f>
        <v>4800</v>
      </c>
      <c r="J12" s="418"/>
      <c r="K12" s="419"/>
    </row>
    <row r="13" spans="1:11" ht="15">
      <c r="A13" s="369"/>
      <c r="C13" s="391"/>
      <c r="G13" s="420"/>
      <c r="H13" s="385"/>
      <c r="I13" s="420"/>
      <c r="J13" s="420"/>
      <c r="K13" s="385"/>
    </row>
    <row r="14" spans="1:11" s="380" customFormat="1" ht="15">
      <c r="A14" s="369">
        <f>1+A12</f>
        <v>5</v>
      </c>
      <c r="C14" s="389" t="s">
        <v>906</v>
      </c>
      <c r="D14" s="385"/>
      <c r="E14" s="385"/>
      <c r="F14" s="386"/>
      <c r="G14" s="421">
        <f>+G8*G12</f>
        <v>201600</v>
      </c>
      <c r="H14" s="422"/>
      <c r="I14" s="421">
        <f>+I8*I12</f>
        <v>153600</v>
      </c>
      <c r="J14" s="413"/>
      <c r="K14" s="413"/>
    </row>
    <row r="15" spans="1:11" s="380" customFormat="1" ht="15">
      <c r="A15" s="369">
        <f>1+A14</f>
        <v>6</v>
      </c>
      <c r="C15" s="391" t="s">
        <v>896</v>
      </c>
      <c r="D15" s="385"/>
      <c r="E15" s="385"/>
      <c r="F15" s="386"/>
      <c r="G15" s="423">
        <v>6.2E-2</v>
      </c>
      <c r="H15" s="385"/>
      <c r="I15" s="423">
        <f>+G15</f>
        <v>6.2E-2</v>
      </c>
      <c r="J15" s="423"/>
      <c r="K15" s="403"/>
    </row>
    <row r="16" spans="1:11" ht="15">
      <c r="A16" s="369">
        <f t="shared" ref="A16:A18" si="0">1+A15</f>
        <v>7</v>
      </c>
      <c r="C16" s="389" t="s">
        <v>907</v>
      </c>
      <c r="E16" s="391"/>
      <c r="G16" s="421">
        <f>ROUND(G14*G15,0)</f>
        <v>12499</v>
      </c>
      <c r="H16" s="422"/>
      <c r="I16" s="421">
        <f>ROUND(I14*I15,0)</f>
        <v>9523</v>
      </c>
      <c r="J16" s="413"/>
      <c r="K16" s="413"/>
    </row>
    <row r="17" spans="1:11" ht="15">
      <c r="A17" s="369">
        <f t="shared" si="0"/>
        <v>8</v>
      </c>
      <c r="C17" s="389" t="s">
        <v>908</v>
      </c>
      <c r="G17" s="413"/>
      <c r="H17" s="422"/>
      <c r="I17" s="413">
        <f>ROUND(I16*0.5,0)</f>
        <v>4762</v>
      </c>
      <c r="J17" s="413"/>
      <c r="K17" s="424"/>
    </row>
    <row r="18" spans="1:11" ht="15">
      <c r="A18" s="369">
        <f t="shared" si="0"/>
        <v>9</v>
      </c>
      <c r="C18" s="389" t="s">
        <v>909</v>
      </c>
      <c r="G18" s="421">
        <f>+G16-G17</f>
        <v>12499</v>
      </c>
      <c r="H18" s="422"/>
      <c r="I18" s="421">
        <f>+I16-I17</f>
        <v>4761</v>
      </c>
      <c r="J18" s="413"/>
      <c r="K18" s="412">
        <f>SUM(G18:J18)</f>
        <v>17260</v>
      </c>
    </row>
    <row r="19" spans="1:11" ht="15">
      <c r="A19" s="369"/>
      <c r="C19" s="389"/>
      <c r="G19" s="416"/>
      <c r="H19" s="422"/>
      <c r="I19" s="416"/>
      <c r="J19" s="413"/>
      <c r="K19" s="412"/>
    </row>
    <row r="20" spans="1:11">
      <c r="A20" s="369">
        <f>1+A18</f>
        <v>10</v>
      </c>
      <c r="C20" s="425" t="s">
        <v>910</v>
      </c>
      <c r="G20" s="386"/>
      <c r="H20" s="386"/>
      <c r="I20" s="386"/>
      <c r="J20" s="386"/>
      <c r="K20" s="426">
        <f>W33_PG_2_of_2!E64</f>
        <v>0.58713360189755992</v>
      </c>
    </row>
    <row r="21" spans="1:11">
      <c r="A21" s="369">
        <f>1+A20</f>
        <v>11</v>
      </c>
      <c r="C21" s="389" t="s">
        <v>911</v>
      </c>
      <c r="G21" s="386"/>
      <c r="H21" s="386"/>
      <c r="I21" s="386"/>
      <c r="J21" s="386"/>
      <c r="K21" s="427">
        <f>ROUND(K18*K20,0)</f>
        <v>10134</v>
      </c>
    </row>
    <row r="22" spans="1:11">
      <c r="A22" s="369">
        <f t="shared" ref="A22:A23" si="1">1+A21</f>
        <v>12</v>
      </c>
      <c r="C22" s="389" t="s">
        <v>898</v>
      </c>
      <c r="G22" s="386"/>
      <c r="H22" s="386"/>
      <c r="I22" s="386"/>
      <c r="J22" s="386"/>
      <c r="K22" s="428">
        <v>0.99</v>
      </c>
    </row>
    <row r="23" spans="1:11" ht="13.8" thickBot="1">
      <c r="A23" s="369">
        <f t="shared" si="1"/>
        <v>13</v>
      </c>
      <c r="C23" s="389" t="s">
        <v>912</v>
      </c>
      <c r="G23" s="386"/>
      <c r="H23" s="386"/>
      <c r="I23" s="386"/>
      <c r="J23" s="386"/>
      <c r="K23" s="429">
        <f>ROUND(K21*K22,0)</f>
        <v>10033</v>
      </c>
    </row>
    <row r="24" spans="1:11" ht="13.8" thickTop="1">
      <c r="A24" s="369"/>
      <c r="C24" s="391"/>
      <c r="G24" s="386"/>
      <c r="H24" s="386"/>
      <c r="I24" s="386"/>
      <c r="J24" s="386"/>
      <c r="K24" s="386"/>
    </row>
    <row r="25" spans="1:11">
      <c r="A25" s="369"/>
    </row>
    <row r="26" spans="1:11">
      <c r="A26" s="369"/>
      <c r="C26" s="441" t="s">
        <v>2</v>
      </c>
      <c r="D26" s="248" t="s">
        <v>3</v>
      </c>
    </row>
    <row r="27" spans="1:11">
      <c r="A27" s="369"/>
    </row>
    <row r="28" spans="1:11">
      <c r="A28" s="369"/>
    </row>
  </sheetData>
  <mergeCells count="3">
    <mergeCell ref="C6:F6"/>
    <mergeCell ref="C7:F7"/>
    <mergeCell ref="C5:F5"/>
  </mergeCells>
  <pageMargins left="0.7" right="0.7" top="0.75" bottom="0.75" header="0.3" footer="0.3"/>
  <pageSetup scale="81"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6"/>
  <sheetViews>
    <sheetView workbookViewId="0">
      <selection activeCell="I63" sqref="I63"/>
    </sheetView>
  </sheetViews>
  <sheetFormatPr defaultRowHeight="13.2"/>
  <cols>
    <col min="1" max="1" width="17.6640625" customWidth="1"/>
    <col min="2" max="2" width="11.109375" bestFit="1" customWidth="1"/>
    <col min="3" max="3" width="24.109375" bestFit="1" customWidth="1"/>
    <col min="4" max="4" width="16" bestFit="1" customWidth="1"/>
    <col min="5" max="5" width="14.44140625" bestFit="1" customWidth="1"/>
    <col min="8" max="8" width="13.5546875" customWidth="1"/>
  </cols>
  <sheetData>
    <row r="1" spans="1:5">
      <c r="A1" s="230" t="s">
        <v>0</v>
      </c>
    </row>
    <row r="2" spans="1:5">
      <c r="A2" s="282" t="s">
        <v>970</v>
      </c>
    </row>
    <row r="3" spans="1:5">
      <c r="A3" s="230" t="s">
        <v>107</v>
      </c>
      <c r="D3" s="447">
        <f>SUM(C10:C12)</f>
        <v>2613128.7399999993</v>
      </c>
      <c r="E3" t="s">
        <v>979</v>
      </c>
    </row>
    <row r="4" spans="1:5">
      <c r="A4" t="s">
        <v>910</v>
      </c>
      <c r="D4" s="449">
        <f>SUM(C9,C13:C19)</f>
        <v>3717683.2100000046</v>
      </c>
      <c r="E4" t="s">
        <v>980</v>
      </c>
    </row>
    <row r="5" spans="1:5">
      <c r="E5" s="164"/>
    </row>
    <row r="6" spans="1:5" ht="14.4">
      <c r="A6" s="451" t="s">
        <v>973</v>
      </c>
      <c r="B6" s="451" t="s">
        <v>974</v>
      </c>
      <c r="C6" s="451" t="s">
        <v>975</v>
      </c>
      <c r="D6" s="446" t="s">
        <v>971</v>
      </c>
      <c r="E6" s="446" t="s">
        <v>972</v>
      </c>
    </row>
    <row r="7" spans="1:5" ht="14.4">
      <c r="A7" s="451" t="s">
        <v>976</v>
      </c>
      <c r="B7" s="451">
        <v>1070</v>
      </c>
      <c r="C7" s="452">
        <v>12222439.750000011</v>
      </c>
      <c r="D7" s="310">
        <f>$D$3*(C7/($C$63-$D$3-$D$4))</f>
        <v>786715.0403763135</v>
      </c>
      <c r="E7" s="448">
        <f>C7+D7</f>
        <v>13009154.790376324</v>
      </c>
    </row>
    <row r="8" spans="1:5" ht="14.4">
      <c r="A8" s="451"/>
      <c r="B8" s="451">
        <v>1080</v>
      </c>
      <c r="C8" s="452">
        <v>2488204.2100000079</v>
      </c>
      <c r="D8" s="310">
        <f>$D$3*(C8/($C$63-$D$3-$D$4))</f>
        <v>160156.86847911586</v>
      </c>
      <c r="E8" s="448">
        <f t="shared" ref="E8:E62" si="0">C8+D8</f>
        <v>2648361.0784791238</v>
      </c>
    </row>
    <row r="9" spans="1:5" ht="14.4">
      <c r="A9" s="451"/>
      <c r="B9" s="453">
        <v>1520</v>
      </c>
      <c r="C9" s="454">
        <v>3124707.1600000025</v>
      </c>
      <c r="D9" s="310"/>
      <c r="E9" s="448">
        <f t="shared" si="0"/>
        <v>3124707.1600000025</v>
      </c>
    </row>
    <row r="10" spans="1:5" ht="14.4">
      <c r="A10" s="451"/>
      <c r="B10" s="455">
        <v>1630</v>
      </c>
      <c r="C10" s="456">
        <v>1424834.4000000004</v>
      </c>
      <c r="D10" s="310">
        <f>-C10</f>
        <v>-1424834.4000000004</v>
      </c>
      <c r="E10" s="448">
        <f t="shared" si="0"/>
        <v>0</v>
      </c>
    </row>
    <row r="11" spans="1:5" ht="14.4">
      <c r="A11" s="451"/>
      <c r="B11" s="455">
        <v>1830</v>
      </c>
      <c r="C11" s="456">
        <v>-8185.3400000000011</v>
      </c>
      <c r="D11" s="310">
        <f t="shared" ref="D11:D12" si="1">-C11</f>
        <v>8185.3400000000011</v>
      </c>
      <c r="E11" s="448">
        <f t="shared" si="0"/>
        <v>0</v>
      </c>
    </row>
    <row r="12" spans="1:5" ht="14.4">
      <c r="A12" s="451"/>
      <c r="B12" s="455">
        <v>1840</v>
      </c>
      <c r="C12" s="456">
        <v>1196479.6799999992</v>
      </c>
      <c r="D12" s="310">
        <f t="shared" si="1"/>
        <v>-1196479.6799999992</v>
      </c>
      <c r="E12" s="448">
        <f t="shared" si="0"/>
        <v>0</v>
      </c>
    </row>
    <row r="13" spans="1:5" ht="14.4">
      <c r="A13" s="451"/>
      <c r="B13" s="453">
        <v>1850</v>
      </c>
      <c r="C13" s="454">
        <v>38819.099999999991</v>
      </c>
      <c r="D13" s="310"/>
      <c r="E13" s="448">
        <f t="shared" si="0"/>
        <v>38819.099999999991</v>
      </c>
    </row>
    <row r="14" spans="1:5" ht="14.4">
      <c r="A14" s="451"/>
      <c r="B14" s="453">
        <v>1860</v>
      </c>
      <c r="C14" s="454">
        <v>543147.520000002</v>
      </c>
      <c r="D14" s="310"/>
      <c r="E14" s="448">
        <f t="shared" si="0"/>
        <v>543147.520000002</v>
      </c>
    </row>
    <row r="15" spans="1:5" ht="14.4">
      <c r="A15" s="451"/>
      <c r="B15" s="453">
        <v>1880</v>
      </c>
      <c r="C15" s="454">
        <v>-462.46</v>
      </c>
      <c r="D15" s="310"/>
      <c r="E15" s="448">
        <f t="shared" si="0"/>
        <v>-462.46</v>
      </c>
    </row>
    <row r="16" spans="1:5" ht="14.4">
      <c r="A16" s="451"/>
      <c r="B16" s="453">
        <v>4010</v>
      </c>
      <c r="C16" s="454">
        <v>3214.09</v>
      </c>
      <c r="D16" s="310"/>
      <c r="E16" s="448">
        <f t="shared" si="0"/>
        <v>3214.09</v>
      </c>
    </row>
    <row r="17" spans="1:5" ht="14.4">
      <c r="A17" s="451"/>
      <c r="B17" s="453">
        <v>4261</v>
      </c>
      <c r="C17" s="454">
        <v>139.66</v>
      </c>
      <c r="D17" s="310"/>
      <c r="E17" s="448">
        <f t="shared" si="0"/>
        <v>139.66</v>
      </c>
    </row>
    <row r="18" spans="1:5" ht="14.4">
      <c r="A18" s="451"/>
      <c r="B18" s="453">
        <v>4264</v>
      </c>
      <c r="C18" s="454">
        <v>8027.39</v>
      </c>
      <c r="D18" s="310"/>
      <c r="E18" s="448">
        <f t="shared" si="0"/>
        <v>8027.39</v>
      </c>
    </row>
    <row r="19" spans="1:5" ht="14.4">
      <c r="A19" s="451"/>
      <c r="B19" s="453">
        <v>4265</v>
      </c>
      <c r="C19" s="454">
        <v>90.749999999999986</v>
      </c>
      <c r="D19" s="310"/>
      <c r="E19" s="448">
        <f t="shared" si="0"/>
        <v>90.749999999999986</v>
      </c>
    </row>
    <row r="20" spans="1:5" ht="14.4">
      <c r="A20" s="451"/>
      <c r="B20" s="451">
        <v>5000</v>
      </c>
      <c r="C20" s="452">
        <v>508304.27999999997</v>
      </c>
      <c r="D20" s="310">
        <f t="shared" ref="D20:D62" si="2">$D$3*(C20/($C$63-$D$3-$D$4))</f>
        <v>32717.741330134399</v>
      </c>
      <c r="E20" s="448">
        <f t="shared" si="0"/>
        <v>541022.02133013436</v>
      </c>
    </row>
    <row r="21" spans="1:5" ht="14.4">
      <c r="A21" s="451"/>
      <c r="B21" s="451">
        <v>5010</v>
      </c>
      <c r="C21" s="452">
        <v>2172513.69</v>
      </c>
      <c r="D21" s="310">
        <f t="shared" si="2"/>
        <v>139836.99083862879</v>
      </c>
      <c r="E21" s="448">
        <f t="shared" si="0"/>
        <v>2312350.6808386287</v>
      </c>
    </row>
    <row r="22" spans="1:5" ht="14.4">
      <c r="A22" s="451"/>
      <c r="B22" s="451">
        <v>5020</v>
      </c>
      <c r="C22" s="452">
        <v>799000.30999999982</v>
      </c>
      <c r="D22" s="310">
        <f t="shared" si="2"/>
        <v>51428.812413850217</v>
      </c>
      <c r="E22" s="448">
        <f t="shared" si="0"/>
        <v>850429.12241385004</v>
      </c>
    </row>
    <row r="23" spans="1:5" ht="14.4">
      <c r="A23" s="451"/>
      <c r="B23" s="451">
        <v>5050</v>
      </c>
      <c r="C23" s="452">
        <v>106.55</v>
      </c>
      <c r="D23" s="310">
        <f t="shared" si="2"/>
        <v>6.8582451021774213</v>
      </c>
      <c r="E23" s="448">
        <f t="shared" si="0"/>
        <v>113.40824510217742</v>
      </c>
    </row>
    <row r="24" spans="1:5" ht="14.4">
      <c r="A24" s="451"/>
      <c r="B24" s="451">
        <v>5060</v>
      </c>
      <c r="C24" s="452">
        <v>4766073.370000002</v>
      </c>
      <c r="D24" s="310">
        <f t="shared" si="2"/>
        <v>306775.21676603239</v>
      </c>
      <c r="E24" s="448">
        <f t="shared" si="0"/>
        <v>5072848.5867660344</v>
      </c>
    </row>
    <row r="25" spans="1:5" ht="14.4">
      <c r="A25" s="451"/>
      <c r="B25" s="451">
        <v>5100</v>
      </c>
      <c r="C25" s="452">
        <v>1680948.2399999993</v>
      </c>
      <c r="D25" s="310">
        <f t="shared" si="2"/>
        <v>108196.66854991791</v>
      </c>
      <c r="E25" s="448">
        <f t="shared" si="0"/>
        <v>1789144.9085499172</v>
      </c>
    </row>
    <row r="26" spans="1:5" ht="14.4">
      <c r="A26" s="451"/>
      <c r="B26" s="451">
        <v>5110</v>
      </c>
      <c r="C26" s="452">
        <v>116329.88999999998</v>
      </c>
      <c r="D26" s="310">
        <f t="shared" si="2"/>
        <v>7487.7418895292167</v>
      </c>
      <c r="E26" s="448">
        <f t="shared" si="0"/>
        <v>123817.63188952921</v>
      </c>
    </row>
    <row r="27" spans="1:5" ht="14.4">
      <c r="A27" s="451"/>
      <c r="B27" s="451">
        <v>5120</v>
      </c>
      <c r="C27" s="452">
        <v>2419656.560000001</v>
      </c>
      <c r="D27" s="310">
        <f t="shared" si="2"/>
        <v>155744.69968626444</v>
      </c>
      <c r="E27" s="448">
        <f t="shared" si="0"/>
        <v>2575401.2596862656</v>
      </c>
    </row>
    <row r="28" spans="1:5" ht="14.4">
      <c r="A28" s="451"/>
      <c r="B28" s="451">
        <v>5130</v>
      </c>
      <c r="C28" s="452">
        <v>1227646.5299999996</v>
      </c>
      <c r="D28" s="310">
        <f t="shared" si="2"/>
        <v>79019.247316542504</v>
      </c>
      <c r="E28" s="448">
        <f t="shared" si="0"/>
        <v>1306665.7773165421</v>
      </c>
    </row>
    <row r="29" spans="1:5" ht="14.4">
      <c r="A29" s="451"/>
      <c r="B29" s="451">
        <v>5140</v>
      </c>
      <c r="C29" s="452">
        <v>638149.89999999991</v>
      </c>
      <c r="D29" s="310">
        <f t="shared" si="2"/>
        <v>41075.442760488128</v>
      </c>
      <c r="E29" s="448">
        <f t="shared" si="0"/>
        <v>679225.34276048804</v>
      </c>
    </row>
    <row r="30" spans="1:5" ht="14.4">
      <c r="A30" s="451"/>
      <c r="B30" s="451">
        <v>5370</v>
      </c>
      <c r="C30" s="452">
        <v>965.88</v>
      </c>
      <c r="D30" s="310">
        <f t="shared" si="2"/>
        <v>62.170265408645029</v>
      </c>
      <c r="E30" s="448">
        <f t="shared" si="0"/>
        <v>1028.0502654086449</v>
      </c>
    </row>
    <row r="31" spans="1:5" ht="14.4">
      <c r="A31" s="451"/>
      <c r="B31" s="451">
        <v>5460</v>
      </c>
      <c r="C31" s="452">
        <v>10870.56</v>
      </c>
      <c r="D31" s="310">
        <f t="shared" si="2"/>
        <v>699.69934188574177</v>
      </c>
      <c r="E31" s="448">
        <f t="shared" si="0"/>
        <v>11570.259341885741</v>
      </c>
    </row>
    <row r="32" spans="1:5" ht="14.4">
      <c r="A32" s="451"/>
      <c r="B32" s="451">
        <v>5600</v>
      </c>
      <c r="C32" s="452">
        <v>229.01</v>
      </c>
      <c r="D32" s="310">
        <f t="shared" si="2"/>
        <v>14.740560402155339</v>
      </c>
      <c r="E32" s="448">
        <f t="shared" si="0"/>
        <v>243.75056040215532</v>
      </c>
    </row>
    <row r="33" spans="1:5" ht="14.4">
      <c r="A33" s="451"/>
      <c r="B33" s="451">
        <v>5620</v>
      </c>
      <c r="C33" s="452">
        <v>1014.72</v>
      </c>
      <c r="D33" s="310">
        <f t="shared" si="2"/>
        <v>65.313922760032597</v>
      </c>
      <c r="E33" s="448">
        <f t="shared" si="0"/>
        <v>1080.0339227600325</v>
      </c>
    </row>
    <row r="34" spans="1:5" ht="14.4">
      <c r="A34" s="451"/>
      <c r="B34" s="451">
        <v>5660</v>
      </c>
      <c r="C34" s="452">
        <v>60.250000000000007</v>
      </c>
      <c r="D34" s="310">
        <f t="shared" si="2"/>
        <v>3.8780785303255718</v>
      </c>
      <c r="E34" s="448">
        <f t="shared" si="0"/>
        <v>64.128078530325581</v>
      </c>
    </row>
    <row r="35" spans="1:5" ht="14.4">
      <c r="A35" s="451"/>
      <c r="B35" s="451">
        <v>5700</v>
      </c>
      <c r="C35" s="452">
        <v>4563.3499999999995</v>
      </c>
      <c r="D35" s="310">
        <f t="shared" si="2"/>
        <v>293.72663338358831</v>
      </c>
      <c r="E35" s="448">
        <f t="shared" si="0"/>
        <v>4857.0766333835882</v>
      </c>
    </row>
    <row r="36" spans="1:5" ht="14.4">
      <c r="A36" s="451"/>
      <c r="B36" s="451">
        <v>5800</v>
      </c>
      <c r="C36" s="452">
        <v>292896.69999999995</v>
      </c>
      <c r="D36" s="310">
        <f t="shared" si="2"/>
        <v>18852.720396235844</v>
      </c>
      <c r="E36" s="448">
        <f t="shared" si="0"/>
        <v>311749.42039623577</v>
      </c>
    </row>
    <row r="37" spans="1:5" ht="14.4">
      <c r="A37" s="451"/>
      <c r="B37" s="451">
        <v>5830</v>
      </c>
      <c r="C37" s="452">
        <v>13213.100000000479</v>
      </c>
      <c r="D37" s="310">
        <f t="shared" si="2"/>
        <v>850.48032247380354</v>
      </c>
      <c r="E37" s="448">
        <f t="shared" si="0"/>
        <v>14063.580322474283</v>
      </c>
    </row>
    <row r="38" spans="1:5" ht="14.4">
      <c r="A38" s="451"/>
      <c r="B38" s="451">
        <v>5840</v>
      </c>
      <c r="C38" s="452">
        <v>1028.6399999999999</v>
      </c>
      <c r="D38" s="310">
        <f t="shared" si="2"/>
        <v>66.209903725047226</v>
      </c>
      <c r="E38" s="448">
        <f t="shared" si="0"/>
        <v>1094.8499037250472</v>
      </c>
    </row>
    <row r="39" spans="1:5" ht="14.4">
      <c r="A39" s="451"/>
      <c r="B39" s="451">
        <v>5850</v>
      </c>
      <c r="C39" s="452">
        <v>9416.5500000000011</v>
      </c>
      <c r="D39" s="310">
        <f t="shared" si="2"/>
        <v>606.10988190435296</v>
      </c>
      <c r="E39" s="448">
        <f t="shared" si="0"/>
        <v>10022.659881904354</v>
      </c>
    </row>
    <row r="40" spans="1:5" ht="14.4">
      <c r="A40" s="451"/>
      <c r="B40" s="451">
        <v>5860</v>
      </c>
      <c r="C40" s="452">
        <v>732358.64000000048</v>
      </c>
      <c r="D40" s="310">
        <f t="shared" si="2"/>
        <v>47139.324784770724</v>
      </c>
      <c r="E40" s="448">
        <f t="shared" si="0"/>
        <v>779497.9647847712</v>
      </c>
    </row>
    <row r="41" spans="1:5" ht="14.4">
      <c r="A41" s="451"/>
      <c r="B41" s="451">
        <v>5870</v>
      </c>
      <c r="C41" s="452">
        <v>125620.94999999997</v>
      </c>
      <c r="D41" s="310">
        <f t="shared" si="2"/>
        <v>8085.774425794224</v>
      </c>
      <c r="E41" s="448">
        <f t="shared" si="0"/>
        <v>133706.72442579418</v>
      </c>
    </row>
    <row r="42" spans="1:5" ht="14.4">
      <c r="A42" s="451"/>
      <c r="B42" s="451">
        <v>5880</v>
      </c>
      <c r="C42" s="452">
        <v>2406456.7300000023</v>
      </c>
      <c r="D42" s="310">
        <f t="shared" si="2"/>
        <v>154895.07350656413</v>
      </c>
      <c r="E42" s="448">
        <f t="shared" si="0"/>
        <v>2561351.8035065662</v>
      </c>
    </row>
    <row r="43" spans="1:5" ht="14.4">
      <c r="A43" s="451"/>
      <c r="B43" s="451">
        <v>5910</v>
      </c>
      <c r="C43" s="452">
        <v>114.93</v>
      </c>
      <c r="D43" s="310">
        <f t="shared" si="2"/>
        <v>7.3976359417480158</v>
      </c>
      <c r="E43" s="448">
        <f t="shared" si="0"/>
        <v>122.32763594174803</v>
      </c>
    </row>
    <row r="44" spans="1:5" ht="14.4">
      <c r="A44" s="451"/>
      <c r="B44" s="451">
        <v>5920</v>
      </c>
      <c r="C44" s="452">
        <v>6092.8600000000006</v>
      </c>
      <c r="D44" s="310">
        <f t="shared" si="2"/>
        <v>392.17576023700354</v>
      </c>
      <c r="E44" s="448">
        <f t="shared" si="0"/>
        <v>6485.0357602370041</v>
      </c>
    </row>
    <row r="45" spans="1:5" ht="14.4">
      <c r="A45" s="451"/>
      <c r="B45" s="451">
        <v>5930</v>
      </c>
      <c r="C45" s="452">
        <v>3622267.370000001</v>
      </c>
      <c r="D45" s="310">
        <f t="shared" si="2"/>
        <v>233152.48661735895</v>
      </c>
      <c r="E45" s="448">
        <f t="shared" si="0"/>
        <v>3855419.8566173599</v>
      </c>
    </row>
    <row r="46" spans="1:5" ht="14.4">
      <c r="A46" s="451"/>
      <c r="B46" s="451">
        <v>5940</v>
      </c>
      <c r="C46" s="452">
        <v>14324.279999999997</v>
      </c>
      <c r="D46" s="310">
        <f t="shared" si="2"/>
        <v>922.00303286924429</v>
      </c>
      <c r="E46" s="448">
        <f t="shared" si="0"/>
        <v>15246.283032869242</v>
      </c>
    </row>
    <row r="47" spans="1:5" ht="14.4">
      <c r="A47" s="451"/>
      <c r="B47" s="451">
        <v>5950</v>
      </c>
      <c r="C47" s="452">
        <v>36568.330000000045</v>
      </c>
      <c r="D47" s="310">
        <f t="shared" si="2"/>
        <v>2353.7735346532895</v>
      </c>
      <c r="E47" s="448">
        <f t="shared" si="0"/>
        <v>38922.103534653332</v>
      </c>
    </row>
    <row r="48" spans="1:5" ht="14.4">
      <c r="A48" s="451"/>
      <c r="B48" s="451">
        <v>5960</v>
      </c>
      <c r="C48" s="452">
        <v>21132.310000000016</v>
      </c>
      <c r="D48" s="310">
        <f t="shared" si="2"/>
        <v>1360.2117461773353</v>
      </c>
      <c r="E48" s="448">
        <f t="shared" si="0"/>
        <v>22492.52174617735</v>
      </c>
    </row>
    <row r="49" spans="1:6" ht="14.4">
      <c r="A49" s="451"/>
      <c r="B49" s="451">
        <v>5970</v>
      </c>
      <c r="C49" s="452">
        <v>34114.950000000019</v>
      </c>
      <c r="D49" s="310">
        <f t="shared" si="2"/>
        <v>2195.8581768984304</v>
      </c>
      <c r="E49" s="448">
        <f t="shared" si="0"/>
        <v>36310.808176898448</v>
      </c>
    </row>
    <row r="50" spans="1:6" ht="14.4">
      <c r="A50" s="451"/>
      <c r="B50" s="451">
        <v>5980</v>
      </c>
      <c r="C50" s="452">
        <v>9918.8799999999956</v>
      </c>
      <c r="D50" s="310">
        <f t="shared" si="2"/>
        <v>638.44308004772927</v>
      </c>
      <c r="E50" s="448">
        <f t="shared" si="0"/>
        <v>10557.323080047725</v>
      </c>
    </row>
    <row r="51" spans="1:6" ht="14.4">
      <c r="A51" s="451"/>
      <c r="B51" s="451">
        <v>9010</v>
      </c>
      <c r="C51" s="452">
        <v>9449.9500000000007</v>
      </c>
      <c r="D51" s="310">
        <f t="shared" si="2"/>
        <v>608.25972128879903</v>
      </c>
      <c r="E51" s="448">
        <f t="shared" si="0"/>
        <v>10058.2097212888</v>
      </c>
    </row>
    <row r="52" spans="1:6" ht="14.4">
      <c r="A52" s="451"/>
      <c r="B52" s="451">
        <v>9020</v>
      </c>
      <c r="C52" s="452">
        <v>269789.4700000002</v>
      </c>
      <c r="D52" s="310">
        <f t="shared" si="2"/>
        <v>17365.390063318104</v>
      </c>
      <c r="E52" s="448">
        <f t="shared" si="0"/>
        <v>287154.86006331828</v>
      </c>
    </row>
    <row r="53" spans="1:6" ht="14.4">
      <c r="A53" s="451"/>
      <c r="B53" s="451">
        <v>9030</v>
      </c>
      <c r="C53" s="452">
        <v>1299672.2100000002</v>
      </c>
      <c r="D53" s="310">
        <f t="shared" si="2"/>
        <v>83655.284548743381</v>
      </c>
      <c r="E53" s="448">
        <f t="shared" si="0"/>
        <v>1383327.4945487436</v>
      </c>
    </row>
    <row r="54" spans="1:6" ht="14.4">
      <c r="A54" s="451"/>
      <c r="B54" s="451">
        <v>9070</v>
      </c>
      <c r="C54" s="452">
        <v>4399.5200000000004</v>
      </c>
      <c r="D54" s="310">
        <f t="shared" si="2"/>
        <v>283.18147810353463</v>
      </c>
      <c r="E54" s="448">
        <f t="shared" si="0"/>
        <v>4682.701478103535</v>
      </c>
    </row>
    <row r="55" spans="1:6" ht="14.4">
      <c r="A55" s="451"/>
      <c r="B55" s="451">
        <v>9080</v>
      </c>
      <c r="C55" s="452">
        <v>209316.94000000018</v>
      </c>
      <c r="D55" s="310">
        <f t="shared" si="2"/>
        <v>13472.988067177535</v>
      </c>
      <c r="E55" s="448">
        <f t="shared" si="0"/>
        <v>222789.92806717771</v>
      </c>
    </row>
    <row r="56" spans="1:6" ht="14.4">
      <c r="A56" s="451"/>
      <c r="B56" s="451">
        <v>9100</v>
      </c>
      <c r="C56" s="452">
        <v>1184.02</v>
      </c>
      <c r="D56" s="310">
        <f t="shared" si="2"/>
        <v>76.21116251412586</v>
      </c>
      <c r="E56" s="448">
        <f t="shared" si="0"/>
        <v>1260.2311625141258</v>
      </c>
    </row>
    <row r="57" spans="1:6" ht="14.4">
      <c r="A57" s="451"/>
      <c r="B57" s="451">
        <v>9200</v>
      </c>
      <c r="C57" s="452">
        <v>2105692.5299999984</v>
      </c>
      <c r="D57" s="310">
        <f t="shared" si="2"/>
        <v>135535.95007568345</v>
      </c>
      <c r="E57" s="448">
        <f t="shared" si="0"/>
        <v>2241228.480075682</v>
      </c>
    </row>
    <row r="58" spans="1:6" ht="14.4">
      <c r="A58" s="451"/>
      <c r="B58" s="451">
        <v>9220</v>
      </c>
      <c r="C58" s="452">
        <v>-485166</v>
      </c>
      <c r="D58" s="310">
        <f t="shared" si="2"/>
        <v>-31228.412418986496</v>
      </c>
      <c r="E58" s="448">
        <f t="shared" si="0"/>
        <v>-516394.4124189865</v>
      </c>
    </row>
    <row r="59" spans="1:6" ht="14.4">
      <c r="A59" s="451"/>
      <c r="B59" s="451">
        <v>9260</v>
      </c>
      <c r="C59" s="452">
        <v>15802.920000000002</v>
      </c>
      <c r="D59" s="310">
        <f t="shared" si="2"/>
        <v>1017.1778384805409</v>
      </c>
      <c r="E59" s="448">
        <f t="shared" si="0"/>
        <v>16820.097838480542</v>
      </c>
    </row>
    <row r="60" spans="1:6" ht="14.4">
      <c r="A60" s="451"/>
      <c r="B60" s="451">
        <v>9280</v>
      </c>
      <c r="C60" s="452">
        <v>36364.6</v>
      </c>
      <c r="D60" s="310">
        <f t="shared" si="2"/>
        <v>2340.6601580726515</v>
      </c>
      <c r="E60" s="448">
        <f t="shared" si="0"/>
        <v>38705.260158072648</v>
      </c>
    </row>
    <row r="61" spans="1:6" ht="14.4">
      <c r="A61" s="451"/>
      <c r="B61" s="451">
        <v>9302</v>
      </c>
      <c r="C61" s="452">
        <v>14402.760000000002</v>
      </c>
      <c r="D61" s="310">
        <f t="shared" si="2"/>
        <v>927.05451175820633</v>
      </c>
      <c r="E61" s="448">
        <f t="shared" si="0"/>
        <v>15329.814511758208</v>
      </c>
    </row>
    <row r="62" spans="1:6" ht="14.4">
      <c r="A62" s="451"/>
      <c r="B62" s="451">
        <v>9350</v>
      </c>
      <c r="C62" s="452">
        <v>734172.78</v>
      </c>
      <c r="D62" s="310">
        <f t="shared" si="2"/>
        <v>47256.094533899406</v>
      </c>
      <c r="E62" s="448">
        <f t="shared" si="0"/>
        <v>781428.87453389948</v>
      </c>
    </row>
    <row r="63" spans="1:6" ht="14.4">
      <c r="A63" s="451" t="s">
        <v>977</v>
      </c>
      <c r="B63" s="451"/>
      <c r="C63" s="452">
        <v>46928495.920000099</v>
      </c>
      <c r="D63" s="164"/>
      <c r="E63" s="457">
        <f>SUM(E7:E62)</f>
        <v>46928495.920000046</v>
      </c>
      <c r="F63" t="s">
        <v>978</v>
      </c>
    </row>
    <row r="64" spans="1:6" ht="14.4">
      <c r="A64" s="451"/>
      <c r="B64" s="451"/>
      <c r="E64" s="450">
        <f>SUM(E20:E62)/E63</f>
        <v>0.58713360189755992</v>
      </c>
      <c r="F64" t="s">
        <v>981</v>
      </c>
    </row>
    <row r="66" spans="1:2">
      <c r="A66" s="441" t="s">
        <v>2</v>
      </c>
      <c r="B66" s="248" t="s">
        <v>3</v>
      </c>
    </row>
  </sheetData>
  <pageMargins left="0.7" right="0.7" top="0.75" bottom="0.75" header="0.3" footer="0.3"/>
  <pageSetup scale="71"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workbookViewId="0">
      <selection activeCell="B50" sqref="A50:B50"/>
    </sheetView>
  </sheetViews>
  <sheetFormatPr defaultRowHeight="13.2"/>
  <cols>
    <col min="1" max="1" width="25.33203125" customWidth="1"/>
    <col min="2" max="2" width="23.5546875" bestFit="1" customWidth="1"/>
    <col min="3" max="3" width="35" bestFit="1" customWidth="1"/>
    <col min="4" max="4" width="32.44140625" bestFit="1" customWidth="1"/>
    <col min="5" max="5" width="14.44140625" bestFit="1" customWidth="1"/>
    <col min="7" max="7" width="35.6640625" bestFit="1" customWidth="1"/>
    <col min="8" max="8" width="14.5546875" customWidth="1"/>
    <col min="9" max="9" width="9" bestFit="1" customWidth="1"/>
    <col min="10" max="10" width="18.109375" customWidth="1"/>
  </cols>
  <sheetData>
    <row r="1" spans="1:10">
      <c r="A1" s="230" t="s">
        <v>0</v>
      </c>
    </row>
    <row r="2" spans="1:10">
      <c r="A2" s="476" t="s">
        <v>1027</v>
      </c>
    </row>
    <row r="3" spans="1:10">
      <c r="A3" s="476" t="s">
        <v>107</v>
      </c>
    </row>
    <row r="4" spans="1:10">
      <c r="A4" t="s">
        <v>1014</v>
      </c>
    </row>
    <row r="5" spans="1:10" ht="13.8" thickBot="1"/>
    <row r="6" spans="1:10" ht="28.5" customHeight="1" thickBot="1">
      <c r="A6" s="562" t="s">
        <v>1023</v>
      </c>
      <c r="B6" s="563"/>
      <c r="C6" s="563"/>
      <c r="D6" s="563"/>
      <c r="E6" s="564"/>
      <c r="G6" s="565" t="s">
        <v>1048</v>
      </c>
      <c r="H6" s="563"/>
      <c r="I6" s="563"/>
      <c r="J6" s="564"/>
    </row>
    <row r="7" spans="1:10" s="477" customFormat="1" ht="27">
      <c r="A7" s="480" t="s">
        <v>1036</v>
      </c>
      <c r="B7" s="480" t="s">
        <v>480</v>
      </c>
      <c r="C7" s="480" t="s">
        <v>1037</v>
      </c>
      <c r="D7" s="480" t="s">
        <v>1038</v>
      </c>
      <c r="E7" s="446" t="s">
        <v>1039</v>
      </c>
      <c r="G7" s="478" t="s">
        <v>1035</v>
      </c>
      <c r="H7" s="478" t="s">
        <v>1033</v>
      </c>
      <c r="I7" s="478" t="s">
        <v>1034</v>
      </c>
      <c r="J7" s="478" t="s">
        <v>1032</v>
      </c>
    </row>
    <row r="8" spans="1:10">
      <c r="A8" s="481" t="s">
        <v>1040</v>
      </c>
      <c r="B8" s="481" t="s">
        <v>1041</v>
      </c>
      <c r="C8" s="481" t="s">
        <v>985</v>
      </c>
      <c r="D8" s="481" t="s">
        <v>1042</v>
      </c>
      <c r="E8" s="482">
        <v>1679574.55</v>
      </c>
      <c r="G8" t="s">
        <v>982</v>
      </c>
      <c r="H8">
        <v>39872346</v>
      </c>
      <c r="I8" s="458">
        <v>0.2</v>
      </c>
      <c r="J8" s="459">
        <v>0</v>
      </c>
    </row>
    <row r="9" spans="1:10">
      <c r="A9" s="481" t="s">
        <v>1040</v>
      </c>
      <c r="B9" s="481" t="s">
        <v>1041</v>
      </c>
      <c r="C9" s="481" t="s">
        <v>987</v>
      </c>
      <c r="D9" s="481" t="s">
        <v>1043</v>
      </c>
      <c r="E9" s="482">
        <v>95669.26</v>
      </c>
      <c r="G9" t="s">
        <v>983</v>
      </c>
      <c r="H9">
        <v>39872428</v>
      </c>
      <c r="I9" s="458">
        <v>0.2</v>
      </c>
      <c r="J9" s="459">
        <v>0</v>
      </c>
    </row>
    <row r="10" spans="1:10">
      <c r="A10" s="481" t="s">
        <v>1040</v>
      </c>
      <c r="B10" s="481" t="s">
        <v>1041</v>
      </c>
      <c r="C10" s="481" t="s">
        <v>987</v>
      </c>
      <c r="D10" s="481" t="s">
        <v>1044</v>
      </c>
      <c r="E10" s="482">
        <v>39308.230000000003</v>
      </c>
      <c r="G10" t="s">
        <v>984</v>
      </c>
      <c r="H10">
        <v>39872738</v>
      </c>
      <c r="I10" s="458">
        <v>0.2</v>
      </c>
      <c r="J10" s="459">
        <v>0</v>
      </c>
    </row>
    <row r="11" spans="1:10">
      <c r="A11" s="481" t="s">
        <v>1040</v>
      </c>
      <c r="B11" s="481" t="s">
        <v>1041</v>
      </c>
      <c r="C11" s="481" t="s">
        <v>988</v>
      </c>
      <c r="D11" s="481" t="s">
        <v>1045</v>
      </c>
      <c r="E11" s="482">
        <v>1939061.94</v>
      </c>
      <c r="G11" t="s">
        <v>985</v>
      </c>
      <c r="H11">
        <v>142247284</v>
      </c>
      <c r="I11" s="458">
        <v>6.6699999999999995E-2</v>
      </c>
      <c r="J11" s="459">
        <v>27925.940000000002</v>
      </c>
    </row>
    <row r="12" spans="1:10">
      <c r="A12" s="481" t="s">
        <v>1046</v>
      </c>
      <c r="B12" s="481" t="s">
        <v>1041</v>
      </c>
      <c r="C12" s="481" t="s">
        <v>989</v>
      </c>
      <c r="D12" s="481" t="s">
        <v>1043</v>
      </c>
      <c r="E12" s="482">
        <v>4997.62</v>
      </c>
      <c r="I12" s="458">
        <v>0.2</v>
      </c>
      <c r="J12" s="459">
        <v>0</v>
      </c>
    </row>
    <row r="13" spans="1:10">
      <c r="A13" s="481" t="s">
        <v>1046</v>
      </c>
      <c r="B13" s="481" t="s">
        <v>1041</v>
      </c>
      <c r="C13" s="481" t="s">
        <v>989</v>
      </c>
      <c r="D13" s="481" t="s">
        <v>1044</v>
      </c>
      <c r="E13" s="482">
        <v>1127.8900000000001</v>
      </c>
      <c r="G13" t="s">
        <v>986</v>
      </c>
      <c r="H13">
        <v>53348273</v>
      </c>
      <c r="I13" s="458">
        <v>0.2</v>
      </c>
      <c r="J13" s="459">
        <v>0</v>
      </c>
    </row>
    <row r="14" spans="1:10">
      <c r="A14" s="481" t="s">
        <v>1046</v>
      </c>
      <c r="B14" s="481" t="s">
        <v>1041</v>
      </c>
      <c r="C14" s="481" t="s">
        <v>990</v>
      </c>
      <c r="D14" s="481" t="s">
        <v>1045</v>
      </c>
      <c r="E14" s="482">
        <v>2374608.3199999998</v>
      </c>
      <c r="G14" t="s">
        <v>987</v>
      </c>
      <c r="H14">
        <v>230922399</v>
      </c>
      <c r="I14" s="458">
        <v>0</v>
      </c>
      <c r="J14" s="459">
        <v>0</v>
      </c>
    </row>
    <row r="15" spans="1:10">
      <c r="A15" s="481" t="s">
        <v>1046</v>
      </c>
      <c r="B15" s="481" t="s">
        <v>1041</v>
      </c>
      <c r="C15" s="481" t="s">
        <v>991</v>
      </c>
      <c r="D15" s="481" t="s">
        <v>1042</v>
      </c>
      <c r="E15" s="482">
        <v>4205693.9400000004</v>
      </c>
      <c r="I15" s="458">
        <v>0.2</v>
      </c>
      <c r="J15" s="459">
        <v>2564.58</v>
      </c>
    </row>
    <row r="16" spans="1:10">
      <c r="A16" s="481" t="s">
        <v>1047</v>
      </c>
      <c r="B16" s="481" t="s">
        <v>1041</v>
      </c>
      <c r="C16" s="481" t="s">
        <v>992</v>
      </c>
      <c r="D16" s="481" t="s">
        <v>1044</v>
      </c>
      <c r="E16" s="482">
        <v>234.31</v>
      </c>
      <c r="G16" t="s">
        <v>988</v>
      </c>
      <c r="H16">
        <v>206872770</v>
      </c>
      <c r="I16" s="458">
        <v>0.2</v>
      </c>
      <c r="J16" s="459">
        <v>0</v>
      </c>
    </row>
    <row r="17" spans="1:10">
      <c r="A17" s="481" t="s">
        <v>1047</v>
      </c>
      <c r="B17" s="481" t="s">
        <v>1041</v>
      </c>
      <c r="C17" s="481" t="s">
        <v>992</v>
      </c>
      <c r="D17" s="481" t="s">
        <v>1043</v>
      </c>
      <c r="E17" s="482">
        <v>1024.17</v>
      </c>
      <c r="G17" t="s">
        <v>989</v>
      </c>
      <c r="H17">
        <v>230922434</v>
      </c>
      <c r="I17" s="458">
        <v>0</v>
      </c>
      <c r="J17" s="459">
        <v>0</v>
      </c>
    </row>
    <row r="18" spans="1:10">
      <c r="A18" s="481" t="s">
        <v>1047</v>
      </c>
      <c r="B18" s="481" t="s">
        <v>1041</v>
      </c>
      <c r="C18" s="481" t="s">
        <v>993</v>
      </c>
      <c r="D18" s="481" t="s">
        <v>1045</v>
      </c>
      <c r="E18" s="482">
        <v>657395.06999999995</v>
      </c>
      <c r="I18" s="458">
        <v>0.2</v>
      </c>
      <c r="J18" s="459">
        <v>132.65</v>
      </c>
    </row>
    <row r="19" spans="1:10">
      <c r="A19" s="481" t="s">
        <v>1047</v>
      </c>
      <c r="B19" s="481" t="s">
        <v>1041</v>
      </c>
      <c r="C19" s="481" t="s">
        <v>994</v>
      </c>
      <c r="D19" s="481" t="s">
        <v>1042</v>
      </c>
      <c r="E19" s="482">
        <v>1151516.21</v>
      </c>
      <c r="G19" t="s">
        <v>990</v>
      </c>
      <c r="H19">
        <v>206872772</v>
      </c>
      <c r="I19" s="458">
        <v>0.2</v>
      </c>
      <c r="J19" s="459">
        <v>0</v>
      </c>
    </row>
    <row r="20" spans="1:10">
      <c r="A20" s="481" t="s">
        <v>1040</v>
      </c>
      <c r="B20" s="481" t="s">
        <v>1041</v>
      </c>
      <c r="C20" s="481" t="s">
        <v>995</v>
      </c>
      <c r="D20" s="481" t="s">
        <v>1045</v>
      </c>
      <c r="E20" s="482">
        <v>12076168.189999999</v>
      </c>
      <c r="G20" t="s">
        <v>991</v>
      </c>
      <c r="H20">
        <v>142247544</v>
      </c>
      <c r="I20" s="458">
        <v>6.6699999999999995E-2</v>
      </c>
      <c r="J20" s="459">
        <v>69945.650000000009</v>
      </c>
    </row>
    <row r="21" spans="1:10">
      <c r="A21" s="481" t="s">
        <v>1040</v>
      </c>
      <c r="B21" s="481" t="s">
        <v>1041</v>
      </c>
      <c r="C21" s="481" t="s">
        <v>995</v>
      </c>
      <c r="D21" s="481" t="s">
        <v>1042</v>
      </c>
      <c r="E21" s="482">
        <v>671288.66</v>
      </c>
      <c r="I21" s="458">
        <v>0.2</v>
      </c>
      <c r="J21" s="459">
        <v>0</v>
      </c>
    </row>
    <row r="22" spans="1:10">
      <c r="A22" s="481" t="s">
        <v>1046</v>
      </c>
      <c r="B22" s="481" t="s">
        <v>1041</v>
      </c>
      <c r="C22" s="481" t="s">
        <v>996</v>
      </c>
      <c r="D22" s="481" t="s">
        <v>1042</v>
      </c>
      <c r="E22" s="482">
        <v>117735.37</v>
      </c>
      <c r="G22" t="s">
        <v>992</v>
      </c>
      <c r="H22">
        <v>230922468</v>
      </c>
      <c r="I22" s="458">
        <v>0</v>
      </c>
      <c r="J22" s="459">
        <v>0</v>
      </c>
    </row>
    <row r="23" spans="1:10">
      <c r="A23" s="481" t="s">
        <v>1046</v>
      </c>
      <c r="B23" s="481" t="s">
        <v>1041</v>
      </c>
      <c r="C23" s="481" t="s">
        <v>996</v>
      </c>
      <c r="D23" s="481" t="s">
        <v>1045</v>
      </c>
      <c r="E23" s="482">
        <v>12206957.720000001</v>
      </c>
      <c r="I23" s="458">
        <v>0.2</v>
      </c>
      <c r="J23" s="459">
        <v>27.11</v>
      </c>
    </row>
    <row r="24" spans="1:10">
      <c r="A24" s="481" t="s">
        <v>1047</v>
      </c>
      <c r="B24" s="481" t="s">
        <v>1041</v>
      </c>
      <c r="C24" s="481" t="s">
        <v>997</v>
      </c>
      <c r="D24" s="481" t="s">
        <v>1042</v>
      </c>
      <c r="E24" s="482">
        <v>86466.6</v>
      </c>
      <c r="G24" t="s">
        <v>993</v>
      </c>
      <c r="H24">
        <v>206872774</v>
      </c>
      <c r="I24" s="458">
        <v>0.2</v>
      </c>
      <c r="J24" s="459">
        <v>0</v>
      </c>
    </row>
    <row r="25" spans="1:10">
      <c r="A25" s="481" t="s">
        <v>1047</v>
      </c>
      <c r="B25" s="481" t="s">
        <v>1041</v>
      </c>
      <c r="C25" s="481" t="s">
        <v>997</v>
      </c>
      <c r="D25" s="481" t="s">
        <v>1045</v>
      </c>
      <c r="E25" s="482">
        <v>3844790.01</v>
      </c>
      <c r="G25" t="s">
        <v>994</v>
      </c>
      <c r="H25">
        <v>142293157</v>
      </c>
      <c r="I25" s="458">
        <v>6.6699999999999995E-2</v>
      </c>
      <c r="J25" s="459">
        <v>19146.18</v>
      </c>
    </row>
    <row r="26" spans="1:10">
      <c r="A26" s="481" t="s">
        <v>1040</v>
      </c>
      <c r="B26" s="481" t="s">
        <v>1041</v>
      </c>
      <c r="C26" s="481" t="s">
        <v>998</v>
      </c>
      <c r="D26" s="481" t="s">
        <v>1045</v>
      </c>
      <c r="E26" s="482">
        <v>431990.74</v>
      </c>
      <c r="I26" s="458">
        <v>0.2</v>
      </c>
      <c r="J26" s="459">
        <v>0</v>
      </c>
    </row>
    <row r="27" spans="1:10">
      <c r="A27" s="481" t="s">
        <v>1046</v>
      </c>
      <c r="B27" s="481" t="s">
        <v>1041</v>
      </c>
      <c r="C27" s="481" t="s">
        <v>999</v>
      </c>
      <c r="D27" s="481" t="s">
        <v>1045</v>
      </c>
      <c r="E27" s="482">
        <v>457878.61</v>
      </c>
      <c r="G27" t="s">
        <v>995</v>
      </c>
      <c r="H27">
        <v>658459</v>
      </c>
      <c r="I27" s="458">
        <v>0.2</v>
      </c>
      <c r="J27" s="459">
        <v>1986137.5199999998</v>
      </c>
    </row>
    <row r="28" spans="1:10">
      <c r="A28" s="481" t="s">
        <v>1047</v>
      </c>
      <c r="B28" s="481" t="s">
        <v>1041</v>
      </c>
      <c r="C28" s="481" t="s">
        <v>1000</v>
      </c>
      <c r="D28" s="481" t="s">
        <v>1045</v>
      </c>
      <c r="E28" s="482">
        <v>87242.76</v>
      </c>
      <c r="G28" t="s">
        <v>996</v>
      </c>
      <c r="H28">
        <v>11462487</v>
      </c>
      <c r="I28" s="458">
        <v>0.2</v>
      </c>
      <c r="J28" s="459">
        <v>2493493.2299999995</v>
      </c>
    </row>
    <row r="29" spans="1:10">
      <c r="A29" s="481" t="s">
        <v>1040</v>
      </c>
      <c r="B29" s="481" t="s">
        <v>1041</v>
      </c>
      <c r="C29" s="481" t="s">
        <v>1005</v>
      </c>
      <c r="D29" s="481" t="s">
        <v>1045</v>
      </c>
      <c r="E29" s="482">
        <v>973823.31</v>
      </c>
      <c r="G29" t="s">
        <v>997</v>
      </c>
      <c r="H29">
        <v>11462485</v>
      </c>
      <c r="I29" s="458">
        <v>0.2</v>
      </c>
      <c r="J29" s="459">
        <v>778171.79999999993</v>
      </c>
    </row>
    <row r="30" spans="1:10">
      <c r="A30" s="481" t="s">
        <v>1047</v>
      </c>
      <c r="B30" s="481" t="s">
        <v>1041</v>
      </c>
      <c r="C30" s="481" t="s">
        <v>1006</v>
      </c>
      <c r="D30" s="481" t="s">
        <v>1045</v>
      </c>
      <c r="E30" s="482">
        <v>165514.26999999999</v>
      </c>
      <c r="G30" t="s">
        <v>998</v>
      </c>
      <c r="H30">
        <v>185805663</v>
      </c>
      <c r="I30" s="458">
        <v>0.2</v>
      </c>
      <c r="J30" s="459">
        <v>86398.200000000012</v>
      </c>
    </row>
    <row r="31" spans="1:10">
      <c r="A31" s="481" t="s">
        <v>1040</v>
      </c>
      <c r="B31" s="481" t="s">
        <v>1041</v>
      </c>
      <c r="C31" s="481" t="s">
        <v>1008</v>
      </c>
      <c r="D31" s="481" t="s">
        <v>1045</v>
      </c>
      <c r="E31" s="482">
        <v>2017773.31</v>
      </c>
      <c r="G31" t="s">
        <v>999</v>
      </c>
      <c r="H31">
        <v>185818817</v>
      </c>
      <c r="I31" s="458">
        <v>0.2</v>
      </c>
      <c r="J31" s="459">
        <v>91575.719999999987</v>
      </c>
    </row>
    <row r="32" spans="1:10">
      <c r="A32" s="481" t="s">
        <v>1046</v>
      </c>
      <c r="B32" s="481" t="s">
        <v>1041</v>
      </c>
      <c r="C32" s="481" t="s">
        <v>1009</v>
      </c>
      <c r="D32" s="481" t="s">
        <v>1045</v>
      </c>
      <c r="E32" s="482">
        <v>2141826.38</v>
      </c>
      <c r="G32" t="s">
        <v>1000</v>
      </c>
      <c r="H32">
        <v>185819707</v>
      </c>
      <c r="I32" s="458">
        <v>0.2</v>
      </c>
      <c r="J32" s="459">
        <v>17448.599999999995</v>
      </c>
    </row>
    <row r="33" spans="1:10">
      <c r="A33" s="481" t="s">
        <v>1047</v>
      </c>
      <c r="B33" s="481" t="s">
        <v>1041</v>
      </c>
      <c r="C33" s="481" t="s">
        <v>1010</v>
      </c>
      <c r="D33" s="481" t="s">
        <v>1045</v>
      </c>
      <c r="E33" s="482">
        <v>393453.01</v>
      </c>
      <c r="G33" t="s">
        <v>1001</v>
      </c>
      <c r="H33">
        <v>54756416</v>
      </c>
      <c r="I33" s="458">
        <v>0.2</v>
      </c>
      <c r="J33" s="459">
        <v>0</v>
      </c>
    </row>
    <row r="34" spans="1:10">
      <c r="A34" s="484" t="s">
        <v>143</v>
      </c>
      <c r="B34" s="484"/>
      <c r="C34" s="484"/>
      <c r="D34" s="484"/>
      <c r="E34" s="485">
        <f>SUM(E8:E33)</f>
        <v>47823120.45000001</v>
      </c>
      <c r="G34" t="s">
        <v>1002</v>
      </c>
      <c r="H34">
        <v>210476121</v>
      </c>
      <c r="I34" s="458">
        <v>0.2</v>
      </c>
      <c r="J34" s="459">
        <v>0</v>
      </c>
    </row>
    <row r="35" spans="1:10">
      <c r="A35" s="481"/>
      <c r="B35" s="481"/>
      <c r="C35" s="481"/>
      <c r="D35" s="481"/>
      <c r="G35" t="s">
        <v>1003</v>
      </c>
      <c r="H35">
        <v>210476931</v>
      </c>
      <c r="I35" s="458">
        <v>0.2</v>
      </c>
      <c r="J35" s="459">
        <v>0</v>
      </c>
    </row>
    <row r="36" spans="1:10">
      <c r="D36" s="460" t="s">
        <v>1012</v>
      </c>
      <c r="E36" s="483">
        <f>E8+E15+E19</f>
        <v>7036784.7000000002</v>
      </c>
      <c r="G36" t="s">
        <v>1004</v>
      </c>
      <c r="H36">
        <v>210478733</v>
      </c>
      <c r="I36" s="458">
        <v>0.2</v>
      </c>
      <c r="J36" s="459">
        <v>0</v>
      </c>
    </row>
    <row r="37" spans="1:10">
      <c r="D37" s="460" t="s">
        <v>1013</v>
      </c>
      <c r="E37" s="483">
        <f>E31+E32+E33</f>
        <v>4553052.7</v>
      </c>
      <c r="G37" t="s">
        <v>1005</v>
      </c>
      <c r="H37">
        <v>136419694</v>
      </c>
      <c r="I37" s="458">
        <v>0.2</v>
      </c>
      <c r="J37" s="459">
        <v>194764.68000000005</v>
      </c>
    </row>
    <row r="38" spans="1:10">
      <c r="D38" s="460" t="s">
        <v>966</v>
      </c>
      <c r="E38" s="483">
        <f>E34-E36-E37</f>
        <v>36233283.050000004</v>
      </c>
      <c r="G38" t="s">
        <v>1006</v>
      </c>
      <c r="H38">
        <v>136419820</v>
      </c>
      <c r="I38" s="458">
        <v>0.2</v>
      </c>
      <c r="J38" s="459">
        <v>33102.840000000004</v>
      </c>
    </row>
    <row r="39" spans="1:10">
      <c r="G39" t="s">
        <v>1007</v>
      </c>
      <c r="H39">
        <v>136419698</v>
      </c>
      <c r="I39" s="458">
        <v>0.2</v>
      </c>
      <c r="J39" s="459">
        <v>0</v>
      </c>
    </row>
    <row r="40" spans="1:10">
      <c r="G40" t="s">
        <v>1008</v>
      </c>
      <c r="H40">
        <v>170676458</v>
      </c>
      <c r="I40" s="458">
        <v>0.1</v>
      </c>
      <c r="J40" s="459">
        <v>201777.36</v>
      </c>
    </row>
    <row r="41" spans="1:10">
      <c r="G41" t="s">
        <v>1009</v>
      </c>
      <c r="H41">
        <v>170676745</v>
      </c>
      <c r="I41" s="458">
        <v>0.1</v>
      </c>
      <c r="J41" s="459">
        <v>214182.59999999995</v>
      </c>
    </row>
    <row r="42" spans="1:10">
      <c r="G42" t="s">
        <v>1010</v>
      </c>
      <c r="H42">
        <v>171086054</v>
      </c>
      <c r="I42" s="458">
        <v>0.1</v>
      </c>
      <c r="J42" s="459">
        <v>39345.359999999993</v>
      </c>
    </row>
    <row r="43" spans="1:10">
      <c r="G43" t="s">
        <v>1011</v>
      </c>
      <c r="H43">
        <v>216064325</v>
      </c>
      <c r="I43" s="458">
        <v>0</v>
      </c>
      <c r="J43" s="459">
        <v>0</v>
      </c>
    </row>
    <row r="44" spans="1:10">
      <c r="G44" s="460" t="s">
        <v>143</v>
      </c>
      <c r="J44" s="479">
        <f>SUM(J8:J43)</f>
        <v>6256140.0199999986</v>
      </c>
    </row>
    <row r="46" spans="1:10">
      <c r="I46" s="460" t="s">
        <v>1012</v>
      </c>
      <c r="J46" s="461">
        <f>J11+J20+J25</f>
        <v>117017.77000000002</v>
      </c>
    </row>
    <row r="47" spans="1:10">
      <c r="I47" s="460" t="s">
        <v>1013</v>
      </c>
      <c r="J47" s="461">
        <f>J40+J41+J42</f>
        <v>455305.31999999995</v>
      </c>
    </row>
    <row r="48" spans="1:10">
      <c r="I48" s="460" t="s">
        <v>966</v>
      </c>
      <c r="J48" s="461">
        <f>SUM(J8:J43)-J46-J47</f>
        <v>5683816.9299999978</v>
      </c>
    </row>
    <row r="50" spans="1:2">
      <c r="A50" s="441" t="s">
        <v>2</v>
      </c>
      <c r="B50" s="248" t="s">
        <v>3</v>
      </c>
    </row>
  </sheetData>
  <mergeCells count="2">
    <mergeCell ref="A6:E6"/>
    <mergeCell ref="G6:J6"/>
  </mergeCells>
  <pageMargins left="0.7" right="0.7" top="0.75" bottom="0.75" header="0.3" footer="0.3"/>
  <pageSetup scale="56" orientation="landscape"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workbookViewId="0">
      <selection activeCell="I33" sqref="I33"/>
    </sheetView>
  </sheetViews>
  <sheetFormatPr defaultRowHeight="13.2"/>
  <cols>
    <col min="1" max="1" width="29.44140625" bestFit="1" customWidth="1"/>
    <col min="2" max="2" width="19.109375" bestFit="1" customWidth="1"/>
    <col min="3" max="3" width="6.88671875" bestFit="1" customWidth="1"/>
    <col min="5" max="5" width="29.44140625" bestFit="1" customWidth="1"/>
    <col min="6" max="6" width="11.5546875" bestFit="1" customWidth="1"/>
  </cols>
  <sheetData>
    <row r="1" spans="1:9">
      <c r="A1" s="230" t="s">
        <v>0</v>
      </c>
    </row>
    <row r="2" spans="1:9">
      <c r="A2" s="476" t="s">
        <v>1027</v>
      </c>
    </row>
    <row r="3" spans="1:9">
      <c r="A3" s="230" t="s">
        <v>107</v>
      </c>
    </row>
    <row r="4" spans="1:9">
      <c r="A4" s="476" t="s">
        <v>1028</v>
      </c>
    </row>
    <row r="7" spans="1:9" ht="13.8">
      <c r="A7" s="463" t="s">
        <v>1023</v>
      </c>
      <c r="B7" s="463" t="s">
        <v>1015</v>
      </c>
      <c r="C7" s="462"/>
      <c r="D7" s="462"/>
      <c r="E7" s="462"/>
      <c r="F7" s="462"/>
      <c r="G7" s="462"/>
      <c r="H7" s="462"/>
      <c r="I7" s="462"/>
    </row>
    <row r="8" spans="1:9" ht="13.8">
      <c r="A8" s="462" t="s">
        <v>258</v>
      </c>
      <c r="B8" s="462" t="s">
        <v>1016</v>
      </c>
      <c r="C8" s="463"/>
      <c r="D8" s="462"/>
      <c r="E8" s="462"/>
      <c r="F8" s="462"/>
      <c r="G8" s="462"/>
      <c r="H8" s="462"/>
      <c r="I8" s="462"/>
    </row>
    <row r="9" spans="1:9" ht="13.8">
      <c r="A9" s="464" t="s">
        <v>1017</v>
      </c>
      <c r="B9" s="465">
        <v>13106440.750000002</v>
      </c>
      <c r="C9" s="462"/>
      <c r="D9" s="462"/>
      <c r="E9" s="462"/>
      <c r="F9" s="462"/>
      <c r="G9" s="462"/>
      <c r="H9" s="462"/>
      <c r="I9" s="462"/>
    </row>
    <row r="10" spans="1:9" ht="13.8">
      <c r="A10" s="464" t="s">
        <v>1018</v>
      </c>
      <c r="B10" s="465">
        <v>312135956.42000002</v>
      </c>
      <c r="C10" s="462"/>
      <c r="D10" s="462"/>
      <c r="E10" s="462"/>
      <c r="F10" s="462"/>
      <c r="G10" s="462"/>
      <c r="H10" s="462"/>
      <c r="I10" s="462"/>
    </row>
    <row r="11" spans="1:9" ht="13.8">
      <c r="A11" s="464" t="s">
        <v>1019</v>
      </c>
      <c r="B11" s="465">
        <v>289457.60500000004</v>
      </c>
      <c r="C11" s="462"/>
      <c r="D11" s="462"/>
      <c r="E11" s="462"/>
      <c r="F11" s="462"/>
      <c r="G11" s="462"/>
      <c r="H11" s="462"/>
      <c r="I11" s="462"/>
    </row>
    <row r="12" spans="1:9" ht="13.8">
      <c r="A12" s="464" t="s">
        <v>1020</v>
      </c>
      <c r="B12" s="465">
        <v>1430735.5699999998</v>
      </c>
      <c r="C12" s="462"/>
      <c r="D12" s="462"/>
      <c r="E12" s="462"/>
      <c r="F12" s="462"/>
      <c r="G12" s="462"/>
      <c r="H12" s="462"/>
      <c r="I12" s="462"/>
    </row>
    <row r="13" spans="1:9" ht="13.8">
      <c r="A13" s="464" t="s">
        <v>1021</v>
      </c>
      <c r="B13" s="465">
        <v>1793170.9699999997</v>
      </c>
      <c r="C13" s="462"/>
      <c r="D13" s="462"/>
      <c r="E13" s="462"/>
      <c r="F13" s="462"/>
      <c r="G13" s="462"/>
      <c r="H13" s="462"/>
      <c r="I13" s="462"/>
    </row>
    <row r="14" spans="1:9" ht="13.8">
      <c r="A14" s="472" t="s">
        <v>1022</v>
      </c>
      <c r="B14" s="471">
        <v>26031.98</v>
      </c>
      <c r="C14" s="462"/>
      <c r="D14" s="462"/>
      <c r="E14" s="462"/>
      <c r="F14" s="462"/>
      <c r="G14" s="462"/>
      <c r="H14" s="462"/>
      <c r="I14" s="462"/>
    </row>
    <row r="15" spans="1:9" ht="13.8">
      <c r="A15" s="464" t="s">
        <v>277</v>
      </c>
      <c r="B15" s="465">
        <f>SUM(B9:B14)</f>
        <v>328781793.29500008</v>
      </c>
      <c r="C15" s="462"/>
      <c r="D15" s="462"/>
      <c r="E15" s="462"/>
      <c r="F15" s="462"/>
      <c r="G15" s="462"/>
      <c r="H15" s="462"/>
      <c r="I15" s="462"/>
    </row>
    <row r="16" spans="1:9" ht="13.8">
      <c r="A16" s="462"/>
      <c r="B16" s="465"/>
      <c r="C16" s="462"/>
      <c r="D16" s="462"/>
      <c r="E16" s="462"/>
      <c r="F16" s="462"/>
      <c r="G16" s="462"/>
      <c r="H16" s="462"/>
      <c r="I16" s="462"/>
    </row>
    <row r="17" spans="1:9" ht="13.8">
      <c r="A17" s="463" t="s">
        <v>1031</v>
      </c>
      <c r="B17" s="465"/>
      <c r="C17" s="462"/>
      <c r="D17" s="462"/>
      <c r="E17" s="463" t="s">
        <v>1029</v>
      </c>
      <c r="F17" s="462"/>
      <c r="G17" s="462"/>
      <c r="H17" s="462"/>
      <c r="I17" s="462"/>
    </row>
    <row r="18" spans="1:9" ht="13.8">
      <c r="A18" s="464" t="s">
        <v>1017</v>
      </c>
      <c r="B18" s="468">
        <f>B9*-1</f>
        <v>-13106440.750000002</v>
      </c>
      <c r="C18" s="466">
        <v>3.9863645181350486E-2</v>
      </c>
      <c r="D18" s="462"/>
      <c r="E18" s="464" t="s">
        <v>1017</v>
      </c>
      <c r="F18" s="465">
        <f>C18*$F$24</f>
        <v>-387843.04339740018</v>
      </c>
      <c r="G18" s="462"/>
      <c r="H18" s="462"/>
      <c r="I18" s="462"/>
    </row>
    <row r="19" spans="1:9" ht="13.8">
      <c r="A19" s="464" t="s">
        <v>1018</v>
      </c>
      <c r="B19" s="468">
        <f t="shared" ref="B19:B23" si="0">B10*-1</f>
        <v>-312135956.42000002</v>
      </c>
      <c r="C19" s="466">
        <v>0.94937117196126319</v>
      </c>
      <c r="D19" s="462"/>
      <c r="E19" s="464" t="s">
        <v>1018</v>
      </c>
      <c r="F19" s="465">
        <f t="shared" ref="F19:F23" si="1">C19*$F$24</f>
        <v>-9236661.6994542219</v>
      </c>
      <c r="G19" s="462"/>
      <c r="H19" s="462"/>
      <c r="I19" s="462"/>
    </row>
    <row r="20" spans="1:9" ht="13.8">
      <c r="A20" s="464" t="s">
        <v>1019</v>
      </c>
      <c r="B20" s="468">
        <f t="shared" si="0"/>
        <v>-289457.60500000004</v>
      </c>
      <c r="C20" s="466">
        <v>8.8039426422947841E-4</v>
      </c>
      <c r="D20" s="462"/>
      <c r="E20" s="464" t="s">
        <v>1019</v>
      </c>
      <c r="F20" s="465">
        <f t="shared" si="1"/>
        <v>-8565.56868482563</v>
      </c>
      <c r="G20" s="462"/>
      <c r="H20" s="462"/>
      <c r="I20" s="462"/>
    </row>
    <row r="21" spans="1:9" ht="13.8">
      <c r="A21" s="464" t="s">
        <v>1020</v>
      </c>
      <c r="B21" s="468">
        <f t="shared" si="0"/>
        <v>-1430735.5699999998</v>
      </c>
      <c r="C21" s="466">
        <v>4.3516265169716061E-3</v>
      </c>
      <c r="D21" s="462"/>
      <c r="E21" s="464" t="s">
        <v>1020</v>
      </c>
      <c r="F21" s="465">
        <f t="shared" si="1"/>
        <v>-42338.026650424828</v>
      </c>
      <c r="G21" s="462"/>
      <c r="H21" s="462"/>
      <c r="I21" s="462"/>
    </row>
    <row r="22" spans="1:9" ht="13.8">
      <c r="A22" s="464" t="s">
        <v>1021</v>
      </c>
      <c r="B22" s="468">
        <f t="shared" si="0"/>
        <v>-1793170.9699999997</v>
      </c>
      <c r="C22" s="466">
        <v>5.4539850033334227E-3</v>
      </c>
      <c r="D22" s="462"/>
      <c r="E22" s="464" t="s">
        <v>1021</v>
      </c>
      <c r="F22" s="465">
        <f t="shared" si="1"/>
        <v>-53063.138925544525</v>
      </c>
      <c r="G22" s="462"/>
      <c r="H22" s="462"/>
      <c r="I22" s="462"/>
    </row>
    <row r="23" spans="1:9" ht="13.8">
      <c r="A23" s="472" t="s">
        <v>1022</v>
      </c>
      <c r="B23" s="470">
        <f t="shared" si="0"/>
        <v>-26031.98</v>
      </c>
      <c r="C23" s="466">
        <v>7.9177072851606344E-5</v>
      </c>
      <c r="D23" s="462"/>
      <c r="E23" s="472" t="s">
        <v>1022</v>
      </c>
      <c r="F23" s="471">
        <f t="shared" si="1"/>
        <v>-770.33288758126446</v>
      </c>
      <c r="G23" s="462"/>
      <c r="H23" s="462"/>
      <c r="I23" s="462"/>
    </row>
    <row r="24" spans="1:9" ht="13.8">
      <c r="A24" s="473" t="s">
        <v>277</v>
      </c>
      <c r="B24" s="469">
        <f>SUM(B18:B23)</f>
        <v>-328781793.29500008</v>
      </c>
      <c r="C24" s="467">
        <v>1</v>
      </c>
      <c r="D24" s="462"/>
      <c r="E24" s="473" t="s">
        <v>277</v>
      </c>
      <c r="F24" s="474">
        <v>-9729241.8100000005</v>
      </c>
      <c r="G24" s="462"/>
      <c r="H24" s="462"/>
      <c r="I24" s="462"/>
    </row>
    <row r="27" spans="1:9">
      <c r="A27" s="441" t="s">
        <v>2</v>
      </c>
      <c r="B27" s="248" t="s">
        <v>3</v>
      </c>
    </row>
  </sheetData>
  <pageMargins left="0.7" right="0.7" top="0.75" bottom="0.75" header="0.3" footer="0.3"/>
  <pageSetup scale="86"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workbookViewId="0">
      <selection activeCell="C24" sqref="C24"/>
    </sheetView>
  </sheetViews>
  <sheetFormatPr defaultRowHeight="13.2"/>
  <cols>
    <col min="1" max="1" width="12.88671875" bestFit="1" customWidth="1"/>
    <col min="2" max="2" width="15.5546875" bestFit="1" customWidth="1"/>
    <col min="3" max="3" width="27.33203125" bestFit="1" customWidth="1"/>
  </cols>
  <sheetData>
    <row r="1" spans="1:3">
      <c r="A1" s="230" t="s">
        <v>0</v>
      </c>
    </row>
    <row r="2" spans="1:3">
      <c r="A2" s="476" t="s">
        <v>1027</v>
      </c>
    </row>
    <row r="3" spans="1:3">
      <c r="A3" s="230" t="s">
        <v>107</v>
      </c>
    </row>
    <row r="4" spans="1:3">
      <c r="A4" t="s">
        <v>1030</v>
      </c>
    </row>
    <row r="7" spans="1:3" ht="14.4">
      <c r="A7" s="451" t="s">
        <v>1024</v>
      </c>
      <c r="B7" s="451"/>
    </row>
    <row r="8" spans="1:3" ht="14.4">
      <c r="A8" s="451"/>
      <c r="B8" s="451"/>
      <c r="C8" s="451"/>
    </row>
    <row r="9" spans="1:3" ht="14.4">
      <c r="A9" s="451" t="s">
        <v>314</v>
      </c>
      <c r="B9" s="451" t="s">
        <v>290</v>
      </c>
      <c r="C9" s="451" t="s">
        <v>279</v>
      </c>
    </row>
    <row r="10" spans="1:3" ht="14.4">
      <c r="A10" s="451" t="s">
        <v>1025</v>
      </c>
      <c r="B10" s="451" t="s">
        <v>431</v>
      </c>
      <c r="C10" s="475">
        <v>10752.960000000003</v>
      </c>
    </row>
    <row r="11" spans="1:3" ht="14.4">
      <c r="A11" s="451"/>
      <c r="B11" s="451" t="s">
        <v>443</v>
      </c>
      <c r="C11" s="475">
        <v>-198907.15</v>
      </c>
    </row>
    <row r="12" spans="1:3" ht="14.4">
      <c r="A12" s="451" t="s">
        <v>1026</v>
      </c>
      <c r="B12" s="451"/>
      <c r="C12" s="475">
        <f>SUM(C10:C11)</f>
        <v>-188154.19</v>
      </c>
    </row>
    <row r="15" spans="1:3">
      <c r="A15" s="441" t="s">
        <v>2</v>
      </c>
      <c r="B15" s="248" t="s">
        <v>3</v>
      </c>
    </row>
  </sheetData>
  <pageMargins left="0.7" right="0.7" top="0.75" bottom="0.75" header="0.3" footer="0.3"/>
  <pageSetup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Ruler="0" workbookViewId="0">
      <selection activeCell="N27" sqref="N27"/>
    </sheetView>
  </sheetViews>
  <sheetFormatPr defaultColWidth="13.6640625" defaultRowHeight="13.2"/>
  <cols>
    <col min="1" max="1" width="9.33203125" customWidth="1"/>
    <col min="2" max="2" width="12.44140625" bestFit="1" customWidth="1"/>
    <col min="3" max="3" width="34" customWidth="1"/>
    <col min="4" max="5" width="16" customWidth="1"/>
    <col min="6" max="6" width="10.33203125" bestFit="1" customWidth="1"/>
  </cols>
  <sheetData>
    <row r="1" spans="1:7">
      <c r="A1" s="489" t="s">
        <v>0</v>
      </c>
      <c r="B1" s="489"/>
      <c r="C1" s="489"/>
      <c r="D1" s="6"/>
      <c r="E1" s="6"/>
      <c r="F1" s="6"/>
    </row>
    <row r="2" spans="1:7" ht="16.649999999999999" customHeight="1">
      <c r="A2" s="490" t="s">
        <v>460</v>
      </c>
      <c r="B2" s="487"/>
      <c r="C2" s="487"/>
      <c r="D2" s="487"/>
    </row>
    <row r="3" spans="1:7" ht="16.649999999999999" customHeight="1">
      <c r="A3" s="490" t="s">
        <v>461</v>
      </c>
      <c r="B3" s="490"/>
      <c r="C3" s="490"/>
      <c r="D3" s="490"/>
      <c r="E3" s="490"/>
      <c r="F3" s="6"/>
    </row>
    <row r="4" spans="1:7">
      <c r="A4" s="489" t="s">
        <v>107</v>
      </c>
      <c r="B4" s="489"/>
      <c r="C4" s="489"/>
      <c r="D4" s="489"/>
      <c r="E4" s="489"/>
      <c r="F4" s="6"/>
    </row>
    <row r="5" spans="1:7">
      <c r="A5" s="6"/>
      <c r="B5" s="6"/>
      <c r="C5" s="6"/>
      <c r="D5" s="6"/>
      <c r="E5" s="6"/>
      <c r="F5" s="6"/>
    </row>
    <row r="6" spans="1:7">
      <c r="A6" s="7"/>
      <c r="B6" s="7"/>
      <c r="C6" s="7"/>
      <c r="D6" s="7"/>
      <c r="E6" s="7"/>
      <c r="F6" s="7"/>
    </row>
    <row r="7" spans="1:7" ht="52.8">
      <c r="A7" s="58" t="s">
        <v>462</v>
      </c>
      <c r="B7" s="58" t="s">
        <v>463</v>
      </c>
      <c r="C7" s="58" t="s">
        <v>464</v>
      </c>
      <c r="D7" s="58" t="s">
        <v>465</v>
      </c>
      <c r="E7" s="58" t="s">
        <v>466</v>
      </c>
      <c r="F7" s="58" t="s">
        <v>467</v>
      </c>
      <c r="G7" s="21"/>
    </row>
    <row r="8" spans="1:7">
      <c r="A8" s="9"/>
      <c r="B8" s="9"/>
      <c r="C8" s="9"/>
      <c r="D8" s="9"/>
      <c r="E8" s="9"/>
      <c r="F8" s="9"/>
    </row>
    <row r="9" spans="1:7">
      <c r="A9" s="566" t="s">
        <v>468</v>
      </c>
      <c r="B9" s="566"/>
      <c r="C9" s="566"/>
      <c r="D9" s="6"/>
      <c r="E9" s="6"/>
      <c r="F9" s="6"/>
    </row>
    <row r="10" spans="1:7">
      <c r="A10" s="28">
        <v>117</v>
      </c>
      <c r="B10" s="6" t="s">
        <v>469</v>
      </c>
      <c r="C10" s="6" t="s">
        <v>470</v>
      </c>
      <c r="D10" s="13">
        <v>13583.28</v>
      </c>
      <c r="E10" s="13">
        <f>W36_PG_2_of_2!O10</f>
        <v>13583.230000000003</v>
      </c>
      <c r="F10" s="13">
        <v>0.05</v>
      </c>
    </row>
    <row r="11" spans="1:7">
      <c r="A11" s="28">
        <v>117</v>
      </c>
      <c r="B11" s="6" t="s">
        <v>469</v>
      </c>
      <c r="C11" s="6" t="s">
        <v>471</v>
      </c>
      <c r="D11" s="13">
        <v>39050.879999999997</v>
      </c>
      <c r="E11" s="13">
        <f>W36_PG_2_of_2!O11</f>
        <v>39050.87999999999</v>
      </c>
      <c r="F11" s="13">
        <v>0</v>
      </c>
    </row>
    <row r="12" spans="1:7">
      <c r="A12" s="28">
        <v>117</v>
      </c>
      <c r="B12" s="6" t="s">
        <v>469</v>
      </c>
      <c r="C12" s="6" t="s">
        <v>472</v>
      </c>
      <c r="D12" s="13">
        <v>35541.360000000001</v>
      </c>
      <c r="E12" s="13">
        <f>W36_PG_2_of_2!O12</f>
        <v>35541.43</v>
      </c>
      <c r="F12" s="13">
        <v>-7.0000000000000007E-2</v>
      </c>
    </row>
    <row r="13" spans="1:7">
      <c r="A13" s="28">
        <v>117</v>
      </c>
      <c r="B13" s="6" t="s">
        <v>469</v>
      </c>
      <c r="C13" s="6" t="s">
        <v>473</v>
      </c>
      <c r="D13" s="13">
        <v>61275.48</v>
      </c>
      <c r="E13" s="13">
        <f>W36_PG_2_of_2!O16</f>
        <v>52968.700000000004</v>
      </c>
      <c r="F13" s="13">
        <v>8306.7800000000007</v>
      </c>
    </row>
    <row r="14" spans="1:7">
      <c r="A14" s="28">
        <v>117</v>
      </c>
      <c r="B14" s="6" t="s">
        <v>469</v>
      </c>
      <c r="C14" s="6" t="s">
        <v>474</v>
      </c>
      <c r="D14" s="13">
        <v>15402.84</v>
      </c>
      <c r="E14" s="13">
        <f>W36_PG_2_of_2!O13</f>
        <v>15402.839999999998</v>
      </c>
      <c r="F14" s="13">
        <v>0</v>
      </c>
    </row>
    <row r="15" spans="1:7">
      <c r="A15" s="28">
        <v>117</v>
      </c>
      <c r="B15" s="6" t="s">
        <v>469</v>
      </c>
      <c r="C15" s="6" t="s">
        <v>475</v>
      </c>
      <c r="D15" s="13">
        <v>153718.56</v>
      </c>
      <c r="E15" s="13">
        <f>W36_PG_2_of_2!O14</f>
        <v>109605.23999999999</v>
      </c>
      <c r="F15" s="13">
        <v>44113.32</v>
      </c>
    </row>
    <row r="16" spans="1:7">
      <c r="A16" s="28">
        <v>117</v>
      </c>
      <c r="B16" s="6" t="s">
        <v>469</v>
      </c>
      <c r="C16" s="6" t="s">
        <v>476</v>
      </c>
      <c r="D16" s="16">
        <v>-23740.32</v>
      </c>
      <c r="E16" s="16">
        <f>W36_PG_2_of_2!O15</f>
        <v>-23740.320000000003</v>
      </c>
      <c r="F16" s="16">
        <v>0</v>
      </c>
    </row>
    <row r="17" spans="1:6">
      <c r="A17" s="1" t="s">
        <v>477</v>
      </c>
      <c r="B17" s="6"/>
      <c r="C17" s="6"/>
      <c r="D17" s="55">
        <f>SUM(D10:D16)</f>
        <v>294832.08</v>
      </c>
      <c r="E17" s="55">
        <f>SUM(E10:E16)</f>
        <v>242411.99999999994</v>
      </c>
      <c r="F17" s="55">
        <f>SUM(F10:F16)</f>
        <v>52420.08</v>
      </c>
    </row>
    <row r="18" spans="1:6">
      <c r="A18" s="6"/>
      <c r="B18" s="6"/>
      <c r="C18" s="6"/>
      <c r="D18" s="26"/>
      <c r="E18" s="26"/>
      <c r="F18" s="26"/>
    </row>
    <row r="19" spans="1:6">
      <c r="A19" s="6"/>
      <c r="B19" s="6"/>
      <c r="C19" s="6"/>
      <c r="D19" s="6"/>
      <c r="E19" s="6"/>
      <c r="F19" s="6"/>
    </row>
    <row r="22" spans="1:6">
      <c r="A22" s="5" t="s">
        <v>2</v>
      </c>
      <c r="B22" s="5" t="s">
        <v>3</v>
      </c>
    </row>
  </sheetData>
  <mergeCells count="5">
    <mergeCell ref="A2:D2"/>
    <mergeCell ref="A1:C1"/>
    <mergeCell ref="A3:E3"/>
    <mergeCell ref="A4:E4"/>
    <mergeCell ref="A9:C9"/>
  </mergeCells>
  <pageMargins left="0.75" right="0.75" top="1" bottom="1" header="0.5" footer="0.5"/>
  <pageSetup scale="81" orientation="portrait" horizontalDpi="1200"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showRuler="0" workbookViewId="0">
      <selection sqref="A1:C1"/>
    </sheetView>
  </sheetViews>
  <sheetFormatPr defaultColWidth="13.6640625" defaultRowHeight="13.2"/>
  <cols>
    <col min="1" max="1" width="21.6640625" customWidth="1"/>
    <col min="2" max="2" width="14.109375" customWidth="1"/>
    <col min="3" max="3" width="17.44140625" customWidth="1"/>
    <col min="4" max="4" width="16" customWidth="1"/>
    <col min="16" max="16" width="16.88671875" customWidth="1"/>
  </cols>
  <sheetData>
    <row r="1" spans="1:16">
      <c r="A1" s="489" t="s">
        <v>0</v>
      </c>
      <c r="B1" s="489"/>
      <c r="C1" s="489"/>
      <c r="D1" s="6"/>
      <c r="E1" s="6"/>
      <c r="F1" s="6"/>
      <c r="G1" s="6"/>
      <c r="H1" s="6"/>
      <c r="I1" s="6"/>
      <c r="J1" s="6"/>
      <c r="K1" s="6"/>
      <c r="L1" s="6"/>
      <c r="M1" s="6"/>
      <c r="N1" s="6"/>
      <c r="O1" s="6"/>
      <c r="P1" s="6"/>
    </row>
    <row r="2" spans="1:16">
      <c r="A2" s="490" t="s">
        <v>460</v>
      </c>
      <c r="B2" s="490"/>
      <c r="C2" s="490"/>
      <c r="D2" s="490"/>
    </row>
    <row r="3" spans="1:16">
      <c r="A3" s="490" t="s">
        <v>478</v>
      </c>
      <c r="B3" s="490"/>
      <c r="C3" s="490"/>
      <c r="D3" s="6"/>
      <c r="E3" s="6"/>
      <c r="F3" s="6"/>
      <c r="G3" s="6"/>
      <c r="H3" s="6"/>
      <c r="I3" s="6"/>
      <c r="J3" s="6"/>
      <c r="K3" s="6"/>
      <c r="L3" s="6"/>
      <c r="M3" s="6"/>
      <c r="N3" s="6"/>
      <c r="O3" s="6"/>
      <c r="P3" s="6"/>
    </row>
    <row r="4" spans="1:16">
      <c r="A4" s="489" t="s">
        <v>107</v>
      </c>
      <c r="B4" s="489"/>
      <c r="C4" s="489"/>
      <c r="D4" s="489"/>
      <c r="E4" s="489"/>
      <c r="F4" s="6"/>
      <c r="G4" s="6"/>
      <c r="H4" s="6"/>
      <c r="I4" s="6"/>
      <c r="J4" s="6"/>
      <c r="K4" s="6"/>
      <c r="L4" s="6"/>
      <c r="M4" s="6"/>
      <c r="N4" s="6"/>
      <c r="O4" s="6"/>
      <c r="P4" s="6"/>
    </row>
    <row r="5" spans="1:16">
      <c r="A5" s="6"/>
      <c r="B5" s="6"/>
      <c r="C5" s="6"/>
      <c r="D5" s="6"/>
      <c r="E5" s="6"/>
      <c r="F5" s="6"/>
      <c r="G5" s="6"/>
      <c r="H5" s="6"/>
      <c r="I5" s="6"/>
      <c r="J5" s="6"/>
      <c r="K5" s="6"/>
      <c r="L5" s="6"/>
      <c r="M5" s="6"/>
      <c r="N5" s="6"/>
      <c r="O5" s="6"/>
      <c r="P5" s="6"/>
    </row>
    <row r="6" spans="1:16">
      <c r="A6" s="7"/>
      <c r="B6" s="7"/>
      <c r="C6" s="7"/>
      <c r="D6" s="7"/>
      <c r="E6" s="7"/>
      <c r="F6" s="7"/>
      <c r="G6" s="7"/>
      <c r="H6" s="7"/>
      <c r="I6" s="7"/>
      <c r="J6" s="7"/>
      <c r="K6" s="7"/>
      <c r="L6" s="7"/>
      <c r="M6" s="7"/>
      <c r="N6" s="7"/>
      <c r="O6" s="7"/>
      <c r="P6" s="6"/>
    </row>
    <row r="7" spans="1:16">
      <c r="A7" s="29" t="s">
        <v>479</v>
      </c>
      <c r="B7" s="29" t="s">
        <v>480</v>
      </c>
      <c r="C7" s="29" t="s">
        <v>120</v>
      </c>
      <c r="D7" s="29" t="s">
        <v>121</v>
      </c>
      <c r="E7" s="29" t="s">
        <v>122</v>
      </c>
      <c r="F7" s="29" t="s">
        <v>123</v>
      </c>
      <c r="G7" s="29" t="s">
        <v>124</v>
      </c>
      <c r="H7" s="29" t="s">
        <v>125</v>
      </c>
      <c r="I7" s="29" t="s">
        <v>126</v>
      </c>
      <c r="J7" s="29" t="s">
        <v>127</v>
      </c>
      <c r="K7" s="29" t="s">
        <v>128</v>
      </c>
      <c r="L7" s="29" t="s">
        <v>129</v>
      </c>
      <c r="M7" s="29" t="s">
        <v>130</v>
      </c>
      <c r="N7" s="29" t="s">
        <v>131</v>
      </c>
      <c r="O7" s="29" t="s">
        <v>143</v>
      </c>
      <c r="P7" s="140"/>
    </row>
    <row r="8" spans="1:16">
      <c r="A8" s="9" t="s">
        <v>481</v>
      </c>
      <c r="B8" s="96">
        <v>31700</v>
      </c>
      <c r="C8" s="10">
        <v>1633.19</v>
      </c>
      <c r="D8" s="10">
        <v>1633.18</v>
      </c>
      <c r="E8" s="10">
        <v>1633.18</v>
      </c>
      <c r="F8" s="10">
        <v>1633.19</v>
      </c>
      <c r="G8" s="10">
        <v>1633.19</v>
      </c>
      <c r="H8" s="10">
        <v>1633.18</v>
      </c>
      <c r="I8" s="10">
        <v>1633.19</v>
      </c>
      <c r="J8" s="10">
        <v>1633.18</v>
      </c>
      <c r="K8" s="10">
        <v>1633.19</v>
      </c>
      <c r="L8" s="10">
        <v>1633.18</v>
      </c>
      <c r="M8" s="10">
        <v>1633.18</v>
      </c>
      <c r="N8" s="10">
        <v>1633.19</v>
      </c>
      <c r="O8" s="10">
        <f t="shared" ref="O8:O17" si="0">SUM(C8:N8)</f>
        <v>19598.22</v>
      </c>
      <c r="P8" s="1" t="s">
        <v>482</v>
      </c>
    </row>
    <row r="9" spans="1:16">
      <c r="A9" s="6" t="s">
        <v>483</v>
      </c>
      <c r="B9" s="37">
        <v>31700</v>
      </c>
      <c r="C9" s="13">
        <v>15946.68</v>
      </c>
      <c r="D9" s="13">
        <v>15946.68</v>
      </c>
      <c r="E9" s="13">
        <v>15946.68</v>
      </c>
      <c r="F9" s="13">
        <v>15946.68</v>
      </c>
      <c r="G9" s="13">
        <v>15946.68</v>
      </c>
      <c r="H9" s="13">
        <v>15946.68</v>
      </c>
      <c r="I9" s="13">
        <v>15946.68</v>
      </c>
      <c r="J9" s="13">
        <v>15946.67</v>
      </c>
      <c r="K9" s="13">
        <v>15946.69</v>
      </c>
      <c r="L9" s="13">
        <v>15946.67</v>
      </c>
      <c r="M9" s="13">
        <v>15946.66</v>
      </c>
      <c r="N9" s="13">
        <v>15946.68</v>
      </c>
      <c r="O9" s="13">
        <f t="shared" si="0"/>
        <v>191360.12999999998</v>
      </c>
      <c r="P9" s="1" t="s">
        <v>482</v>
      </c>
    </row>
    <row r="10" spans="1:16">
      <c r="A10" s="6" t="s">
        <v>484</v>
      </c>
      <c r="B10" s="37">
        <v>31700</v>
      </c>
      <c r="C10" s="13">
        <v>1131.94</v>
      </c>
      <c r="D10" s="13">
        <v>1131.94</v>
      </c>
      <c r="E10" s="13">
        <v>1131.93</v>
      </c>
      <c r="F10" s="13">
        <v>1131.94</v>
      </c>
      <c r="G10" s="13">
        <v>1131.94</v>
      </c>
      <c r="H10" s="13">
        <v>1131.93</v>
      </c>
      <c r="I10" s="13">
        <v>1131.94</v>
      </c>
      <c r="J10" s="13">
        <v>1131.93</v>
      </c>
      <c r="K10" s="13">
        <v>1131.93</v>
      </c>
      <c r="L10" s="13">
        <v>1131.94</v>
      </c>
      <c r="M10" s="13">
        <v>1131.93</v>
      </c>
      <c r="N10" s="13">
        <v>1131.94</v>
      </c>
      <c r="O10" s="13">
        <f t="shared" si="0"/>
        <v>13583.230000000003</v>
      </c>
      <c r="P10" s="1" t="s">
        <v>485</v>
      </c>
    </row>
    <row r="11" spans="1:16">
      <c r="A11" s="6" t="s">
        <v>486</v>
      </c>
      <c r="B11" s="37">
        <v>31700</v>
      </c>
      <c r="C11" s="13">
        <v>3254.24</v>
      </c>
      <c r="D11" s="13">
        <v>3254.24</v>
      </c>
      <c r="E11" s="13">
        <v>3254.24</v>
      </c>
      <c r="F11" s="13">
        <v>3254.24</v>
      </c>
      <c r="G11" s="13">
        <v>3254.24</v>
      </c>
      <c r="H11" s="13">
        <v>3254.24</v>
      </c>
      <c r="I11" s="13">
        <v>3254.24</v>
      </c>
      <c r="J11" s="13">
        <v>3254.24</v>
      </c>
      <c r="K11" s="13">
        <v>3254.24</v>
      </c>
      <c r="L11" s="13">
        <v>3254.24</v>
      </c>
      <c r="M11" s="13">
        <v>3254.24</v>
      </c>
      <c r="N11" s="13">
        <v>3254.24</v>
      </c>
      <c r="O11" s="13">
        <f t="shared" si="0"/>
        <v>39050.87999999999</v>
      </c>
      <c r="P11" s="1" t="s">
        <v>485</v>
      </c>
    </row>
    <row r="12" spans="1:16">
      <c r="A12" s="6" t="s">
        <v>487</v>
      </c>
      <c r="B12" s="37">
        <v>31700</v>
      </c>
      <c r="C12" s="13">
        <v>2961.79</v>
      </c>
      <c r="D12" s="13">
        <v>2961.79</v>
      </c>
      <c r="E12" s="13">
        <v>2961.79</v>
      </c>
      <c r="F12" s="13">
        <v>2961.79</v>
      </c>
      <c r="G12" s="13">
        <v>2961.78</v>
      </c>
      <c r="H12" s="13">
        <v>2961.79</v>
      </c>
      <c r="I12" s="13">
        <v>2961.78</v>
      </c>
      <c r="J12" s="13">
        <v>2961.79</v>
      </c>
      <c r="K12" s="13">
        <v>2961.78</v>
      </c>
      <c r="L12" s="13">
        <v>2961.78</v>
      </c>
      <c r="M12" s="13">
        <v>2961.79</v>
      </c>
      <c r="N12" s="13">
        <v>2961.78</v>
      </c>
      <c r="O12" s="13">
        <f t="shared" si="0"/>
        <v>35541.43</v>
      </c>
      <c r="P12" s="1" t="s">
        <v>485</v>
      </c>
    </row>
    <row r="13" spans="1:16">
      <c r="A13" s="6" t="s">
        <v>488</v>
      </c>
      <c r="B13" s="37">
        <v>31700</v>
      </c>
      <c r="C13" s="13">
        <v>1283.57</v>
      </c>
      <c r="D13" s="13">
        <v>1283.57</v>
      </c>
      <c r="E13" s="13">
        <v>1283.57</v>
      </c>
      <c r="F13" s="13">
        <v>1283.57</v>
      </c>
      <c r="G13" s="13">
        <v>1283.57</v>
      </c>
      <c r="H13" s="13">
        <v>1283.57</v>
      </c>
      <c r="I13" s="13">
        <v>1283.57</v>
      </c>
      <c r="J13" s="13">
        <v>1283.57</v>
      </c>
      <c r="K13" s="13">
        <v>1283.57</v>
      </c>
      <c r="L13" s="13">
        <v>1283.57</v>
      </c>
      <c r="M13" s="13">
        <v>1283.57</v>
      </c>
      <c r="N13" s="13">
        <v>1283.57</v>
      </c>
      <c r="O13" s="13">
        <f t="shared" si="0"/>
        <v>15402.839999999998</v>
      </c>
      <c r="P13" s="1" t="s">
        <v>485</v>
      </c>
    </row>
    <row r="14" spans="1:16">
      <c r="A14" s="6" t="s">
        <v>489</v>
      </c>
      <c r="B14" s="37">
        <v>31700</v>
      </c>
      <c r="C14" s="13">
        <v>7295.71</v>
      </c>
      <c r="D14" s="13">
        <v>7295.7</v>
      </c>
      <c r="E14" s="13">
        <v>7295.72</v>
      </c>
      <c r="F14" s="13">
        <v>7295.7</v>
      </c>
      <c r="G14" s="13">
        <v>7295.7</v>
      </c>
      <c r="H14" s="13">
        <v>7295.71</v>
      </c>
      <c r="I14" s="13">
        <v>7295.71</v>
      </c>
      <c r="J14" s="13">
        <v>7295.71</v>
      </c>
      <c r="K14" s="13">
        <v>12809.9</v>
      </c>
      <c r="L14" s="13">
        <v>12809.9</v>
      </c>
      <c r="M14" s="13">
        <v>12809.9</v>
      </c>
      <c r="N14" s="13">
        <v>12809.88</v>
      </c>
      <c r="O14" s="13">
        <f t="shared" si="0"/>
        <v>109605.23999999999</v>
      </c>
      <c r="P14" s="1" t="s">
        <v>485</v>
      </c>
    </row>
    <row r="15" spans="1:16">
      <c r="A15" s="6" t="s">
        <v>490</v>
      </c>
      <c r="B15" s="37">
        <v>31700</v>
      </c>
      <c r="C15" s="13">
        <v>-1978.36</v>
      </c>
      <c r="D15" s="13">
        <v>-1978.36</v>
      </c>
      <c r="E15" s="13">
        <v>-1978.36</v>
      </c>
      <c r="F15" s="13">
        <v>-1978.36</v>
      </c>
      <c r="G15" s="13">
        <v>-1978.36</v>
      </c>
      <c r="H15" s="13">
        <v>-1978.36</v>
      </c>
      <c r="I15" s="13">
        <v>-1978.36</v>
      </c>
      <c r="J15" s="13">
        <v>-1978.36</v>
      </c>
      <c r="K15" s="13">
        <v>-1978.36</v>
      </c>
      <c r="L15" s="13">
        <v>-1978.36</v>
      </c>
      <c r="M15" s="13">
        <v>-1978.36</v>
      </c>
      <c r="N15" s="13">
        <v>-1978.36</v>
      </c>
      <c r="O15" s="13">
        <f t="shared" si="0"/>
        <v>-23740.320000000003</v>
      </c>
      <c r="P15" s="1" t="s">
        <v>485</v>
      </c>
    </row>
    <row r="16" spans="1:16">
      <c r="A16" s="6" t="s">
        <v>491</v>
      </c>
      <c r="B16" s="37">
        <v>31700</v>
      </c>
      <c r="C16" s="13">
        <v>4183.32</v>
      </c>
      <c r="D16" s="13">
        <v>4183.3100000000004</v>
      </c>
      <c r="E16" s="13">
        <v>4183.3100000000004</v>
      </c>
      <c r="F16" s="13">
        <v>4183.32</v>
      </c>
      <c r="G16" s="13">
        <v>4183.3100000000004</v>
      </c>
      <c r="H16" s="13">
        <v>4183.3100000000004</v>
      </c>
      <c r="I16" s="13">
        <v>4183.32</v>
      </c>
      <c r="J16" s="13">
        <v>4183.32</v>
      </c>
      <c r="K16" s="13">
        <v>4183.3100000000004</v>
      </c>
      <c r="L16" s="13">
        <v>5106.29</v>
      </c>
      <c r="M16" s="13">
        <v>5106.29</v>
      </c>
      <c r="N16" s="13">
        <v>5106.29</v>
      </c>
      <c r="O16" s="13">
        <f t="shared" si="0"/>
        <v>52968.700000000004</v>
      </c>
      <c r="P16" s="1" t="s">
        <v>485</v>
      </c>
    </row>
    <row r="17" spans="1:16">
      <c r="A17" s="6" t="s">
        <v>492</v>
      </c>
      <c r="B17" s="37">
        <v>39919</v>
      </c>
      <c r="C17" s="13">
        <v>469.37</v>
      </c>
      <c r="D17" s="13">
        <v>469.37</v>
      </c>
      <c r="E17" s="13">
        <v>469.37</v>
      </c>
      <c r="F17" s="13">
        <v>469.37</v>
      </c>
      <c r="G17" s="13">
        <v>469.36</v>
      </c>
      <c r="H17" s="13">
        <v>469.36</v>
      </c>
      <c r="I17" s="13">
        <v>469.36</v>
      </c>
      <c r="J17" s="13">
        <v>469.36</v>
      </c>
      <c r="K17" s="13">
        <v>469.37</v>
      </c>
      <c r="L17" s="13">
        <v>469.37</v>
      </c>
      <c r="M17" s="13">
        <v>469.37</v>
      </c>
      <c r="N17" s="16">
        <v>469.37</v>
      </c>
      <c r="O17" s="16">
        <f t="shared" si="0"/>
        <v>5632.4000000000005</v>
      </c>
      <c r="P17" s="1" t="s">
        <v>482</v>
      </c>
    </row>
    <row r="18" spans="1:16">
      <c r="A18" s="6"/>
      <c r="B18" s="6"/>
      <c r="C18" s="6"/>
      <c r="D18" s="6"/>
      <c r="E18" s="6"/>
      <c r="F18" s="6"/>
      <c r="G18" s="6"/>
      <c r="H18" s="6"/>
      <c r="I18" s="6"/>
      <c r="J18" s="6"/>
      <c r="K18" s="6"/>
      <c r="L18" s="6"/>
      <c r="M18" s="6"/>
      <c r="N18" s="25">
        <f>SUM(N8:N17)</f>
        <v>42618.579999999994</v>
      </c>
      <c r="O18" s="25">
        <f>SUM(O8:O17)</f>
        <v>459002.75</v>
      </c>
      <c r="P18" s="1"/>
    </row>
    <row r="19" spans="1:16">
      <c r="A19" s="6"/>
      <c r="B19" s="6"/>
      <c r="C19" s="6"/>
      <c r="D19" s="6"/>
      <c r="E19" s="6"/>
      <c r="F19" s="6"/>
      <c r="G19" s="6"/>
      <c r="H19" s="6"/>
      <c r="I19" s="6"/>
      <c r="J19" s="6"/>
      <c r="K19" s="6"/>
      <c r="L19" s="6"/>
      <c r="M19" s="6"/>
      <c r="N19" s="26"/>
      <c r="O19" s="26"/>
      <c r="P19" s="1"/>
    </row>
    <row r="20" spans="1:16">
      <c r="A20" s="6"/>
      <c r="B20" s="6"/>
      <c r="C20" s="6"/>
      <c r="D20" s="6"/>
      <c r="E20" s="6"/>
      <c r="F20" s="6"/>
      <c r="G20" s="6"/>
      <c r="H20" s="6"/>
      <c r="I20" s="6"/>
      <c r="J20" s="6"/>
      <c r="K20" s="6"/>
      <c r="L20" s="6"/>
      <c r="M20" s="6"/>
      <c r="N20" s="13">
        <f>N8+N9+N17</f>
        <v>18049.239999999998</v>
      </c>
      <c r="O20" s="13">
        <f>O8+O9+O17</f>
        <v>216590.74999999997</v>
      </c>
      <c r="P20" s="1" t="s">
        <v>482</v>
      </c>
    </row>
    <row r="21" spans="1:16">
      <c r="A21" s="6"/>
      <c r="B21" s="6"/>
      <c r="C21" s="6"/>
      <c r="D21" s="6"/>
      <c r="E21" s="6"/>
      <c r="F21" s="6"/>
      <c r="G21" s="6"/>
      <c r="H21" s="6"/>
      <c r="I21" s="6"/>
      <c r="J21" s="6"/>
      <c r="K21" s="6"/>
      <c r="L21" s="6"/>
      <c r="M21" s="6"/>
      <c r="N21" s="16">
        <f>N10+N11+N12+N13+N14+N15+N16</f>
        <v>24569.34</v>
      </c>
      <c r="O21" s="16">
        <f>O10+O11+O12+O13+O14+O15+O16</f>
        <v>242412</v>
      </c>
      <c r="P21" s="1" t="s">
        <v>485</v>
      </c>
    </row>
    <row r="22" spans="1:16">
      <c r="A22" s="6"/>
      <c r="B22" s="6"/>
      <c r="C22" s="6"/>
      <c r="D22" s="6"/>
      <c r="E22" s="6"/>
      <c r="F22" s="6"/>
      <c r="G22" s="6"/>
      <c r="H22" s="6"/>
      <c r="I22" s="6"/>
      <c r="J22" s="6"/>
      <c r="K22" s="6"/>
      <c r="L22" s="6"/>
      <c r="M22" s="6"/>
      <c r="N22" s="25">
        <f>N20+N21</f>
        <v>42618.58</v>
      </c>
      <c r="O22" s="25">
        <f>O20+O21</f>
        <v>459002.75</v>
      </c>
      <c r="P22" s="1" t="s">
        <v>493</v>
      </c>
    </row>
    <row r="23" spans="1:16">
      <c r="A23" s="490" t="s">
        <v>494</v>
      </c>
      <c r="B23" s="490"/>
      <c r="C23" s="490"/>
      <c r="D23" s="13">
        <f>N21</f>
        <v>24569.34</v>
      </c>
      <c r="E23" s="6"/>
      <c r="F23" s="6"/>
      <c r="G23" s="6"/>
      <c r="H23" s="6"/>
      <c r="I23" s="6"/>
      <c r="J23" s="6"/>
      <c r="K23" s="6"/>
      <c r="L23" s="6"/>
      <c r="M23" s="6"/>
      <c r="N23" s="26"/>
      <c r="O23" s="26"/>
      <c r="P23" s="6"/>
    </row>
    <row r="24" spans="1:16">
      <c r="A24" s="6"/>
      <c r="B24" s="6"/>
      <c r="C24" s="6"/>
      <c r="D24" s="6"/>
      <c r="E24" s="6"/>
      <c r="F24" s="6"/>
      <c r="G24" s="6"/>
      <c r="H24" s="6"/>
      <c r="I24" s="6"/>
      <c r="J24" s="6"/>
      <c r="K24" s="6"/>
      <c r="L24" s="6"/>
      <c r="M24" s="6"/>
      <c r="N24" s="6"/>
      <c r="O24" s="6"/>
      <c r="P24" s="6"/>
    </row>
    <row r="25" spans="1:16">
      <c r="A25" s="567" t="s">
        <v>495</v>
      </c>
      <c r="B25" s="567"/>
      <c r="C25" s="567"/>
      <c r="D25" s="13">
        <f>D23*12</f>
        <v>294832.08</v>
      </c>
      <c r="E25" s="6"/>
      <c r="F25" s="6"/>
      <c r="G25" s="6"/>
      <c r="H25" s="6"/>
      <c r="I25" s="6"/>
      <c r="J25" s="6"/>
      <c r="K25" s="6"/>
      <c r="L25" s="6"/>
      <c r="M25" s="6"/>
      <c r="N25" s="6"/>
      <c r="O25" s="6"/>
      <c r="P25" s="6"/>
    </row>
    <row r="26" spans="1:16">
      <c r="A26" s="6"/>
      <c r="B26" s="6"/>
      <c r="C26" s="6"/>
      <c r="D26" s="6"/>
      <c r="E26" s="6"/>
      <c r="F26" s="6"/>
      <c r="G26" s="6"/>
      <c r="H26" s="6"/>
      <c r="I26" s="6"/>
      <c r="J26" s="6"/>
      <c r="K26" s="6"/>
      <c r="L26" s="6"/>
      <c r="M26" s="6"/>
      <c r="N26" s="6"/>
      <c r="O26" s="6"/>
      <c r="P26" s="6"/>
    </row>
    <row r="27" spans="1:16">
      <c r="A27" s="567" t="s">
        <v>478</v>
      </c>
      <c r="B27" s="567"/>
      <c r="C27" s="567"/>
      <c r="D27" s="13">
        <f>O21</f>
        <v>242412</v>
      </c>
      <c r="E27" s="6"/>
      <c r="F27" s="6"/>
      <c r="G27" s="6"/>
      <c r="H27" s="6"/>
      <c r="I27" s="6"/>
      <c r="J27" s="6"/>
      <c r="K27" s="6"/>
      <c r="L27" s="6"/>
      <c r="M27" s="6"/>
      <c r="N27" s="6"/>
      <c r="O27" s="6"/>
      <c r="P27" s="6"/>
    </row>
    <row r="28" spans="1:16" ht="9.9" customHeight="1">
      <c r="A28" s="53"/>
      <c r="B28" s="53"/>
      <c r="C28" s="53"/>
      <c r="D28" s="7"/>
      <c r="E28" s="6"/>
      <c r="F28" s="6"/>
      <c r="G28" s="6"/>
      <c r="H28" s="6"/>
      <c r="I28" s="6"/>
      <c r="J28" s="6"/>
      <c r="K28" s="6"/>
      <c r="L28" s="6"/>
      <c r="M28" s="6"/>
      <c r="N28" s="6"/>
      <c r="O28" s="6"/>
      <c r="P28" s="6"/>
    </row>
    <row r="29" spans="1:16" ht="29.1" customHeight="1">
      <c r="A29" s="567" t="s">
        <v>496</v>
      </c>
      <c r="B29" s="567"/>
      <c r="C29" s="567"/>
      <c r="D29" s="25">
        <f>D25-D27</f>
        <v>52420.080000000016</v>
      </c>
      <c r="E29" s="6"/>
      <c r="F29" s="6"/>
      <c r="G29" s="6"/>
      <c r="H29" s="6"/>
      <c r="I29" s="6"/>
      <c r="J29" s="6"/>
      <c r="K29" s="6"/>
      <c r="L29" s="6"/>
      <c r="M29" s="6"/>
      <c r="N29" s="6"/>
      <c r="O29" s="6"/>
      <c r="P29" s="6"/>
    </row>
    <row r="30" spans="1:16">
      <c r="A30" s="6"/>
      <c r="B30" s="6"/>
      <c r="C30" s="6"/>
      <c r="D30" s="26"/>
      <c r="E30" s="6"/>
      <c r="F30" s="6"/>
      <c r="G30" s="6"/>
      <c r="H30" s="6"/>
      <c r="I30" s="6"/>
      <c r="J30" s="6"/>
      <c r="K30" s="6"/>
      <c r="L30" s="6"/>
      <c r="M30" s="6"/>
      <c r="N30" s="6"/>
      <c r="O30" s="6"/>
      <c r="P30" s="6"/>
    </row>
    <row r="31" spans="1:16">
      <c r="A31" s="6"/>
      <c r="B31" s="6"/>
      <c r="C31" s="6"/>
      <c r="D31" s="6"/>
      <c r="E31" s="6"/>
      <c r="F31" s="6"/>
      <c r="G31" s="6"/>
      <c r="H31" s="6"/>
      <c r="I31" s="6"/>
      <c r="J31" s="6"/>
      <c r="K31" s="6"/>
      <c r="L31" s="6"/>
      <c r="M31" s="6"/>
      <c r="N31" s="6"/>
      <c r="O31" s="6"/>
      <c r="P31" s="6"/>
    </row>
    <row r="32" spans="1:16">
      <c r="A32" s="1" t="s">
        <v>497</v>
      </c>
      <c r="B32" s="6"/>
      <c r="C32" s="6"/>
      <c r="D32" s="6"/>
      <c r="E32" s="6"/>
      <c r="F32" s="6"/>
      <c r="G32" s="6"/>
      <c r="H32" s="6"/>
      <c r="I32" s="6"/>
      <c r="J32" s="6"/>
      <c r="K32" s="6"/>
      <c r="L32" s="6"/>
      <c r="M32" s="6"/>
      <c r="N32" s="6"/>
      <c r="O32" s="6"/>
      <c r="P32" s="6"/>
    </row>
    <row r="33" spans="1:16" ht="16.649999999999999" customHeight="1">
      <c r="A33" s="490" t="s">
        <v>498</v>
      </c>
      <c r="B33" s="490"/>
      <c r="C33" s="490"/>
      <c r="D33" s="490"/>
      <c r="E33" s="490"/>
      <c r="F33" s="490"/>
      <c r="G33" s="490"/>
      <c r="H33" s="490"/>
      <c r="I33" s="490"/>
      <c r="J33" s="6"/>
      <c r="K33" s="6"/>
      <c r="L33" s="6"/>
      <c r="M33" s="6"/>
      <c r="N33" s="6"/>
      <c r="O33" s="6"/>
      <c r="P33" s="6"/>
    </row>
    <row r="34" spans="1:16" ht="16.649999999999999" customHeight="1">
      <c r="A34" s="490" t="s">
        <v>499</v>
      </c>
      <c r="B34" s="490"/>
      <c r="C34" s="490"/>
      <c r="D34" s="490"/>
      <c r="E34" s="490"/>
      <c r="F34" s="490"/>
      <c r="G34" s="490"/>
      <c r="H34" s="490"/>
      <c r="I34" s="490"/>
      <c r="J34" s="6"/>
      <c r="K34" s="6"/>
      <c r="L34" s="6"/>
      <c r="M34" s="6"/>
      <c r="N34" s="6"/>
      <c r="O34" s="6"/>
      <c r="P34" s="6"/>
    </row>
    <row r="35" spans="1:16" ht="27.6" customHeight="1">
      <c r="A35" s="490" t="s">
        <v>500</v>
      </c>
      <c r="B35" s="490"/>
      <c r="C35" s="490"/>
      <c r="D35" s="490"/>
      <c r="E35" s="490"/>
      <c r="F35" s="490"/>
      <c r="G35" s="490"/>
      <c r="H35" s="490"/>
      <c r="I35" s="490"/>
      <c r="J35" s="6"/>
      <c r="K35" s="6"/>
      <c r="L35" s="6"/>
      <c r="M35" s="6"/>
      <c r="N35" s="6"/>
      <c r="O35" s="6"/>
      <c r="P35" s="6"/>
    </row>
    <row r="36" spans="1:16" ht="66" customHeight="1">
      <c r="A36" s="490" t="s">
        <v>501</v>
      </c>
      <c r="B36" s="490"/>
      <c r="C36" s="490"/>
      <c r="D36" s="490"/>
      <c r="E36" s="490"/>
      <c r="F36" s="490"/>
      <c r="G36" s="490"/>
      <c r="H36" s="490"/>
      <c r="I36" s="490"/>
      <c r="J36" s="6"/>
      <c r="K36" s="6"/>
      <c r="L36" s="6"/>
      <c r="M36" s="6"/>
      <c r="N36" s="6"/>
      <c r="O36" s="6"/>
      <c r="P36" s="6"/>
    </row>
    <row r="39" spans="1:16">
      <c r="A39" s="5" t="s">
        <v>2</v>
      </c>
      <c r="B39" s="5" t="s">
        <v>3</v>
      </c>
    </row>
  </sheetData>
  <mergeCells count="12">
    <mergeCell ref="A25:C25"/>
    <mergeCell ref="A27:C27"/>
    <mergeCell ref="A36:I36"/>
    <mergeCell ref="A35:I35"/>
    <mergeCell ref="A34:I34"/>
    <mergeCell ref="A33:I33"/>
    <mergeCell ref="A29:C29"/>
    <mergeCell ref="A3:C3"/>
    <mergeCell ref="A2:D2"/>
    <mergeCell ref="A1:C1"/>
    <mergeCell ref="A4:E4"/>
    <mergeCell ref="A23:C23"/>
  </mergeCells>
  <pageMargins left="0.75" right="0.75" top="1" bottom="1" header="0.5" footer="0.5"/>
  <pageSetup scale="52"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showRuler="0" zoomScaleNormal="100" workbookViewId="0">
      <selection sqref="A1:C1"/>
    </sheetView>
  </sheetViews>
  <sheetFormatPr defaultColWidth="13.6640625" defaultRowHeight="13.2"/>
  <cols>
    <col min="1" max="1" width="19.88671875" customWidth="1"/>
    <col min="2" max="2" width="21.33203125" customWidth="1"/>
  </cols>
  <sheetData>
    <row r="1" spans="1:5">
      <c r="A1" s="489" t="s">
        <v>0</v>
      </c>
      <c r="B1" s="489"/>
      <c r="C1" s="489"/>
    </row>
    <row r="2" spans="1:5">
      <c r="A2" s="490" t="s">
        <v>105</v>
      </c>
      <c r="B2" s="487"/>
      <c r="C2" s="487"/>
      <c r="D2" s="487"/>
    </row>
    <row r="3" spans="1:5">
      <c r="A3" s="490" t="s">
        <v>153</v>
      </c>
      <c r="B3" s="490"/>
      <c r="C3" s="490"/>
    </row>
    <row r="4" spans="1:5">
      <c r="A4" s="489" t="s">
        <v>107</v>
      </c>
      <c r="B4" s="489"/>
      <c r="C4" s="489"/>
      <c r="D4" s="489"/>
      <c r="E4" s="489"/>
    </row>
    <row r="5" spans="1:5">
      <c r="A5" s="7"/>
      <c r="B5" s="7"/>
      <c r="C5" s="6"/>
    </row>
    <row r="6" spans="1:5" ht="10.95" customHeight="1">
      <c r="A6" s="491" t="s">
        <v>154</v>
      </c>
      <c r="B6" s="493" t="s">
        <v>155</v>
      </c>
      <c r="C6" s="21"/>
    </row>
    <row r="7" spans="1:5" ht="16.649999999999999" customHeight="1">
      <c r="A7" s="492"/>
      <c r="B7" s="493"/>
      <c r="C7" s="21"/>
    </row>
    <row r="8" spans="1:5">
      <c r="A8" s="9" t="s">
        <v>120</v>
      </c>
      <c r="B8" s="10">
        <v>181066.9</v>
      </c>
      <c r="C8" s="6"/>
    </row>
    <row r="9" spans="1:5">
      <c r="A9" s="6" t="s">
        <v>121</v>
      </c>
      <c r="B9" s="13">
        <v>368344.24</v>
      </c>
      <c r="C9" s="6"/>
    </row>
    <row r="10" spans="1:5">
      <c r="A10" s="6" t="s">
        <v>122</v>
      </c>
      <c r="B10" s="13">
        <v>339046.2</v>
      </c>
      <c r="C10" s="6"/>
    </row>
    <row r="11" spans="1:5">
      <c r="A11" s="6" t="s">
        <v>123</v>
      </c>
      <c r="B11" s="13">
        <v>546878.18999999994</v>
      </c>
      <c r="C11" s="6"/>
    </row>
    <row r="12" spans="1:5">
      <c r="A12" s="6" t="s">
        <v>124</v>
      </c>
      <c r="B12" s="13">
        <v>492086.28</v>
      </c>
      <c r="C12" s="6"/>
    </row>
    <row r="13" spans="1:5">
      <c r="A13" s="6" t="s">
        <v>125</v>
      </c>
      <c r="B13" s="13">
        <v>394261.89</v>
      </c>
      <c r="C13" s="6"/>
    </row>
    <row r="14" spans="1:5">
      <c r="A14" s="6" t="s">
        <v>126</v>
      </c>
      <c r="B14" s="13">
        <v>343768.31</v>
      </c>
      <c r="C14" s="6"/>
    </row>
    <row r="15" spans="1:5">
      <c r="A15" s="6" t="s">
        <v>127</v>
      </c>
      <c r="B15" s="13">
        <v>657682.79</v>
      </c>
      <c r="C15" s="6"/>
    </row>
    <row r="16" spans="1:5">
      <c r="A16" s="6" t="s">
        <v>128</v>
      </c>
      <c r="B16" s="13">
        <v>809707.41</v>
      </c>
      <c r="C16" s="6"/>
    </row>
    <row r="17" spans="1:3">
      <c r="A17" s="6" t="s">
        <v>129</v>
      </c>
      <c r="B17" s="13">
        <v>761336.48</v>
      </c>
      <c r="C17" s="6"/>
    </row>
    <row r="18" spans="1:3">
      <c r="A18" s="6" t="s">
        <v>130</v>
      </c>
      <c r="B18" s="13">
        <v>702162.13</v>
      </c>
      <c r="C18" s="6"/>
    </row>
    <row r="19" spans="1:3">
      <c r="A19" s="7" t="s">
        <v>131</v>
      </c>
      <c r="B19" s="16">
        <v>406351.31</v>
      </c>
      <c r="C19" s="6"/>
    </row>
    <row r="20" spans="1:3" ht="27.6" customHeight="1">
      <c r="A20" s="9" t="s">
        <v>156</v>
      </c>
      <c r="B20" s="10">
        <f>SUM(B8:B19)</f>
        <v>6002692.1299999999</v>
      </c>
      <c r="C20" s="6"/>
    </row>
    <row r="21" spans="1:3">
      <c r="A21" s="6"/>
      <c r="B21" s="6"/>
      <c r="C21" s="6"/>
    </row>
    <row r="22" spans="1:3" ht="50.1" customHeight="1">
      <c r="A22" s="6" t="s">
        <v>157</v>
      </c>
      <c r="B22" s="27">
        <f>-B20</f>
        <v>-6002692.1299999999</v>
      </c>
      <c r="C22" s="6"/>
    </row>
    <row r="23" spans="1:3">
      <c r="A23" s="6" t="s">
        <v>134</v>
      </c>
      <c r="B23" s="32">
        <v>407.3</v>
      </c>
    </row>
    <row r="25" spans="1:3">
      <c r="A25" s="5" t="s">
        <v>2</v>
      </c>
      <c r="B25" s="5" t="s">
        <v>3</v>
      </c>
    </row>
  </sheetData>
  <mergeCells count="6">
    <mergeCell ref="A3:C3"/>
    <mergeCell ref="A2:D2"/>
    <mergeCell ref="A1:C1"/>
    <mergeCell ref="A4:E4"/>
    <mergeCell ref="A6:A7"/>
    <mergeCell ref="B6:B7"/>
  </mergeCells>
  <pageMargins left="0.75" right="0.75" top="1" bottom="1" header="0.5" footer="0.5"/>
  <pageSetup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Ruler="0" workbookViewId="0">
      <selection activeCell="C25" sqref="C25"/>
    </sheetView>
  </sheetViews>
  <sheetFormatPr defaultColWidth="13.6640625" defaultRowHeight="13.2"/>
  <cols>
    <col min="1" max="1" width="9.33203125" customWidth="1"/>
    <col min="2" max="2" width="12.88671875" customWidth="1"/>
    <col min="3" max="3" width="34" customWidth="1"/>
    <col min="4" max="5" width="15.6640625" customWidth="1"/>
    <col min="6" max="6" width="11.33203125" bestFit="1" customWidth="1"/>
  </cols>
  <sheetData>
    <row r="1" spans="1:7">
      <c r="A1" s="489" t="s">
        <v>0</v>
      </c>
      <c r="B1" s="489"/>
      <c r="C1" s="489"/>
      <c r="D1" s="6"/>
      <c r="E1" s="6"/>
      <c r="F1" s="6"/>
    </row>
    <row r="2" spans="1:7">
      <c r="A2" s="490" t="s">
        <v>502</v>
      </c>
      <c r="B2" s="487"/>
      <c r="C2" s="487"/>
      <c r="D2" s="487"/>
    </row>
    <row r="3" spans="1:7">
      <c r="A3" s="490" t="s">
        <v>503</v>
      </c>
      <c r="B3" s="490"/>
      <c r="C3" s="490"/>
      <c r="D3" s="490"/>
      <c r="E3" s="490"/>
      <c r="F3" s="490"/>
    </row>
    <row r="4" spans="1:7">
      <c r="A4" s="489" t="s">
        <v>107</v>
      </c>
      <c r="B4" s="489"/>
      <c r="C4" s="489"/>
      <c r="D4" s="489"/>
      <c r="E4" s="489"/>
      <c r="F4" s="6"/>
    </row>
    <row r="5" spans="1:7">
      <c r="A5" s="6"/>
      <c r="B5" s="6"/>
      <c r="C5" s="6"/>
      <c r="D5" s="6"/>
      <c r="E5" s="6"/>
      <c r="F5" s="6"/>
    </row>
    <row r="6" spans="1:7">
      <c r="A6" s="7"/>
      <c r="B6" s="7"/>
      <c r="C6" s="7"/>
      <c r="D6" s="7"/>
      <c r="E6" s="7"/>
      <c r="F6" s="7"/>
    </row>
    <row r="7" spans="1:7" ht="52.8">
      <c r="A7" s="58" t="s">
        <v>462</v>
      </c>
      <c r="B7" s="58" t="s">
        <v>463</v>
      </c>
      <c r="C7" s="58" t="s">
        <v>464</v>
      </c>
      <c r="D7" s="58" t="s">
        <v>504</v>
      </c>
      <c r="E7" s="58" t="s">
        <v>505</v>
      </c>
      <c r="F7" s="58" t="s">
        <v>467</v>
      </c>
      <c r="G7" s="21"/>
    </row>
    <row r="8" spans="1:7" ht="16.649999999999999" customHeight="1">
      <c r="A8" s="22"/>
      <c r="B8" s="22"/>
      <c r="C8" s="22"/>
      <c r="D8" s="22"/>
      <c r="E8" s="22"/>
      <c r="F8" s="22"/>
    </row>
    <row r="9" spans="1:7" ht="16.649999999999999" customHeight="1">
      <c r="A9" s="568" t="s">
        <v>506</v>
      </c>
      <c r="B9" s="568"/>
      <c r="C9" s="568"/>
      <c r="D9" s="9"/>
      <c r="E9" s="9"/>
      <c r="F9" s="9"/>
    </row>
    <row r="10" spans="1:7">
      <c r="A10" s="28">
        <v>117</v>
      </c>
      <c r="B10" s="6" t="s">
        <v>469</v>
      </c>
      <c r="C10" s="6" t="s">
        <v>470</v>
      </c>
      <c r="D10" s="13">
        <v>31263.279999999999</v>
      </c>
      <c r="E10" s="13">
        <f>W37_PG_2_of_2!O12</f>
        <v>35293.019999999997</v>
      </c>
      <c r="F10" s="13">
        <v>-4029.74</v>
      </c>
    </row>
    <row r="11" spans="1:7">
      <c r="A11" s="28">
        <v>117</v>
      </c>
      <c r="B11" s="6" t="s">
        <v>469</v>
      </c>
      <c r="C11" s="6" t="s">
        <v>471</v>
      </c>
      <c r="D11" s="13">
        <v>14760.42</v>
      </c>
      <c r="E11" s="13">
        <f>W37_PG_2_of_2!O13</f>
        <v>68203.31</v>
      </c>
      <c r="F11" s="13">
        <v>-53442.89</v>
      </c>
    </row>
    <row r="12" spans="1:7">
      <c r="A12" s="28">
        <v>117</v>
      </c>
      <c r="B12" s="6" t="s">
        <v>469</v>
      </c>
      <c r="C12" s="6" t="s">
        <v>472</v>
      </c>
      <c r="D12" s="13">
        <v>20047.14</v>
      </c>
      <c r="E12" s="13">
        <f>W37_PG_2_of_2!O14</f>
        <v>72321.13</v>
      </c>
      <c r="F12" s="13">
        <v>-52273.99</v>
      </c>
    </row>
    <row r="13" spans="1:7">
      <c r="A13" s="28">
        <v>117</v>
      </c>
      <c r="B13" s="6" t="s">
        <v>469</v>
      </c>
      <c r="C13" s="6" t="s">
        <v>473</v>
      </c>
      <c r="D13" s="13">
        <v>283984.71000000002</v>
      </c>
      <c r="E13" s="13">
        <f>W37_PG_2_of_2!O18</f>
        <v>347045.89</v>
      </c>
      <c r="F13" s="13">
        <v>-63061.18</v>
      </c>
    </row>
    <row r="14" spans="1:7">
      <c r="A14" s="28">
        <v>117</v>
      </c>
      <c r="B14" s="6" t="s">
        <v>469</v>
      </c>
      <c r="C14" s="6" t="s">
        <v>474</v>
      </c>
      <c r="D14" s="13">
        <v>48302.87</v>
      </c>
      <c r="E14" s="13">
        <f>W37_PG_2_of_2!O15</f>
        <v>45919.86</v>
      </c>
      <c r="F14" s="13">
        <v>2383.0100000000002</v>
      </c>
    </row>
    <row r="15" spans="1:7">
      <c r="A15" s="28">
        <v>117</v>
      </c>
      <c r="B15" s="6" t="s">
        <v>469</v>
      </c>
      <c r="C15" s="6" t="s">
        <v>475</v>
      </c>
      <c r="D15" s="13">
        <v>154659.48000000001</v>
      </c>
      <c r="E15" s="13">
        <f>W37_PG_2_of_2!O16</f>
        <v>139434.87</v>
      </c>
      <c r="F15" s="13">
        <v>15224.61</v>
      </c>
    </row>
    <row r="16" spans="1:7">
      <c r="A16" s="28">
        <v>117</v>
      </c>
      <c r="B16" s="6" t="s">
        <v>469</v>
      </c>
      <c r="C16" s="6" t="s">
        <v>476</v>
      </c>
      <c r="D16" s="16">
        <v>52843.89</v>
      </c>
      <c r="E16" s="16">
        <f>W37_PG_2_of_2!O17</f>
        <v>50236.84</v>
      </c>
      <c r="F16" s="16">
        <v>2607.0500000000002</v>
      </c>
    </row>
    <row r="17" spans="1:6">
      <c r="A17" s="1" t="s">
        <v>477</v>
      </c>
      <c r="B17" s="6"/>
      <c r="C17" s="6"/>
      <c r="D17" s="55">
        <f>SUM(D10:D16)</f>
        <v>605861.79</v>
      </c>
      <c r="E17" s="55">
        <f>SUM(E10:E16)</f>
        <v>758454.91999999993</v>
      </c>
      <c r="F17" s="55">
        <f>SUM(F10:F16)</f>
        <v>-152593.13</v>
      </c>
    </row>
    <row r="18" spans="1:6">
      <c r="A18" s="6"/>
      <c r="B18" s="6"/>
      <c r="C18" s="6"/>
      <c r="D18" s="26"/>
      <c r="E18" s="26"/>
      <c r="F18" s="26"/>
    </row>
    <row r="19" spans="1:6">
      <c r="A19" s="6"/>
      <c r="B19" s="6"/>
      <c r="C19" s="6"/>
      <c r="D19" s="6"/>
      <c r="E19" s="6"/>
      <c r="F19" s="6"/>
    </row>
    <row r="20" spans="1:6">
      <c r="A20" s="6"/>
      <c r="B20" s="6"/>
      <c r="C20" s="6"/>
      <c r="D20" s="6"/>
      <c r="E20" s="6"/>
      <c r="F20" s="6"/>
    </row>
    <row r="21" spans="1:6">
      <c r="A21" s="6"/>
      <c r="B21" s="6"/>
      <c r="C21" s="6"/>
      <c r="D21" s="6"/>
      <c r="E21" s="6"/>
      <c r="F21" s="6"/>
    </row>
    <row r="22" spans="1:6">
      <c r="A22" s="5" t="s">
        <v>2</v>
      </c>
      <c r="B22" s="5" t="s">
        <v>3</v>
      </c>
      <c r="C22" s="6"/>
      <c r="D22" s="6"/>
      <c r="E22" s="6"/>
      <c r="F22" s="6"/>
    </row>
    <row r="23" spans="1:6">
      <c r="A23" s="6"/>
      <c r="B23" s="6"/>
      <c r="C23" s="6"/>
      <c r="D23" s="6"/>
      <c r="E23" s="6"/>
      <c r="F23" s="6"/>
    </row>
  </sheetData>
  <mergeCells count="5">
    <mergeCell ref="A2:D2"/>
    <mergeCell ref="A1:C1"/>
    <mergeCell ref="A3:F3"/>
    <mergeCell ref="A4:E4"/>
    <mergeCell ref="A9:C9"/>
  </mergeCells>
  <pageMargins left="0.75" right="0.75" top="1" bottom="1" header="0.5" footer="0.5"/>
  <pageSetup scale="80" orientation="portrait" horizontalDpi="1200"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showRuler="0" workbookViewId="0">
      <selection sqref="A1:C1"/>
    </sheetView>
  </sheetViews>
  <sheetFormatPr defaultColWidth="13.6640625" defaultRowHeight="13.2"/>
  <cols>
    <col min="1" max="1" width="23.6640625" customWidth="1"/>
    <col min="2" max="3" width="15.5546875" customWidth="1"/>
    <col min="4" max="4" width="14.33203125" customWidth="1"/>
  </cols>
  <sheetData>
    <row r="1" spans="1:16">
      <c r="A1" s="489" t="s">
        <v>0</v>
      </c>
      <c r="B1" s="489"/>
      <c r="C1" s="489"/>
      <c r="D1" s="6"/>
      <c r="E1" s="6"/>
      <c r="F1" s="6"/>
      <c r="G1" s="6"/>
      <c r="H1" s="6"/>
      <c r="I1" s="6"/>
      <c r="J1" s="6"/>
      <c r="K1" s="6"/>
      <c r="L1" s="6"/>
      <c r="M1" s="6"/>
      <c r="N1" s="6"/>
      <c r="O1" s="6"/>
      <c r="P1" s="6"/>
    </row>
    <row r="2" spans="1:16">
      <c r="A2" s="490" t="s">
        <v>502</v>
      </c>
      <c r="B2" s="490"/>
      <c r="C2" s="490"/>
      <c r="D2" s="490"/>
    </row>
    <row r="3" spans="1:16">
      <c r="A3" s="490" t="s">
        <v>507</v>
      </c>
      <c r="B3" s="490"/>
      <c r="C3" s="490"/>
      <c r="D3" s="490"/>
      <c r="E3" s="490"/>
      <c r="F3" s="6"/>
      <c r="G3" s="6"/>
      <c r="H3" s="6"/>
      <c r="I3" s="6"/>
      <c r="J3" s="6"/>
      <c r="K3" s="6"/>
      <c r="L3" s="6"/>
      <c r="M3" s="6"/>
      <c r="N3" s="6"/>
      <c r="O3" s="6"/>
      <c r="P3" s="6"/>
    </row>
    <row r="4" spans="1:16">
      <c r="A4" s="489" t="s">
        <v>107</v>
      </c>
      <c r="B4" s="489"/>
      <c r="C4" s="489"/>
      <c r="D4" s="489"/>
      <c r="E4" s="489"/>
      <c r="F4" s="6"/>
      <c r="G4" s="6"/>
      <c r="H4" s="6"/>
      <c r="I4" s="6"/>
      <c r="J4" s="6"/>
      <c r="K4" s="6"/>
      <c r="L4" s="6"/>
      <c r="M4" s="6"/>
      <c r="N4" s="6"/>
      <c r="O4" s="6"/>
      <c r="P4" s="6"/>
    </row>
    <row r="5" spans="1:16">
      <c r="A5" s="6"/>
      <c r="B5" s="6"/>
      <c r="C5" s="7"/>
      <c r="D5" s="7"/>
      <c r="E5" s="7"/>
      <c r="F5" s="7"/>
      <c r="G5" s="7"/>
      <c r="H5" s="7"/>
      <c r="I5" s="7"/>
      <c r="J5" s="7"/>
      <c r="K5" s="7"/>
      <c r="L5" s="7"/>
      <c r="M5" s="7"/>
      <c r="N5" s="7"/>
      <c r="O5" s="7"/>
      <c r="P5" s="6"/>
    </row>
    <row r="6" spans="1:16">
      <c r="A6" s="6" t="s">
        <v>479</v>
      </c>
      <c r="B6" s="23" t="s">
        <v>480</v>
      </c>
      <c r="C6" s="29" t="s">
        <v>120</v>
      </c>
      <c r="D6" s="29" t="s">
        <v>121</v>
      </c>
      <c r="E6" s="29" t="s">
        <v>122</v>
      </c>
      <c r="F6" s="29" t="s">
        <v>123</v>
      </c>
      <c r="G6" s="29" t="s">
        <v>124</v>
      </c>
      <c r="H6" s="29" t="s">
        <v>125</v>
      </c>
      <c r="I6" s="29" t="s">
        <v>126</v>
      </c>
      <c r="J6" s="29" t="s">
        <v>127</v>
      </c>
      <c r="K6" s="29" t="s">
        <v>128</v>
      </c>
      <c r="L6" s="29" t="s">
        <v>129</v>
      </c>
      <c r="M6" s="29" t="s">
        <v>130</v>
      </c>
      <c r="N6" s="29" t="s">
        <v>131</v>
      </c>
      <c r="O6" s="29" t="s">
        <v>477</v>
      </c>
      <c r="P6" s="21"/>
    </row>
    <row r="7" spans="1:16">
      <c r="A7" s="6"/>
      <c r="B7" s="6"/>
      <c r="C7" s="9"/>
      <c r="D7" s="9"/>
      <c r="E7" s="9"/>
      <c r="F7" s="9"/>
      <c r="G7" s="9"/>
      <c r="H7" s="9"/>
      <c r="I7" s="9"/>
      <c r="J7" s="9"/>
      <c r="K7" s="9"/>
      <c r="L7" s="9"/>
      <c r="M7" s="9"/>
      <c r="N7" s="9"/>
      <c r="O7" s="9"/>
      <c r="P7" s="6"/>
    </row>
    <row r="8" spans="1:16">
      <c r="A8" s="6" t="s">
        <v>481</v>
      </c>
      <c r="B8" s="28">
        <v>31700</v>
      </c>
      <c r="C8" s="13">
        <v>370.28</v>
      </c>
      <c r="D8" s="13">
        <v>371.75</v>
      </c>
      <c r="E8" s="13">
        <v>373.24</v>
      </c>
      <c r="F8" s="13">
        <v>374.72</v>
      </c>
      <c r="G8" s="13">
        <v>376.21</v>
      </c>
      <c r="H8" s="13">
        <v>377.71</v>
      </c>
      <c r="I8" s="13">
        <v>379.21</v>
      </c>
      <c r="J8" s="13">
        <v>380.71</v>
      </c>
      <c r="K8" s="13">
        <v>382.23</v>
      </c>
      <c r="L8" s="13">
        <v>383.75</v>
      </c>
      <c r="M8" s="13">
        <v>385.27</v>
      </c>
      <c r="N8" s="13">
        <v>386.8</v>
      </c>
      <c r="O8" s="13">
        <f t="shared" ref="O8:O19" si="0">SUM(C8:N8)</f>
        <v>4541.88</v>
      </c>
      <c r="P8" s="6" t="s">
        <v>482</v>
      </c>
    </row>
    <row r="9" spans="1:16">
      <c r="A9" s="6" t="s">
        <v>483</v>
      </c>
      <c r="B9" s="28">
        <v>31700</v>
      </c>
      <c r="C9" s="13">
        <v>1931.96</v>
      </c>
      <c r="D9" s="13">
        <v>1870.48</v>
      </c>
      <c r="E9" s="13">
        <v>1695.68</v>
      </c>
      <c r="F9" s="13">
        <v>1118.8900000000001</v>
      </c>
      <c r="G9" s="13">
        <v>1960.38</v>
      </c>
      <c r="H9" s="13">
        <v>1880.58</v>
      </c>
      <c r="I9" s="13">
        <v>1855.73</v>
      </c>
      <c r="J9" s="13">
        <v>1695.36</v>
      </c>
      <c r="K9" s="13">
        <v>1630.2</v>
      </c>
      <c r="L9" s="13">
        <v>1548.04</v>
      </c>
      <c r="M9" s="13">
        <v>1515.25</v>
      </c>
      <c r="N9" s="13">
        <v>1286.51</v>
      </c>
      <c r="O9" s="13">
        <f t="shared" si="0"/>
        <v>19989.059999999998</v>
      </c>
      <c r="P9" s="6" t="s">
        <v>482</v>
      </c>
    </row>
    <row r="10" spans="1:16">
      <c r="A10" s="6" t="s">
        <v>508</v>
      </c>
      <c r="B10" s="28">
        <v>31700</v>
      </c>
      <c r="C10" s="13">
        <v>30922.87</v>
      </c>
      <c r="D10" s="13">
        <v>29669.72</v>
      </c>
      <c r="E10" s="13">
        <v>24613.1</v>
      </c>
      <c r="F10" s="13">
        <v>22254.07</v>
      </c>
      <c r="G10" s="13">
        <v>20576.61</v>
      </c>
      <c r="H10" s="13">
        <v>17677.2</v>
      </c>
      <c r="I10" s="13">
        <v>14574.43</v>
      </c>
      <c r="J10" s="13">
        <v>15331.05</v>
      </c>
      <c r="K10" s="13">
        <v>15288.29</v>
      </c>
      <c r="L10" s="13">
        <v>15305.57</v>
      </c>
      <c r="M10" s="13">
        <v>15288.44</v>
      </c>
      <c r="N10" s="13">
        <v>15275.81</v>
      </c>
      <c r="O10" s="13">
        <f t="shared" si="0"/>
        <v>236777.16</v>
      </c>
      <c r="P10" s="6" t="s">
        <v>482</v>
      </c>
    </row>
    <row r="11" spans="1:16">
      <c r="A11" s="6" t="s">
        <v>509</v>
      </c>
      <c r="B11" s="28">
        <v>31700</v>
      </c>
      <c r="C11" s="13">
        <v>150731.98000000001</v>
      </c>
      <c r="D11" s="13">
        <v>145008.34</v>
      </c>
      <c r="E11" s="13">
        <v>137817.51999999999</v>
      </c>
      <c r="F11" s="13">
        <v>128519.61</v>
      </c>
      <c r="G11" s="13">
        <v>122857.96</v>
      </c>
      <c r="H11" s="13">
        <v>117654.92</v>
      </c>
      <c r="I11" s="13">
        <v>112669.71</v>
      </c>
      <c r="J11" s="13">
        <v>103688.97</v>
      </c>
      <c r="K11" s="13">
        <v>96888.72</v>
      </c>
      <c r="L11" s="13">
        <v>93782.63</v>
      </c>
      <c r="M11" s="13">
        <v>89431.1</v>
      </c>
      <c r="N11" s="13">
        <v>85607.18</v>
      </c>
      <c r="O11" s="13">
        <f t="shared" si="0"/>
        <v>1384658.64</v>
      </c>
      <c r="P11" s="6" t="s">
        <v>482</v>
      </c>
    </row>
    <row r="12" spans="1:16">
      <c r="A12" s="6" t="s">
        <v>484</v>
      </c>
      <c r="B12" s="28">
        <v>31700</v>
      </c>
      <c r="C12" s="13">
        <v>2864.38</v>
      </c>
      <c r="D12" s="13">
        <v>2878.1</v>
      </c>
      <c r="E12" s="13">
        <v>2891.89</v>
      </c>
      <c r="F12" s="13">
        <v>2905.75</v>
      </c>
      <c r="G12" s="13">
        <v>2919.67</v>
      </c>
      <c r="H12" s="13">
        <v>2933.66</v>
      </c>
      <c r="I12" s="13">
        <v>2947.73</v>
      </c>
      <c r="J12" s="13">
        <v>2961.85</v>
      </c>
      <c r="K12" s="13">
        <v>2976.04</v>
      </c>
      <c r="L12" s="13">
        <v>2990.3</v>
      </c>
      <c r="M12" s="13">
        <v>3004.63</v>
      </c>
      <c r="N12" s="13">
        <v>3019.02</v>
      </c>
      <c r="O12" s="13">
        <f t="shared" si="0"/>
        <v>35293.019999999997</v>
      </c>
      <c r="P12" s="6" t="s">
        <v>510</v>
      </c>
    </row>
    <row r="13" spans="1:16">
      <c r="A13" s="6" t="s">
        <v>486</v>
      </c>
      <c r="B13" s="28">
        <v>31700</v>
      </c>
      <c r="C13" s="13">
        <v>6165.09</v>
      </c>
      <c r="D13" s="13">
        <v>5675.56</v>
      </c>
      <c r="E13" s="13">
        <v>5713.16</v>
      </c>
      <c r="F13" s="13">
        <v>5707.05</v>
      </c>
      <c r="G13" s="13">
        <v>5640.01</v>
      </c>
      <c r="H13" s="13">
        <v>5626.14</v>
      </c>
      <c r="I13" s="13">
        <v>5626</v>
      </c>
      <c r="J13" s="13">
        <v>5561.07</v>
      </c>
      <c r="K13" s="13">
        <v>5604.47</v>
      </c>
      <c r="L13" s="13">
        <v>5619.92</v>
      </c>
      <c r="M13" s="13">
        <v>5649.47</v>
      </c>
      <c r="N13" s="13">
        <v>5615.37</v>
      </c>
      <c r="O13" s="13">
        <f t="shared" si="0"/>
        <v>68203.31</v>
      </c>
      <c r="P13" s="6" t="s">
        <v>510</v>
      </c>
    </row>
    <row r="14" spans="1:16">
      <c r="A14" s="6" t="s">
        <v>487</v>
      </c>
      <c r="B14" s="28">
        <v>31700</v>
      </c>
      <c r="C14" s="13">
        <v>5957.83</v>
      </c>
      <c r="D14" s="13">
        <v>6001.14</v>
      </c>
      <c r="E14" s="13">
        <v>6026.72</v>
      </c>
      <c r="F14" s="13">
        <v>6070.51</v>
      </c>
      <c r="G14" s="13">
        <v>5971.74</v>
      </c>
      <c r="H14" s="13">
        <v>5955.62</v>
      </c>
      <c r="I14" s="13">
        <v>5966.67</v>
      </c>
      <c r="J14" s="13">
        <v>6017.64</v>
      </c>
      <c r="K14" s="13">
        <v>6049.9</v>
      </c>
      <c r="L14" s="13">
        <v>6063.72</v>
      </c>
      <c r="M14" s="13">
        <v>6103.72</v>
      </c>
      <c r="N14" s="13">
        <v>6135.92</v>
      </c>
      <c r="O14" s="13">
        <f t="shared" si="0"/>
        <v>72321.13</v>
      </c>
      <c r="P14" s="6" t="s">
        <v>510</v>
      </c>
    </row>
    <row r="15" spans="1:16">
      <c r="A15" s="6" t="s">
        <v>488</v>
      </c>
      <c r="B15" s="28">
        <v>31700</v>
      </c>
      <c r="C15" s="13">
        <v>3738.54</v>
      </c>
      <c r="D15" s="13">
        <v>3754.34</v>
      </c>
      <c r="E15" s="13">
        <v>3770.21</v>
      </c>
      <c r="F15" s="13">
        <v>3786.13</v>
      </c>
      <c r="G15" s="13">
        <v>3802.13</v>
      </c>
      <c r="H15" s="13">
        <v>3818.19</v>
      </c>
      <c r="I15" s="13">
        <v>3834.33</v>
      </c>
      <c r="J15" s="13">
        <v>3850.52</v>
      </c>
      <c r="K15" s="13">
        <v>3866.79</v>
      </c>
      <c r="L15" s="13">
        <v>3883.13</v>
      </c>
      <c r="M15" s="13">
        <v>3899.54</v>
      </c>
      <c r="N15" s="13">
        <v>3916.01</v>
      </c>
      <c r="O15" s="13">
        <f t="shared" si="0"/>
        <v>45919.86</v>
      </c>
      <c r="P15" s="6" t="s">
        <v>510</v>
      </c>
    </row>
    <row r="16" spans="1:16">
      <c r="A16" s="6" t="s">
        <v>489</v>
      </c>
      <c r="B16" s="28">
        <v>31700</v>
      </c>
      <c r="C16" s="13">
        <v>10977.34</v>
      </c>
      <c r="D16" s="13">
        <v>11023.72</v>
      </c>
      <c r="E16" s="13">
        <v>11070.3</v>
      </c>
      <c r="F16" s="13">
        <v>11117.06</v>
      </c>
      <c r="G16" s="13">
        <v>11164.04</v>
      </c>
      <c r="H16" s="13">
        <v>11211.21</v>
      </c>
      <c r="I16" s="13">
        <v>11258.57</v>
      </c>
      <c r="J16" s="13">
        <v>11306.13</v>
      </c>
      <c r="K16" s="13">
        <v>12519.08</v>
      </c>
      <c r="L16" s="13">
        <v>12557.36</v>
      </c>
      <c r="M16" s="13">
        <v>12595.77</v>
      </c>
      <c r="N16" s="13">
        <v>12634.29</v>
      </c>
      <c r="O16" s="13">
        <f t="shared" si="0"/>
        <v>139434.87</v>
      </c>
      <c r="P16" s="6" t="s">
        <v>510</v>
      </c>
    </row>
    <row r="17" spans="1:16">
      <c r="A17" s="6" t="s">
        <v>490</v>
      </c>
      <c r="B17" s="28">
        <v>31700</v>
      </c>
      <c r="C17" s="13">
        <v>4090.01</v>
      </c>
      <c r="D17" s="13">
        <v>4107.3</v>
      </c>
      <c r="E17" s="13">
        <v>4124.6499999999996</v>
      </c>
      <c r="F17" s="13">
        <v>4142.07</v>
      </c>
      <c r="G17" s="13">
        <v>4159.57</v>
      </c>
      <c r="H17" s="13">
        <v>4177.1400000000003</v>
      </c>
      <c r="I17" s="13">
        <v>4194.79</v>
      </c>
      <c r="J17" s="13">
        <v>4212.51</v>
      </c>
      <c r="K17" s="13">
        <v>4230.3100000000004</v>
      </c>
      <c r="L17" s="13">
        <v>4248.1899999999996</v>
      </c>
      <c r="M17" s="13">
        <v>4266.1400000000003</v>
      </c>
      <c r="N17" s="13">
        <v>4284.16</v>
      </c>
      <c r="O17" s="13">
        <f t="shared" si="0"/>
        <v>50236.84</v>
      </c>
      <c r="P17" s="6" t="s">
        <v>510</v>
      </c>
    </row>
    <row r="18" spans="1:16">
      <c r="A18" s="6" t="s">
        <v>491</v>
      </c>
      <c r="B18" s="28">
        <v>31700</v>
      </c>
      <c r="C18" s="13">
        <v>30320.53</v>
      </c>
      <c r="D18" s="13">
        <v>30452.080000000002</v>
      </c>
      <c r="E18" s="13">
        <v>30584.22</v>
      </c>
      <c r="F18" s="13">
        <v>30716.94</v>
      </c>
      <c r="G18" s="13">
        <v>30850.26</v>
      </c>
      <c r="H18" s="13">
        <v>30984.1</v>
      </c>
      <c r="I18" s="13">
        <v>31118.57</v>
      </c>
      <c r="J18" s="13">
        <v>31253.62</v>
      </c>
      <c r="K18" s="13">
        <v>31389.27</v>
      </c>
      <c r="L18" s="13">
        <v>23054.49</v>
      </c>
      <c r="M18" s="13">
        <v>23125.35</v>
      </c>
      <c r="N18" s="13">
        <v>23196.46</v>
      </c>
      <c r="O18" s="13">
        <f t="shared" si="0"/>
        <v>347045.89</v>
      </c>
      <c r="P18" s="6" t="s">
        <v>510</v>
      </c>
    </row>
    <row r="19" spans="1:16">
      <c r="A19" s="6" t="s">
        <v>492</v>
      </c>
      <c r="B19" s="28">
        <v>39919</v>
      </c>
      <c r="C19" s="16">
        <v>394.64</v>
      </c>
      <c r="D19" s="16">
        <v>396.53</v>
      </c>
      <c r="E19" s="16">
        <v>398.44</v>
      </c>
      <c r="F19" s="16">
        <v>400.35</v>
      </c>
      <c r="G19" s="16">
        <v>402.26</v>
      </c>
      <c r="H19" s="16">
        <v>404.2</v>
      </c>
      <c r="I19" s="16">
        <v>406.13</v>
      </c>
      <c r="J19" s="16">
        <v>408.07</v>
      </c>
      <c r="K19" s="16">
        <v>410.02</v>
      </c>
      <c r="L19" s="16">
        <v>412</v>
      </c>
      <c r="M19" s="16">
        <v>413.97</v>
      </c>
      <c r="N19" s="16">
        <v>415.94</v>
      </c>
      <c r="O19" s="16">
        <f t="shared" si="0"/>
        <v>4862.55</v>
      </c>
      <c r="P19" s="6" t="s">
        <v>511</v>
      </c>
    </row>
    <row r="20" spans="1:16">
      <c r="A20" s="6"/>
      <c r="B20" s="6"/>
      <c r="C20" s="25">
        <f t="shared" ref="C20:O20" si="1">SUM(C8:C19)</f>
        <v>248465.45000000004</v>
      </c>
      <c r="D20" s="25">
        <f t="shared" si="1"/>
        <v>241209.06000000003</v>
      </c>
      <c r="E20" s="25">
        <f t="shared" si="1"/>
        <v>229079.12999999998</v>
      </c>
      <c r="F20" s="25">
        <f t="shared" si="1"/>
        <v>217113.15000000002</v>
      </c>
      <c r="G20" s="25">
        <f t="shared" si="1"/>
        <v>210680.84000000005</v>
      </c>
      <c r="H20" s="25">
        <f t="shared" si="1"/>
        <v>202700.67000000004</v>
      </c>
      <c r="I20" s="25">
        <f t="shared" si="1"/>
        <v>194831.87000000002</v>
      </c>
      <c r="J20" s="25">
        <f t="shared" si="1"/>
        <v>186667.50000000003</v>
      </c>
      <c r="K20" s="25">
        <f t="shared" si="1"/>
        <v>181235.31999999995</v>
      </c>
      <c r="L20" s="25">
        <f t="shared" si="1"/>
        <v>169849.1</v>
      </c>
      <c r="M20" s="25">
        <f t="shared" si="1"/>
        <v>165678.65000000002</v>
      </c>
      <c r="N20" s="25">
        <f t="shared" si="1"/>
        <v>161773.46999999997</v>
      </c>
      <c r="O20" s="25">
        <f t="shared" si="1"/>
        <v>2409284.21</v>
      </c>
      <c r="P20" s="6"/>
    </row>
    <row r="21" spans="1:16">
      <c r="A21" s="6"/>
      <c r="B21" s="6"/>
      <c r="C21" s="26"/>
      <c r="D21" s="26"/>
      <c r="E21" s="26"/>
      <c r="F21" s="26"/>
      <c r="G21" s="26"/>
      <c r="H21" s="26"/>
      <c r="I21" s="26"/>
      <c r="J21" s="26"/>
      <c r="K21" s="26"/>
      <c r="L21" s="26"/>
      <c r="M21" s="26"/>
      <c r="N21" s="26"/>
      <c r="O21" s="26"/>
      <c r="P21" s="6"/>
    </row>
    <row r="22" spans="1:16">
      <c r="A22" s="6"/>
      <c r="B22" s="6"/>
      <c r="C22" s="6"/>
      <c r="D22" s="6"/>
      <c r="E22" s="6"/>
      <c r="F22" s="6"/>
      <c r="G22" s="6"/>
      <c r="H22" s="6"/>
      <c r="I22" s="6"/>
      <c r="J22" s="6"/>
      <c r="K22" s="6"/>
      <c r="L22" s="6"/>
      <c r="M22" s="6"/>
      <c r="N22" s="6"/>
      <c r="O22" s="6"/>
      <c r="P22" s="6"/>
    </row>
    <row r="23" spans="1:16">
      <c r="A23" s="6"/>
      <c r="B23" s="6"/>
      <c r="C23" s="6"/>
      <c r="D23" s="6"/>
      <c r="E23" s="6"/>
      <c r="F23" s="6"/>
      <c r="G23" s="6"/>
      <c r="H23" s="6"/>
      <c r="I23" s="6"/>
      <c r="J23" s="6"/>
      <c r="K23" s="6"/>
      <c r="L23" s="6"/>
      <c r="M23" s="6"/>
      <c r="N23" s="6"/>
      <c r="O23" s="13">
        <f>O8+O9+O10+O11+O19</f>
        <v>1650829.29</v>
      </c>
      <c r="P23" s="6" t="s">
        <v>511</v>
      </c>
    </row>
    <row r="24" spans="1:16">
      <c r="A24" s="6"/>
      <c r="B24" s="6"/>
      <c r="C24" s="6"/>
      <c r="D24" s="6"/>
      <c r="E24" s="6"/>
      <c r="F24" s="6"/>
      <c r="G24" s="6"/>
      <c r="H24" s="6"/>
      <c r="I24" s="6"/>
      <c r="J24" s="6"/>
      <c r="K24" s="6"/>
      <c r="L24" s="6"/>
      <c r="M24" s="6"/>
      <c r="N24" s="6"/>
      <c r="O24" s="16">
        <f>O12+O13+O14+O15+O16+O17+O18</f>
        <v>758454.92</v>
      </c>
      <c r="P24" s="6" t="s">
        <v>510</v>
      </c>
    </row>
    <row r="25" spans="1:16">
      <c r="A25" s="6"/>
      <c r="B25" s="6"/>
      <c r="C25" s="6"/>
      <c r="D25" s="6"/>
      <c r="E25" s="6"/>
      <c r="F25" s="6"/>
      <c r="G25" s="6"/>
      <c r="H25" s="6"/>
      <c r="I25" s="6"/>
      <c r="J25" s="6"/>
      <c r="K25" s="6"/>
      <c r="L25" s="6"/>
      <c r="M25" s="6"/>
      <c r="N25" s="6"/>
      <c r="O25" s="141">
        <f>O23+O24</f>
        <v>2409284.21</v>
      </c>
      <c r="P25" s="6" t="s">
        <v>143</v>
      </c>
    </row>
    <row r="26" spans="1:16">
      <c r="A26" s="6"/>
      <c r="B26" s="6"/>
      <c r="C26" s="6"/>
      <c r="D26" s="6"/>
      <c r="E26" s="6"/>
      <c r="F26" s="6"/>
      <c r="G26" s="6"/>
      <c r="H26" s="6"/>
      <c r="I26" s="6"/>
      <c r="J26" s="6"/>
      <c r="K26" s="6"/>
      <c r="L26" s="6"/>
      <c r="M26" s="6"/>
      <c r="N26" s="6"/>
      <c r="O26" s="26"/>
      <c r="P26" s="6"/>
    </row>
    <row r="27" spans="1:16">
      <c r="A27" s="1" t="s">
        <v>497</v>
      </c>
      <c r="B27" s="6"/>
      <c r="C27" s="6"/>
      <c r="D27" s="6"/>
      <c r="E27" s="6"/>
      <c r="F27" s="6"/>
      <c r="G27" s="6"/>
      <c r="H27" s="6"/>
      <c r="I27" s="6"/>
      <c r="J27" s="6"/>
      <c r="K27" s="6"/>
      <c r="L27" s="6"/>
      <c r="M27" s="6"/>
      <c r="N27" s="6"/>
      <c r="O27" s="6"/>
      <c r="P27" s="6"/>
    </row>
    <row r="28" spans="1:16" ht="16.649999999999999" customHeight="1">
      <c r="A28" s="490" t="s">
        <v>512</v>
      </c>
      <c r="B28" s="490"/>
      <c r="C28" s="490"/>
      <c r="D28" s="490"/>
      <c r="E28" s="490"/>
      <c r="F28" s="490"/>
      <c r="G28" s="490"/>
      <c r="H28" s="6"/>
      <c r="I28" s="6"/>
      <c r="J28" s="6"/>
      <c r="K28" s="6"/>
      <c r="L28" s="6"/>
      <c r="M28" s="6"/>
      <c r="N28" s="6"/>
      <c r="O28" s="6"/>
      <c r="P28" s="6"/>
    </row>
    <row r="29" spans="1:16" ht="16.649999999999999" customHeight="1">
      <c r="A29" s="490" t="s">
        <v>513</v>
      </c>
      <c r="B29" s="490"/>
      <c r="C29" s="490"/>
      <c r="D29" s="490"/>
      <c r="E29" s="490"/>
      <c r="F29" s="490"/>
      <c r="G29" s="490"/>
      <c r="H29" s="6"/>
      <c r="I29" s="6"/>
      <c r="J29" s="6"/>
      <c r="K29" s="6"/>
      <c r="L29" s="6"/>
      <c r="M29" s="6"/>
      <c r="N29" s="6"/>
      <c r="O29" s="6"/>
      <c r="P29" s="6"/>
    </row>
    <row r="30" spans="1:16" ht="16.649999999999999" customHeight="1">
      <c r="A30" s="490" t="s">
        <v>514</v>
      </c>
      <c r="B30" s="490"/>
      <c r="C30" s="490"/>
      <c r="D30" s="490"/>
      <c r="E30" s="490"/>
      <c r="F30" s="490"/>
      <c r="G30" s="490"/>
      <c r="H30" s="6"/>
      <c r="I30" s="6"/>
      <c r="J30" s="6"/>
      <c r="K30" s="6"/>
      <c r="L30" s="6"/>
      <c r="M30" s="6"/>
      <c r="N30" s="6"/>
      <c r="O30" s="6"/>
      <c r="P30" s="6"/>
    </row>
    <row r="31" spans="1:16" ht="16.649999999999999" customHeight="1">
      <c r="A31" s="490" t="s">
        <v>515</v>
      </c>
      <c r="B31" s="490"/>
      <c r="C31" s="490"/>
      <c r="D31" s="490"/>
      <c r="E31" s="490"/>
      <c r="F31" s="490"/>
      <c r="G31" s="490"/>
      <c r="H31" s="6"/>
      <c r="I31" s="6"/>
      <c r="J31" s="6"/>
      <c r="K31" s="6"/>
      <c r="L31" s="6"/>
      <c r="M31" s="6"/>
      <c r="N31" s="6"/>
      <c r="O31" s="6"/>
      <c r="P31" s="6"/>
    </row>
    <row r="34" spans="1:2">
      <c r="A34" s="5" t="s">
        <v>2</v>
      </c>
      <c r="B34" s="5" t="s">
        <v>3</v>
      </c>
    </row>
  </sheetData>
  <mergeCells count="8">
    <mergeCell ref="A31:G31"/>
    <mergeCell ref="A30:G30"/>
    <mergeCell ref="A29:G29"/>
    <mergeCell ref="A2:D2"/>
    <mergeCell ref="A1:C1"/>
    <mergeCell ref="A3:E3"/>
    <mergeCell ref="A4:E4"/>
    <mergeCell ref="A28:G28"/>
  </mergeCells>
  <pageMargins left="0.75" right="0.75" top="1" bottom="1" header="0.5" footer="0.5"/>
  <pageSetup scale="52" orientation="landscape" horizontalDpi="1200"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showRuler="0" workbookViewId="0">
      <selection activeCell="G16" sqref="G16"/>
    </sheetView>
  </sheetViews>
  <sheetFormatPr defaultColWidth="13.6640625" defaultRowHeight="13.2"/>
  <sheetData>
    <row r="1" spans="1:5">
      <c r="A1" s="490" t="s">
        <v>0</v>
      </c>
      <c r="B1" s="487"/>
    </row>
    <row r="2" spans="1:5">
      <c r="A2" s="505" t="s">
        <v>516</v>
      </c>
      <c r="B2" s="487"/>
      <c r="C2" s="487"/>
    </row>
    <row r="3" spans="1:5">
      <c r="A3" s="490" t="s">
        <v>517</v>
      </c>
      <c r="B3" s="487"/>
      <c r="C3" s="487"/>
      <c r="D3" s="487"/>
      <c r="E3" s="487"/>
    </row>
    <row r="4" spans="1:5">
      <c r="A4" s="490" t="s">
        <v>107</v>
      </c>
      <c r="B4" s="487"/>
      <c r="C4" s="487"/>
    </row>
    <row r="7" spans="1:5">
      <c r="A7" s="569" t="s">
        <v>518</v>
      </c>
      <c r="B7" s="569"/>
      <c r="C7" s="569"/>
      <c r="D7" s="569"/>
      <c r="E7" s="142" t="s">
        <v>150</v>
      </c>
    </row>
    <row r="8" spans="1:5">
      <c r="A8" s="490" t="s">
        <v>519</v>
      </c>
      <c r="B8" s="490"/>
      <c r="C8" s="487"/>
      <c r="D8" s="487"/>
      <c r="E8" s="13">
        <v>38339107.799999997</v>
      </c>
    </row>
    <row r="9" spans="1:5">
      <c r="A9" s="490" t="s">
        <v>520</v>
      </c>
      <c r="B9" s="490"/>
      <c r="C9" s="487"/>
      <c r="D9" s="487"/>
      <c r="E9" s="13">
        <v>427885.24</v>
      </c>
    </row>
    <row r="10" spans="1:5">
      <c r="A10" s="490" t="s">
        <v>521</v>
      </c>
      <c r="B10" s="490"/>
      <c r="C10" s="487"/>
      <c r="D10" s="487"/>
      <c r="E10" s="13">
        <v>33650.76</v>
      </c>
    </row>
    <row r="11" spans="1:5">
      <c r="A11" s="490" t="s">
        <v>522</v>
      </c>
      <c r="B11" s="490"/>
      <c r="C11" s="487"/>
      <c r="D11" s="487"/>
      <c r="E11" s="13">
        <v>0</v>
      </c>
    </row>
    <row r="12" spans="1:5">
      <c r="A12" s="490" t="s">
        <v>523</v>
      </c>
      <c r="B12" s="490"/>
      <c r="C12" s="487"/>
      <c r="D12" s="487"/>
      <c r="E12" s="13">
        <v>0</v>
      </c>
    </row>
    <row r="13" spans="1:5">
      <c r="A13" s="490" t="s">
        <v>524</v>
      </c>
      <c r="B13" s="490"/>
      <c r="C13" s="487"/>
      <c r="D13" s="487"/>
      <c r="E13" s="13">
        <v>1797950.56</v>
      </c>
    </row>
    <row r="14" spans="1:5">
      <c r="A14" s="490" t="s">
        <v>525</v>
      </c>
      <c r="B14" s="490"/>
      <c r="C14" s="487"/>
      <c r="D14" s="487"/>
      <c r="E14" s="16">
        <v>246865.13</v>
      </c>
    </row>
    <row r="15" spans="1:5">
      <c r="A15" s="570" t="s">
        <v>526</v>
      </c>
      <c r="B15" s="570"/>
      <c r="C15" s="570"/>
      <c r="D15" s="570"/>
      <c r="E15" s="245">
        <f>SUM(E8:E14)</f>
        <v>40845459.490000002</v>
      </c>
    </row>
    <row r="16" spans="1:5">
      <c r="E16" s="26"/>
    </row>
    <row r="18" spans="1:2">
      <c r="A18" s="6" t="s">
        <v>2</v>
      </c>
      <c r="B18" s="6" t="s">
        <v>3</v>
      </c>
    </row>
  </sheetData>
  <mergeCells count="13">
    <mergeCell ref="A15:D15"/>
    <mergeCell ref="A10:D10"/>
    <mergeCell ref="A9:D9"/>
    <mergeCell ref="A11:D11"/>
    <mergeCell ref="A12:D12"/>
    <mergeCell ref="A14:D14"/>
    <mergeCell ref="A13:D13"/>
    <mergeCell ref="A1:B1"/>
    <mergeCell ref="A2:C2"/>
    <mergeCell ref="A3:E3"/>
    <mergeCell ref="A4:C4"/>
    <mergeCell ref="A8:D8"/>
    <mergeCell ref="A7:D7"/>
  </mergeCells>
  <pageMargins left="0.75" right="0.75" top="1" bottom="1" header="0.5" footer="0.5"/>
  <pageSetup orientation="portrait" horizontalDpi="1200" verticalDpi="1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
  <sheetViews>
    <sheetView showRuler="0" workbookViewId="0">
      <selection sqref="A1:E1"/>
    </sheetView>
  </sheetViews>
  <sheetFormatPr defaultColWidth="13.6640625" defaultRowHeight="13.2"/>
  <cols>
    <col min="2" max="2" width="30.6640625" customWidth="1"/>
    <col min="3" max="3" width="16" customWidth="1"/>
    <col min="5" max="5" width="16" customWidth="1"/>
  </cols>
  <sheetData>
    <row r="1" spans="1:5">
      <c r="A1" s="489" t="s">
        <v>0</v>
      </c>
      <c r="B1" s="487"/>
      <c r="C1" s="487"/>
      <c r="D1" s="487"/>
      <c r="E1" s="487"/>
    </row>
    <row r="2" spans="1:5">
      <c r="A2" s="490" t="s">
        <v>527</v>
      </c>
      <c r="B2" s="487"/>
      <c r="C2" s="487"/>
      <c r="D2" s="487"/>
      <c r="E2" s="487"/>
    </row>
    <row r="3" spans="1:5">
      <c r="A3" s="490" t="s">
        <v>528</v>
      </c>
      <c r="B3" s="487"/>
      <c r="C3" s="487"/>
      <c r="D3" s="487"/>
      <c r="E3" s="487"/>
    </row>
    <row r="4" spans="1:5">
      <c r="A4" s="489" t="s">
        <v>107</v>
      </c>
      <c r="B4" s="487"/>
      <c r="C4" s="487"/>
      <c r="D4" s="487"/>
      <c r="E4" s="487"/>
    </row>
    <row r="6" spans="1:5">
      <c r="C6" s="5" t="s">
        <v>314</v>
      </c>
    </row>
    <row r="7" spans="1:5">
      <c r="C7" s="74">
        <v>5614007</v>
      </c>
      <c r="D7" s="74">
        <v>5614008</v>
      </c>
      <c r="E7" s="5" t="s">
        <v>277</v>
      </c>
    </row>
    <row r="8" spans="1:5" ht="60.75" customHeight="1">
      <c r="B8" s="1" t="s">
        <v>529</v>
      </c>
      <c r="C8" s="143">
        <f>-SUM(C29:C40)</f>
        <v>-130187.96999999999</v>
      </c>
      <c r="D8" s="143">
        <f>-SUM(D29:D40)</f>
        <v>-22755.82</v>
      </c>
      <c r="E8" s="143">
        <f>-SUM(E29:E40)</f>
        <v>-152943.79</v>
      </c>
    </row>
    <row r="9" spans="1:5">
      <c r="E9" s="6"/>
    </row>
    <row r="11" spans="1:5">
      <c r="B11" s="486" t="s">
        <v>530</v>
      </c>
      <c r="C11" s="487"/>
      <c r="D11" s="487"/>
      <c r="E11" s="487"/>
    </row>
    <row r="12" spans="1:5">
      <c r="B12" s="6" t="s">
        <v>279</v>
      </c>
      <c r="C12" s="5" t="s">
        <v>314</v>
      </c>
      <c r="D12" s="5"/>
      <c r="E12" s="5"/>
    </row>
    <row r="13" spans="1:5">
      <c r="B13" s="6" t="s">
        <v>453</v>
      </c>
      <c r="C13" s="74">
        <v>5614007</v>
      </c>
      <c r="D13" s="74">
        <v>5614008</v>
      </c>
      <c r="E13" s="5" t="s">
        <v>277</v>
      </c>
    </row>
    <row r="14" spans="1:5">
      <c r="B14" s="74">
        <v>20181</v>
      </c>
      <c r="C14" s="13">
        <v>0</v>
      </c>
      <c r="D14" s="13">
        <v>0</v>
      </c>
      <c r="E14" s="13">
        <v>0</v>
      </c>
    </row>
    <row r="15" spans="1:5">
      <c r="B15" s="74">
        <v>20182</v>
      </c>
      <c r="C15" s="13">
        <v>0</v>
      </c>
      <c r="D15" s="13">
        <v>0</v>
      </c>
      <c r="E15" s="13">
        <v>0</v>
      </c>
    </row>
    <row r="16" spans="1:5">
      <c r="B16" s="74">
        <v>20183</v>
      </c>
      <c r="C16" s="13">
        <v>0</v>
      </c>
      <c r="D16" s="13">
        <v>0</v>
      </c>
      <c r="E16" s="13">
        <v>0</v>
      </c>
    </row>
    <row r="17" spans="2:5">
      <c r="B17" s="74">
        <v>20184</v>
      </c>
      <c r="C17" s="13">
        <v>0</v>
      </c>
      <c r="D17" s="13">
        <v>0</v>
      </c>
      <c r="E17" s="13">
        <v>0</v>
      </c>
    </row>
    <row r="18" spans="2:5">
      <c r="B18" s="74">
        <v>20185</v>
      </c>
      <c r="C18" s="13">
        <v>0</v>
      </c>
      <c r="D18" s="13">
        <v>0</v>
      </c>
      <c r="E18" s="13">
        <v>0</v>
      </c>
    </row>
    <row r="19" spans="2:5">
      <c r="B19" s="74">
        <v>20186</v>
      </c>
      <c r="C19" s="13">
        <v>0</v>
      </c>
      <c r="D19" s="13">
        <v>0</v>
      </c>
      <c r="E19" s="13">
        <v>0</v>
      </c>
    </row>
    <row r="20" spans="2:5">
      <c r="B20" s="74">
        <v>20187</v>
      </c>
      <c r="C20" s="13">
        <v>0</v>
      </c>
      <c r="D20" s="13">
        <v>0</v>
      </c>
      <c r="E20" s="13">
        <v>0</v>
      </c>
    </row>
    <row r="21" spans="2:5">
      <c r="B21" s="74">
        <v>20188</v>
      </c>
      <c r="C21" s="13">
        <v>35432.769999999997</v>
      </c>
      <c r="D21" s="13">
        <v>2929.89</v>
      </c>
      <c r="E21" s="13">
        <v>38362.660000000003</v>
      </c>
    </row>
    <row r="22" spans="2:5">
      <c r="B22" s="74">
        <v>20189</v>
      </c>
      <c r="C22" s="13">
        <v>35128.550000000003</v>
      </c>
      <c r="D22" s="13">
        <v>9060.89</v>
      </c>
      <c r="E22" s="13">
        <v>44189.440000000002</v>
      </c>
    </row>
    <row r="23" spans="2:5">
      <c r="B23" s="74">
        <v>201810</v>
      </c>
      <c r="C23" s="13">
        <v>0</v>
      </c>
      <c r="D23" s="13">
        <v>0</v>
      </c>
      <c r="E23" s="13">
        <v>0</v>
      </c>
    </row>
    <row r="24" spans="2:5">
      <c r="B24" s="74">
        <v>201811</v>
      </c>
      <c r="C24" s="13">
        <v>11689.35</v>
      </c>
      <c r="D24" s="13">
        <v>1727.53</v>
      </c>
      <c r="E24" s="13">
        <v>13416.88</v>
      </c>
    </row>
    <row r="25" spans="2:5">
      <c r="B25" s="74">
        <v>201812</v>
      </c>
      <c r="C25" s="13">
        <v>32605.98</v>
      </c>
      <c r="D25" s="13">
        <v>3881.25</v>
      </c>
      <c r="E25" s="13">
        <v>36487.230000000003</v>
      </c>
    </row>
    <row r="26" spans="2:5">
      <c r="B26" s="74">
        <v>20191</v>
      </c>
      <c r="C26" s="13">
        <v>2228.04</v>
      </c>
      <c r="D26" s="13">
        <v>636.21</v>
      </c>
      <c r="E26" s="13">
        <v>2864.25</v>
      </c>
    </row>
    <row r="27" spans="2:5">
      <c r="B27" s="74">
        <v>20192</v>
      </c>
      <c r="C27" s="13">
        <v>11217.98</v>
      </c>
      <c r="D27" s="13">
        <v>1590.97</v>
      </c>
      <c r="E27" s="13">
        <v>12808.95</v>
      </c>
    </row>
    <row r="28" spans="2:5">
      <c r="B28" s="74">
        <v>20193</v>
      </c>
      <c r="C28" s="13">
        <v>28254.38</v>
      </c>
      <c r="D28" s="13">
        <v>4052.09</v>
      </c>
      <c r="E28" s="13">
        <v>32306.47</v>
      </c>
    </row>
    <row r="29" spans="2:5">
      <c r="B29" s="74">
        <v>20194</v>
      </c>
      <c r="C29" s="13">
        <v>5429.68</v>
      </c>
      <c r="D29" s="13">
        <v>1266.98</v>
      </c>
      <c r="E29" s="13">
        <v>6696.66</v>
      </c>
    </row>
    <row r="30" spans="2:5">
      <c r="B30" s="74">
        <v>20195</v>
      </c>
      <c r="C30" s="13">
        <v>11649.41</v>
      </c>
      <c r="D30" s="13">
        <v>1944.62</v>
      </c>
      <c r="E30" s="13">
        <v>13594.03</v>
      </c>
    </row>
    <row r="31" spans="2:5">
      <c r="B31" s="74">
        <v>20196</v>
      </c>
      <c r="C31" s="13">
        <v>7094.71</v>
      </c>
      <c r="D31" s="13">
        <v>1044.56</v>
      </c>
      <c r="E31" s="13">
        <v>8139.27</v>
      </c>
    </row>
    <row r="32" spans="2:5">
      <c r="B32" s="74">
        <v>20197</v>
      </c>
      <c r="C32" s="13">
        <v>8622.44</v>
      </c>
      <c r="D32" s="13">
        <v>1328.29</v>
      </c>
      <c r="E32" s="13">
        <v>9950.73</v>
      </c>
    </row>
    <row r="33" spans="2:5">
      <c r="B33" s="74">
        <v>20198</v>
      </c>
      <c r="C33" s="13">
        <v>4945.0600000000004</v>
      </c>
      <c r="D33" s="13">
        <v>940.97</v>
      </c>
      <c r="E33" s="13">
        <v>5886.03</v>
      </c>
    </row>
    <row r="34" spans="2:5">
      <c r="B34" s="74">
        <v>20199</v>
      </c>
      <c r="C34" s="13">
        <v>4996.57</v>
      </c>
      <c r="D34" s="13">
        <v>969</v>
      </c>
      <c r="E34" s="13">
        <v>5965.57</v>
      </c>
    </row>
    <row r="35" spans="2:5">
      <c r="B35" s="74">
        <v>201910</v>
      </c>
      <c r="C35" s="13">
        <v>6918.11</v>
      </c>
      <c r="D35" s="13">
        <v>1291.53</v>
      </c>
      <c r="E35" s="13">
        <v>8209.64</v>
      </c>
    </row>
    <row r="36" spans="2:5">
      <c r="B36" s="74">
        <v>201911</v>
      </c>
      <c r="C36" s="13">
        <v>13089.31</v>
      </c>
      <c r="D36" s="13">
        <v>3576.85</v>
      </c>
      <c r="E36" s="13">
        <v>16666.16</v>
      </c>
    </row>
    <row r="37" spans="2:5">
      <c r="B37" s="74">
        <v>201912</v>
      </c>
      <c r="C37" s="13">
        <v>11264.41</v>
      </c>
      <c r="D37" s="13">
        <v>1708.39</v>
      </c>
      <c r="E37" s="13">
        <v>12972.8</v>
      </c>
    </row>
    <row r="38" spans="2:5">
      <c r="B38" s="74">
        <v>20201</v>
      </c>
      <c r="C38" s="13">
        <v>8381.7900000000009</v>
      </c>
      <c r="D38" s="13">
        <v>1256.17</v>
      </c>
      <c r="E38" s="13">
        <v>9637.9599999999991</v>
      </c>
    </row>
    <row r="39" spans="2:5">
      <c r="B39" s="74">
        <v>20202</v>
      </c>
      <c r="C39" s="13">
        <v>30381.360000000001</v>
      </c>
      <c r="D39" s="13">
        <v>4731.82</v>
      </c>
      <c r="E39" s="13">
        <v>35113.18</v>
      </c>
    </row>
    <row r="40" spans="2:5">
      <c r="B40" s="74">
        <v>20203</v>
      </c>
      <c r="C40" s="13">
        <v>17415.12</v>
      </c>
      <c r="D40" s="13">
        <v>2696.64</v>
      </c>
      <c r="E40" s="16">
        <v>20111.759999999998</v>
      </c>
    </row>
    <row r="41" spans="2:5">
      <c r="B41" s="1" t="s">
        <v>531</v>
      </c>
      <c r="C41" s="75">
        <f>SUM(C14:C40)</f>
        <v>286745.01999999996</v>
      </c>
      <c r="D41" s="75">
        <f>SUM(D14:D40)</f>
        <v>46634.649999999994</v>
      </c>
      <c r="E41" s="61">
        <f>SUM(E14:E40)</f>
        <v>333379.6700000001</v>
      </c>
    </row>
    <row r="42" spans="2:5">
      <c r="B42" s="6"/>
      <c r="C42" s="6"/>
      <c r="D42" s="6"/>
      <c r="E42" s="9"/>
    </row>
    <row r="43" spans="2:5">
      <c r="B43" s="6"/>
      <c r="C43" s="6"/>
      <c r="D43" s="6"/>
      <c r="E43" s="6"/>
    </row>
    <row r="44" spans="2:5">
      <c r="B44" s="486" t="s">
        <v>532</v>
      </c>
      <c r="C44" s="487"/>
      <c r="D44" s="487"/>
      <c r="E44" s="487"/>
    </row>
    <row r="45" spans="2:5">
      <c r="B45" s="6" t="str">
        <f>W49_PG_2_of_2!A28</f>
        <v>2020 April</v>
      </c>
      <c r="E45" s="13">
        <f>W49_PG_2_of_2!B28</f>
        <v>5567.32</v>
      </c>
    </row>
    <row r="46" spans="2:5">
      <c r="B46" s="6" t="str">
        <f>W49_PG_2_of_2!A29</f>
        <v>2020 May</v>
      </c>
      <c r="C46" s="6"/>
      <c r="D46" s="6"/>
      <c r="E46" s="13">
        <f>W49_PG_2_of_2!B29</f>
        <v>5941.19</v>
      </c>
    </row>
    <row r="47" spans="2:5">
      <c r="B47" s="6" t="str">
        <f>W49_PG_2_of_2!A30</f>
        <v>2020 June</v>
      </c>
      <c r="C47" s="6"/>
      <c r="D47" s="6"/>
      <c r="E47" s="13">
        <f>W49_PG_2_of_2!B30</f>
        <v>5755.3</v>
      </c>
    </row>
    <row r="48" spans="2:5">
      <c r="B48" s="6" t="str">
        <f>W49_PG_2_of_2!A31</f>
        <v>2020 July</v>
      </c>
      <c r="C48" s="6"/>
      <c r="D48" s="6"/>
      <c r="E48" s="13">
        <f>W49_PG_2_of_2!B31</f>
        <v>5937.78</v>
      </c>
    </row>
    <row r="49" spans="1:5">
      <c r="B49" s="6" t="str">
        <f>W49_PG_2_of_2!A32</f>
        <v>2020 August</v>
      </c>
      <c r="C49" s="6"/>
      <c r="D49" s="6"/>
      <c r="E49" s="13">
        <f>W49_PG_2_of_2!B32</f>
        <v>243.3</v>
      </c>
    </row>
    <row r="50" spans="1:5">
      <c r="B50" s="6" t="str">
        <f>W49_PG_2_of_2!A33</f>
        <v>2020 September</v>
      </c>
      <c r="C50" s="6"/>
      <c r="D50" s="6"/>
      <c r="E50" s="13">
        <f>W49_PG_2_of_2!B33</f>
        <v>254.43</v>
      </c>
    </row>
    <row r="51" spans="1:5">
      <c r="B51" s="6" t="str">
        <f>W49_PG_2_of_2!A34</f>
        <v>2020 October</v>
      </c>
      <c r="C51" s="6"/>
      <c r="D51" s="6"/>
      <c r="E51" s="13">
        <f>W49_PG_2_of_2!B34</f>
        <v>248.3</v>
      </c>
    </row>
    <row r="52" spans="1:5">
      <c r="B52" s="6" t="str">
        <f>W49_PG_2_of_2!A35</f>
        <v>2020 November</v>
      </c>
      <c r="C52" s="6"/>
      <c r="D52" s="6"/>
      <c r="E52" s="13">
        <f>W49_PG_2_of_2!B35</f>
        <v>244.97</v>
      </c>
    </row>
    <row r="53" spans="1:5">
      <c r="B53" s="6" t="str">
        <f>W49_PG_2_of_2!A36</f>
        <v>2020 December</v>
      </c>
      <c r="C53" s="6"/>
      <c r="D53" s="6"/>
      <c r="E53" s="16">
        <f>W49_PG_2_of_2!B36</f>
        <v>256.26</v>
      </c>
    </row>
    <row r="54" spans="1:5">
      <c r="B54" s="1" t="s">
        <v>542</v>
      </c>
      <c r="E54" s="61">
        <f>SUM(E45:E53)</f>
        <v>24448.849999999995</v>
      </c>
    </row>
    <row r="55" spans="1:5">
      <c r="B55" s="6"/>
      <c r="C55" s="6"/>
      <c r="D55" s="6"/>
      <c r="E55" s="22"/>
    </row>
    <row r="56" spans="1:5" ht="27.6" customHeight="1">
      <c r="B56" s="486" t="s">
        <v>543</v>
      </c>
      <c r="C56" s="487"/>
      <c r="E56" s="55">
        <f>E41+E54</f>
        <v>357828.52000000008</v>
      </c>
    </row>
    <row r="57" spans="1:5">
      <c r="E57" s="26"/>
    </row>
    <row r="58" spans="1:5">
      <c r="A58" s="5" t="s">
        <v>2</v>
      </c>
      <c r="B58" s="5" t="s">
        <v>3</v>
      </c>
    </row>
  </sheetData>
  <mergeCells count="7">
    <mergeCell ref="B44:E44"/>
    <mergeCell ref="B56:C56"/>
    <mergeCell ref="A1:E1"/>
    <mergeCell ref="A2:E2"/>
    <mergeCell ref="A3:E3"/>
    <mergeCell ref="A4:E4"/>
    <mergeCell ref="B11:E11"/>
  </mergeCells>
  <pageMargins left="0.75" right="0.75" top="1" bottom="1" header="0.5" footer="0.5"/>
  <pageSetup scale="82" orientation="portrait" horizontalDpi="1200"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Ruler="0" workbookViewId="0">
      <selection activeCell="D34" sqref="D34"/>
    </sheetView>
  </sheetViews>
  <sheetFormatPr defaultColWidth="13.6640625" defaultRowHeight="13.2"/>
  <cols>
    <col min="1" max="1" width="18.88671875" customWidth="1"/>
  </cols>
  <sheetData>
    <row r="1" spans="1:10" ht="16.649999999999999" customHeight="1">
      <c r="A1" s="490" t="s">
        <v>0</v>
      </c>
      <c r="B1" s="490"/>
      <c r="C1" s="490"/>
      <c r="D1" s="490"/>
      <c r="E1" s="490"/>
      <c r="F1" s="490"/>
      <c r="G1" s="487"/>
      <c r="H1" s="487"/>
    </row>
    <row r="2" spans="1:10" ht="16.649999999999999" customHeight="1">
      <c r="A2" s="490" t="s">
        <v>527</v>
      </c>
      <c r="B2" s="490"/>
      <c r="C2" s="490"/>
      <c r="D2" s="490"/>
      <c r="E2" s="490"/>
      <c r="F2" s="490"/>
      <c r="G2" s="487"/>
      <c r="H2" s="487"/>
    </row>
    <row r="3" spans="1:10" ht="16.649999999999999" customHeight="1">
      <c r="A3" s="490" t="s">
        <v>544</v>
      </c>
      <c r="B3" s="487"/>
      <c r="C3" s="487"/>
      <c r="D3" s="487"/>
      <c r="E3" s="487"/>
      <c r="F3" s="487"/>
      <c r="G3" s="487"/>
      <c r="H3" s="487"/>
      <c r="I3" s="487"/>
      <c r="J3" s="487"/>
    </row>
    <row r="4" spans="1:10" ht="16.649999999999999" customHeight="1">
      <c r="A4" s="490" t="s">
        <v>107</v>
      </c>
      <c r="B4" s="490"/>
      <c r="C4" s="490"/>
      <c r="D4" s="6"/>
      <c r="E4" s="6"/>
      <c r="F4" s="6"/>
    </row>
    <row r="5" spans="1:10">
      <c r="A5" s="6"/>
      <c r="B5" s="6"/>
      <c r="C5" s="6"/>
      <c r="D5" s="6"/>
      <c r="E5" s="6"/>
      <c r="F5" s="6"/>
    </row>
    <row r="6" spans="1:10">
      <c r="A6" s="6"/>
      <c r="B6" s="6"/>
      <c r="C6" s="6"/>
      <c r="D6" s="6"/>
      <c r="E6" s="6"/>
      <c r="F6" s="6"/>
    </row>
    <row r="7" spans="1:10" ht="27.6" customHeight="1">
      <c r="A7" s="6" t="s">
        <v>545</v>
      </c>
      <c r="B7" s="6" t="s">
        <v>546</v>
      </c>
      <c r="C7" s="6" t="s">
        <v>547</v>
      </c>
      <c r="D7" s="6"/>
      <c r="E7" s="6"/>
      <c r="F7" s="6"/>
    </row>
    <row r="8" spans="1:10">
      <c r="A8" s="6" t="s">
        <v>548</v>
      </c>
      <c r="B8" s="13">
        <v>38362.660000000003</v>
      </c>
      <c r="C8" s="6" t="s">
        <v>549</v>
      </c>
      <c r="D8" s="6"/>
      <c r="E8" s="6"/>
      <c r="F8" s="6"/>
    </row>
    <row r="9" spans="1:10">
      <c r="A9" s="6" t="s">
        <v>550</v>
      </c>
      <c r="B9" s="13">
        <v>44189.440000000002</v>
      </c>
      <c r="C9" s="6" t="s">
        <v>549</v>
      </c>
      <c r="D9" s="6"/>
      <c r="E9" s="6"/>
      <c r="F9" s="6"/>
    </row>
    <row r="10" spans="1:10">
      <c r="A10" s="6" t="s">
        <v>551</v>
      </c>
      <c r="B10" s="13">
        <v>0</v>
      </c>
      <c r="C10" s="6" t="s">
        <v>549</v>
      </c>
      <c r="D10" s="6"/>
      <c r="E10" s="6"/>
      <c r="F10" s="6"/>
    </row>
    <row r="11" spans="1:10">
      <c r="A11" s="6" t="s">
        <v>552</v>
      </c>
      <c r="B11" s="13">
        <v>13416.88</v>
      </c>
      <c r="C11" s="6" t="s">
        <v>549</v>
      </c>
      <c r="D11" s="6"/>
      <c r="E11" s="6"/>
      <c r="F11" s="6"/>
    </row>
    <row r="12" spans="1:10">
      <c r="A12" s="6" t="s">
        <v>553</v>
      </c>
      <c r="B12" s="13">
        <v>36487.230000000003</v>
      </c>
      <c r="C12" s="6" t="s">
        <v>549</v>
      </c>
      <c r="D12" s="6"/>
      <c r="E12" s="6"/>
      <c r="F12" s="6"/>
    </row>
    <row r="13" spans="1:10">
      <c r="A13" s="6" t="s">
        <v>554</v>
      </c>
      <c r="B13" s="13">
        <v>2864.25</v>
      </c>
      <c r="C13" s="6" t="s">
        <v>549</v>
      </c>
      <c r="D13" s="6"/>
      <c r="E13" s="6"/>
      <c r="F13" s="6"/>
    </row>
    <row r="14" spans="1:10">
      <c r="A14" s="6" t="s">
        <v>555</v>
      </c>
      <c r="B14" s="13">
        <v>12808.95</v>
      </c>
      <c r="C14" s="6" t="s">
        <v>549</v>
      </c>
      <c r="D14" s="6"/>
      <c r="E14" s="6"/>
      <c r="F14" s="6"/>
    </row>
    <row r="15" spans="1:10">
      <c r="A15" s="6" t="s">
        <v>556</v>
      </c>
      <c r="B15" s="13">
        <v>32306.47</v>
      </c>
      <c r="C15" s="6" t="s">
        <v>549</v>
      </c>
      <c r="D15" s="6"/>
      <c r="E15" s="6"/>
      <c r="F15" s="6"/>
    </row>
    <row r="16" spans="1:10">
      <c r="A16" s="6" t="s">
        <v>557</v>
      </c>
      <c r="B16" s="13">
        <v>6696.66</v>
      </c>
      <c r="C16" s="6" t="s">
        <v>549</v>
      </c>
      <c r="D16" s="6"/>
      <c r="E16" s="6"/>
      <c r="F16" s="6"/>
    </row>
    <row r="17" spans="1:6">
      <c r="A17" s="6" t="s">
        <v>558</v>
      </c>
      <c r="B17" s="13">
        <v>13594.03</v>
      </c>
      <c r="C17" s="6" t="s">
        <v>549</v>
      </c>
      <c r="D17" s="6"/>
      <c r="E17" s="6"/>
      <c r="F17" s="6"/>
    </row>
    <row r="18" spans="1:6">
      <c r="A18" s="6" t="s">
        <v>559</v>
      </c>
      <c r="B18" s="13">
        <v>8139.27</v>
      </c>
      <c r="C18" s="6" t="s">
        <v>549</v>
      </c>
      <c r="D18" s="6"/>
      <c r="E18" s="6"/>
      <c r="F18" s="6"/>
    </row>
    <row r="19" spans="1:6">
      <c r="A19" s="6" t="s">
        <v>560</v>
      </c>
      <c r="B19" s="13">
        <v>9950.73</v>
      </c>
      <c r="C19" s="6" t="s">
        <v>549</v>
      </c>
      <c r="D19" s="6"/>
      <c r="E19" s="6"/>
      <c r="F19" s="6"/>
    </row>
    <row r="20" spans="1:6">
      <c r="A20" s="6" t="s">
        <v>561</v>
      </c>
      <c r="B20" s="13">
        <v>5886.03</v>
      </c>
      <c r="C20" s="6" t="s">
        <v>549</v>
      </c>
      <c r="D20" s="6"/>
      <c r="E20" s="6"/>
      <c r="F20" s="6"/>
    </row>
    <row r="21" spans="1:6">
      <c r="A21" s="6" t="s">
        <v>562</v>
      </c>
      <c r="B21" s="13">
        <v>5965.57</v>
      </c>
      <c r="C21" s="6" t="s">
        <v>549</v>
      </c>
      <c r="D21" s="6"/>
      <c r="E21" s="6"/>
      <c r="F21" s="6"/>
    </row>
    <row r="22" spans="1:6">
      <c r="A22" s="6" t="s">
        <v>563</v>
      </c>
      <c r="B22" s="13">
        <v>8209.64</v>
      </c>
      <c r="C22" s="6" t="s">
        <v>549</v>
      </c>
      <c r="D22" s="6"/>
      <c r="E22" s="6"/>
      <c r="F22" s="6"/>
    </row>
    <row r="23" spans="1:6">
      <c r="A23" s="6" t="s">
        <v>564</v>
      </c>
      <c r="B23" s="13">
        <v>16666.16</v>
      </c>
      <c r="C23" s="6" t="s">
        <v>549</v>
      </c>
      <c r="D23" s="6"/>
      <c r="E23" s="6"/>
      <c r="F23" s="6"/>
    </row>
    <row r="24" spans="1:6">
      <c r="A24" s="6" t="s">
        <v>565</v>
      </c>
      <c r="B24" s="13">
        <v>12972.8</v>
      </c>
      <c r="C24" s="6" t="s">
        <v>549</v>
      </c>
      <c r="D24" s="6"/>
      <c r="E24" s="6"/>
      <c r="F24" s="6"/>
    </row>
    <row r="25" spans="1:6">
      <c r="A25" s="6" t="s">
        <v>566</v>
      </c>
      <c r="B25" s="13">
        <v>5776.46</v>
      </c>
      <c r="C25" s="6" t="s">
        <v>567</v>
      </c>
      <c r="D25" s="6"/>
      <c r="E25" s="6"/>
      <c r="F25" s="6"/>
    </row>
    <row r="26" spans="1:6">
      <c r="A26" s="6" t="s">
        <v>568</v>
      </c>
      <c r="B26" s="13">
        <v>28772.77</v>
      </c>
      <c r="C26" s="6" t="s">
        <v>567</v>
      </c>
      <c r="D26" s="6"/>
      <c r="E26" s="6"/>
      <c r="F26" s="6"/>
    </row>
    <row r="27" spans="1:6">
      <c r="A27" s="6" t="s">
        <v>569</v>
      </c>
      <c r="B27" s="13">
        <v>5956.06</v>
      </c>
      <c r="C27" s="6" t="s">
        <v>567</v>
      </c>
      <c r="D27" s="6"/>
      <c r="E27" s="6"/>
      <c r="F27" s="6"/>
    </row>
    <row r="28" spans="1:6">
      <c r="A28" s="6" t="s">
        <v>533</v>
      </c>
      <c r="B28" s="13">
        <v>5567.32</v>
      </c>
      <c r="C28" s="6" t="s">
        <v>567</v>
      </c>
      <c r="D28" s="6"/>
      <c r="E28" s="6"/>
      <c r="F28" s="6"/>
    </row>
    <row r="29" spans="1:6">
      <c r="A29" s="6" t="s">
        <v>534</v>
      </c>
      <c r="B29" s="13">
        <v>5941.19</v>
      </c>
      <c r="C29" s="6" t="s">
        <v>567</v>
      </c>
      <c r="D29" s="6"/>
      <c r="E29" s="6"/>
      <c r="F29" s="6"/>
    </row>
    <row r="30" spans="1:6">
      <c r="A30" s="6" t="s">
        <v>535</v>
      </c>
      <c r="B30" s="13">
        <v>5755.3</v>
      </c>
      <c r="C30" s="6" t="s">
        <v>567</v>
      </c>
      <c r="D30" s="6"/>
      <c r="E30" s="6"/>
      <c r="F30" s="6"/>
    </row>
    <row r="31" spans="1:6">
      <c r="A31" s="6" t="s">
        <v>536</v>
      </c>
      <c r="B31" s="13">
        <v>5937.78</v>
      </c>
      <c r="C31" s="6" t="s">
        <v>567</v>
      </c>
      <c r="D31" s="6"/>
      <c r="E31" s="6"/>
      <c r="F31" s="6"/>
    </row>
    <row r="32" spans="1:6">
      <c r="A32" s="6" t="s">
        <v>537</v>
      </c>
      <c r="B32" s="13">
        <v>243.3</v>
      </c>
      <c r="C32" s="6" t="s">
        <v>567</v>
      </c>
      <c r="D32" s="6"/>
      <c r="E32" s="6"/>
      <c r="F32" s="6"/>
    </row>
    <row r="33" spans="1:10">
      <c r="A33" s="6" t="s">
        <v>538</v>
      </c>
      <c r="B33" s="13">
        <v>254.43</v>
      </c>
      <c r="C33" s="6" t="s">
        <v>567</v>
      </c>
      <c r="D33" s="6"/>
      <c r="E33" s="6"/>
      <c r="F33" s="6"/>
    </row>
    <row r="34" spans="1:10">
      <c r="A34" s="6" t="s">
        <v>539</v>
      </c>
      <c r="B34" s="13">
        <v>248.3</v>
      </c>
      <c r="C34" s="6" t="s">
        <v>567</v>
      </c>
      <c r="D34" s="6"/>
      <c r="E34" s="6"/>
      <c r="F34" s="6"/>
    </row>
    <row r="35" spans="1:10">
      <c r="A35" s="6" t="s">
        <v>540</v>
      </c>
      <c r="B35" s="13">
        <v>244.97</v>
      </c>
      <c r="C35" s="6" t="s">
        <v>567</v>
      </c>
      <c r="D35" s="6"/>
      <c r="E35" s="6"/>
      <c r="F35" s="6"/>
    </row>
    <row r="36" spans="1:10">
      <c r="A36" s="6" t="s">
        <v>541</v>
      </c>
      <c r="B36" s="13">
        <v>256.26</v>
      </c>
      <c r="C36" s="6" t="s">
        <v>567</v>
      </c>
      <c r="D36" s="6"/>
      <c r="E36" s="6"/>
      <c r="F36" s="6"/>
    </row>
    <row r="37" spans="1:10">
      <c r="A37" s="6" t="s">
        <v>570</v>
      </c>
      <c r="B37" s="13">
        <v>244.74</v>
      </c>
      <c r="C37" s="6" t="s">
        <v>567</v>
      </c>
      <c r="D37" s="6"/>
      <c r="E37" s="6"/>
      <c r="F37" s="6"/>
    </row>
    <row r="38" spans="1:10">
      <c r="A38" s="6" t="s">
        <v>571</v>
      </c>
      <c r="B38" s="13">
        <v>260.14</v>
      </c>
      <c r="C38" s="6" t="s">
        <v>567</v>
      </c>
      <c r="D38" s="6"/>
      <c r="E38" s="6"/>
      <c r="F38" s="6"/>
    </row>
    <row r="39" spans="1:10">
      <c r="A39" s="6" t="s">
        <v>572</v>
      </c>
      <c r="B39" s="13">
        <v>253.61</v>
      </c>
      <c r="C39" s="6" t="s">
        <v>567</v>
      </c>
      <c r="D39" s="6"/>
      <c r="E39" s="6"/>
      <c r="F39" s="6"/>
    </row>
    <row r="40" spans="1:10">
      <c r="A40" s="6" t="s">
        <v>573</v>
      </c>
      <c r="B40" s="13">
        <v>239.03</v>
      </c>
      <c r="C40" s="6" t="s">
        <v>567</v>
      </c>
      <c r="D40" s="6"/>
      <c r="E40" s="6"/>
      <c r="F40" s="6"/>
    </row>
    <row r="41" spans="1:10">
      <c r="A41" s="6" t="s">
        <v>574</v>
      </c>
      <c r="B41" s="13">
        <v>269.85000000000002</v>
      </c>
      <c r="C41" s="6" t="s">
        <v>567</v>
      </c>
      <c r="D41" s="6"/>
      <c r="E41" s="6"/>
      <c r="F41" s="6"/>
    </row>
    <row r="42" spans="1:10">
      <c r="A42" s="6" t="s">
        <v>575</v>
      </c>
      <c r="B42" s="13">
        <v>262.14</v>
      </c>
      <c r="C42" s="6" t="s">
        <v>567</v>
      </c>
      <c r="D42" s="6"/>
      <c r="E42" s="6"/>
      <c r="F42" s="6"/>
    </row>
    <row r="43" spans="1:10">
      <c r="A43" s="6" t="s">
        <v>576</v>
      </c>
      <c r="B43" s="13">
        <v>260.83</v>
      </c>
      <c r="C43" s="6" t="s">
        <v>567</v>
      </c>
      <c r="D43" s="6"/>
      <c r="E43" s="6"/>
      <c r="F43" s="6"/>
    </row>
    <row r="44" spans="1:10">
      <c r="A44" s="6"/>
      <c r="B44" s="6"/>
      <c r="C44" s="6"/>
      <c r="D44" s="6"/>
      <c r="E44" s="6"/>
      <c r="F44" s="6"/>
    </row>
    <row r="45" spans="1:10">
      <c r="A45" s="6" t="s">
        <v>143</v>
      </c>
      <c r="B45" s="27">
        <f>SUM(B8:B43)</f>
        <v>335261.25000000012</v>
      </c>
      <c r="C45" s="6"/>
      <c r="D45" s="6"/>
      <c r="E45" s="6"/>
      <c r="F45" s="6"/>
    </row>
    <row r="46" spans="1:10">
      <c r="A46" s="6"/>
      <c r="B46" s="6"/>
      <c r="C46" s="6"/>
      <c r="D46" s="6"/>
      <c r="E46" s="6"/>
      <c r="F46" s="6"/>
    </row>
    <row r="47" spans="1:10">
      <c r="A47" s="490" t="s">
        <v>577</v>
      </c>
      <c r="B47" s="490"/>
      <c r="C47" s="490"/>
      <c r="D47" s="490"/>
      <c r="E47" s="490"/>
      <c r="F47" s="490"/>
      <c r="G47" s="487"/>
      <c r="H47" s="487"/>
      <c r="I47" s="487"/>
      <c r="J47" s="487"/>
    </row>
    <row r="48" spans="1:10">
      <c r="A48" s="487"/>
      <c r="B48" s="487"/>
      <c r="C48" s="487"/>
      <c r="D48" s="487"/>
      <c r="E48" s="487"/>
      <c r="F48" s="487"/>
      <c r="G48" s="487"/>
      <c r="H48" s="487"/>
      <c r="I48" s="487"/>
      <c r="J48" s="487"/>
    </row>
    <row r="49" spans="1:10">
      <c r="A49" s="490"/>
      <c r="B49" s="490"/>
      <c r="C49" s="490"/>
      <c r="D49" s="490"/>
      <c r="E49" s="490"/>
      <c r="F49" s="490"/>
      <c r="G49" s="487"/>
      <c r="H49" s="487"/>
      <c r="I49" s="487"/>
      <c r="J49" s="487"/>
    </row>
    <row r="50" spans="1:10">
      <c r="A50" s="490"/>
      <c r="B50" s="490"/>
      <c r="C50" s="490"/>
      <c r="D50" s="490"/>
      <c r="E50" s="490"/>
      <c r="F50" s="490"/>
      <c r="G50" s="487"/>
      <c r="H50" s="487"/>
      <c r="I50" s="487"/>
      <c r="J50" s="487"/>
    </row>
    <row r="51" spans="1:10" ht="42.75" customHeight="1">
      <c r="A51" s="487"/>
      <c r="B51" s="487"/>
      <c r="C51" s="487"/>
      <c r="D51" s="487"/>
      <c r="E51" s="487"/>
      <c r="F51" s="487"/>
      <c r="G51" s="487"/>
      <c r="H51" s="487"/>
      <c r="I51" s="487"/>
      <c r="J51" s="487"/>
    </row>
    <row r="53" spans="1:10">
      <c r="A53" s="5" t="s">
        <v>2</v>
      </c>
      <c r="B53" s="5" t="s">
        <v>3</v>
      </c>
    </row>
  </sheetData>
  <mergeCells count="5">
    <mergeCell ref="A1:H1"/>
    <mergeCell ref="A2:H2"/>
    <mergeCell ref="A4:C4"/>
    <mergeCell ref="A3:J3"/>
    <mergeCell ref="A47:J51"/>
  </mergeCells>
  <pageMargins left="0.75" right="0.75" top="1" bottom="1" header="0.5" footer="0.5"/>
  <pageSetup scale="63" orientation="portrait" horizontalDpi="1200"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showRuler="0" workbookViewId="0">
      <selection activeCell="I29" sqref="I29"/>
    </sheetView>
  </sheetViews>
  <sheetFormatPr defaultColWidth="13.6640625" defaultRowHeight="13.2"/>
  <sheetData>
    <row r="1" spans="1:8">
      <c r="A1" s="489" t="s">
        <v>0</v>
      </c>
      <c r="B1" s="489"/>
      <c r="C1" s="489"/>
      <c r="D1" s="6"/>
      <c r="E1" s="6"/>
      <c r="F1" s="6"/>
      <c r="G1" s="6"/>
    </row>
    <row r="2" spans="1:8">
      <c r="A2" s="490" t="s">
        <v>578</v>
      </c>
      <c r="B2" s="490"/>
      <c r="C2" s="490"/>
      <c r="D2" s="490"/>
      <c r="E2" s="490"/>
      <c r="F2" s="490"/>
      <c r="G2" s="6"/>
    </row>
    <row r="3" spans="1:8">
      <c r="A3" s="490" t="s">
        <v>579</v>
      </c>
      <c r="B3" s="490"/>
      <c r="C3" s="490"/>
      <c r="D3" s="6"/>
      <c r="E3" s="6"/>
      <c r="F3" s="6"/>
      <c r="G3" s="6"/>
    </row>
    <row r="4" spans="1:8">
      <c r="A4" s="490" t="s">
        <v>107</v>
      </c>
      <c r="B4" s="490"/>
      <c r="C4" s="490"/>
      <c r="D4" s="6"/>
      <c r="E4" s="6"/>
      <c r="F4" s="6"/>
      <c r="G4" s="6"/>
    </row>
    <row r="5" spans="1:8">
      <c r="A5" s="6"/>
      <c r="B5" s="6"/>
      <c r="C5" s="6"/>
      <c r="D5" s="6"/>
      <c r="E5" s="6"/>
      <c r="F5" s="6"/>
      <c r="G5" s="6"/>
    </row>
    <row r="6" spans="1:8">
      <c r="A6" s="6"/>
      <c r="B6" s="6"/>
      <c r="C6" s="6"/>
      <c r="D6" s="6"/>
      <c r="E6" s="6"/>
      <c r="F6" s="6"/>
      <c r="G6" s="6"/>
    </row>
    <row r="7" spans="1:8">
      <c r="A7" s="7"/>
      <c r="B7" s="7"/>
      <c r="C7" s="7"/>
      <c r="D7" s="7"/>
      <c r="E7" s="7"/>
      <c r="F7" s="7"/>
      <c r="G7" s="7"/>
    </row>
    <row r="8" spans="1:8">
      <c r="A8" s="144" t="s">
        <v>299</v>
      </c>
      <c r="B8" s="571" t="s">
        <v>580</v>
      </c>
      <c r="C8" s="572"/>
      <c r="D8" s="572"/>
      <c r="E8" s="572"/>
      <c r="F8" s="572"/>
      <c r="G8" s="573"/>
      <c r="H8" s="21"/>
    </row>
    <row r="9" spans="1:8" ht="27.6" customHeight="1">
      <c r="A9" s="144" t="s">
        <v>581</v>
      </c>
      <c r="B9" s="571" t="s">
        <v>582</v>
      </c>
      <c r="C9" s="572"/>
      <c r="D9" s="572"/>
      <c r="E9" s="572"/>
      <c r="F9" s="572"/>
      <c r="G9" s="573"/>
      <c r="H9" s="21"/>
    </row>
    <row r="10" spans="1:8">
      <c r="A10" s="144" t="s">
        <v>583</v>
      </c>
      <c r="B10" s="571" t="s">
        <v>584</v>
      </c>
      <c r="C10" s="572"/>
      <c r="D10" s="572"/>
      <c r="E10" s="572"/>
      <c r="F10" s="572"/>
      <c r="G10" s="573"/>
      <c r="H10" s="21"/>
    </row>
    <row r="11" spans="1:8">
      <c r="A11" s="145" t="s">
        <v>148</v>
      </c>
      <c r="B11" s="580" t="s">
        <v>150</v>
      </c>
      <c r="C11" s="578"/>
      <c r="D11" s="578"/>
      <c r="E11" s="578"/>
      <c r="F11" s="578"/>
      <c r="G11" s="579"/>
      <c r="H11" s="21"/>
    </row>
    <row r="12" spans="1:8">
      <c r="A12" s="146">
        <v>1720000</v>
      </c>
      <c r="B12" s="574">
        <v>-57464.95</v>
      </c>
      <c r="C12" s="575"/>
      <c r="D12" s="575"/>
      <c r="E12" s="575"/>
      <c r="F12" s="575"/>
      <c r="G12" s="576"/>
      <c r="H12" s="21"/>
    </row>
    <row r="13" spans="1:8">
      <c r="A13" s="146">
        <v>4540005</v>
      </c>
      <c r="B13" s="574">
        <v>284229.33</v>
      </c>
      <c r="C13" s="575"/>
      <c r="D13" s="575"/>
      <c r="E13" s="575"/>
      <c r="F13" s="575"/>
      <c r="G13" s="576"/>
      <c r="H13" s="21"/>
    </row>
    <row r="14" spans="1:8">
      <c r="A14" s="146">
        <v>5890001</v>
      </c>
      <c r="B14" s="574">
        <v>-226764.38</v>
      </c>
      <c r="C14" s="575"/>
      <c r="D14" s="575"/>
      <c r="E14" s="575"/>
      <c r="F14" s="575"/>
      <c r="G14" s="576"/>
      <c r="H14" s="21"/>
    </row>
    <row r="15" spans="1:8">
      <c r="A15" s="145" t="s">
        <v>277</v>
      </c>
      <c r="B15" s="577">
        <v>0</v>
      </c>
      <c r="C15" s="578"/>
      <c r="D15" s="578"/>
      <c r="E15" s="578"/>
      <c r="F15" s="578"/>
      <c r="G15" s="579"/>
      <c r="H15" s="21"/>
    </row>
    <row r="16" spans="1:8">
      <c r="A16" s="9"/>
      <c r="B16" s="9"/>
      <c r="C16" s="9"/>
      <c r="D16" s="9"/>
      <c r="E16" s="9"/>
      <c r="F16" s="9"/>
      <c r="G16" s="9"/>
    </row>
    <row r="19" spans="1:4">
      <c r="D19" s="6"/>
    </row>
    <row r="20" spans="1:4">
      <c r="A20" s="6" t="s">
        <v>2</v>
      </c>
      <c r="B20" s="6" t="s">
        <v>3</v>
      </c>
    </row>
  </sheetData>
  <mergeCells count="12">
    <mergeCell ref="B14:G14"/>
    <mergeCell ref="B15:G15"/>
    <mergeCell ref="B12:G12"/>
    <mergeCell ref="B11:G11"/>
    <mergeCell ref="B10:G10"/>
    <mergeCell ref="B9:G9"/>
    <mergeCell ref="B13:G13"/>
    <mergeCell ref="A1:C1"/>
    <mergeCell ref="A2:F2"/>
    <mergeCell ref="A4:C4"/>
    <mergeCell ref="A3:C3"/>
    <mergeCell ref="B8:G8"/>
  </mergeCells>
  <pageMargins left="0.75" right="0.75" top="1" bottom="1" header="0.5" footer="0.5"/>
  <pageSetup scale="82" orientation="portrait" horizontalDpi="1200" verticalDpi="12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showRuler="0" workbookViewId="0">
      <selection activeCell="I50" sqref="I50"/>
    </sheetView>
  </sheetViews>
  <sheetFormatPr defaultColWidth="13.6640625" defaultRowHeight="13.2"/>
  <sheetData>
    <row r="1" spans="1:8">
      <c r="A1" s="489" t="s">
        <v>0</v>
      </c>
      <c r="B1" s="489"/>
      <c r="C1" s="489"/>
    </row>
    <row r="2" spans="1:8" ht="16.649999999999999" customHeight="1">
      <c r="A2" s="490" t="s">
        <v>585</v>
      </c>
      <c r="B2" s="490"/>
      <c r="C2" s="490"/>
      <c r="D2" s="490"/>
      <c r="E2" s="490"/>
      <c r="F2" s="490"/>
    </row>
    <row r="3" spans="1:8" ht="16.649999999999999" customHeight="1">
      <c r="A3" s="490" t="s">
        <v>586</v>
      </c>
      <c r="B3" s="487"/>
      <c r="C3" s="487"/>
    </row>
    <row r="4" spans="1:8" ht="16.649999999999999" customHeight="1">
      <c r="A4" s="490" t="s">
        <v>107</v>
      </c>
      <c r="B4" s="487"/>
      <c r="C4" s="487"/>
    </row>
    <row r="8" spans="1:8">
      <c r="A8" s="144" t="s">
        <v>299</v>
      </c>
      <c r="B8" s="581" t="s">
        <v>587</v>
      </c>
      <c r="C8" s="581"/>
      <c r="D8" s="581"/>
      <c r="E8" s="581"/>
      <c r="F8" s="581"/>
      <c r="G8" s="581"/>
      <c r="H8" s="21"/>
    </row>
    <row r="9" spans="1:8">
      <c r="A9" s="144" t="s">
        <v>581</v>
      </c>
      <c r="B9" s="581" t="s">
        <v>588</v>
      </c>
      <c r="C9" s="581"/>
      <c r="D9" s="581"/>
      <c r="E9" s="581"/>
      <c r="F9" s="581"/>
      <c r="G9" s="581"/>
      <c r="H9" s="21"/>
    </row>
    <row r="10" spans="1:8">
      <c r="A10" s="144" t="s">
        <v>583</v>
      </c>
      <c r="B10" s="581" t="s">
        <v>584</v>
      </c>
      <c r="C10" s="581"/>
      <c r="D10" s="581"/>
      <c r="E10" s="581"/>
      <c r="F10" s="581"/>
      <c r="G10" s="581"/>
      <c r="H10" s="21"/>
    </row>
    <row r="11" spans="1:8">
      <c r="A11" s="145" t="s">
        <v>148</v>
      </c>
      <c r="B11" s="586" t="s">
        <v>150</v>
      </c>
      <c r="C11" s="586"/>
      <c r="D11" s="586"/>
      <c r="E11" s="586"/>
      <c r="F11" s="586"/>
      <c r="G11" s="586"/>
      <c r="H11" s="21"/>
    </row>
    <row r="12" spans="1:8">
      <c r="A12" s="146">
        <v>2420051</v>
      </c>
      <c r="B12" s="582">
        <v>-144044.59</v>
      </c>
      <c r="C12" s="583"/>
      <c r="D12" s="583"/>
      <c r="E12" s="583"/>
      <c r="F12" s="583"/>
      <c r="G12" s="583"/>
      <c r="H12" s="21"/>
    </row>
    <row r="13" spans="1:8">
      <c r="A13" s="146">
        <v>5060000</v>
      </c>
      <c r="B13" s="582">
        <v>65714.84</v>
      </c>
      <c r="C13" s="583"/>
      <c r="D13" s="583"/>
      <c r="E13" s="583"/>
      <c r="F13" s="583"/>
      <c r="G13" s="583"/>
      <c r="H13" s="21"/>
    </row>
    <row r="14" spans="1:8">
      <c r="A14" s="146">
        <v>5880000</v>
      </c>
      <c r="B14" s="582">
        <v>78329.75</v>
      </c>
      <c r="C14" s="583"/>
      <c r="D14" s="583"/>
      <c r="E14" s="583"/>
      <c r="F14" s="583"/>
      <c r="G14" s="583"/>
      <c r="H14" s="21"/>
    </row>
    <row r="15" spans="1:8">
      <c r="A15" s="145" t="s">
        <v>277</v>
      </c>
      <c r="B15" s="584">
        <v>0</v>
      </c>
      <c r="C15" s="585"/>
      <c r="D15" s="585"/>
      <c r="E15" s="585"/>
      <c r="F15" s="585"/>
      <c r="G15" s="585"/>
      <c r="H15" s="21"/>
    </row>
    <row r="16" spans="1:8">
      <c r="A16" s="9"/>
      <c r="B16" s="9"/>
      <c r="C16" s="9"/>
      <c r="D16" s="9"/>
      <c r="E16" s="9"/>
      <c r="F16" s="9"/>
      <c r="G16" s="9"/>
    </row>
    <row r="17" spans="1:2">
      <c r="A17" s="490" t="s">
        <v>589</v>
      </c>
      <c r="B17" s="490"/>
    </row>
    <row r="18" spans="1:2">
      <c r="A18" s="28">
        <v>5060000</v>
      </c>
      <c r="B18" s="27">
        <f>B13*-1</f>
        <v>-65714.84</v>
      </c>
    </row>
    <row r="19" spans="1:2">
      <c r="A19" s="28">
        <v>5880000</v>
      </c>
      <c r="B19" s="27">
        <f>B14*-1</f>
        <v>-78329.75</v>
      </c>
    </row>
    <row r="22" spans="1:2">
      <c r="A22" s="6" t="s">
        <v>2</v>
      </c>
      <c r="B22" s="6" t="s">
        <v>3</v>
      </c>
    </row>
  </sheetData>
  <mergeCells count="13">
    <mergeCell ref="B14:G14"/>
    <mergeCell ref="B15:G15"/>
    <mergeCell ref="A17:B17"/>
    <mergeCell ref="B12:G12"/>
    <mergeCell ref="B11:G11"/>
    <mergeCell ref="B10:G10"/>
    <mergeCell ref="B9:G9"/>
    <mergeCell ref="B13:G13"/>
    <mergeCell ref="A4:C4"/>
    <mergeCell ref="A1:C1"/>
    <mergeCell ref="A2:F2"/>
    <mergeCell ref="A3:C3"/>
    <mergeCell ref="B8:G8"/>
  </mergeCells>
  <pageMargins left="0.75" right="0.75" top="1" bottom="1" header="0.5" footer="0.5"/>
  <pageSetup scale="82" orientation="portrait" horizontalDpi="1200" verticalDpi="1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showRuler="0" workbookViewId="0">
      <selection sqref="A1:C1"/>
    </sheetView>
  </sheetViews>
  <sheetFormatPr defaultColWidth="13.6640625" defaultRowHeight="13.2"/>
  <sheetData>
    <row r="1" spans="1:8">
      <c r="A1" s="489" t="s">
        <v>0</v>
      </c>
      <c r="B1" s="489"/>
      <c r="C1" s="489"/>
      <c r="D1" s="6"/>
      <c r="E1" s="6"/>
      <c r="F1" s="6"/>
      <c r="G1" s="6"/>
    </row>
    <row r="2" spans="1:8">
      <c r="A2" s="490" t="s">
        <v>590</v>
      </c>
      <c r="B2" s="490"/>
      <c r="C2" s="490"/>
      <c r="D2" s="490"/>
      <c r="E2" s="490"/>
      <c r="F2" s="490"/>
      <c r="G2" s="6"/>
    </row>
    <row r="3" spans="1:8">
      <c r="A3" s="490" t="s">
        <v>591</v>
      </c>
      <c r="B3" s="490"/>
      <c r="C3" s="490"/>
      <c r="D3" s="6"/>
      <c r="E3" s="6"/>
      <c r="F3" s="6"/>
      <c r="G3" s="6"/>
    </row>
    <row r="4" spans="1:8">
      <c r="A4" s="490" t="s">
        <v>107</v>
      </c>
      <c r="B4" s="490"/>
      <c r="C4" s="490"/>
      <c r="D4" s="6"/>
      <c r="E4" s="6"/>
      <c r="F4" s="6"/>
      <c r="G4" s="6"/>
    </row>
    <row r="5" spans="1:8">
      <c r="A5" s="6"/>
      <c r="B5" s="6"/>
      <c r="C5" s="6"/>
      <c r="D5" s="6"/>
      <c r="E5" s="6"/>
      <c r="F5" s="6"/>
      <c r="G5" s="6"/>
    </row>
    <row r="6" spans="1:8">
      <c r="A6" s="6"/>
      <c r="B6" s="6"/>
      <c r="C6" s="6"/>
      <c r="D6" s="6"/>
      <c r="E6" s="6"/>
      <c r="F6" s="6"/>
      <c r="G6" s="6"/>
    </row>
    <row r="7" spans="1:8">
      <c r="A7" s="7"/>
      <c r="B7" s="7"/>
      <c r="C7" s="7"/>
      <c r="D7" s="7"/>
      <c r="E7" s="7"/>
      <c r="F7" s="7"/>
      <c r="G7" s="7"/>
    </row>
    <row r="8" spans="1:8">
      <c r="A8" s="144" t="s">
        <v>299</v>
      </c>
      <c r="B8" s="571" t="s">
        <v>592</v>
      </c>
      <c r="C8" s="572"/>
      <c r="D8" s="572"/>
      <c r="E8" s="572"/>
      <c r="F8" s="572"/>
      <c r="G8" s="573"/>
      <c r="H8" s="21"/>
    </row>
    <row r="9" spans="1:8">
      <c r="A9" s="144" t="s">
        <v>581</v>
      </c>
      <c r="B9" s="571" t="s">
        <v>593</v>
      </c>
      <c r="C9" s="572"/>
      <c r="D9" s="572"/>
      <c r="E9" s="572"/>
      <c r="F9" s="572"/>
      <c r="G9" s="573"/>
      <c r="H9" s="21"/>
    </row>
    <row r="10" spans="1:8">
      <c r="A10" s="144" t="s">
        <v>583</v>
      </c>
      <c r="B10" s="571" t="s">
        <v>584</v>
      </c>
      <c r="C10" s="572"/>
      <c r="D10" s="572"/>
      <c r="E10" s="572"/>
      <c r="F10" s="572"/>
      <c r="G10" s="573"/>
      <c r="H10" s="21"/>
    </row>
    <row r="11" spans="1:8">
      <c r="A11" s="145" t="s">
        <v>148</v>
      </c>
      <c r="B11" s="580" t="s">
        <v>150</v>
      </c>
      <c r="C11" s="578"/>
      <c r="D11" s="578"/>
      <c r="E11" s="578"/>
      <c r="F11" s="578"/>
      <c r="G11" s="579"/>
      <c r="H11" s="21"/>
    </row>
    <row r="12" spans="1:8">
      <c r="A12" s="146">
        <v>1460001</v>
      </c>
      <c r="B12" s="574">
        <v>41707.129999999997</v>
      </c>
      <c r="C12" s="575"/>
      <c r="D12" s="575"/>
      <c r="E12" s="575"/>
      <c r="F12" s="575"/>
      <c r="G12" s="576"/>
      <c r="H12" s="21"/>
    </row>
    <row r="13" spans="1:8">
      <c r="A13" s="146">
        <v>9030006</v>
      </c>
      <c r="B13" s="574">
        <v>-41707.129999999997</v>
      </c>
      <c r="C13" s="575"/>
      <c r="D13" s="575"/>
      <c r="E13" s="575"/>
      <c r="F13" s="575"/>
      <c r="G13" s="576"/>
      <c r="H13" s="21"/>
    </row>
    <row r="14" spans="1:8">
      <c r="A14" s="145" t="s">
        <v>277</v>
      </c>
      <c r="B14" s="577">
        <v>0</v>
      </c>
      <c r="C14" s="578"/>
      <c r="D14" s="578"/>
      <c r="E14" s="578"/>
      <c r="F14" s="578"/>
      <c r="G14" s="579"/>
      <c r="H14" s="21"/>
    </row>
    <row r="15" spans="1:8">
      <c r="A15" s="9"/>
      <c r="B15" s="9"/>
      <c r="C15" s="9"/>
      <c r="D15" s="9"/>
      <c r="E15" s="9"/>
      <c r="F15" s="9"/>
      <c r="G15" s="9"/>
    </row>
    <row r="16" spans="1:8">
      <c r="A16" s="490" t="s">
        <v>594</v>
      </c>
      <c r="B16" s="487"/>
    </row>
    <row r="17" spans="1:3">
      <c r="A17" s="28">
        <v>9030006</v>
      </c>
      <c r="B17" s="13">
        <f>B13*-1</f>
        <v>41707.129999999997</v>
      </c>
    </row>
    <row r="18" spans="1:3">
      <c r="C18" s="6"/>
    </row>
    <row r="19" spans="1:3">
      <c r="A19" s="6" t="s">
        <v>2</v>
      </c>
      <c r="B19" s="6" t="s">
        <v>3</v>
      </c>
    </row>
  </sheetData>
  <mergeCells count="12">
    <mergeCell ref="B14:G14"/>
    <mergeCell ref="A16:B16"/>
    <mergeCell ref="B12:G12"/>
    <mergeCell ref="B11:G11"/>
    <mergeCell ref="B10:G10"/>
    <mergeCell ref="B9:G9"/>
    <mergeCell ref="B13:G13"/>
    <mergeCell ref="A1:C1"/>
    <mergeCell ref="A2:F2"/>
    <mergeCell ref="A4:C4"/>
    <mergeCell ref="A3:C3"/>
    <mergeCell ref="B8:G8"/>
  </mergeCells>
  <pageMargins left="0.75" right="0.75" top="1" bottom="1" header="0.5" footer="0.5"/>
  <pageSetup scale="82" orientation="portrait" horizontalDpi="1200"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showRuler="0" workbookViewId="0">
      <selection sqref="A1:C1"/>
    </sheetView>
  </sheetViews>
  <sheetFormatPr defaultColWidth="13.6640625" defaultRowHeight="13.2"/>
  <sheetData>
    <row r="1" spans="1:8">
      <c r="A1" s="489" t="s">
        <v>0</v>
      </c>
      <c r="B1" s="489"/>
      <c r="C1" s="489"/>
      <c r="D1" s="6"/>
      <c r="E1" s="6"/>
      <c r="F1" s="6"/>
      <c r="G1" s="6"/>
    </row>
    <row r="2" spans="1:8">
      <c r="A2" s="490" t="s">
        <v>595</v>
      </c>
      <c r="B2" s="490"/>
      <c r="C2" s="490"/>
      <c r="D2" s="490"/>
      <c r="E2" s="490"/>
      <c r="F2" s="490"/>
      <c r="G2" s="6"/>
    </row>
    <row r="3" spans="1:8">
      <c r="A3" s="490" t="s">
        <v>596</v>
      </c>
      <c r="B3" s="490"/>
      <c r="C3" s="490"/>
      <c r="D3" s="6"/>
      <c r="E3" s="6"/>
      <c r="F3" s="6"/>
      <c r="G3" s="6"/>
    </row>
    <row r="4" spans="1:8">
      <c r="A4" s="490" t="s">
        <v>107</v>
      </c>
      <c r="B4" s="490"/>
      <c r="C4" s="490"/>
      <c r="D4" s="6"/>
      <c r="E4" s="6"/>
      <c r="F4" s="6"/>
      <c r="G4" s="6"/>
    </row>
    <row r="5" spans="1:8">
      <c r="A5" s="6"/>
      <c r="B5" s="6"/>
      <c r="C5" s="6"/>
      <c r="D5" s="6"/>
      <c r="E5" s="6"/>
      <c r="F5" s="6"/>
      <c r="G5" s="6"/>
    </row>
    <row r="6" spans="1:8">
      <c r="A6" s="6"/>
      <c r="B6" s="6"/>
      <c r="C6" s="6"/>
      <c r="D6" s="6"/>
      <c r="E6" s="6"/>
      <c r="F6" s="6"/>
      <c r="G6" s="6"/>
    </row>
    <row r="7" spans="1:8">
      <c r="A7" s="7"/>
      <c r="B7" s="7"/>
      <c r="C7" s="7"/>
      <c r="D7" s="7"/>
      <c r="E7" s="7"/>
      <c r="F7" s="7"/>
      <c r="G7" s="7"/>
    </row>
    <row r="8" spans="1:8">
      <c r="A8" s="144" t="s">
        <v>299</v>
      </c>
      <c r="B8" s="571" t="s">
        <v>597</v>
      </c>
      <c r="C8" s="572"/>
      <c r="D8" s="572"/>
      <c r="E8" s="572"/>
      <c r="F8" s="572"/>
      <c r="G8" s="573"/>
      <c r="H8" s="21"/>
    </row>
    <row r="9" spans="1:8" ht="27.6" customHeight="1">
      <c r="A9" s="144" t="s">
        <v>581</v>
      </c>
      <c r="B9" s="571" t="s">
        <v>598</v>
      </c>
      <c r="C9" s="572"/>
      <c r="D9" s="572"/>
      <c r="E9" s="572"/>
      <c r="F9" s="572"/>
      <c r="G9" s="573"/>
      <c r="H9" s="21"/>
    </row>
    <row r="10" spans="1:8">
      <c r="A10" s="144" t="s">
        <v>583</v>
      </c>
      <c r="B10" s="571" t="s">
        <v>584</v>
      </c>
      <c r="C10" s="572"/>
      <c r="D10" s="572"/>
      <c r="E10" s="572"/>
      <c r="F10" s="572"/>
      <c r="G10" s="573"/>
      <c r="H10" s="21"/>
    </row>
    <row r="11" spans="1:8">
      <c r="A11" s="145" t="s">
        <v>148</v>
      </c>
      <c r="B11" s="580" t="s">
        <v>150</v>
      </c>
      <c r="C11" s="578"/>
      <c r="D11" s="578"/>
      <c r="E11" s="578"/>
      <c r="F11" s="578"/>
      <c r="G11" s="579"/>
      <c r="H11" s="21"/>
    </row>
    <row r="12" spans="1:8">
      <c r="A12" s="146">
        <v>2340001</v>
      </c>
      <c r="B12" s="574">
        <v>933331</v>
      </c>
      <c r="C12" s="575"/>
      <c r="D12" s="575"/>
      <c r="E12" s="575"/>
      <c r="F12" s="575"/>
      <c r="G12" s="576"/>
      <c r="H12" s="21"/>
    </row>
    <row r="13" spans="1:8">
      <c r="A13" s="146">
        <v>5550027</v>
      </c>
      <c r="B13" s="574">
        <v>-933331</v>
      </c>
      <c r="C13" s="575"/>
      <c r="D13" s="575"/>
      <c r="E13" s="575"/>
      <c r="F13" s="575"/>
      <c r="G13" s="576"/>
      <c r="H13" s="21"/>
    </row>
    <row r="14" spans="1:8">
      <c r="A14" s="145" t="s">
        <v>277</v>
      </c>
      <c r="B14" s="577">
        <v>0</v>
      </c>
      <c r="C14" s="578"/>
      <c r="D14" s="578"/>
      <c r="E14" s="578"/>
      <c r="F14" s="578"/>
      <c r="G14" s="579"/>
      <c r="H14" s="21"/>
    </row>
    <row r="15" spans="1:8">
      <c r="A15" s="9"/>
      <c r="B15" s="9"/>
      <c r="C15" s="9"/>
      <c r="D15" s="9"/>
      <c r="E15" s="9"/>
      <c r="F15" s="9"/>
      <c r="G15" s="9"/>
    </row>
    <row r="16" spans="1:8">
      <c r="A16" s="6"/>
      <c r="B16" s="6"/>
      <c r="C16" s="6"/>
      <c r="D16" s="6"/>
      <c r="E16" s="6"/>
      <c r="F16" s="6"/>
      <c r="G16" s="6"/>
    </row>
    <row r="17" spans="1:7">
      <c r="A17" s="6"/>
      <c r="B17" s="6"/>
      <c r="C17" s="6"/>
      <c r="D17" s="6"/>
      <c r="E17" s="6"/>
      <c r="F17" s="6"/>
      <c r="G17" s="6"/>
    </row>
    <row r="18" spans="1:7">
      <c r="A18" s="6"/>
      <c r="B18" s="6"/>
      <c r="C18" s="6"/>
      <c r="D18" s="6"/>
      <c r="E18" s="6"/>
      <c r="F18" s="6"/>
      <c r="G18" s="6"/>
    </row>
    <row r="19" spans="1:7">
      <c r="A19" s="6" t="s">
        <v>2</v>
      </c>
      <c r="B19" s="6" t="s">
        <v>3</v>
      </c>
      <c r="C19" s="6"/>
      <c r="D19" s="6"/>
      <c r="E19" s="6"/>
      <c r="F19" s="6"/>
      <c r="G19" s="6"/>
    </row>
  </sheetData>
  <mergeCells count="11">
    <mergeCell ref="B14:G14"/>
    <mergeCell ref="B12:G12"/>
    <mergeCell ref="B11:G11"/>
    <mergeCell ref="B10:G10"/>
    <mergeCell ref="B9:G9"/>
    <mergeCell ref="B13:G13"/>
    <mergeCell ref="A1:C1"/>
    <mergeCell ref="A2:F2"/>
    <mergeCell ref="A4:C4"/>
    <mergeCell ref="A3:C3"/>
    <mergeCell ref="B8:G8"/>
  </mergeCells>
  <pageMargins left="0.75" right="0.75" top="1" bottom="1" header="0.5" footer="0.5"/>
  <pageSetup scale="82" orientation="portrait" horizontalDpi="1200"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1"/>
  <sheetViews>
    <sheetView showRuler="0" workbookViewId="0">
      <selection sqref="A1:C1"/>
    </sheetView>
  </sheetViews>
  <sheetFormatPr defaultColWidth="13.6640625" defaultRowHeight="13.2"/>
  <cols>
    <col min="1" max="1" width="15.44140625" customWidth="1"/>
    <col min="13" max="13" width="1.6640625" customWidth="1"/>
    <col min="14" max="14" width="16.33203125" customWidth="1"/>
    <col min="15" max="15" width="1.33203125" customWidth="1"/>
    <col min="17" max="17" width="2.109375" customWidth="1"/>
  </cols>
  <sheetData>
    <row r="1" spans="1:21">
      <c r="A1" s="489" t="s">
        <v>0</v>
      </c>
      <c r="B1" s="489"/>
      <c r="C1" s="489"/>
      <c r="D1" s="6"/>
      <c r="E1" s="6"/>
      <c r="F1" s="6"/>
    </row>
    <row r="2" spans="1:21">
      <c r="A2" s="490" t="s">
        <v>599</v>
      </c>
      <c r="B2" s="490"/>
      <c r="C2" s="490"/>
      <c r="D2" s="490"/>
      <c r="E2" s="490"/>
      <c r="F2" s="490"/>
    </row>
    <row r="3" spans="1:21">
      <c r="A3" s="490" t="s">
        <v>600</v>
      </c>
      <c r="B3" s="490"/>
      <c r="C3" s="490"/>
      <c r="D3" s="490"/>
      <c r="E3" s="490"/>
      <c r="F3" s="490"/>
      <c r="G3" s="490"/>
    </row>
    <row r="4" spans="1:21">
      <c r="A4" s="490" t="s">
        <v>107</v>
      </c>
      <c r="B4" s="490"/>
      <c r="C4" s="490"/>
      <c r="D4" s="6"/>
      <c r="E4" s="6"/>
      <c r="F4" s="6"/>
    </row>
    <row r="5" spans="1:21">
      <c r="A5" s="6"/>
      <c r="B5" s="6"/>
      <c r="C5" s="7"/>
      <c r="D5" s="7"/>
      <c r="E5" s="7"/>
      <c r="F5" s="7"/>
      <c r="G5" s="7"/>
      <c r="H5" s="7"/>
      <c r="I5" s="7"/>
      <c r="J5" s="7"/>
      <c r="K5" s="7"/>
      <c r="L5" s="6"/>
      <c r="M5" s="6"/>
      <c r="N5" s="6"/>
      <c r="O5" s="6"/>
      <c r="P5" s="6"/>
      <c r="Q5" s="6"/>
      <c r="R5" s="6"/>
      <c r="S5" s="6"/>
      <c r="T5" s="6"/>
    </row>
    <row r="6" spans="1:21">
      <c r="A6" s="56"/>
      <c r="B6" s="147"/>
      <c r="C6" s="587" t="s">
        <v>314</v>
      </c>
      <c r="D6" s="588"/>
      <c r="E6" s="588"/>
      <c r="F6" s="588"/>
      <c r="G6" s="588"/>
      <c r="H6" s="588"/>
      <c r="I6" s="588"/>
      <c r="J6" s="588"/>
      <c r="K6" s="589"/>
      <c r="L6" s="151"/>
      <c r="M6" s="1"/>
      <c r="N6" s="56"/>
      <c r="O6" s="1"/>
      <c r="P6" s="107">
        <v>16239620</v>
      </c>
      <c r="Q6" s="1"/>
      <c r="R6" s="56"/>
      <c r="S6" s="54" t="s">
        <v>601</v>
      </c>
      <c r="T6" s="56"/>
    </row>
    <row r="7" spans="1:21" ht="60.75" customHeight="1">
      <c r="A7" s="38" t="s">
        <v>315</v>
      </c>
      <c r="B7" s="39" t="s">
        <v>453</v>
      </c>
      <c r="C7" s="152">
        <v>5100000</v>
      </c>
      <c r="D7" s="153">
        <v>5100001</v>
      </c>
      <c r="E7" s="153">
        <v>5110000</v>
      </c>
      <c r="F7" s="153">
        <v>5120000</v>
      </c>
      <c r="G7" s="153">
        <v>5120025</v>
      </c>
      <c r="H7" s="153">
        <v>5130000</v>
      </c>
      <c r="I7" s="153">
        <v>5140000</v>
      </c>
      <c r="J7" s="153">
        <v>5140025</v>
      </c>
      <c r="K7" s="154">
        <v>5170000</v>
      </c>
      <c r="L7" s="34" t="s">
        <v>277</v>
      </c>
      <c r="M7" s="155"/>
      <c r="N7" s="34" t="s">
        <v>602</v>
      </c>
      <c r="O7" s="155"/>
      <c r="P7" s="34" t="s">
        <v>603</v>
      </c>
      <c r="Q7" s="156"/>
      <c r="R7" s="148" t="s">
        <v>604</v>
      </c>
      <c r="S7" s="149" t="s">
        <v>605</v>
      </c>
      <c r="T7" s="150" t="s">
        <v>606</v>
      </c>
      <c r="U7" s="21"/>
    </row>
    <row r="8" spans="1:21">
      <c r="A8" s="157">
        <v>2018</v>
      </c>
      <c r="B8" s="9" t="s">
        <v>607</v>
      </c>
      <c r="C8" s="10">
        <v>30646.63</v>
      </c>
      <c r="D8" s="9"/>
      <c r="E8" s="10">
        <v>121626.06</v>
      </c>
      <c r="F8" s="10">
        <v>661690</v>
      </c>
      <c r="G8" s="10">
        <v>32.68</v>
      </c>
      <c r="H8" s="10">
        <v>162203.74</v>
      </c>
      <c r="I8" s="10">
        <v>65050.15</v>
      </c>
      <c r="J8" s="9"/>
      <c r="K8" s="10">
        <v>0</v>
      </c>
      <c r="L8" s="10">
        <v>1041249.26</v>
      </c>
      <c r="M8" s="6"/>
      <c r="N8" s="10">
        <f>L8*(13/31)</f>
        <v>436652.91548387101</v>
      </c>
      <c r="O8" s="6"/>
      <c r="P8" s="10">
        <f>($P$6/12)*(13/31)</f>
        <v>567513.60215053766</v>
      </c>
      <c r="Q8" s="6"/>
      <c r="R8" s="10">
        <f>N8-P8</f>
        <v>-130860.68666666665</v>
      </c>
      <c r="S8" s="158">
        <v>0.98499999999999999</v>
      </c>
      <c r="T8" s="10">
        <f t="shared" ref="T8:T19" si="0">R8*S8</f>
        <v>-128897.77636666664</v>
      </c>
    </row>
    <row r="9" spans="1:21">
      <c r="A9" s="5"/>
      <c r="B9" s="6" t="s">
        <v>608</v>
      </c>
      <c r="C9" s="13">
        <v>36585.199999999997</v>
      </c>
      <c r="D9" s="6"/>
      <c r="E9" s="13">
        <v>381687.03</v>
      </c>
      <c r="F9" s="13">
        <v>500991.96</v>
      </c>
      <c r="G9" s="13">
        <v>117.41</v>
      </c>
      <c r="H9" s="13">
        <v>150649.60999999999</v>
      </c>
      <c r="I9" s="13">
        <v>68268.73</v>
      </c>
      <c r="J9" s="6"/>
      <c r="K9" s="13">
        <v>0</v>
      </c>
      <c r="L9" s="13">
        <v>1138299.94</v>
      </c>
      <c r="M9" s="6"/>
      <c r="N9" s="159"/>
      <c r="O9" s="6"/>
      <c r="P9" s="13">
        <f t="shared" ref="P9:P19" si="1">$P$6/12</f>
        <v>1353301.6666666667</v>
      </c>
      <c r="Q9" s="6"/>
      <c r="R9" s="13">
        <f t="shared" ref="R9:R19" si="2">L9-P9</f>
        <v>-215001.7266666668</v>
      </c>
      <c r="S9" s="160">
        <v>0.98499999999999999</v>
      </c>
      <c r="T9" s="13">
        <f t="shared" si="0"/>
        <v>-211776.70076666679</v>
      </c>
    </row>
    <row r="10" spans="1:21">
      <c r="A10" s="5"/>
      <c r="B10" s="6" t="s">
        <v>609</v>
      </c>
      <c r="C10" s="13">
        <v>49191.94</v>
      </c>
      <c r="D10" s="6"/>
      <c r="E10" s="13">
        <v>303568.45</v>
      </c>
      <c r="F10" s="13">
        <v>793676.62</v>
      </c>
      <c r="G10" s="13">
        <v>8.65</v>
      </c>
      <c r="H10" s="13">
        <v>79747.75</v>
      </c>
      <c r="I10" s="13">
        <v>44588.95</v>
      </c>
      <c r="J10" s="13">
        <v>25.55</v>
      </c>
      <c r="K10" s="13">
        <v>0</v>
      </c>
      <c r="L10" s="13">
        <v>1270807.9099999999</v>
      </c>
      <c r="M10" s="6"/>
      <c r="N10" s="159"/>
      <c r="O10" s="6"/>
      <c r="P10" s="13">
        <f t="shared" si="1"/>
        <v>1353301.6666666667</v>
      </c>
      <c r="Q10" s="6"/>
      <c r="R10" s="13">
        <f t="shared" si="2"/>
        <v>-82493.756666666828</v>
      </c>
      <c r="S10" s="160">
        <v>0.98499999999999999</v>
      </c>
      <c r="T10" s="13">
        <f t="shared" si="0"/>
        <v>-81256.350316666823</v>
      </c>
    </row>
    <row r="11" spans="1:21">
      <c r="A11" s="5"/>
      <c r="B11" s="6" t="s">
        <v>610</v>
      </c>
      <c r="C11" s="13">
        <v>17918.509999999998</v>
      </c>
      <c r="D11" s="6"/>
      <c r="E11" s="13">
        <v>14908.64</v>
      </c>
      <c r="F11" s="13">
        <v>1174478.8500000001</v>
      </c>
      <c r="G11" s="13">
        <v>-45.42</v>
      </c>
      <c r="H11" s="13">
        <v>333410.94</v>
      </c>
      <c r="I11" s="13">
        <v>93383.18</v>
      </c>
      <c r="J11" s="13">
        <v>-19.899999999999999</v>
      </c>
      <c r="K11" s="13">
        <v>0</v>
      </c>
      <c r="L11" s="13">
        <v>1634034.8</v>
      </c>
      <c r="M11" s="6"/>
      <c r="N11" s="159"/>
      <c r="O11" s="6"/>
      <c r="P11" s="13">
        <f t="shared" si="1"/>
        <v>1353301.6666666667</v>
      </c>
      <c r="Q11" s="6"/>
      <c r="R11" s="13">
        <f t="shared" si="2"/>
        <v>280733.1333333333</v>
      </c>
      <c r="S11" s="160">
        <v>0.98499999999999999</v>
      </c>
      <c r="T11" s="13">
        <f t="shared" si="0"/>
        <v>276522.13633333327</v>
      </c>
    </row>
    <row r="12" spans="1:21">
      <c r="A12" s="5"/>
      <c r="B12" s="6" t="s">
        <v>611</v>
      </c>
      <c r="C12" s="13">
        <v>29191.31</v>
      </c>
      <c r="D12" s="6"/>
      <c r="E12" s="13">
        <v>143361.43</v>
      </c>
      <c r="F12" s="13">
        <v>492188.98</v>
      </c>
      <c r="G12" s="13">
        <v>178.23</v>
      </c>
      <c r="H12" s="13">
        <v>222635.77</v>
      </c>
      <c r="I12" s="13">
        <v>103847.58</v>
      </c>
      <c r="J12" s="6"/>
      <c r="K12" s="13">
        <v>0</v>
      </c>
      <c r="L12" s="13">
        <v>991403.3</v>
      </c>
      <c r="M12" s="6"/>
      <c r="N12" s="159"/>
      <c r="O12" s="6"/>
      <c r="P12" s="13">
        <f t="shared" si="1"/>
        <v>1353301.6666666667</v>
      </c>
      <c r="Q12" s="6"/>
      <c r="R12" s="13">
        <f t="shared" si="2"/>
        <v>-361898.3666666667</v>
      </c>
      <c r="S12" s="160">
        <v>0.98499999999999999</v>
      </c>
      <c r="T12" s="13">
        <f t="shared" si="0"/>
        <v>-356469.8911666667</v>
      </c>
    </row>
    <row r="13" spans="1:21">
      <c r="A13" s="5"/>
      <c r="B13" s="6" t="s">
        <v>612</v>
      </c>
      <c r="C13" s="13">
        <v>31148.76</v>
      </c>
      <c r="D13" s="6"/>
      <c r="E13" s="13">
        <v>34729.14</v>
      </c>
      <c r="F13" s="13">
        <v>2570455.88</v>
      </c>
      <c r="G13" s="13">
        <v>-220.25</v>
      </c>
      <c r="H13" s="13">
        <v>1062961.68</v>
      </c>
      <c r="I13" s="13">
        <v>57496.08</v>
      </c>
      <c r="J13" s="6"/>
      <c r="K13" s="13">
        <v>0</v>
      </c>
      <c r="L13" s="13">
        <v>3756571.29</v>
      </c>
      <c r="M13" s="6"/>
      <c r="N13" s="159"/>
      <c r="O13" s="6"/>
      <c r="P13" s="13">
        <f t="shared" si="1"/>
        <v>1353301.6666666667</v>
      </c>
      <c r="Q13" s="6"/>
      <c r="R13" s="13">
        <f t="shared" si="2"/>
        <v>2403269.6233333331</v>
      </c>
      <c r="S13" s="160">
        <v>0.98499999999999999</v>
      </c>
      <c r="T13" s="13">
        <f t="shared" si="0"/>
        <v>2367220.578983333</v>
      </c>
    </row>
    <row r="14" spans="1:21">
      <c r="A14" s="5"/>
      <c r="B14" s="6" t="s">
        <v>613</v>
      </c>
      <c r="C14" s="13">
        <v>35905.85</v>
      </c>
      <c r="D14" s="6"/>
      <c r="E14" s="13">
        <v>59933.19</v>
      </c>
      <c r="F14" s="13">
        <v>2260503.7999999998</v>
      </c>
      <c r="G14" s="13">
        <v>51.76</v>
      </c>
      <c r="H14" s="13">
        <v>1029572.94</v>
      </c>
      <c r="I14" s="13">
        <v>87273.55</v>
      </c>
      <c r="J14" s="6"/>
      <c r="K14" s="13">
        <v>0</v>
      </c>
      <c r="L14" s="13">
        <v>3473241.09</v>
      </c>
      <c r="M14" s="6"/>
      <c r="N14" s="159"/>
      <c r="O14" s="6"/>
      <c r="P14" s="13">
        <f t="shared" si="1"/>
        <v>1353301.6666666667</v>
      </c>
      <c r="Q14" s="6"/>
      <c r="R14" s="13">
        <f t="shared" si="2"/>
        <v>2119939.4233333329</v>
      </c>
      <c r="S14" s="160">
        <v>0.98499999999999999</v>
      </c>
      <c r="T14" s="13">
        <f t="shared" si="0"/>
        <v>2088140.3319833328</v>
      </c>
    </row>
    <row r="15" spans="1:21">
      <c r="A15" s="5"/>
      <c r="B15" s="6" t="s">
        <v>614</v>
      </c>
      <c r="C15" s="13">
        <v>33838.51</v>
      </c>
      <c r="D15" s="6"/>
      <c r="E15" s="13">
        <v>102581.56</v>
      </c>
      <c r="F15" s="13">
        <v>1324169.2</v>
      </c>
      <c r="G15" s="13">
        <v>-34.869999999999997</v>
      </c>
      <c r="H15" s="13">
        <v>373925.01</v>
      </c>
      <c r="I15" s="13">
        <v>58725.36</v>
      </c>
      <c r="J15" s="6"/>
      <c r="K15" s="13">
        <v>0</v>
      </c>
      <c r="L15" s="13">
        <v>1893204.77</v>
      </c>
      <c r="M15" s="6"/>
      <c r="N15" s="159"/>
      <c r="O15" s="6"/>
      <c r="P15" s="13">
        <f t="shared" si="1"/>
        <v>1353301.6666666667</v>
      </c>
      <c r="Q15" s="6"/>
      <c r="R15" s="13">
        <f t="shared" si="2"/>
        <v>539903.10333333327</v>
      </c>
      <c r="S15" s="160">
        <v>0.98499999999999999</v>
      </c>
      <c r="T15" s="13">
        <f t="shared" si="0"/>
        <v>531804.5567833333</v>
      </c>
    </row>
    <row r="16" spans="1:21">
      <c r="A16" s="5"/>
      <c r="B16" s="6" t="s">
        <v>615</v>
      </c>
      <c r="C16" s="13">
        <v>34851.870000000003</v>
      </c>
      <c r="D16" s="6"/>
      <c r="E16" s="13">
        <v>55621.89</v>
      </c>
      <c r="F16" s="13">
        <v>695955.68</v>
      </c>
      <c r="G16" s="13">
        <v>0.84</v>
      </c>
      <c r="H16" s="13">
        <v>395075.14</v>
      </c>
      <c r="I16" s="13">
        <v>65126.76</v>
      </c>
      <c r="J16" s="6"/>
      <c r="K16" s="13">
        <v>0</v>
      </c>
      <c r="L16" s="13">
        <v>1246632.18</v>
      </c>
      <c r="M16" s="6"/>
      <c r="N16" s="159"/>
      <c r="O16" s="6"/>
      <c r="P16" s="13">
        <f t="shared" si="1"/>
        <v>1353301.6666666667</v>
      </c>
      <c r="Q16" s="6"/>
      <c r="R16" s="13">
        <f t="shared" si="2"/>
        <v>-106669.48666666681</v>
      </c>
      <c r="S16" s="160">
        <v>0.98499999999999999</v>
      </c>
      <c r="T16" s="13">
        <f t="shared" si="0"/>
        <v>-105069.44436666681</v>
      </c>
    </row>
    <row r="17" spans="1:20">
      <c r="A17" s="5"/>
      <c r="B17" s="6" t="s">
        <v>616</v>
      </c>
      <c r="C17" s="13">
        <v>37007.980000000003</v>
      </c>
      <c r="D17" s="6"/>
      <c r="E17" s="13">
        <v>92095.39</v>
      </c>
      <c r="F17" s="13">
        <v>519767.71</v>
      </c>
      <c r="G17" s="13">
        <v>233.06</v>
      </c>
      <c r="H17" s="13">
        <v>111581.05</v>
      </c>
      <c r="I17" s="13">
        <v>92173.3</v>
      </c>
      <c r="J17" s="6"/>
      <c r="K17" s="13">
        <v>0</v>
      </c>
      <c r="L17" s="13">
        <v>852858.49</v>
      </c>
      <c r="M17" s="6"/>
      <c r="N17" s="159"/>
      <c r="O17" s="6"/>
      <c r="P17" s="13">
        <f t="shared" si="1"/>
        <v>1353301.6666666667</v>
      </c>
      <c r="Q17" s="6"/>
      <c r="R17" s="13">
        <f t="shared" si="2"/>
        <v>-500443.17666666675</v>
      </c>
      <c r="S17" s="160">
        <v>0.98499999999999999</v>
      </c>
      <c r="T17" s="13">
        <f t="shared" si="0"/>
        <v>-492936.52901666675</v>
      </c>
    </row>
    <row r="18" spans="1:20">
      <c r="A18" s="5"/>
      <c r="B18" s="6" t="s">
        <v>617</v>
      </c>
      <c r="C18" s="13">
        <v>41395.18</v>
      </c>
      <c r="D18" s="6"/>
      <c r="E18" s="13">
        <v>95910.53</v>
      </c>
      <c r="F18" s="13">
        <v>524335.75</v>
      </c>
      <c r="G18" s="13">
        <v>-254.78</v>
      </c>
      <c r="H18" s="13">
        <v>30283.78</v>
      </c>
      <c r="I18" s="13">
        <v>92124.46</v>
      </c>
      <c r="J18" s="6"/>
      <c r="K18" s="13">
        <v>0</v>
      </c>
      <c r="L18" s="13">
        <v>783794.92</v>
      </c>
      <c r="M18" s="6"/>
      <c r="N18" s="159"/>
      <c r="O18" s="6"/>
      <c r="P18" s="13">
        <f t="shared" si="1"/>
        <v>1353301.6666666667</v>
      </c>
      <c r="Q18" s="6"/>
      <c r="R18" s="13">
        <f t="shared" si="2"/>
        <v>-569506.7466666667</v>
      </c>
      <c r="S18" s="160">
        <v>0.98499999999999999</v>
      </c>
      <c r="T18" s="13">
        <f t="shared" si="0"/>
        <v>-560964.14546666667</v>
      </c>
    </row>
    <row r="19" spans="1:20">
      <c r="A19" s="5"/>
      <c r="B19" s="6" t="s">
        <v>618</v>
      </c>
      <c r="C19" s="13">
        <v>34654.86</v>
      </c>
      <c r="D19" s="6"/>
      <c r="E19" s="13">
        <v>89722.49</v>
      </c>
      <c r="F19" s="13">
        <v>525899.05000000005</v>
      </c>
      <c r="G19" s="13">
        <v>-4.5</v>
      </c>
      <c r="H19" s="13">
        <v>131472.32000000001</v>
      </c>
      <c r="I19" s="13">
        <v>29310.33</v>
      </c>
      <c r="J19" s="6"/>
      <c r="K19" s="13">
        <v>0</v>
      </c>
      <c r="L19" s="13">
        <v>811054.55</v>
      </c>
      <c r="M19" s="6"/>
      <c r="N19" s="159"/>
      <c r="O19" s="6"/>
      <c r="P19" s="16">
        <f t="shared" si="1"/>
        <v>1353301.6666666667</v>
      </c>
      <c r="Q19" s="6"/>
      <c r="R19" s="16">
        <f t="shared" si="2"/>
        <v>-542247.1166666667</v>
      </c>
      <c r="S19" s="160">
        <v>0.98499999999999999</v>
      </c>
      <c r="T19" s="16">
        <f t="shared" si="0"/>
        <v>-534113.40991666669</v>
      </c>
    </row>
    <row r="20" spans="1:20">
      <c r="A20" s="5" t="s">
        <v>450</v>
      </c>
      <c r="B20" s="6"/>
      <c r="C20" s="13">
        <v>412336.6</v>
      </c>
      <c r="D20" s="6"/>
      <c r="E20" s="13">
        <v>1495745.8</v>
      </c>
      <c r="F20" s="13">
        <v>12044113.48</v>
      </c>
      <c r="G20" s="13">
        <v>62.81</v>
      </c>
      <c r="H20" s="13">
        <v>4083519.73</v>
      </c>
      <c r="I20" s="13">
        <v>857368.43</v>
      </c>
      <c r="J20" s="13">
        <v>5.65</v>
      </c>
      <c r="K20" s="13">
        <v>0</v>
      </c>
      <c r="L20" s="13">
        <v>18893152.5</v>
      </c>
      <c r="M20" s="6"/>
      <c r="N20" s="159"/>
      <c r="O20" s="6"/>
      <c r="P20" s="25">
        <f>SUM(P8:P19)</f>
        <v>15453831.935483869</v>
      </c>
      <c r="Q20" s="6"/>
      <c r="R20" s="25">
        <f>SUM(R8:R19)</f>
        <v>2834724.2199999979</v>
      </c>
      <c r="S20" s="6"/>
      <c r="T20" s="25">
        <f>SUM(T8:T19)</f>
        <v>2792203.3566999985</v>
      </c>
    </row>
    <row r="21" spans="1:20">
      <c r="A21" s="74">
        <v>2019</v>
      </c>
      <c r="B21" s="6" t="s">
        <v>619</v>
      </c>
      <c r="C21" s="13">
        <v>14082.04</v>
      </c>
      <c r="D21" s="6"/>
      <c r="E21" s="13">
        <v>234951.33</v>
      </c>
      <c r="F21" s="13">
        <v>484384.65</v>
      </c>
      <c r="G21" s="13">
        <v>137.06</v>
      </c>
      <c r="H21" s="13">
        <v>126881.9</v>
      </c>
      <c r="I21" s="13">
        <v>70478.070000000007</v>
      </c>
      <c r="J21" s="13">
        <v>-5.68</v>
      </c>
      <c r="K21" s="13">
        <v>0</v>
      </c>
      <c r="L21" s="13">
        <v>930909.37</v>
      </c>
      <c r="M21" s="6"/>
      <c r="N21" s="159"/>
      <c r="O21" s="6"/>
      <c r="P21" s="161">
        <f t="shared" ref="P21:P32" si="3">$P$6/12</f>
        <v>1353301.6666666667</v>
      </c>
      <c r="Q21" s="6"/>
      <c r="R21" s="161">
        <f t="shared" ref="R21:R32" si="4">L21-P21</f>
        <v>-422392.29666666675</v>
      </c>
      <c r="S21" s="160">
        <v>0.98499999999999999</v>
      </c>
      <c r="T21" s="161">
        <f t="shared" ref="T21:T32" si="5">R21*S21</f>
        <v>-416056.41221666674</v>
      </c>
    </row>
    <row r="22" spans="1:20">
      <c r="A22" s="5"/>
      <c r="B22" s="6" t="s">
        <v>620</v>
      </c>
      <c r="C22" s="13">
        <v>38753.39</v>
      </c>
      <c r="D22" s="6"/>
      <c r="E22" s="13">
        <v>57950.57</v>
      </c>
      <c r="F22" s="13">
        <v>1198147.1100000001</v>
      </c>
      <c r="G22" s="13">
        <v>-0.02</v>
      </c>
      <c r="H22" s="13">
        <v>375465.3</v>
      </c>
      <c r="I22" s="13">
        <v>39676.400000000001</v>
      </c>
      <c r="J22" s="6"/>
      <c r="K22" s="13">
        <v>0</v>
      </c>
      <c r="L22" s="13">
        <v>1709992.75</v>
      </c>
      <c r="M22" s="6"/>
      <c r="N22" s="159"/>
      <c r="O22" s="6"/>
      <c r="P22" s="13">
        <f t="shared" si="3"/>
        <v>1353301.6666666667</v>
      </c>
      <c r="Q22" s="6"/>
      <c r="R22" s="13">
        <f t="shared" si="4"/>
        <v>356691.08333333326</v>
      </c>
      <c r="S22" s="160">
        <v>0.98499999999999999</v>
      </c>
      <c r="T22" s="13">
        <f t="shared" si="5"/>
        <v>351340.71708333323</v>
      </c>
    </row>
    <row r="23" spans="1:20">
      <c r="A23" s="5"/>
      <c r="B23" s="6" t="s">
        <v>621</v>
      </c>
      <c r="C23" s="13">
        <v>39525.870000000003</v>
      </c>
      <c r="D23" s="6"/>
      <c r="E23" s="13">
        <v>98972.479999999996</v>
      </c>
      <c r="F23" s="13">
        <v>1065757.93</v>
      </c>
      <c r="G23" s="13">
        <v>-17.41</v>
      </c>
      <c r="H23" s="13">
        <v>218398.79</v>
      </c>
      <c r="I23" s="13">
        <v>56877.26</v>
      </c>
      <c r="J23" s="6"/>
      <c r="K23" s="13">
        <v>0</v>
      </c>
      <c r="L23" s="13">
        <v>1479514.92</v>
      </c>
      <c r="M23" s="6"/>
      <c r="N23" s="159"/>
      <c r="O23" s="6"/>
      <c r="P23" s="13">
        <f t="shared" si="3"/>
        <v>1353301.6666666667</v>
      </c>
      <c r="Q23" s="6"/>
      <c r="R23" s="13">
        <f t="shared" si="4"/>
        <v>126213.25333333318</v>
      </c>
      <c r="S23" s="160">
        <v>0.98499999999999999</v>
      </c>
      <c r="T23" s="13">
        <f t="shared" si="5"/>
        <v>124320.05453333318</v>
      </c>
    </row>
    <row r="24" spans="1:20">
      <c r="A24" s="5"/>
      <c r="B24" s="6" t="s">
        <v>622</v>
      </c>
      <c r="C24" s="13">
        <v>46191.199999999997</v>
      </c>
      <c r="D24" s="6"/>
      <c r="E24" s="13">
        <v>195726.26</v>
      </c>
      <c r="F24" s="13">
        <v>634416.01</v>
      </c>
      <c r="G24" s="13">
        <v>-4.41</v>
      </c>
      <c r="H24" s="13">
        <v>236791.15</v>
      </c>
      <c r="I24" s="13">
        <v>138012.45000000001</v>
      </c>
      <c r="J24" s="6"/>
      <c r="K24" s="13">
        <v>0</v>
      </c>
      <c r="L24" s="13">
        <v>1251132.6599999999</v>
      </c>
      <c r="M24" s="6"/>
      <c r="N24" s="159"/>
      <c r="O24" s="6"/>
      <c r="P24" s="13">
        <f t="shared" si="3"/>
        <v>1353301.6666666667</v>
      </c>
      <c r="Q24" s="6"/>
      <c r="R24" s="13">
        <f t="shared" si="4"/>
        <v>-102169.00666666683</v>
      </c>
      <c r="S24" s="160">
        <v>0.98499999999999999</v>
      </c>
      <c r="T24" s="13">
        <f t="shared" si="5"/>
        <v>-100636.47156666682</v>
      </c>
    </row>
    <row r="25" spans="1:20">
      <c r="A25" s="5"/>
      <c r="B25" s="6" t="s">
        <v>623</v>
      </c>
      <c r="C25" s="13">
        <v>42931.88</v>
      </c>
      <c r="D25" s="6"/>
      <c r="E25" s="13">
        <v>10130.11</v>
      </c>
      <c r="F25" s="13">
        <v>526820.22</v>
      </c>
      <c r="G25" s="13">
        <v>-155.63999999999999</v>
      </c>
      <c r="H25" s="13">
        <v>198088.35</v>
      </c>
      <c r="I25" s="13">
        <v>65124.98</v>
      </c>
      <c r="J25" s="6"/>
      <c r="K25" s="13">
        <v>0</v>
      </c>
      <c r="L25" s="13">
        <v>842939.9</v>
      </c>
      <c r="M25" s="6"/>
      <c r="N25" s="159"/>
      <c r="O25" s="6"/>
      <c r="P25" s="13">
        <f t="shared" si="3"/>
        <v>1353301.6666666667</v>
      </c>
      <c r="Q25" s="6"/>
      <c r="R25" s="13">
        <f t="shared" si="4"/>
        <v>-510361.76666666672</v>
      </c>
      <c r="S25" s="160">
        <v>0.98499999999999999</v>
      </c>
      <c r="T25" s="13">
        <f t="shared" si="5"/>
        <v>-502706.34016666672</v>
      </c>
    </row>
    <row r="26" spans="1:20">
      <c r="A26" s="5"/>
      <c r="B26" s="6" t="s">
        <v>624</v>
      </c>
      <c r="C26" s="13">
        <v>43068.46</v>
      </c>
      <c r="D26" s="13">
        <v>25.17</v>
      </c>
      <c r="E26" s="13">
        <v>77556.45</v>
      </c>
      <c r="F26" s="13">
        <v>1155325.3999999999</v>
      </c>
      <c r="G26" s="13">
        <v>-36.979999999999997</v>
      </c>
      <c r="H26" s="13">
        <v>434748.77</v>
      </c>
      <c r="I26" s="13">
        <v>33318.199999999997</v>
      </c>
      <c r="J26" s="6"/>
      <c r="K26" s="13">
        <v>0</v>
      </c>
      <c r="L26" s="13">
        <v>1744005.47</v>
      </c>
      <c r="M26" s="6"/>
      <c r="N26" s="159"/>
      <c r="O26" s="6"/>
      <c r="P26" s="13">
        <f t="shared" si="3"/>
        <v>1353301.6666666667</v>
      </c>
      <c r="Q26" s="6"/>
      <c r="R26" s="13">
        <f t="shared" si="4"/>
        <v>390703.80333333323</v>
      </c>
      <c r="S26" s="160">
        <v>0.98499999999999999</v>
      </c>
      <c r="T26" s="13">
        <f t="shared" si="5"/>
        <v>384843.24628333322</v>
      </c>
    </row>
    <row r="27" spans="1:20">
      <c r="A27" s="5"/>
      <c r="B27" s="6" t="s">
        <v>625</v>
      </c>
      <c r="C27" s="13">
        <v>35300.699999999997</v>
      </c>
      <c r="D27" s="6"/>
      <c r="E27" s="13">
        <v>51240.65</v>
      </c>
      <c r="F27" s="13">
        <v>1349937.37</v>
      </c>
      <c r="G27" s="13">
        <v>-23.61</v>
      </c>
      <c r="H27" s="13">
        <v>403318.2</v>
      </c>
      <c r="I27" s="13">
        <v>25174.57</v>
      </c>
      <c r="J27" s="6"/>
      <c r="K27" s="13">
        <v>0</v>
      </c>
      <c r="L27" s="13">
        <v>1864947.88</v>
      </c>
      <c r="M27" s="6"/>
      <c r="N27" s="159"/>
      <c r="O27" s="6"/>
      <c r="P27" s="13">
        <f t="shared" si="3"/>
        <v>1353301.6666666667</v>
      </c>
      <c r="Q27" s="6"/>
      <c r="R27" s="13">
        <f t="shared" si="4"/>
        <v>511646.21333333314</v>
      </c>
      <c r="S27" s="160">
        <v>0.98499999999999999</v>
      </c>
      <c r="T27" s="13">
        <f t="shared" si="5"/>
        <v>503971.52013333316</v>
      </c>
    </row>
    <row r="28" spans="1:20">
      <c r="A28" s="5"/>
      <c r="B28" s="6" t="s">
        <v>626</v>
      </c>
      <c r="C28" s="13">
        <v>34349.519999999997</v>
      </c>
      <c r="D28" s="6"/>
      <c r="E28" s="13">
        <v>74342.27</v>
      </c>
      <c r="F28" s="13">
        <v>1504838.96</v>
      </c>
      <c r="G28" s="13">
        <v>-5.89</v>
      </c>
      <c r="H28" s="13">
        <v>412732.7</v>
      </c>
      <c r="I28" s="13">
        <v>27005.33</v>
      </c>
      <c r="J28" s="6"/>
      <c r="K28" s="13">
        <v>0</v>
      </c>
      <c r="L28" s="13">
        <v>2053262.89</v>
      </c>
      <c r="M28" s="6"/>
      <c r="N28" s="159"/>
      <c r="O28" s="6"/>
      <c r="P28" s="13">
        <f t="shared" si="3"/>
        <v>1353301.6666666667</v>
      </c>
      <c r="Q28" s="6"/>
      <c r="R28" s="13">
        <f t="shared" si="4"/>
        <v>699961.22333333315</v>
      </c>
      <c r="S28" s="160">
        <v>0.98499999999999999</v>
      </c>
      <c r="T28" s="13">
        <f t="shared" si="5"/>
        <v>689461.8049833331</v>
      </c>
    </row>
    <row r="29" spans="1:20">
      <c r="A29" s="5"/>
      <c r="B29" s="6" t="s">
        <v>454</v>
      </c>
      <c r="C29" s="13">
        <v>33674.68</v>
      </c>
      <c r="D29" s="6"/>
      <c r="E29" s="13">
        <v>140784.26999999999</v>
      </c>
      <c r="F29" s="13">
        <v>668140.77</v>
      </c>
      <c r="G29" s="13">
        <v>71.069999999999993</v>
      </c>
      <c r="H29" s="13">
        <v>148302.59</v>
      </c>
      <c r="I29" s="13">
        <v>79306.490000000005</v>
      </c>
      <c r="J29" s="6"/>
      <c r="K29" s="13">
        <v>0</v>
      </c>
      <c r="L29" s="13">
        <v>1070279.8700000001</v>
      </c>
      <c r="M29" s="6"/>
      <c r="N29" s="159"/>
      <c r="O29" s="6"/>
      <c r="P29" s="13">
        <f t="shared" si="3"/>
        <v>1353301.6666666667</v>
      </c>
      <c r="Q29" s="6"/>
      <c r="R29" s="13">
        <f t="shared" si="4"/>
        <v>-283021.79666666663</v>
      </c>
      <c r="S29" s="160">
        <v>0.98499999999999999</v>
      </c>
      <c r="T29" s="13">
        <f t="shared" si="5"/>
        <v>-278776.46971666662</v>
      </c>
    </row>
    <row r="30" spans="1:20">
      <c r="A30" s="5"/>
      <c r="B30" s="6" t="s">
        <v>455</v>
      </c>
      <c r="C30" s="13">
        <v>32075.08</v>
      </c>
      <c r="D30" s="6"/>
      <c r="E30" s="13">
        <v>144654.34</v>
      </c>
      <c r="F30" s="13">
        <v>461522.57</v>
      </c>
      <c r="G30" s="13">
        <v>62.52</v>
      </c>
      <c r="H30" s="13">
        <v>162478.79</v>
      </c>
      <c r="I30" s="13">
        <v>81947.039999999994</v>
      </c>
      <c r="J30" s="6"/>
      <c r="K30" s="13">
        <v>0</v>
      </c>
      <c r="L30" s="13">
        <v>882740.34</v>
      </c>
      <c r="M30" s="6"/>
      <c r="N30" s="159"/>
      <c r="O30" s="6"/>
      <c r="P30" s="13">
        <f t="shared" si="3"/>
        <v>1353301.6666666667</v>
      </c>
      <c r="Q30" s="6"/>
      <c r="R30" s="13">
        <f t="shared" si="4"/>
        <v>-470561.32666666678</v>
      </c>
      <c r="S30" s="160">
        <v>0.98499999999999999</v>
      </c>
      <c r="T30" s="13">
        <f t="shared" si="5"/>
        <v>-463502.9067666668</v>
      </c>
    </row>
    <row r="31" spans="1:20">
      <c r="A31" s="5"/>
      <c r="B31" s="6" t="s">
        <v>456</v>
      </c>
      <c r="C31" s="13">
        <v>23333.79</v>
      </c>
      <c r="D31" s="6"/>
      <c r="E31" s="13">
        <v>163138.20000000001</v>
      </c>
      <c r="F31" s="13">
        <v>405318.6</v>
      </c>
      <c r="G31" s="13">
        <v>-119.36</v>
      </c>
      <c r="H31" s="13">
        <v>195254.11</v>
      </c>
      <c r="I31" s="13">
        <v>112470.44</v>
      </c>
      <c r="J31" s="6"/>
      <c r="K31" s="13">
        <v>0</v>
      </c>
      <c r="L31" s="13">
        <v>899395.78</v>
      </c>
      <c r="M31" s="6"/>
      <c r="N31" s="159"/>
      <c r="O31" s="6"/>
      <c r="P31" s="13">
        <f t="shared" si="3"/>
        <v>1353301.6666666667</v>
      </c>
      <c r="Q31" s="6"/>
      <c r="R31" s="13">
        <f t="shared" si="4"/>
        <v>-453905.88666666672</v>
      </c>
      <c r="S31" s="160">
        <v>0.98499999999999999</v>
      </c>
      <c r="T31" s="13">
        <f t="shared" si="5"/>
        <v>-447097.29836666671</v>
      </c>
    </row>
    <row r="32" spans="1:20">
      <c r="A32" s="5"/>
      <c r="B32" s="6" t="s">
        <v>627</v>
      </c>
      <c r="C32" s="13">
        <v>5217.16</v>
      </c>
      <c r="D32" s="6"/>
      <c r="E32" s="13">
        <v>28564.59</v>
      </c>
      <c r="F32" s="13">
        <v>166549.14000000001</v>
      </c>
      <c r="G32" s="13">
        <v>23.07</v>
      </c>
      <c r="H32" s="13">
        <v>143129.35</v>
      </c>
      <c r="I32" s="13">
        <v>77287.240000000005</v>
      </c>
      <c r="J32" s="6"/>
      <c r="K32" s="13">
        <v>0</v>
      </c>
      <c r="L32" s="13">
        <v>420770.55</v>
      </c>
      <c r="M32" s="6"/>
      <c r="N32" s="159"/>
      <c r="O32" s="6"/>
      <c r="P32" s="16">
        <f t="shared" si="3"/>
        <v>1353301.6666666667</v>
      </c>
      <c r="Q32" s="6"/>
      <c r="R32" s="16">
        <f t="shared" si="4"/>
        <v>-932531.1166666667</v>
      </c>
      <c r="S32" s="160">
        <v>0.98499999999999999</v>
      </c>
      <c r="T32" s="16">
        <f t="shared" si="5"/>
        <v>-918543.14991666668</v>
      </c>
    </row>
    <row r="33" spans="1:20">
      <c r="A33" s="5" t="s">
        <v>319</v>
      </c>
      <c r="B33" s="6"/>
      <c r="C33" s="13">
        <v>388503.77</v>
      </c>
      <c r="D33" s="13">
        <v>25.17</v>
      </c>
      <c r="E33" s="13">
        <v>1278011.52</v>
      </c>
      <c r="F33" s="13">
        <v>9621158.7300000004</v>
      </c>
      <c r="G33" s="13">
        <v>-69.599999999999994</v>
      </c>
      <c r="H33" s="13">
        <v>3055590</v>
      </c>
      <c r="I33" s="13">
        <v>806678.47</v>
      </c>
      <c r="J33" s="13">
        <v>-5.68</v>
      </c>
      <c r="K33" s="13">
        <v>0</v>
      </c>
      <c r="L33" s="13">
        <v>15149892.380000001</v>
      </c>
      <c r="M33" s="6"/>
      <c r="N33" s="159"/>
      <c r="O33" s="6"/>
      <c r="P33" s="25">
        <f>SUM(P21:P32)</f>
        <v>16239619.999999998</v>
      </c>
      <c r="Q33" s="6"/>
      <c r="R33" s="25">
        <f>SUM(R21:R32)</f>
        <v>-1089727.620000001</v>
      </c>
      <c r="S33" s="6"/>
      <c r="T33" s="25">
        <f>SUM(T21:T32)</f>
        <v>-1073381.7057000012</v>
      </c>
    </row>
    <row r="34" spans="1:20">
      <c r="A34" s="74">
        <v>2020</v>
      </c>
      <c r="B34" s="6" t="s">
        <v>457</v>
      </c>
      <c r="C34" s="13">
        <v>36929.040000000001</v>
      </c>
      <c r="D34" s="6"/>
      <c r="E34" s="13">
        <v>222552.8</v>
      </c>
      <c r="F34" s="13">
        <v>841832.1</v>
      </c>
      <c r="G34" s="13">
        <v>-14.6</v>
      </c>
      <c r="H34" s="13">
        <v>154059.69</v>
      </c>
      <c r="I34" s="13">
        <v>150009.19</v>
      </c>
      <c r="J34" s="6"/>
      <c r="K34" s="13">
        <v>0</v>
      </c>
      <c r="L34" s="13">
        <v>1405368.22</v>
      </c>
      <c r="M34" s="6"/>
      <c r="N34" s="159"/>
      <c r="O34" s="6"/>
      <c r="P34" s="161">
        <f>$P$6/12</f>
        <v>1353301.6666666667</v>
      </c>
      <c r="Q34" s="6"/>
      <c r="R34" s="161">
        <f>L34-P34</f>
        <v>52066.553333333228</v>
      </c>
      <c r="S34" s="160">
        <v>0.98499999999999999</v>
      </c>
      <c r="T34" s="161">
        <f>R34*S34</f>
        <v>51285.555033333228</v>
      </c>
    </row>
    <row r="35" spans="1:20">
      <c r="A35" s="5"/>
      <c r="B35" s="6" t="s">
        <v>628</v>
      </c>
      <c r="C35" s="13">
        <v>26605.71</v>
      </c>
      <c r="D35" s="6"/>
      <c r="E35" s="13">
        <v>91119.39</v>
      </c>
      <c r="F35" s="13">
        <v>809567.62</v>
      </c>
      <c r="G35" s="6"/>
      <c r="H35" s="13">
        <v>89926.64</v>
      </c>
      <c r="I35" s="13">
        <v>136348.73000000001</v>
      </c>
      <c r="J35" s="6"/>
      <c r="K35" s="13">
        <v>0</v>
      </c>
      <c r="L35" s="13">
        <v>1153568.0900000001</v>
      </c>
      <c r="M35" s="6"/>
      <c r="N35" s="159"/>
      <c r="O35" s="6"/>
      <c r="P35" s="13">
        <f>$P$6/12</f>
        <v>1353301.6666666667</v>
      </c>
      <c r="Q35" s="6"/>
      <c r="R35" s="13">
        <f>L35-P35</f>
        <v>-199733.57666666666</v>
      </c>
      <c r="S35" s="160">
        <v>0.98499999999999999</v>
      </c>
      <c r="T35" s="13">
        <f>R35*S35</f>
        <v>-196737.57301666666</v>
      </c>
    </row>
    <row r="36" spans="1:20">
      <c r="A36" s="5"/>
      <c r="B36" s="6" t="s">
        <v>458</v>
      </c>
      <c r="C36" s="13">
        <v>23449.25</v>
      </c>
      <c r="D36" s="6"/>
      <c r="E36" s="13">
        <v>167865.05</v>
      </c>
      <c r="F36" s="13">
        <v>63987.58</v>
      </c>
      <c r="G36" s="6"/>
      <c r="H36" s="13">
        <v>120364</v>
      </c>
      <c r="I36" s="13">
        <v>87102.34</v>
      </c>
      <c r="J36" s="6"/>
      <c r="K36" s="13">
        <v>0</v>
      </c>
      <c r="L36" s="13">
        <v>462768.22</v>
      </c>
      <c r="M36" s="6"/>
      <c r="N36" s="159"/>
      <c r="O36" s="6"/>
      <c r="P36" s="13">
        <f>$P$6/12</f>
        <v>1353301.6666666667</v>
      </c>
      <c r="Q36" s="6"/>
      <c r="R36" s="13">
        <f>L36-P36</f>
        <v>-890533.44666666677</v>
      </c>
      <c r="S36" s="160">
        <v>0.98499999999999999</v>
      </c>
      <c r="T36" s="13">
        <f>R36*S36</f>
        <v>-877175.44496666675</v>
      </c>
    </row>
    <row r="37" spans="1:20">
      <c r="A37" s="5" t="s">
        <v>320</v>
      </c>
      <c r="B37" s="6"/>
      <c r="C37" s="13">
        <v>86984</v>
      </c>
      <c r="D37" s="6"/>
      <c r="E37" s="13">
        <v>481537.24</v>
      </c>
      <c r="F37" s="13">
        <v>1715387.3</v>
      </c>
      <c r="G37" s="13">
        <v>-14.6</v>
      </c>
      <c r="H37" s="13">
        <v>364350.33</v>
      </c>
      <c r="I37" s="13">
        <v>373460.26</v>
      </c>
      <c r="J37" s="6"/>
      <c r="K37" s="13">
        <v>0</v>
      </c>
      <c r="L37" s="13">
        <v>3021704.53</v>
      </c>
      <c r="M37" s="6"/>
      <c r="N37" s="159"/>
      <c r="O37" s="6"/>
      <c r="P37" s="159"/>
      <c r="Q37" s="6"/>
      <c r="R37" s="159"/>
      <c r="S37" s="159"/>
      <c r="T37" s="162"/>
    </row>
    <row r="38" spans="1:20">
      <c r="A38" s="5" t="s">
        <v>277</v>
      </c>
      <c r="B38" s="6"/>
      <c r="C38" s="13">
        <v>1260407.8999999999</v>
      </c>
      <c r="D38" s="13">
        <v>25.17</v>
      </c>
      <c r="E38" s="13">
        <v>4549237.59</v>
      </c>
      <c r="F38" s="13">
        <v>30103873.629999999</v>
      </c>
      <c r="G38" s="13">
        <v>-0.04</v>
      </c>
      <c r="H38" s="13">
        <v>10160914.050000001</v>
      </c>
      <c r="I38" s="13">
        <v>2807939.42</v>
      </c>
      <c r="J38" s="13">
        <v>-0.03</v>
      </c>
      <c r="K38" s="13">
        <v>0</v>
      </c>
      <c r="L38" s="13">
        <v>48882397.689999998</v>
      </c>
      <c r="M38" s="6"/>
      <c r="N38" s="159"/>
      <c r="O38" s="6"/>
      <c r="P38" s="488" t="s">
        <v>629</v>
      </c>
      <c r="Q38" s="488"/>
      <c r="R38" s="488"/>
      <c r="S38" s="488"/>
      <c r="T38" s="55">
        <f>T20+T33+T34+T35+T36</f>
        <v>696194.18804999709</v>
      </c>
    </row>
    <row r="39" spans="1:20">
      <c r="T39" s="26"/>
    </row>
    <row r="41" spans="1:20">
      <c r="A41" s="5" t="s">
        <v>2</v>
      </c>
      <c r="B41" s="5" t="s">
        <v>3</v>
      </c>
    </row>
  </sheetData>
  <mergeCells count="6">
    <mergeCell ref="P38:S38"/>
    <mergeCell ref="A1:C1"/>
    <mergeCell ref="A2:F2"/>
    <mergeCell ref="A3:G3"/>
    <mergeCell ref="A4:C4"/>
    <mergeCell ref="C6:K6"/>
  </mergeCells>
  <pageMargins left="0.75" right="0.75" top="1" bottom="1" header="0.5" footer="0.5"/>
  <pageSetup scale="48"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showRuler="0" zoomScaleNormal="100" workbookViewId="0">
      <selection activeCell="E27" sqref="E27"/>
    </sheetView>
  </sheetViews>
  <sheetFormatPr defaultColWidth="13.6640625" defaultRowHeight="13.2"/>
  <cols>
    <col min="1" max="1" width="51.33203125" customWidth="1"/>
    <col min="2" max="2" width="18.33203125" customWidth="1"/>
    <col min="3" max="3" width="18" customWidth="1"/>
  </cols>
  <sheetData>
    <row r="1" spans="1:4">
      <c r="A1" s="494" t="s">
        <v>0</v>
      </c>
      <c r="B1" s="494"/>
      <c r="C1" s="494"/>
      <c r="D1" s="33"/>
    </row>
    <row r="2" spans="1:4">
      <c r="A2" s="494" t="s">
        <v>158</v>
      </c>
      <c r="B2" s="487"/>
      <c r="C2" s="487"/>
    </row>
    <row r="3" spans="1:4">
      <c r="A3" s="494" t="s">
        <v>107</v>
      </c>
      <c r="B3" s="494"/>
      <c r="C3" s="494"/>
      <c r="D3" s="33"/>
    </row>
    <row r="4" spans="1:4">
      <c r="A4" s="494" t="s">
        <v>159</v>
      </c>
      <c r="B4" s="487"/>
      <c r="C4" s="487"/>
    </row>
    <row r="6" spans="1:4">
      <c r="A6" s="34" t="s">
        <v>160</v>
      </c>
      <c r="B6" s="34" t="s">
        <v>134</v>
      </c>
      <c r="C6" s="34" t="s">
        <v>150</v>
      </c>
      <c r="D6" s="21"/>
    </row>
    <row r="7" spans="1:4">
      <c r="A7" s="35" t="s">
        <v>161</v>
      </c>
      <c r="B7" s="9"/>
      <c r="C7" s="9"/>
    </row>
    <row r="8" spans="1:4">
      <c r="A8" s="6" t="s">
        <v>162</v>
      </c>
      <c r="B8" s="33" t="s">
        <v>135</v>
      </c>
      <c r="C8" s="16">
        <f>-W08_PG_2_of_2!Q9</f>
        <v>2098614.5</v>
      </c>
    </row>
    <row r="9" spans="1:4">
      <c r="A9" s="1" t="s">
        <v>163</v>
      </c>
      <c r="B9" s="33"/>
      <c r="C9" s="10">
        <f>C8</f>
        <v>2098614.5</v>
      </c>
    </row>
    <row r="10" spans="1:4">
      <c r="A10" s="6"/>
      <c r="B10" s="33"/>
      <c r="C10" s="6"/>
    </row>
    <row r="11" spans="1:4">
      <c r="A11" s="36" t="s">
        <v>164</v>
      </c>
      <c r="B11" s="33"/>
      <c r="C11" s="6"/>
    </row>
    <row r="12" spans="1:4">
      <c r="A12" s="6" t="s">
        <v>165</v>
      </c>
      <c r="B12" s="37">
        <v>555</v>
      </c>
      <c r="C12" s="13">
        <f>-C13</f>
        <v>-1250000.01</v>
      </c>
    </row>
    <row r="13" spans="1:4">
      <c r="A13" s="6" t="s">
        <v>166</v>
      </c>
      <c r="B13" s="37">
        <v>555</v>
      </c>
      <c r="C13" s="13">
        <f>W08_PG_2_of_2!Q48</f>
        <v>1250000.01</v>
      </c>
    </row>
    <row r="14" spans="1:4">
      <c r="A14" s="6" t="s">
        <v>167</v>
      </c>
      <c r="B14" s="33" t="s">
        <v>168</v>
      </c>
      <c r="C14" s="13">
        <f>-W08_PG_2_of_2!Q28+W08_PG_2_of_2!Q30</f>
        <v>-6428995.5720000006</v>
      </c>
    </row>
    <row r="15" spans="1:4">
      <c r="A15" s="6" t="s">
        <v>169</v>
      </c>
      <c r="B15" s="37">
        <v>555</v>
      </c>
      <c r="C15" s="13">
        <f>-W08_PG_2_of_2!Q43</f>
        <v>-854640.73</v>
      </c>
    </row>
    <row r="16" spans="1:4">
      <c r="A16" s="6" t="s">
        <v>170</v>
      </c>
      <c r="B16" s="37">
        <v>566</v>
      </c>
      <c r="C16" s="16">
        <f>W08_PG_2_of_2!Q47</f>
        <v>9382250.8020000011</v>
      </c>
    </row>
    <row r="17" spans="1:3">
      <c r="A17" s="1" t="s">
        <v>171</v>
      </c>
      <c r="B17" s="6"/>
      <c r="C17" s="10">
        <f>SUM(C12:C16)</f>
        <v>2098614.5</v>
      </c>
    </row>
    <row r="24" spans="1:3">
      <c r="B24" s="53" t="s">
        <v>2</v>
      </c>
      <c r="C24" s="6" t="s">
        <v>3</v>
      </c>
    </row>
  </sheetData>
  <mergeCells count="4">
    <mergeCell ref="A2:C2"/>
    <mergeCell ref="A1:C1"/>
    <mergeCell ref="A4:C4"/>
    <mergeCell ref="A3:C3"/>
  </mergeCells>
  <pageMargins left="0.75" right="0.75" top="1" bottom="1" header="0.5" footer="0.5"/>
  <pageSetup scale="89"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showRuler="0" workbookViewId="0">
      <selection activeCell="F28" sqref="F28"/>
    </sheetView>
  </sheetViews>
  <sheetFormatPr defaultColWidth="13.6640625" defaultRowHeight="13.2"/>
  <cols>
    <col min="1" max="3" width="14.88671875" customWidth="1"/>
    <col min="4" max="4" width="12.88671875" customWidth="1"/>
    <col min="6" max="6" width="32.109375" customWidth="1"/>
    <col min="7" max="7" width="28.6640625" customWidth="1"/>
    <col min="8" max="8" width="13" customWidth="1"/>
    <col min="9" max="9" width="13.5546875" customWidth="1"/>
  </cols>
  <sheetData>
    <row r="1" spans="1:13">
      <c r="A1" s="489" t="s">
        <v>0</v>
      </c>
      <c r="B1" s="489"/>
      <c r="C1" s="489"/>
      <c r="D1" s="6"/>
      <c r="L1" s="6"/>
    </row>
    <row r="2" spans="1:13">
      <c r="A2" s="490" t="s">
        <v>630</v>
      </c>
      <c r="B2" s="487"/>
      <c r="C2" s="487"/>
      <c r="D2" s="487"/>
      <c r="E2" s="487"/>
    </row>
    <row r="3" spans="1:13">
      <c r="A3" s="490" t="s">
        <v>631</v>
      </c>
      <c r="B3" s="490"/>
      <c r="C3" s="490"/>
      <c r="D3" s="490"/>
      <c r="E3" s="487"/>
      <c r="F3" s="487"/>
      <c r="G3" s="487"/>
      <c r="L3" s="6"/>
    </row>
    <row r="4" spans="1:13">
      <c r="A4" s="489" t="s">
        <v>107</v>
      </c>
      <c r="B4" s="489"/>
      <c r="C4" s="489"/>
      <c r="D4" s="489"/>
      <c r="L4" s="6"/>
    </row>
    <row r="5" spans="1:13">
      <c r="A5" s="7"/>
      <c r="B5" s="7"/>
      <c r="C5" s="7"/>
      <c r="D5" s="7"/>
      <c r="L5" s="7"/>
    </row>
    <row r="6" spans="1:13" ht="33.450000000000003" customHeight="1">
      <c r="A6" s="29" t="s">
        <v>315</v>
      </c>
      <c r="B6" s="29" t="s">
        <v>318</v>
      </c>
      <c r="C6" s="29" t="s">
        <v>314</v>
      </c>
      <c r="D6" s="29" t="s">
        <v>392</v>
      </c>
      <c r="E6" s="29" t="s">
        <v>290</v>
      </c>
      <c r="F6" s="29" t="s">
        <v>281</v>
      </c>
      <c r="G6" s="29" t="s">
        <v>291</v>
      </c>
      <c r="H6" s="29" t="s">
        <v>632</v>
      </c>
      <c r="I6" s="29" t="s">
        <v>633</v>
      </c>
      <c r="J6" s="29" t="s">
        <v>634</v>
      </c>
      <c r="K6" s="29" t="s">
        <v>635</v>
      </c>
      <c r="L6" s="29" t="s">
        <v>636</v>
      </c>
      <c r="M6" s="21"/>
    </row>
    <row r="7" spans="1:13">
      <c r="A7" s="111">
        <v>2019</v>
      </c>
      <c r="B7" s="111">
        <v>12</v>
      </c>
      <c r="C7" s="111">
        <v>9280002</v>
      </c>
      <c r="D7" s="111">
        <v>110</v>
      </c>
      <c r="E7" s="65" t="s">
        <v>637</v>
      </c>
      <c r="F7" s="65" t="s">
        <v>638</v>
      </c>
      <c r="G7" s="65" t="s">
        <v>639</v>
      </c>
      <c r="H7" s="65" t="s">
        <v>640</v>
      </c>
      <c r="I7" s="65" t="s">
        <v>641</v>
      </c>
      <c r="J7" s="65" t="s">
        <v>642</v>
      </c>
      <c r="K7" s="65" t="s">
        <v>643</v>
      </c>
      <c r="L7" s="66">
        <v>38194.44</v>
      </c>
      <c r="M7" s="21"/>
    </row>
    <row r="8" spans="1:13">
      <c r="A8" s="111">
        <v>2019</v>
      </c>
      <c r="B8" s="111">
        <v>11</v>
      </c>
      <c r="C8" s="111">
        <v>9280002</v>
      </c>
      <c r="D8" s="111">
        <v>110</v>
      </c>
      <c r="E8" s="65" t="s">
        <v>637</v>
      </c>
      <c r="F8" s="65" t="s">
        <v>638</v>
      </c>
      <c r="G8" s="65" t="s">
        <v>639</v>
      </c>
      <c r="H8" s="65" t="s">
        <v>640</v>
      </c>
      <c r="I8" s="65" t="s">
        <v>641</v>
      </c>
      <c r="J8" s="65" t="s">
        <v>642</v>
      </c>
      <c r="K8" s="65" t="s">
        <v>643</v>
      </c>
      <c r="L8" s="66">
        <v>38194.44</v>
      </c>
      <c r="M8" s="21"/>
    </row>
    <row r="9" spans="1:13">
      <c r="A9" s="111">
        <v>2019</v>
      </c>
      <c r="B9" s="111">
        <v>10</v>
      </c>
      <c r="C9" s="111">
        <v>9280002</v>
      </c>
      <c r="D9" s="111">
        <v>110</v>
      </c>
      <c r="E9" s="65" t="s">
        <v>637</v>
      </c>
      <c r="F9" s="65" t="s">
        <v>638</v>
      </c>
      <c r="G9" s="65" t="s">
        <v>639</v>
      </c>
      <c r="H9" s="65" t="s">
        <v>640</v>
      </c>
      <c r="I9" s="65" t="s">
        <v>641</v>
      </c>
      <c r="J9" s="65" t="s">
        <v>642</v>
      </c>
      <c r="K9" s="65" t="s">
        <v>643</v>
      </c>
      <c r="L9" s="66">
        <v>38194.44</v>
      </c>
      <c r="M9" s="21"/>
    </row>
    <row r="10" spans="1:13">
      <c r="A10" s="111">
        <v>2019</v>
      </c>
      <c r="B10" s="111">
        <v>9</v>
      </c>
      <c r="C10" s="111">
        <v>9280002</v>
      </c>
      <c r="D10" s="111">
        <v>110</v>
      </c>
      <c r="E10" s="65" t="s">
        <v>637</v>
      </c>
      <c r="F10" s="65" t="s">
        <v>638</v>
      </c>
      <c r="G10" s="65" t="s">
        <v>639</v>
      </c>
      <c r="H10" s="65" t="s">
        <v>640</v>
      </c>
      <c r="I10" s="65" t="s">
        <v>641</v>
      </c>
      <c r="J10" s="65" t="s">
        <v>642</v>
      </c>
      <c r="K10" s="65" t="s">
        <v>643</v>
      </c>
      <c r="L10" s="66">
        <v>38194.44</v>
      </c>
      <c r="M10" s="21"/>
    </row>
    <row r="11" spans="1:13">
      <c r="A11" s="111">
        <v>2019</v>
      </c>
      <c r="B11" s="111">
        <v>8</v>
      </c>
      <c r="C11" s="111">
        <v>9280002</v>
      </c>
      <c r="D11" s="111">
        <v>110</v>
      </c>
      <c r="E11" s="65" t="s">
        <v>637</v>
      </c>
      <c r="F11" s="65" t="s">
        <v>638</v>
      </c>
      <c r="G11" s="65" t="s">
        <v>639</v>
      </c>
      <c r="H11" s="65" t="s">
        <v>640</v>
      </c>
      <c r="I11" s="65" t="s">
        <v>641</v>
      </c>
      <c r="J11" s="65" t="s">
        <v>642</v>
      </c>
      <c r="K11" s="65" t="s">
        <v>643</v>
      </c>
      <c r="L11" s="66">
        <v>38194.44</v>
      </c>
      <c r="M11" s="21"/>
    </row>
    <row r="12" spans="1:13">
      <c r="A12" s="111">
        <v>2019</v>
      </c>
      <c r="B12" s="111">
        <v>7</v>
      </c>
      <c r="C12" s="111">
        <v>9280002</v>
      </c>
      <c r="D12" s="111">
        <v>110</v>
      </c>
      <c r="E12" s="65" t="s">
        <v>637</v>
      </c>
      <c r="F12" s="65" t="s">
        <v>638</v>
      </c>
      <c r="G12" s="65" t="s">
        <v>639</v>
      </c>
      <c r="H12" s="65" t="s">
        <v>640</v>
      </c>
      <c r="I12" s="65" t="s">
        <v>641</v>
      </c>
      <c r="J12" s="65" t="s">
        <v>642</v>
      </c>
      <c r="K12" s="65" t="s">
        <v>643</v>
      </c>
      <c r="L12" s="66">
        <v>38194.44</v>
      </c>
      <c r="M12" s="21"/>
    </row>
    <row r="13" spans="1:13">
      <c r="A13" s="111">
        <v>2019</v>
      </c>
      <c r="B13" s="111">
        <v>6</v>
      </c>
      <c r="C13" s="111">
        <v>9280002</v>
      </c>
      <c r="D13" s="111">
        <v>110</v>
      </c>
      <c r="E13" s="65" t="s">
        <v>637</v>
      </c>
      <c r="F13" s="65" t="s">
        <v>638</v>
      </c>
      <c r="G13" s="65" t="s">
        <v>639</v>
      </c>
      <c r="H13" s="65" t="s">
        <v>640</v>
      </c>
      <c r="I13" s="65" t="s">
        <v>641</v>
      </c>
      <c r="J13" s="65" t="s">
        <v>642</v>
      </c>
      <c r="K13" s="65" t="s">
        <v>643</v>
      </c>
      <c r="L13" s="66">
        <v>38194.44</v>
      </c>
      <c r="M13" s="21"/>
    </row>
    <row r="14" spans="1:13">
      <c r="A14" s="111">
        <v>2019</v>
      </c>
      <c r="B14" s="111">
        <v>5</v>
      </c>
      <c r="C14" s="111">
        <v>9280002</v>
      </c>
      <c r="D14" s="111">
        <v>110</v>
      </c>
      <c r="E14" s="65" t="s">
        <v>637</v>
      </c>
      <c r="F14" s="65" t="s">
        <v>638</v>
      </c>
      <c r="G14" s="65" t="s">
        <v>639</v>
      </c>
      <c r="H14" s="65" t="s">
        <v>640</v>
      </c>
      <c r="I14" s="65" t="s">
        <v>641</v>
      </c>
      <c r="J14" s="65" t="s">
        <v>642</v>
      </c>
      <c r="K14" s="65" t="s">
        <v>643</v>
      </c>
      <c r="L14" s="66">
        <v>38194.44</v>
      </c>
      <c r="M14" s="21"/>
    </row>
    <row r="15" spans="1:13">
      <c r="A15" s="111">
        <v>2019</v>
      </c>
      <c r="B15" s="111">
        <v>4</v>
      </c>
      <c r="C15" s="111">
        <v>9280002</v>
      </c>
      <c r="D15" s="111">
        <v>110</v>
      </c>
      <c r="E15" s="65" t="s">
        <v>637</v>
      </c>
      <c r="F15" s="65" t="s">
        <v>638</v>
      </c>
      <c r="G15" s="65" t="s">
        <v>639</v>
      </c>
      <c r="H15" s="65" t="s">
        <v>640</v>
      </c>
      <c r="I15" s="65" t="s">
        <v>641</v>
      </c>
      <c r="J15" s="65" t="s">
        <v>642</v>
      </c>
      <c r="K15" s="65" t="s">
        <v>643</v>
      </c>
      <c r="L15" s="66">
        <v>38194.44</v>
      </c>
      <c r="M15" s="21"/>
    </row>
    <row r="16" spans="1:13">
      <c r="A16" s="111">
        <v>2020</v>
      </c>
      <c r="B16" s="111">
        <v>3</v>
      </c>
      <c r="C16" s="111">
        <v>9280002</v>
      </c>
      <c r="D16" s="111">
        <v>110</v>
      </c>
      <c r="E16" s="65" t="s">
        <v>637</v>
      </c>
      <c r="F16" s="65" t="s">
        <v>638</v>
      </c>
      <c r="G16" s="65" t="s">
        <v>639</v>
      </c>
      <c r="H16" s="65" t="s">
        <v>640</v>
      </c>
      <c r="I16" s="65" t="s">
        <v>641</v>
      </c>
      <c r="J16" s="65" t="s">
        <v>642</v>
      </c>
      <c r="K16" s="65" t="s">
        <v>643</v>
      </c>
      <c r="L16" s="66">
        <v>38194.44</v>
      </c>
      <c r="M16" s="21"/>
    </row>
    <row r="17" spans="1:13">
      <c r="A17" s="111">
        <v>2020</v>
      </c>
      <c r="B17" s="111">
        <v>2</v>
      </c>
      <c r="C17" s="111">
        <v>9280002</v>
      </c>
      <c r="D17" s="111">
        <v>110</v>
      </c>
      <c r="E17" s="65" t="s">
        <v>637</v>
      </c>
      <c r="F17" s="65" t="s">
        <v>638</v>
      </c>
      <c r="G17" s="65" t="s">
        <v>639</v>
      </c>
      <c r="H17" s="65" t="s">
        <v>640</v>
      </c>
      <c r="I17" s="65" t="s">
        <v>641</v>
      </c>
      <c r="J17" s="65" t="s">
        <v>642</v>
      </c>
      <c r="K17" s="65" t="s">
        <v>643</v>
      </c>
      <c r="L17" s="66">
        <v>38194.44</v>
      </c>
      <c r="M17" s="21"/>
    </row>
    <row r="18" spans="1:13">
      <c r="A18" s="111">
        <v>2020</v>
      </c>
      <c r="B18" s="111">
        <v>1</v>
      </c>
      <c r="C18" s="111">
        <v>9280002</v>
      </c>
      <c r="D18" s="111">
        <v>110</v>
      </c>
      <c r="E18" s="65" t="s">
        <v>637</v>
      </c>
      <c r="F18" s="65" t="s">
        <v>638</v>
      </c>
      <c r="G18" s="65" t="s">
        <v>639</v>
      </c>
      <c r="H18" s="65" t="s">
        <v>640</v>
      </c>
      <c r="I18" s="65" t="s">
        <v>641</v>
      </c>
      <c r="J18" s="65" t="s">
        <v>642</v>
      </c>
      <c r="K18" s="65" t="s">
        <v>643</v>
      </c>
      <c r="L18" s="66">
        <v>38194.44</v>
      </c>
      <c r="M18" s="21"/>
    </row>
    <row r="19" spans="1:13">
      <c r="A19" s="9"/>
      <c r="B19" s="9"/>
      <c r="C19" s="9"/>
      <c r="D19" s="9"/>
      <c r="E19" s="9"/>
      <c r="F19" s="9"/>
      <c r="G19" s="9"/>
      <c r="H19" s="9"/>
      <c r="I19" s="9"/>
      <c r="J19" s="9"/>
      <c r="K19" s="9"/>
      <c r="L19" s="68"/>
    </row>
    <row r="20" spans="1:13">
      <c r="G20" s="490" t="s">
        <v>644</v>
      </c>
      <c r="H20" s="490"/>
      <c r="I20" s="487"/>
      <c r="J20" s="487"/>
      <c r="K20" s="490"/>
      <c r="L20" s="163">
        <v>458333.28</v>
      </c>
      <c r="M20" s="246" t="s">
        <v>335</v>
      </c>
    </row>
    <row r="22" spans="1:13" ht="16.649999999999999" customHeight="1">
      <c r="A22" s="247" t="s">
        <v>335</v>
      </c>
      <c r="B22" s="490" t="s">
        <v>645</v>
      </c>
      <c r="C22" s="487"/>
      <c r="D22" s="487"/>
      <c r="E22" s="487"/>
      <c r="F22" s="487"/>
      <c r="G22" s="490"/>
      <c r="H22" s="487"/>
      <c r="I22" s="487"/>
      <c r="J22" s="487"/>
      <c r="K22" s="490"/>
      <c r="L22" s="487"/>
    </row>
    <row r="24" spans="1:13">
      <c r="A24" s="5" t="s">
        <v>2</v>
      </c>
      <c r="B24" s="5" t="s">
        <v>3</v>
      </c>
      <c r="G24" s="490"/>
      <c r="H24" s="487"/>
      <c r="I24" s="487"/>
      <c r="J24" s="487"/>
      <c r="K24" s="490"/>
    </row>
  </sheetData>
  <mergeCells count="7">
    <mergeCell ref="G24:K24"/>
    <mergeCell ref="G20:K20"/>
    <mergeCell ref="A1:C1"/>
    <mergeCell ref="A2:E2"/>
    <mergeCell ref="A4:D4"/>
    <mergeCell ref="A3:G3"/>
    <mergeCell ref="B22:L22"/>
  </mergeCells>
  <pageMargins left="0.75" right="0.75" top="1" bottom="1" header="0.5" footer="0.5"/>
  <pageSetup scale="57"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
  <sheetViews>
    <sheetView showRuler="0" workbookViewId="0">
      <selection activeCell="D19" sqref="D19"/>
    </sheetView>
  </sheetViews>
  <sheetFormatPr defaultColWidth="13.6640625" defaultRowHeight="13.2"/>
  <cols>
    <col min="1" max="1" width="11.88671875" style="164" customWidth="1"/>
    <col min="2" max="2" width="12.88671875" style="164" customWidth="1"/>
    <col min="3" max="3" width="59.5546875" style="164" customWidth="1"/>
    <col min="4" max="7" width="13.6640625" style="164"/>
    <col min="8" max="8" width="14.88671875" style="164" customWidth="1"/>
    <col min="9" max="11" width="12.33203125" style="164" customWidth="1"/>
    <col min="12" max="12" width="12" style="164" customWidth="1"/>
    <col min="13" max="15" width="11.6640625" style="164" customWidth="1"/>
    <col min="16" max="16" width="3.109375" style="164" customWidth="1"/>
    <col min="17" max="17" width="18.109375" style="164" customWidth="1"/>
    <col min="18" max="18" width="58.88671875" style="164" customWidth="1"/>
    <col min="19" max="16384" width="13.6640625" style="164"/>
  </cols>
  <sheetData>
    <row r="1" spans="1:18">
      <c r="A1" s="495" t="s">
        <v>0</v>
      </c>
      <c r="B1" s="495"/>
      <c r="C1" s="495"/>
      <c r="D1" s="496"/>
      <c r="E1" s="495"/>
      <c r="F1" s="496"/>
    </row>
    <row r="2" spans="1:18">
      <c r="A2" s="495" t="s">
        <v>158</v>
      </c>
      <c r="B2" s="496"/>
      <c r="C2" s="496"/>
      <c r="D2" s="496"/>
      <c r="E2" s="496"/>
      <c r="F2" s="496"/>
    </row>
    <row r="3" spans="1:18">
      <c r="A3" s="495" t="s">
        <v>107</v>
      </c>
      <c r="B3" s="495"/>
      <c r="C3" s="495"/>
      <c r="D3" s="496"/>
      <c r="E3" s="495"/>
      <c r="F3" s="496"/>
    </row>
    <row r="4" spans="1:18">
      <c r="A4" s="495" t="s">
        <v>172</v>
      </c>
      <c r="B4" s="496"/>
      <c r="C4" s="496"/>
      <c r="D4" s="496"/>
      <c r="E4" s="496"/>
      <c r="F4" s="496"/>
    </row>
    <row r="5" spans="1:18">
      <c r="D5" s="165"/>
      <c r="E5" s="165"/>
      <c r="F5" s="165"/>
      <c r="G5" s="166"/>
      <c r="H5" s="166"/>
      <c r="I5" s="166"/>
    </row>
    <row r="6" spans="1:18">
      <c r="A6" s="166"/>
      <c r="B6" s="166"/>
      <c r="C6" s="166"/>
      <c r="D6" s="166" t="s">
        <v>173</v>
      </c>
      <c r="E6" s="166" t="s">
        <v>173</v>
      </c>
      <c r="F6" s="166" t="s">
        <v>173</v>
      </c>
      <c r="G6" s="166" t="s">
        <v>173</v>
      </c>
      <c r="H6" s="166" t="s">
        <v>173</v>
      </c>
      <c r="I6" s="166" t="s">
        <v>173</v>
      </c>
      <c r="J6" s="166" t="s">
        <v>173</v>
      </c>
      <c r="K6" s="166" t="s">
        <v>173</v>
      </c>
      <c r="L6" s="166" t="s">
        <v>173</v>
      </c>
      <c r="M6" s="166" t="s">
        <v>173</v>
      </c>
      <c r="N6" s="166" t="s">
        <v>173</v>
      </c>
      <c r="O6" s="166" t="s">
        <v>173</v>
      </c>
      <c r="P6" s="166"/>
      <c r="Q6" s="166"/>
      <c r="R6" s="166"/>
    </row>
    <row r="7" spans="1:18">
      <c r="A7" s="166"/>
      <c r="B7" s="166"/>
      <c r="C7" s="167" t="s">
        <v>174</v>
      </c>
      <c r="D7" s="168" t="s">
        <v>175</v>
      </c>
      <c r="E7" s="168" t="s">
        <v>176</v>
      </c>
      <c r="F7" s="168" t="s">
        <v>122</v>
      </c>
      <c r="G7" s="168" t="s">
        <v>123</v>
      </c>
      <c r="H7" s="168" t="s">
        <v>124</v>
      </c>
      <c r="I7" s="168" t="s">
        <v>125</v>
      </c>
      <c r="J7" s="168" t="s">
        <v>126</v>
      </c>
      <c r="K7" s="168" t="s">
        <v>127</v>
      </c>
      <c r="L7" s="168" t="s">
        <v>128</v>
      </c>
      <c r="M7" s="168" t="s">
        <v>129</v>
      </c>
      <c r="N7" s="168" t="s">
        <v>130</v>
      </c>
      <c r="O7" s="168" t="s">
        <v>131</v>
      </c>
      <c r="P7" s="165"/>
      <c r="Q7" s="168" t="s">
        <v>177</v>
      </c>
      <c r="R7" s="167" t="s">
        <v>178</v>
      </c>
    </row>
    <row r="8" spans="1:18">
      <c r="A8" s="166" t="s">
        <v>179</v>
      </c>
      <c r="B8" s="166"/>
      <c r="C8" s="166" t="s">
        <v>180</v>
      </c>
      <c r="D8" s="169">
        <v>25488.99</v>
      </c>
      <c r="E8" s="169">
        <v>28681.22</v>
      </c>
      <c r="F8" s="169">
        <v>28349.66</v>
      </c>
      <c r="G8" s="169">
        <v>31886.46</v>
      </c>
      <c r="H8" s="169">
        <v>31880.47</v>
      </c>
      <c r="I8" s="169">
        <v>28844.46</v>
      </c>
      <c r="J8" s="169">
        <v>26835.42</v>
      </c>
      <c r="K8" s="169">
        <v>-263327.56</v>
      </c>
      <c r="L8" s="169">
        <v>-632728.27</v>
      </c>
      <c r="M8" s="169">
        <v>-499075.11</v>
      </c>
      <c r="N8" s="169">
        <v>-488964.36</v>
      </c>
      <c r="O8" s="169">
        <v>-416485.88</v>
      </c>
      <c r="P8" s="166"/>
      <c r="Q8" s="169">
        <f>SUM(D8:O8)</f>
        <v>-2098614.5</v>
      </c>
      <c r="R8" s="166"/>
    </row>
    <row r="9" spans="1:18">
      <c r="A9" s="166"/>
      <c r="B9" s="166"/>
      <c r="C9" s="166"/>
      <c r="D9" s="170">
        <v>25488.99</v>
      </c>
      <c r="E9" s="170">
        <v>28681.22</v>
      </c>
      <c r="F9" s="170">
        <v>28349.66</v>
      </c>
      <c r="G9" s="170">
        <v>31886.46</v>
      </c>
      <c r="H9" s="170">
        <v>31880.47</v>
      </c>
      <c r="I9" s="170">
        <v>28844.46</v>
      </c>
      <c r="J9" s="170">
        <v>26835.42</v>
      </c>
      <c r="K9" s="170">
        <v>-263327.56</v>
      </c>
      <c r="L9" s="170">
        <v>-632728.27</v>
      </c>
      <c r="M9" s="170">
        <v>-499075.11</v>
      </c>
      <c r="N9" s="170">
        <v>-488964.36</v>
      </c>
      <c r="O9" s="170">
        <v>-416485.88</v>
      </c>
      <c r="P9" s="166"/>
      <c r="Q9" s="170">
        <f>Q8</f>
        <v>-2098614.5</v>
      </c>
      <c r="R9" s="166"/>
    </row>
    <row r="10" spans="1:18">
      <c r="A10" s="166"/>
      <c r="B10" s="166"/>
      <c r="C10" s="166"/>
      <c r="D10" s="171"/>
      <c r="E10" s="171"/>
      <c r="F10" s="171"/>
      <c r="G10" s="171"/>
      <c r="H10" s="171"/>
      <c r="I10" s="171"/>
      <c r="J10" s="171"/>
      <c r="K10" s="171"/>
      <c r="L10" s="171"/>
      <c r="M10" s="171"/>
      <c r="N10" s="171"/>
      <c r="O10" s="171"/>
      <c r="P10" s="166"/>
      <c r="Q10" s="171"/>
      <c r="R10" s="166"/>
    </row>
    <row r="11" spans="1:18">
      <c r="A11" s="166" t="s">
        <v>181</v>
      </c>
      <c r="B11" s="166"/>
      <c r="C11" s="166" t="s">
        <v>182</v>
      </c>
      <c r="D11" s="172">
        <v>6169876</v>
      </c>
      <c r="E11" s="172">
        <v>6169876</v>
      </c>
      <c r="F11" s="172">
        <v>6169876</v>
      </c>
      <c r="G11" s="172">
        <v>6169876</v>
      </c>
      <c r="H11" s="172">
        <v>6169876</v>
      </c>
      <c r="I11" s="172">
        <v>6169876</v>
      </c>
      <c r="J11" s="172">
        <v>6169876</v>
      </c>
      <c r="K11" s="172">
        <v>6169876</v>
      </c>
      <c r="L11" s="172">
        <v>6169876</v>
      </c>
      <c r="M11" s="172">
        <v>6169876</v>
      </c>
      <c r="N11" s="172">
        <v>6169876</v>
      </c>
      <c r="O11" s="172">
        <v>6169876</v>
      </c>
      <c r="P11" s="166"/>
      <c r="Q11" s="172">
        <f>SUM(D11:O11)</f>
        <v>74038512</v>
      </c>
      <c r="R11" s="166"/>
    </row>
    <row r="12" spans="1:18">
      <c r="A12" s="166"/>
      <c r="B12" s="166"/>
      <c r="C12" s="166"/>
      <c r="D12" s="166"/>
      <c r="E12" s="166"/>
      <c r="F12" s="166"/>
      <c r="G12" s="166"/>
      <c r="H12" s="166"/>
      <c r="I12" s="166"/>
      <c r="J12" s="166"/>
      <c r="K12" s="166"/>
      <c r="L12" s="166"/>
      <c r="M12" s="166"/>
      <c r="N12" s="166"/>
      <c r="O12" s="166"/>
      <c r="P12" s="166"/>
      <c r="Q12" s="166"/>
      <c r="R12" s="166"/>
    </row>
    <row r="13" spans="1:18">
      <c r="A13" s="166" t="s">
        <v>183</v>
      </c>
      <c r="B13" s="166" t="s">
        <v>184</v>
      </c>
      <c r="C13" s="166" t="s">
        <v>185</v>
      </c>
      <c r="D13" s="166"/>
      <c r="E13" s="166"/>
      <c r="F13" s="166"/>
      <c r="G13" s="166"/>
      <c r="H13" s="166"/>
      <c r="I13" s="166"/>
      <c r="J13" s="166"/>
      <c r="K13" s="166"/>
      <c r="L13" s="166"/>
      <c r="M13" s="166"/>
      <c r="N13" s="166"/>
      <c r="O13" s="166"/>
      <c r="P13" s="166"/>
      <c r="Q13" s="166"/>
      <c r="R13" s="166"/>
    </row>
    <row r="14" spans="1:18">
      <c r="A14" s="166"/>
      <c r="B14" s="173" t="s">
        <v>186</v>
      </c>
      <c r="C14" s="166" t="s">
        <v>187</v>
      </c>
      <c r="D14" s="172">
        <v>18267.68</v>
      </c>
      <c r="E14" s="172">
        <v>27037.38</v>
      </c>
      <c r="F14" s="172">
        <v>21190.91</v>
      </c>
      <c r="G14" s="172">
        <v>21190.91</v>
      </c>
      <c r="H14" s="172">
        <v>21190.91</v>
      </c>
      <c r="I14" s="172">
        <v>21190.91</v>
      </c>
      <c r="J14" s="172">
        <v>21190.92</v>
      </c>
      <c r="K14" s="172">
        <v>21190.9</v>
      </c>
      <c r="L14" s="172">
        <v>21190.91</v>
      </c>
      <c r="M14" s="172">
        <v>26997.21</v>
      </c>
      <c r="N14" s="172">
        <v>26997.21</v>
      </c>
      <c r="O14" s="172">
        <v>40171.699999999997</v>
      </c>
      <c r="P14" s="166"/>
      <c r="Q14" s="172">
        <f t="shared" ref="Q14:Q24" si="0">SUM(D14:O14)</f>
        <v>287807.55</v>
      </c>
      <c r="R14" s="166"/>
    </row>
    <row r="15" spans="1:18">
      <c r="A15" s="166"/>
      <c r="B15" s="173" t="s">
        <v>188</v>
      </c>
      <c r="C15" s="166" t="s">
        <v>189</v>
      </c>
      <c r="D15" s="172">
        <v>13805.98</v>
      </c>
      <c r="E15" s="172">
        <v>14020.19</v>
      </c>
      <c r="F15" s="172">
        <v>15583.99</v>
      </c>
      <c r="G15" s="172">
        <v>16873.03</v>
      </c>
      <c r="H15" s="172">
        <v>16489.79</v>
      </c>
      <c r="I15" s="172">
        <v>15424.65</v>
      </c>
      <c r="J15" s="172">
        <v>15424.64</v>
      </c>
      <c r="K15" s="172">
        <v>15140.6</v>
      </c>
      <c r="L15" s="172">
        <v>17397.04</v>
      </c>
      <c r="M15" s="172">
        <v>17437.21</v>
      </c>
      <c r="N15" s="172">
        <v>21565.96</v>
      </c>
      <c r="O15" s="172">
        <v>16478.27</v>
      </c>
      <c r="P15" s="166"/>
      <c r="Q15" s="172">
        <f t="shared" si="0"/>
        <v>195641.34999999998</v>
      </c>
      <c r="R15" s="166"/>
    </row>
    <row r="16" spans="1:18">
      <c r="A16" s="166"/>
      <c r="B16" s="173" t="s">
        <v>190</v>
      </c>
      <c r="C16" s="166" t="s">
        <v>191</v>
      </c>
      <c r="D16" s="172">
        <v>-35112.61</v>
      </c>
      <c r="E16" s="172">
        <v>-31132.52</v>
      </c>
      <c r="F16" s="172">
        <v>-48192.33</v>
      </c>
      <c r="G16" s="172">
        <v>-49977.42</v>
      </c>
      <c r="H16" s="172">
        <v>-60272.26</v>
      </c>
      <c r="I16" s="172">
        <v>-43936.28</v>
      </c>
      <c r="J16" s="172">
        <v>-57550.98</v>
      </c>
      <c r="K16" s="172">
        <v>-40974.050000000003</v>
      </c>
      <c r="L16" s="172">
        <v>-43707.16</v>
      </c>
      <c r="M16" s="172">
        <v>-167298.79</v>
      </c>
      <c r="N16" s="172">
        <v>-86935.98</v>
      </c>
      <c r="O16" s="172">
        <v>-101009.60000000001</v>
      </c>
      <c r="P16" s="166"/>
      <c r="Q16" s="172">
        <f t="shared" si="0"/>
        <v>-766099.98</v>
      </c>
      <c r="R16" s="166"/>
    </row>
    <row r="17" spans="1:18">
      <c r="A17" s="166"/>
      <c r="B17" s="173" t="s">
        <v>192</v>
      </c>
      <c r="C17" s="166" t="s">
        <v>193</v>
      </c>
      <c r="D17" s="172">
        <v>11861.51</v>
      </c>
      <c r="E17" s="172">
        <v>11120.51</v>
      </c>
      <c r="F17" s="172">
        <v>10737.77</v>
      </c>
      <c r="G17" s="172">
        <v>12218.04</v>
      </c>
      <c r="H17" s="172">
        <v>10735.21</v>
      </c>
      <c r="I17" s="172">
        <v>11845.69</v>
      </c>
      <c r="J17" s="172">
        <v>11105.33</v>
      </c>
      <c r="K17" s="172">
        <v>10734.52</v>
      </c>
      <c r="L17" s="172">
        <v>12058.95</v>
      </c>
      <c r="M17" s="172">
        <v>11041.02</v>
      </c>
      <c r="N17" s="172">
        <v>10151.57</v>
      </c>
      <c r="O17" s="172">
        <v>11601.75</v>
      </c>
      <c r="P17" s="166"/>
      <c r="Q17" s="172">
        <f t="shared" si="0"/>
        <v>135211.87</v>
      </c>
      <c r="R17" s="166"/>
    </row>
    <row r="18" spans="1:18">
      <c r="A18" s="166"/>
      <c r="B18" s="173" t="s">
        <v>194</v>
      </c>
      <c r="C18" s="166" t="s">
        <v>195</v>
      </c>
      <c r="D18" s="172">
        <v>3183203.33</v>
      </c>
      <c r="E18" s="172">
        <v>3281091.68</v>
      </c>
      <c r="F18" s="172">
        <v>3180280.09</v>
      </c>
      <c r="G18" s="172">
        <v>3286938.16</v>
      </c>
      <c r="H18" s="172">
        <v>3286938.16</v>
      </c>
      <c r="I18" s="172">
        <v>3180280.09</v>
      </c>
      <c r="J18" s="172">
        <v>3286938.16</v>
      </c>
      <c r="K18" s="172">
        <v>3180280.09</v>
      </c>
      <c r="L18" s="172">
        <v>3286938.16</v>
      </c>
      <c r="M18" s="172">
        <v>3574737.82</v>
      </c>
      <c r="N18" s="172">
        <v>3342868.37</v>
      </c>
      <c r="O18" s="172">
        <v>3561563.32</v>
      </c>
      <c r="P18" s="166"/>
      <c r="Q18" s="172">
        <f t="shared" si="0"/>
        <v>39632057.43</v>
      </c>
      <c r="R18" s="166"/>
    </row>
    <row r="19" spans="1:18">
      <c r="A19" s="166"/>
      <c r="B19" s="173" t="s">
        <v>196</v>
      </c>
      <c r="C19" s="166" t="s">
        <v>197</v>
      </c>
      <c r="D19" s="172">
        <v>11965.44</v>
      </c>
      <c r="E19" s="172">
        <v>12161.99</v>
      </c>
      <c r="F19" s="172">
        <v>13502.89</v>
      </c>
      <c r="G19" s="172">
        <v>14619.8</v>
      </c>
      <c r="H19" s="172">
        <v>14287.73</v>
      </c>
      <c r="I19" s="172">
        <v>13364.83</v>
      </c>
      <c r="J19" s="172">
        <v>13364.83</v>
      </c>
      <c r="K19" s="172">
        <v>13118.72</v>
      </c>
      <c r="L19" s="172">
        <v>14208.83</v>
      </c>
      <c r="M19" s="172">
        <v>17219.150000000001</v>
      </c>
      <c r="N19" s="172">
        <v>15395.06</v>
      </c>
      <c r="O19" s="172">
        <v>13413.58</v>
      </c>
      <c r="P19" s="166"/>
      <c r="Q19" s="172">
        <f t="shared" si="0"/>
        <v>166622.84999999998</v>
      </c>
      <c r="R19" s="166"/>
    </row>
    <row r="20" spans="1:18">
      <c r="A20" s="166"/>
      <c r="B20" s="173" t="s">
        <v>198</v>
      </c>
      <c r="C20" s="166" t="s">
        <v>199</v>
      </c>
      <c r="D20" s="172">
        <v>82322.91</v>
      </c>
      <c r="E20" s="172">
        <v>82322.91</v>
      </c>
      <c r="F20" s="172">
        <v>82322.91</v>
      </c>
      <c r="G20" s="172">
        <v>82322.91</v>
      </c>
      <c r="H20" s="172">
        <v>82322.91</v>
      </c>
      <c r="I20" s="172">
        <v>82322.91</v>
      </c>
      <c r="J20" s="172">
        <v>82322.91</v>
      </c>
      <c r="K20" s="172">
        <v>82322.91</v>
      </c>
      <c r="L20" s="172">
        <v>82322.91</v>
      </c>
      <c r="M20" s="172">
        <v>74282.83</v>
      </c>
      <c r="N20" s="172">
        <v>74282.83</v>
      </c>
      <c r="O20" s="172">
        <v>74282.83</v>
      </c>
      <c r="P20" s="166"/>
      <c r="Q20" s="172">
        <f t="shared" si="0"/>
        <v>963754.68</v>
      </c>
      <c r="R20" s="166"/>
    </row>
    <row r="21" spans="1:18">
      <c r="A21" s="166"/>
      <c r="B21" s="173" t="s">
        <v>200</v>
      </c>
      <c r="C21" s="166" t="s">
        <v>199</v>
      </c>
      <c r="D21" s="172">
        <v>-652364.74</v>
      </c>
      <c r="E21" s="172">
        <v>-650399.37</v>
      </c>
      <c r="F21" s="172">
        <v>-636047.18999999994</v>
      </c>
      <c r="G21" s="172">
        <v>81488.399999999994</v>
      </c>
      <c r="H21" s="172">
        <v>47698.75</v>
      </c>
      <c r="I21" s="172">
        <v>63162.97</v>
      </c>
      <c r="J21" s="172">
        <v>63450.58</v>
      </c>
      <c r="K21" s="172">
        <v>59965.46</v>
      </c>
      <c r="L21" s="172">
        <v>65747.320000000007</v>
      </c>
      <c r="M21" s="172">
        <v>143882.96</v>
      </c>
      <c r="N21" s="172">
        <v>134984.29999999999</v>
      </c>
      <c r="O21" s="172">
        <v>138332.82</v>
      </c>
      <c r="P21" s="166"/>
      <c r="Q21" s="172">
        <f t="shared" si="0"/>
        <v>-1140097.7399999998</v>
      </c>
      <c r="R21" s="166"/>
    </row>
    <row r="22" spans="1:18">
      <c r="A22" s="166"/>
      <c r="B22" s="173" t="s">
        <v>201</v>
      </c>
      <c r="C22" s="166" t="s">
        <v>202</v>
      </c>
      <c r="D22" s="172">
        <v>2868618.18</v>
      </c>
      <c r="E22" s="172">
        <v>2964296.42</v>
      </c>
      <c r="F22" s="172">
        <v>2868618.18</v>
      </c>
      <c r="G22" s="172">
        <v>2964296.42</v>
      </c>
      <c r="H22" s="172">
        <v>2964296.42</v>
      </c>
      <c r="I22" s="172">
        <v>2868618.18</v>
      </c>
      <c r="J22" s="172">
        <v>2964296.42</v>
      </c>
      <c r="K22" s="172">
        <v>2868618.18</v>
      </c>
      <c r="L22" s="172">
        <v>2964296.42</v>
      </c>
      <c r="M22" s="172">
        <v>3851008.48</v>
      </c>
      <c r="N22" s="172">
        <v>3602055.77</v>
      </c>
      <c r="O22" s="172">
        <v>3824585.42</v>
      </c>
      <c r="P22" s="166"/>
      <c r="Q22" s="172">
        <f t="shared" si="0"/>
        <v>37573604.490000002</v>
      </c>
      <c r="R22" s="166"/>
    </row>
    <row r="23" spans="1:18">
      <c r="A23" s="166"/>
      <c r="B23" s="173" t="s">
        <v>203</v>
      </c>
      <c r="C23" s="166" t="s">
        <v>199</v>
      </c>
      <c r="D23" s="172">
        <v>460123.57</v>
      </c>
      <c r="E23" s="172">
        <v>460123.56</v>
      </c>
      <c r="F23" s="172">
        <v>460123.56</v>
      </c>
      <c r="G23" s="172">
        <v>460123.56</v>
      </c>
      <c r="H23" s="172">
        <v>460123.58</v>
      </c>
      <c r="I23" s="172">
        <v>460123.57</v>
      </c>
      <c r="J23" s="172">
        <v>460123.57</v>
      </c>
      <c r="K23" s="172">
        <v>460123.56</v>
      </c>
      <c r="L23" s="172">
        <v>460123.58</v>
      </c>
      <c r="M23" s="172">
        <v>469277</v>
      </c>
      <c r="N23" s="172">
        <v>469277.03</v>
      </c>
      <c r="O23" s="172">
        <v>469277</v>
      </c>
      <c r="P23" s="166"/>
      <c r="Q23" s="172">
        <f t="shared" si="0"/>
        <v>5548943.1399999997</v>
      </c>
      <c r="R23" s="166"/>
    </row>
    <row r="24" spans="1:18">
      <c r="A24" s="166"/>
      <c r="B24" s="166"/>
      <c r="C24" s="166"/>
      <c r="D24" s="169">
        <v>0</v>
      </c>
      <c r="E24" s="169">
        <v>0</v>
      </c>
      <c r="F24" s="174"/>
      <c r="G24" s="174"/>
      <c r="H24" s="169">
        <v>0</v>
      </c>
      <c r="I24" s="169">
        <v>0</v>
      </c>
      <c r="J24" s="174"/>
      <c r="K24" s="174"/>
      <c r="L24" s="174"/>
      <c r="M24" s="174"/>
      <c r="N24" s="174"/>
      <c r="O24" s="174"/>
      <c r="P24" s="166"/>
      <c r="Q24" s="169">
        <f t="shared" si="0"/>
        <v>0</v>
      </c>
      <c r="R24" s="166"/>
    </row>
    <row r="25" spans="1:18">
      <c r="A25" s="166"/>
      <c r="B25" s="166"/>
      <c r="C25" s="166"/>
      <c r="D25" s="170">
        <v>5962691.25</v>
      </c>
      <c r="E25" s="170">
        <v>6170642.75</v>
      </c>
      <c r="F25" s="170">
        <v>5968120.7800000003</v>
      </c>
      <c r="G25" s="170">
        <v>6890093.8099999996</v>
      </c>
      <c r="H25" s="170">
        <v>6843811.2000000002</v>
      </c>
      <c r="I25" s="170">
        <v>6672397.5199999996</v>
      </c>
      <c r="J25" s="170">
        <v>6860666.3799999999</v>
      </c>
      <c r="K25" s="170">
        <v>6670520.8899999997</v>
      </c>
      <c r="L25" s="170">
        <v>6880576.96</v>
      </c>
      <c r="M25" s="170">
        <v>8018584.8899999997</v>
      </c>
      <c r="N25" s="170">
        <v>7610642.1200000001</v>
      </c>
      <c r="O25" s="170">
        <v>8048697.0899999999</v>
      </c>
      <c r="P25" s="166"/>
      <c r="Q25" s="170">
        <f>SUM(Q14:Q24)</f>
        <v>82597445.640000001</v>
      </c>
      <c r="R25" s="166"/>
    </row>
    <row r="26" spans="1:18">
      <c r="A26" s="166"/>
      <c r="B26" s="166"/>
      <c r="C26" s="166"/>
      <c r="D26" s="171"/>
      <c r="E26" s="171"/>
      <c r="F26" s="171"/>
      <c r="G26" s="171"/>
      <c r="H26" s="171"/>
      <c r="I26" s="171"/>
      <c r="J26" s="171"/>
      <c r="K26" s="171"/>
      <c r="L26" s="171"/>
      <c r="M26" s="171"/>
      <c r="N26" s="171"/>
      <c r="O26" s="171"/>
      <c r="P26" s="166"/>
      <c r="Q26" s="171"/>
      <c r="R26" s="166"/>
    </row>
    <row r="27" spans="1:18">
      <c r="A27" s="166"/>
      <c r="B27" s="166"/>
      <c r="C27" s="166" t="s">
        <v>204</v>
      </c>
      <c r="D27" s="172">
        <v>-207184.75</v>
      </c>
      <c r="E27" s="172">
        <v>766.75</v>
      </c>
      <c r="F27" s="172">
        <v>-201755.22</v>
      </c>
      <c r="G27" s="172">
        <v>720217.81</v>
      </c>
      <c r="H27" s="172">
        <v>673935.2</v>
      </c>
      <c r="I27" s="172">
        <v>502521.52</v>
      </c>
      <c r="J27" s="172">
        <v>690790.38</v>
      </c>
      <c r="K27" s="172">
        <v>500644.89</v>
      </c>
      <c r="L27" s="172">
        <v>710700.96</v>
      </c>
      <c r="M27" s="172">
        <v>1848708.89</v>
      </c>
      <c r="N27" s="172">
        <v>1440766.12</v>
      </c>
      <c r="O27" s="172">
        <v>1878821.09</v>
      </c>
      <c r="P27" s="166"/>
      <c r="Q27" s="172">
        <f>Q25-Q11</f>
        <v>8558933.6400000006</v>
      </c>
      <c r="R27" s="166"/>
    </row>
    <row r="28" spans="1:18">
      <c r="A28" s="166"/>
      <c r="B28" s="166"/>
      <c r="C28" s="166" t="s">
        <v>205</v>
      </c>
      <c r="D28" s="172">
        <v>-165747.79999999999</v>
      </c>
      <c r="E28" s="172">
        <v>613.4</v>
      </c>
      <c r="F28" s="172">
        <v>-161404.18</v>
      </c>
      <c r="G28" s="172">
        <v>576174.25</v>
      </c>
      <c r="H28" s="172">
        <v>539148.16</v>
      </c>
      <c r="I28" s="172">
        <v>402017.22</v>
      </c>
      <c r="J28" s="172">
        <v>552632.30000000005</v>
      </c>
      <c r="K28" s="172">
        <v>400515.91</v>
      </c>
      <c r="L28" s="172">
        <v>568560.77</v>
      </c>
      <c r="M28" s="172">
        <v>1478967.11</v>
      </c>
      <c r="N28" s="172">
        <v>1152612.8999999999</v>
      </c>
      <c r="O28" s="172">
        <v>1503056.87</v>
      </c>
      <c r="P28" s="166"/>
      <c r="Q28" s="172">
        <f>Q27*0.8</f>
        <v>6847146.9120000005</v>
      </c>
      <c r="R28" s="166"/>
    </row>
    <row r="29" spans="1:18">
      <c r="A29" s="166"/>
      <c r="B29" s="166"/>
      <c r="C29" s="166"/>
      <c r="D29" s="166"/>
      <c r="E29" s="166"/>
      <c r="F29" s="166"/>
      <c r="G29" s="166"/>
      <c r="H29" s="166"/>
      <c r="I29" s="166"/>
      <c r="J29" s="166"/>
      <c r="K29" s="166"/>
      <c r="L29" s="166"/>
      <c r="M29" s="166"/>
      <c r="N29" s="166"/>
      <c r="O29" s="166"/>
      <c r="P29" s="166"/>
      <c r="Q29" s="166"/>
      <c r="R29" s="166"/>
    </row>
    <row r="30" spans="1:18">
      <c r="A30" s="166"/>
      <c r="B30" s="166"/>
      <c r="C30" s="166" t="s">
        <v>206</v>
      </c>
      <c r="D30" s="172">
        <v>35940.99</v>
      </c>
      <c r="E30" s="172">
        <v>35940.99</v>
      </c>
      <c r="F30" s="172">
        <v>35940.99</v>
      </c>
      <c r="G30" s="172">
        <v>35940.99</v>
      </c>
      <c r="H30" s="172">
        <v>35940.99</v>
      </c>
      <c r="I30" s="172">
        <v>35940.99</v>
      </c>
      <c r="J30" s="172">
        <v>35940.99</v>
      </c>
      <c r="K30" s="172">
        <v>35940.99</v>
      </c>
      <c r="L30" s="172">
        <v>35940.99</v>
      </c>
      <c r="M30" s="172">
        <v>31560.81</v>
      </c>
      <c r="N30" s="172">
        <v>31560.81</v>
      </c>
      <c r="O30" s="172">
        <v>31560.81</v>
      </c>
      <c r="P30" s="166"/>
      <c r="Q30" s="172">
        <f>SUM(D30:O30)</f>
        <v>418151.33999999997</v>
      </c>
      <c r="R30" s="166"/>
    </row>
    <row r="31" spans="1:18">
      <c r="A31" s="166"/>
      <c r="B31" s="166"/>
      <c r="C31" s="166"/>
      <c r="D31" s="166"/>
      <c r="E31" s="166"/>
      <c r="F31" s="166"/>
      <c r="G31" s="166"/>
      <c r="H31" s="166"/>
      <c r="I31" s="166"/>
      <c r="J31" s="166"/>
      <c r="K31" s="166"/>
      <c r="L31" s="166"/>
      <c r="M31" s="166"/>
      <c r="N31" s="166"/>
      <c r="O31" s="166"/>
      <c r="P31" s="166"/>
      <c r="Q31" s="166"/>
      <c r="R31" s="166"/>
    </row>
    <row r="32" spans="1:18">
      <c r="A32" s="166"/>
      <c r="B32" s="166"/>
      <c r="C32" s="166"/>
      <c r="D32" s="166"/>
      <c r="E32" s="166"/>
      <c r="F32" s="166"/>
      <c r="G32" s="166"/>
      <c r="H32" s="166"/>
      <c r="I32" s="166"/>
      <c r="J32" s="166"/>
      <c r="K32" s="166"/>
      <c r="L32" s="166"/>
      <c r="M32" s="166"/>
      <c r="N32" s="166"/>
      <c r="O32" s="166"/>
      <c r="P32" s="166"/>
      <c r="Q32" s="166"/>
      <c r="R32" s="166"/>
    </row>
    <row r="33" spans="1:18">
      <c r="A33" s="166"/>
      <c r="B33" s="166"/>
      <c r="C33" s="166"/>
      <c r="D33" s="166"/>
      <c r="E33" s="166"/>
      <c r="F33" s="166"/>
      <c r="G33" s="166"/>
      <c r="H33" s="166"/>
      <c r="I33" s="166"/>
      <c r="J33" s="166"/>
      <c r="K33" s="166"/>
      <c r="L33" s="166"/>
      <c r="M33" s="166"/>
      <c r="N33" s="166"/>
      <c r="O33" s="166"/>
      <c r="P33" s="166"/>
      <c r="Q33" s="166"/>
      <c r="R33" s="166"/>
    </row>
    <row r="34" spans="1:18">
      <c r="A34" s="166"/>
      <c r="B34" s="166"/>
      <c r="C34" s="166" t="s">
        <v>207</v>
      </c>
      <c r="D34" s="172">
        <v>0</v>
      </c>
      <c r="E34" s="172">
        <v>0</v>
      </c>
      <c r="F34" s="172">
        <v>0</v>
      </c>
      <c r="G34" s="172">
        <v>0</v>
      </c>
      <c r="H34" s="172">
        <v>0</v>
      </c>
      <c r="I34" s="172">
        <v>0</v>
      </c>
      <c r="J34" s="172">
        <v>0</v>
      </c>
      <c r="K34" s="172">
        <v>0</v>
      </c>
      <c r="L34" s="172">
        <v>0</v>
      </c>
      <c r="M34" s="172">
        <v>416666.67</v>
      </c>
      <c r="N34" s="172">
        <v>416666.67</v>
      </c>
      <c r="O34" s="172">
        <v>416666.67</v>
      </c>
      <c r="P34" s="166"/>
      <c r="Q34" s="172">
        <f>SUM(D34:O34)</f>
        <v>1250000.01</v>
      </c>
      <c r="R34" s="166"/>
    </row>
    <row r="35" spans="1:18">
      <c r="A35" s="166"/>
      <c r="B35" s="166"/>
      <c r="C35" s="166"/>
      <c r="D35" s="166"/>
      <c r="E35" s="166"/>
      <c r="F35" s="166"/>
      <c r="G35" s="166"/>
      <c r="H35" s="166"/>
      <c r="I35" s="166"/>
      <c r="J35" s="166"/>
      <c r="K35" s="166"/>
      <c r="L35" s="166"/>
      <c r="M35" s="166"/>
      <c r="N35" s="166"/>
      <c r="O35" s="166"/>
      <c r="P35" s="166"/>
      <c r="Q35" s="166"/>
      <c r="R35" s="166"/>
    </row>
    <row r="36" spans="1:18">
      <c r="A36" s="166"/>
      <c r="B36" s="166"/>
      <c r="C36" s="166" t="s">
        <v>208</v>
      </c>
      <c r="D36" s="172">
        <v>34547</v>
      </c>
      <c r="E36" s="172">
        <v>34547</v>
      </c>
      <c r="F36" s="172">
        <v>34547</v>
      </c>
      <c r="G36" s="172">
        <v>34547</v>
      </c>
      <c r="H36" s="172">
        <v>34547</v>
      </c>
      <c r="I36" s="172">
        <v>34547</v>
      </c>
      <c r="J36" s="172">
        <v>34547</v>
      </c>
      <c r="K36" s="172">
        <v>34547</v>
      </c>
      <c r="L36" s="172">
        <v>34547</v>
      </c>
      <c r="M36" s="172">
        <v>34547</v>
      </c>
      <c r="N36" s="172">
        <v>34547</v>
      </c>
      <c r="O36" s="172">
        <v>34547</v>
      </c>
      <c r="P36" s="166"/>
      <c r="Q36" s="172">
        <f>SUM(D36:O36)</f>
        <v>414564</v>
      </c>
      <c r="R36" s="166"/>
    </row>
    <row r="37" spans="1:18">
      <c r="A37" s="166"/>
      <c r="B37" s="166"/>
      <c r="C37" s="166"/>
      <c r="D37" s="166"/>
      <c r="E37" s="166"/>
      <c r="F37" s="166"/>
      <c r="G37" s="166"/>
      <c r="H37" s="166"/>
      <c r="I37" s="166"/>
      <c r="J37" s="166"/>
      <c r="K37" s="166"/>
      <c r="L37" s="166"/>
      <c r="M37" s="166"/>
      <c r="N37" s="166"/>
      <c r="O37" s="166"/>
      <c r="P37" s="166"/>
      <c r="Q37" s="166"/>
      <c r="R37" s="166"/>
    </row>
    <row r="38" spans="1:18" ht="16.649999999999999" customHeight="1">
      <c r="A38" s="166"/>
      <c r="B38" s="166"/>
      <c r="C38" s="166" t="s">
        <v>209</v>
      </c>
      <c r="D38" s="172">
        <v>52094.2</v>
      </c>
      <c r="E38" s="172">
        <v>36517.86</v>
      </c>
      <c r="F38" s="172">
        <v>49309.27</v>
      </c>
      <c r="G38" s="172">
        <v>48765.04</v>
      </c>
      <c r="H38" s="172">
        <v>18476.189999999999</v>
      </c>
      <c r="I38" s="172">
        <v>83456.160000000003</v>
      </c>
      <c r="J38" s="172">
        <v>38788.01</v>
      </c>
      <c r="K38" s="172">
        <v>61520.7</v>
      </c>
      <c r="L38" s="172">
        <v>324644.87</v>
      </c>
      <c r="M38" s="172">
        <v>472709.09</v>
      </c>
      <c r="N38" s="172">
        <v>25499.83</v>
      </c>
      <c r="O38" s="172">
        <v>58065.84</v>
      </c>
      <c r="P38" s="166"/>
      <c r="Q38" s="172">
        <f>SUM(D38:O38)</f>
        <v>1269847.0600000003</v>
      </c>
      <c r="R38" s="166"/>
    </row>
    <row r="39" spans="1:18" ht="27.6" customHeight="1">
      <c r="A39" s="166"/>
      <c r="B39" s="166"/>
      <c r="C39" s="166" t="s">
        <v>210</v>
      </c>
      <c r="D39" s="172">
        <v>-151246.39000000001</v>
      </c>
      <c r="E39" s="172">
        <v>-52094.2</v>
      </c>
      <c r="F39" s="172">
        <v>-36517.86</v>
      </c>
      <c r="G39" s="172">
        <v>-85827.13</v>
      </c>
      <c r="H39" s="172">
        <v>-48765.04</v>
      </c>
      <c r="I39" s="172">
        <v>-18476.189999999999</v>
      </c>
      <c r="J39" s="172">
        <v>-83456.160000000003</v>
      </c>
      <c r="K39" s="172">
        <v>-38788.01</v>
      </c>
      <c r="L39" s="172">
        <v>-61520.7</v>
      </c>
      <c r="M39" s="172">
        <v>-324644.87</v>
      </c>
      <c r="N39" s="172">
        <v>-472709.09</v>
      </c>
      <c r="O39" s="172">
        <v>-25499.83</v>
      </c>
      <c r="P39" s="166"/>
      <c r="Q39" s="172">
        <f>SUM(D39:O39)</f>
        <v>-1399545.47</v>
      </c>
      <c r="R39" s="166"/>
    </row>
    <row r="40" spans="1:18" ht="27.6" customHeight="1">
      <c r="A40" s="166"/>
      <c r="B40" s="166"/>
      <c r="C40" s="166" t="s">
        <v>211</v>
      </c>
      <c r="D40" s="169">
        <v>151076.18</v>
      </c>
      <c r="E40" s="169">
        <v>52285.31</v>
      </c>
      <c r="F40" s="169">
        <v>36517.86</v>
      </c>
      <c r="G40" s="169">
        <v>85812.92</v>
      </c>
      <c r="H40" s="169">
        <v>48646.58</v>
      </c>
      <c r="I40" s="169">
        <v>18497.25</v>
      </c>
      <c r="J40" s="169">
        <v>83536.63</v>
      </c>
      <c r="K40" s="169">
        <v>38809.17</v>
      </c>
      <c r="L40" s="169">
        <v>61427.62</v>
      </c>
      <c r="M40" s="169">
        <v>324395.87</v>
      </c>
      <c r="N40" s="169">
        <v>472378.53</v>
      </c>
      <c r="O40" s="169">
        <v>25519.21</v>
      </c>
      <c r="P40" s="166"/>
      <c r="Q40" s="169">
        <f>SUM(D40:O40)</f>
        <v>1398903.13</v>
      </c>
      <c r="R40" s="166"/>
    </row>
    <row r="41" spans="1:18" ht="16.649999999999999" customHeight="1">
      <c r="A41" s="166"/>
      <c r="B41" s="166"/>
      <c r="C41" s="166" t="s">
        <v>212</v>
      </c>
      <c r="D41" s="170">
        <v>51924</v>
      </c>
      <c r="E41" s="170">
        <v>36708.97</v>
      </c>
      <c r="F41" s="170">
        <v>49309.27</v>
      </c>
      <c r="G41" s="170">
        <v>48750.83</v>
      </c>
      <c r="H41" s="170">
        <v>18357.73</v>
      </c>
      <c r="I41" s="170">
        <v>83477.22</v>
      </c>
      <c r="J41" s="170">
        <v>38868.480000000003</v>
      </c>
      <c r="K41" s="170">
        <v>61541.86</v>
      </c>
      <c r="L41" s="170">
        <v>324551.78999999998</v>
      </c>
      <c r="M41" s="170">
        <v>472460.09</v>
      </c>
      <c r="N41" s="170">
        <v>25169.27</v>
      </c>
      <c r="O41" s="170">
        <v>58085.22</v>
      </c>
      <c r="P41" s="166"/>
      <c r="Q41" s="170">
        <f>SUM(Q38:Q40)</f>
        <v>1269204.7200000002</v>
      </c>
      <c r="R41" s="166"/>
    </row>
    <row r="42" spans="1:18">
      <c r="A42" s="166"/>
      <c r="B42" s="166"/>
      <c r="C42" s="166"/>
      <c r="D42" s="171"/>
      <c r="E42" s="171"/>
      <c r="F42" s="171"/>
      <c r="G42" s="171"/>
      <c r="H42" s="171"/>
      <c r="I42" s="171"/>
      <c r="J42" s="171"/>
      <c r="K42" s="171"/>
      <c r="L42" s="171"/>
      <c r="M42" s="171"/>
      <c r="N42" s="171"/>
      <c r="O42" s="171"/>
      <c r="P42" s="166"/>
      <c r="Q42" s="171"/>
      <c r="R42" s="166"/>
    </row>
    <row r="43" spans="1:18">
      <c r="A43" s="166"/>
      <c r="B43" s="166"/>
      <c r="C43" s="166" t="s">
        <v>213</v>
      </c>
      <c r="D43" s="172">
        <v>17377</v>
      </c>
      <c r="E43" s="172">
        <v>2161.9699999999998</v>
      </c>
      <c r="F43" s="172">
        <v>14762.27</v>
      </c>
      <c r="G43" s="172">
        <v>14203.83</v>
      </c>
      <c r="H43" s="172">
        <v>-16189.27</v>
      </c>
      <c r="I43" s="172">
        <v>48930.22</v>
      </c>
      <c r="J43" s="172">
        <v>4321.4799999999996</v>
      </c>
      <c r="K43" s="172">
        <v>26994.86</v>
      </c>
      <c r="L43" s="172">
        <v>290004.78999999998</v>
      </c>
      <c r="M43" s="172">
        <v>437913.09</v>
      </c>
      <c r="N43" s="172">
        <v>-9377.73</v>
      </c>
      <c r="O43" s="172">
        <v>23538.22</v>
      </c>
      <c r="P43" s="166"/>
      <c r="Q43" s="172">
        <f>SUM(D43:O43)</f>
        <v>854640.73</v>
      </c>
      <c r="R43" s="166"/>
    </row>
    <row r="44" spans="1:18">
      <c r="A44" s="166"/>
      <c r="B44" s="166"/>
      <c r="C44" s="166"/>
      <c r="D44" s="174"/>
      <c r="E44" s="174"/>
      <c r="F44" s="174"/>
      <c r="G44" s="174"/>
      <c r="H44" s="174"/>
      <c r="I44" s="174"/>
      <c r="J44" s="174"/>
      <c r="K44" s="174"/>
      <c r="L44" s="174"/>
      <c r="M44" s="174"/>
      <c r="N44" s="174"/>
      <c r="O44" s="174"/>
      <c r="P44" s="166"/>
      <c r="Q44" s="174"/>
      <c r="R44" s="166"/>
    </row>
    <row r="45" spans="1:18">
      <c r="A45" s="166"/>
      <c r="B45" s="166"/>
      <c r="C45" s="166" t="s">
        <v>214</v>
      </c>
      <c r="D45" s="175">
        <v>-184311.79</v>
      </c>
      <c r="E45" s="175">
        <v>-33165.620000000003</v>
      </c>
      <c r="F45" s="175">
        <v>-182582.89</v>
      </c>
      <c r="G45" s="175">
        <v>554437.09</v>
      </c>
      <c r="H45" s="175">
        <v>487017.91</v>
      </c>
      <c r="I45" s="175">
        <v>415006.45</v>
      </c>
      <c r="J45" s="175">
        <v>521012.8</v>
      </c>
      <c r="K45" s="175">
        <v>391569.79</v>
      </c>
      <c r="L45" s="175">
        <v>822624.57</v>
      </c>
      <c r="M45" s="175">
        <v>1885319.39</v>
      </c>
      <c r="N45" s="175">
        <v>1111674.3500000001</v>
      </c>
      <c r="O45" s="175">
        <v>1495034.28</v>
      </c>
      <c r="P45" s="166"/>
      <c r="Q45" s="175">
        <f>Q28-Q30+Q43</f>
        <v>7283636.3020000011</v>
      </c>
      <c r="R45" s="166"/>
    </row>
    <row r="46" spans="1:18">
      <c r="A46" s="166"/>
      <c r="B46" s="166"/>
      <c r="C46" s="166"/>
      <c r="D46" s="176"/>
      <c r="E46" s="176"/>
      <c r="F46" s="176"/>
      <c r="G46" s="176"/>
      <c r="H46" s="176"/>
      <c r="I46" s="176"/>
      <c r="J46" s="176"/>
      <c r="K46" s="176"/>
      <c r="L46" s="176"/>
      <c r="M46" s="176"/>
      <c r="N46" s="176"/>
      <c r="O46" s="176"/>
      <c r="P46" s="166"/>
      <c r="Q46" s="176"/>
      <c r="R46" s="166"/>
    </row>
    <row r="47" spans="1:18">
      <c r="A47" s="166"/>
      <c r="B47" s="166"/>
      <c r="C47" s="166" t="s">
        <v>215</v>
      </c>
      <c r="D47" s="172">
        <v>-209800.78</v>
      </c>
      <c r="E47" s="172">
        <v>-61846.84</v>
      </c>
      <c r="F47" s="172">
        <v>-210932.55</v>
      </c>
      <c r="G47" s="172">
        <v>522550.63</v>
      </c>
      <c r="H47" s="172">
        <v>455137.44</v>
      </c>
      <c r="I47" s="172">
        <v>386161.99</v>
      </c>
      <c r="J47" s="172">
        <v>494177.38</v>
      </c>
      <c r="K47" s="172">
        <v>654897.35</v>
      </c>
      <c r="L47" s="172">
        <v>1455352.84</v>
      </c>
      <c r="M47" s="172">
        <v>2384394.5099999998</v>
      </c>
      <c r="N47" s="172">
        <v>1600638.71</v>
      </c>
      <c r="O47" s="172">
        <v>1911520.16</v>
      </c>
      <c r="P47" s="166"/>
      <c r="Q47" s="172">
        <f>Q45-Q9</f>
        <v>9382250.8020000011</v>
      </c>
      <c r="R47" s="166" t="s">
        <v>216</v>
      </c>
    </row>
    <row r="48" spans="1:18">
      <c r="A48" s="166"/>
      <c r="B48" s="166"/>
      <c r="C48" s="166"/>
      <c r="D48" s="166"/>
      <c r="E48" s="166"/>
      <c r="F48" s="166"/>
      <c r="G48" s="166"/>
      <c r="H48" s="166"/>
      <c r="I48" s="166"/>
      <c r="J48" s="166"/>
      <c r="K48" s="166"/>
      <c r="L48" s="166"/>
      <c r="M48" s="166"/>
      <c r="N48" s="166"/>
      <c r="O48" s="166"/>
      <c r="P48" s="166"/>
      <c r="Q48" s="172">
        <f>Q34</f>
        <v>1250000.01</v>
      </c>
      <c r="R48" s="166" t="s">
        <v>217</v>
      </c>
    </row>
    <row r="49" spans="1:19">
      <c r="A49" s="166"/>
      <c r="B49" s="166"/>
      <c r="C49" s="166"/>
      <c r="D49" s="166"/>
      <c r="E49" s="166"/>
      <c r="F49" s="166"/>
      <c r="G49" s="166"/>
      <c r="H49" s="166"/>
      <c r="I49" s="166"/>
      <c r="J49" s="166"/>
      <c r="K49" s="166"/>
      <c r="L49" s="166"/>
      <c r="M49" s="166"/>
      <c r="N49" s="166"/>
      <c r="O49" s="166"/>
      <c r="P49" s="166"/>
      <c r="Q49" s="166"/>
      <c r="R49" s="166"/>
    </row>
    <row r="50" spans="1:19">
      <c r="A50" s="166"/>
      <c r="B50" s="166"/>
      <c r="C50" s="166" t="s">
        <v>218</v>
      </c>
      <c r="D50" s="172">
        <v>-4885826.1100000003</v>
      </c>
      <c r="E50" s="172">
        <v>-4947672.95</v>
      </c>
      <c r="F50" s="172">
        <v>-5158605.5</v>
      </c>
      <c r="G50" s="172">
        <v>-4636054.87</v>
      </c>
      <c r="H50" s="172">
        <v>-4180917.44</v>
      </c>
      <c r="I50" s="172">
        <v>-3794755.45</v>
      </c>
      <c r="J50" s="172">
        <v>-3300578.07</v>
      </c>
      <c r="K50" s="172">
        <v>-2645680.7200000002</v>
      </c>
      <c r="L50" s="172">
        <v>-1190327.8799999999</v>
      </c>
      <c r="M50" s="172">
        <v>1610733.3</v>
      </c>
      <c r="N50" s="172">
        <v>3628038.67</v>
      </c>
      <c r="O50" s="172">
        <f>N50+O47+O34</f>
        <v>5956225.5</v>
      </c>
      <c r="P50" s="166"/>
      <c r="Q50" s="172">
        <f>O50</f>
        <v>5956225.5</v>
      </c>
      <c r="R50" s="166" t="s">
        <v>219</v>
      </c>
    </row>
    <row r="51" spans="1:19">
      <c r="A51" s="166"/>
      <c r="B51" s="166"/>
      <c r="C51" s="166"/>
      <c r="D51" s="166"/>
      <c r="E51" s="166"/>
      <c r="F51" s="166"/>
      <c r="G51" s="166"/>
      <c r="H51" s="166"/>
      <c r="I51" s="166"/>
      <c r="J51" s="166"/>
      <c r="K51" s="166"/>
      <c r="L51" s="166"/>
      <c r="M51" s="166"/>
      <c r="N51" s="166"/>
      <c r="O51" s="166"/>
      <c r="P51" s="166"/>
      <c r="Q51" s="174"/>
      <c r="R51" s="174"/>
    </row>
    <row r="52" spans="1:19">
      <c r="A52" s="166"/>
      <c r="B52" s="166"/>
      <c r="C52" s="166"/>
      <c r="D52" s="166"/>
      <c r="E52" s="166"/>
      <c r="F52" s="166"/>
      <c r="G52" s="166"/>
      <c r="H52" s="166"/>
      <c r="I52" s="166"/>
      <c r="J52" s="166"/>
      <c r="K52" s="166"/>
      <c r="L52" s="166"/>
      <c r="M52" s="166"/>
      <c r="N52" s="166"/>
      <c r="O52" s="166"/>
      <c r="P52" s="177"/>
      <c r="Q52" s="497" t="s">
        <v>220</v>
      </c>
      <c r="R52" s="498"/>
      <c r="S52" s="178"/>
    </row>
    <row r="53" spans="1:19">
      <c r="A53" s="166"/>
      <c r="B53" s="166"/>
      <c r="C53" s="166"/>
      <c r="D53" s="166"/>
      <c r="E53" s="166"/>
      <c r="F53" s="166"/>
      <c r="G53" s="166"/>
      <c r="H53" s="166"/>
      <c r="I53" s="166"/>
      <c r="J53" s="166"/>
      <c r="K53" s="166"/>
      <c r="L53" s="166"/>
      <c r="M53" s="166"/>
      <c r="N53" s="166"/>
      <c r="O53" s="166"/>
      <c r="P53" s="177"/>
      <c r="Q53" s="179">
        <v>-4676025.32</v>
      </c>
      <c r="R53" s="180" t="s">
        <v>221</v>
      </c>
      <c r="S53" s="178"/>
    </row>
    <row r="54" spans="1:19">
      <c r="A54" s="166"/>
      <c r="B54" s="166"/>
      <c r="C54" s="166"/>
      <c r="D54" s="166"/>
      <c r="E54" s="166"/>
      <c r="F54" s="166"/>
      <c r="G54" s="166"/>
      <c r="H54" s="166"/>
      <c r="I54" s="166"/>
      <c r="J54" s="166"/>
      <c r="K54" s="166"/>
      <c r="L54" s="166"/>
      <c r="M54" s="166"/>
      <c r="N54" s="166"/>
      <c r="O54" s="166"/>
      <c r="P54" s="177"/>
      <c r="Q54" s="181">
        <v>9382250.8300000001</v>
      </c>
      <c r="R54" s="177" t="s">
        <v>222</v>
      </c>
      <c r="S54" s="178"/>
    </row>
    <row r="55" spans="1:19">
      <c r="A55" s="166"/>
      <c r="B55" s="166"/>
      <c r="C55" s="166"/>
      <c r="D55" s="166"/>
      <c r="E55" s="166"/>
      <c r="F55" s="166"/>
      <c r="G55" s="166"/>
      <c r="H55" s="166"/>
      <c r="I55" s="166"/>
      <c r="J55" s="166"/>
      <c r="K55" s="166"/>
      <c r="L55" s="166"/>
      <c r="M55" s="166"/>
      <c r="N55" s="166"/>
      <c r="O55" s="166"/>
      <c r="P55" s="177"/>
      <c r="Q55" s="182">
        <v>1250000</v>
      </c>
      <c r="R55" s="177" t="s">
        <v>223</v>
      </c>
      <c r="S55" s="178"/>
    </row>
    <row r="56" spans="1:19">
      <c r="A56" s="166"/>
      <c r="B56" s="166"/>
      <c r="C56" s="166"/>
      <c r="D56" s="166"/>
      <c r="E56" s="166"/>
      <c r="F56" s="166"/>
      <c r="G56" s="166"/>
      <c r="H56" s="166"/>
      <c r="I56" s="166"/>
      <c r="J56" s="166"/>
      <c r="K56" s="166"/>
      <c r="L56" s="166"/>
      <c r="M56" s="166"/>
      <c r="N56" s="166"/>
      <c r="O56" s="166"/>
      <c r="P56" s="177"/>
      <c r="Q56" s="183">
        <v>5956225.5099999998</v>
      </c>
      <c r="R56" s="177" t="s">
        <v>224</v>
      </c>
      <c r="S56" s="178"/>
    </row>
    <row r="57" spans="1:19">
      <c r="A57" s="166"/>
      <c r="B57" s="166"/>
      <c r="C57" s="166"/>
      <c r="D57" s="166"/>
      <c r="E57" s="166"/>
      <c r="F57" s="166"/>
      <c r="G57" s="166"/>
      <c r="H57" s="166"/>
      <c r="I57" s="166"/>
      <c r="J57" s="166"/>
      <c r="K57" s="166"/>
      <c r="L57" s="166"/>
      <c r="M57" s="166"/>
      <c r="N57" s="166"/>
      <c r="O57" s="166"/>
      <c r="P57" s="177"/>
      <c r="Q57" s="184"/>
      <c r="R57" s="177"/>
      <c r="S57" s="178"/>
    </row>
    <row r="58" spans="1:19">
      <c r="A58" s="166" t="s">
        <v>2</v>
      </c>
      <c r="B58" s="166" t="s">
        <v>3</v>
      </c>
      <c r="C58" s="166"/>
      <c r="D58" s="166"/>
      <c r="E58" s="166"/>
      <c r="F58" s="166"/>
      <c r="G58" s="166"/>
      <c r="H58" s="166"/>
      <c r="I58" s="166"/>
      <c r="J58" s="166"/>
      <c r="K58" s="166"/>
      <c r="L58" s="166"/>
      <c r="M58" s="166"/>
      <c r="N58" s="166"/>
      <c r="O58" s="166"/>
      <c r="P58" s="177"/>
      <c r="Q58" s="185">
        <f>Q56-Q50</f>
        <v>9.9999997764825821E-3</v>
      </c>
      <c r="R58" s="186"/>
      <c r="S58" s="178"/>
    </row>
    <row r="59" spans="1:19">
      <c r="Q59" s="171"/>
      <c r="R59" s="171"/>
    </row>
  </sheetData>
  <mergeCells count="5">
    <mergeCell ref="A1:F1"/>
    <mergeCell ref="A2:F2"/>
    <mergeCell ref="A3:F3"/>
    <mergeCell ref="A4:F4"/>
    <mergeCell ref="Q52:R52"/>
  </mergeCells>
  <pageMargins left="0.75" right="0.75" top="1" bottom="1" header="0.5" footer="0.5"/>
  <pageSetup paperSize="3" scale="6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showRuler="0" zoomScaleNormal="100" workbookViewId="0">
      <selection sqref="A1:C1"/>
    </sheetView>
  </sheetViews>
  <sheetFormatPr defaultColWidth="13.6640625" defaultRowHeight="13.2"/>
  <cols>
    <col min="1" max="1" width="62" bestFit="1" customWidth="1"/>
    <col min="2" max="2" width="18.33203125" customWidth="1"/>
    <col min="3" max="3" width="17.33203125" customWidth="1"/>
    <col min="4" max="4" width="12.5546875" customWidth="1"/>
  </cols>
  <sheetData>
    <row r="1" spans="1:4">
      <c r="A1" s="489" t="s">
        <v>0</v>
      </c>
      <c r="B1" s="489"/>
      <c r="C1" s="489"/>
      <c r="D1" s="6"/>
    </row>
    <row r="2" spans="1:4">
      <c r="A2" s="490" t="s">
        <v>225</v>
      </c>
      <c r="B2" s="487"/>
      <c r="C2" s="487"/>
      <c r="D2" s="487"/>
    </row>
    <row r="3" spans="1:4">
      <c r="A3" s="490" t="s">
        <v>226</v>
      </c>
      <c r="B3" s="490"/>
      <c r="C3" s="490"/>
      <c r="D3" s="6"/>
    </row>
    <row r="4" spans="1:4">
      <c r="A4" s="489" t="s">
        <v>107</v>
      </c>
      <c r="B4" s="489"/>
      <c r="C4" s="489"/>
      <c r="D4" s="489"/>
    </row>
    <row r="5" spans="1:4">
      <c r="A5" s="7"/>
      <c r="B5" s="7"/>
      <c r="C5" s="7"/>
      <c r="D5" s="6"/>
    </row>
    <row r="6" spans="1:4">
      <c r="A6" s="34" t="s">
        <v>227</v>
      </c>
      <c r="B6" s="34" t="s">
        <v>228</v>
      </c>
      <c r="C6" s="34" t="s">
        <v>229</v>
      </c>
      <c r="D6" s="45"/>
    </row>
    <row r="7" spans="1:4">
      <c r="A7" s="46" t="s">
        <v>230</v>
      </c>
      <c r="B7" s="9"/>
      <c r="C7" s="9"/>
      <c r="D7" s="6"/>
    </row>
    <row r="8" spans="1:4">
      <c r="A8" s="47" t="s">
        <v>231</v>
      </c>
      <c r="B8" s="48"/>
      <c r="C8" s="27">
        <f>W09_PG_2_of_2!B8</f>
        <v>717019.85</v>
      </c>
      <c r="D8" s="48"/>
    </row>
    <row r="9" spans="1:4">
      <c r="A9" s="49" t="s">
        <v>232</v>
      </c>
      <c r="B9" s="6"/>
      <c r="C9" s="27">
        <f>W09_PG_2_of_2!B9</f>
        <v>-2125.7399999999998</v>
      </c>
      <c r="D9" s="6"/>
    </row>
    <row r="10" spans="1:4">
      <c r="A10" s="49" t="s">
        <v>233</v>
      </c>
      <c r="B10" s="33"/>
      <c r="C10" s="27">
        <f>W09_PG_2_of_2!B10</f>
        <v>-299487.5</v>
      </c>
      <c r="D10" s="6"/>
    </row>
    <row r="11" spans="1:4">
      <c r="A11" s="49" t="s">
        <v>234</v>
      </c>
      <c r="B11" s="33"/>
      <c r="C11" s="50">
        <f>W09_PG_2_of_2!B11</f>
        <v>-219144</v>
      </c>
      <c r="D11" s="6"/>
    </row>
    <row r="12" spans="1:4">
      <c r="A12" s="1" t="s">
        <v>235</v>
      </c>
      <c r="B12" s="37" t="s">
        <v>236</v>
      </c>
      <c r="C12" s="51">
        <f>SUM(C8:C11)</f>
        <v>196262.61</v>
      </c>
      <c r="D12" s="6"/>
    </row>
    <row r="13" spans="1:4">
      <c r="A13" s="6"/>
      <c r="B13" s="33"/>
      <c r="C13" s="26"/>
      <c r="D13" s="6"/>
    </row>
    <row r="14" spans="1:4">
      <c r="A14" s="52" t="s">
        <v>237</v>
      </c>
      <c r="B14" s="33"/>
      <c r="C14" s="6"/>
      <c r="D14" s="6"/>
    </row>
    <row r="15" spans="1:4">
      <c r="A15" s="49" t="s">
        <v>238</v>
      </c>
      <c r="B15" s="33"/>
      <c r="C15" s="27">
        <f>-W09_PG_2_of_2!B16</f>
        <v>497876</v>
      </c>
      <c r="D15" s="6"/>
    </row>
    <row r="16" spans="1:4">
      <c r="A16" s="49" t="s">
        <v>239</v>
      </c>
      <c r="B16" s="33"/>
      <c r="C16" s="27">
        <f>-W09_PG_2_of_2!B17</f>
        <v>-288754.98</v>
      </c>
      <c r="D16" s="6"/>
    </row>
    <row r="17" spans="1:4">
      <c r="A17" s="49" t="s">
        <v>240</v>
      </c>
      <c r="B17" s="33"/>
      <c r="C17" s="50">
        <f>-W09_PG_2_of_2!B18</f>
        <v>288754.98</v>
      </c>
      <c r="D17" s="6"/>
    </row>
    <row r="18" spans="1:4">
      <c r="A18" s="1" t="s">
        <v>241</v>
      </c>
      <c r="B18" s="37" t="s">
        <v>242</v>
      </c>
      <c r="C18" s="51">
        <f>SUM(C15:C17)</f>
        <v>497876</v>
      </c>
      <c r="D18" s="6"/>
    </row>
    <row r="19" spans="1:4">
      <c r="A19" s="6"/>
      <c r="B19" s="33"/>
      <c r="C19" s="26"/>
      <c r="D19" s="6"/>
    </row>
    <row r="20" spans="1:4">
      <c r="A20" s="6"/>
      <c r="B20" s="6"/>
      <c r="C20" s="6"/>
      <c r="D20" s="6"/>
    </row>
    <row r="21" spans="1:4">
      <c r="A21" s="6"/>
      <c r="B21" s="6"/>
      <c r="C21" s="6"/>
      <c r="D21" s="6"/>
    </row>
    <row r="22" spans="1:4">
      <c r="A22" s="6"/>
      <c r="B22" s="6"/>
      <c r="C22" s="6"/>
      <c r="D22" s="6"/>
    </row>
    <row r="23" spans="1:4">
      <c r="A23" s="53" t="s">
        <v>2</v>
      </c>
      <c r="B23" s="5" t="s">
        <v>3</v>
      </c>
      <c r="C23" s="6"/>
      <c r="D23" s="6"/>
    </row>
    <row r="24" spans="1:4">
      <c r="A24" s="6"/>
      <c r="B24" s="6"/>
      <c r="C24" s="6"/>
      <c r="D24" s="6"/>
    </row>
  </sheetData>
  <mergeCells count="4">
    <mergeCell ref="A3:C3"/>
    <mergeCell ref="A2:D2"/>
    <mergeCell ref="A1:C1"/>
    <mergeCell ref="A4:D4"/>
  </mergeCells>
  <pageMargins left="0.75" right="0.75" top="1" bottom="1" header="0.5" footer="0.5"/>
  <pageSetup scale="82"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Ruler="0" zoomScaleNormal="100" workbookViewId="0">
      <selection sqref="A1:C1"/>
    </sheetView>
  </sheetViews>
  <sheetFormatPr defaultColWidth="13.6640625" defaultRowHeight="13.2"/>
  <cols>
    <col min="1" max="1" width="40.33203125" customWidth="1"/>
    <col min="2" max="2" width="14.109375" customWidth="1"/>
    <col min="3" max="7" width="18.33203125" customWidth="1"/>
  </cols>
  <sheetData>
    <row r="1" spans="1:5">
      <c r="A1" s="489" t="s">
        <v>0</v>
      </c>
      <c r="B1" s="489"/>
      <c r="C1" s="489"/>
      <c r="D1" s="6"/>
    </row>
    <row r="2" spans="1:5">
      <c r="A2" s="490" t="s">
        <v>225</v>
      </c>
      <c r="B2" s="490"/>
      <c r="C2" s="490"/>
      <c r="D2" s="490"/>
    </row>
    <row r="3" spans="1:5">
      <c r="A3" s="6" t="s">
        <v>243</v>
      </c>
    </row>
    <row r="4" spans="1:5">
      <c r="A4" s="489" t="s">
        <v>107</v>
      </c>
      <c r="B4" s="489"/>
      <c r="C4" s="489"/>
      <c r="D4" s="489"/>
      <c r="E4" s="489"/>
    </row>
    <row r="6" spans="1:5">
      <c r="B6" s="2" t="s">
        <v>244</v>
      </c>
    </row>
    <row r="7" spans="1:5">
      <c r="A7" s="6"/>
      <c r="B7" s="54" t="s">
        <v>245</v>
      </c>
    </row>
    <row r="8" spans="1:5">
      <c r="A8" s="53" t="s">
        <v>246</v>
      </c>
      <c r="B8" s="10">
        <f>D42</f>
        <v>717019.85</v>
      </c>
    </row>
    <row r="9" spans="1:5">
      <c r="A9" s="53" t="s">
        <v>247</v>
      </c>
      <c r="B9" s="13">
        <f>-B36</f>
        <v>-2125.7399999999998</v>
      </c>
    </row>
    <row r="10" spans="1:5">
      <c r="A10" s="53" t="s">
        <v>248</v>
      </c>
      <c r="B10" s="13">
        <f>-D36</f>
        <v>-299487.5</v>
      </c>
      <c r="C10" s="13">
        <f>B9+B10-D41-D43</f>
        <v>0</v>
      </c>
    </row>
    <row r="11" spans="1:5">
      <c r="A11" s="53" t="s">
        <v>249</v>
      </c>
      <c r="B11" s="16">
        <f>D44</f>
        <v>-219144</v>
      </c>
    </row>
    <row r="12" spans="1:5">
      <c r="A12" s="18" t="s">
        <v>250</v>
      </c>
      <c r="B12" s="55">
        <f>SUM(B8:B11)</f>
        <v>196262.61</v>
      </c>
    </row>
    <row r="13" spans="1:5">
      <c r="A13" s="6"/>
      <c r="B13" s="26"/>
    </row>
    <row r="14" spans="1:5">
      <c r="A14" s="6"/>
      <c r="B14" s="2" t="s">
        <v>244</v>
      </c>
    </row>
    <row r="15" spans="1:5">
      <c r="A15" s="6"/>
      <c r="B15" s="54" t="s">
        <v>251</v>
      </c>
    </row>
    <row r="16" spans="1:5">
      <c r="A16" s="53" t="s">
        <v>252</v>
      </c>
      <c r="B16" s="10">
        <f>D50</f>
        <v>-497876</v>
      </c>
    </row>
    <row r="17" spans="1:8">
      <c r="A17" s="53" t="s">
        <v>253</v>
      </c>
      <c r="B17" s="13">
        <f>-B18</f>
        <v>288754.98</v>
      </c>
    </row>
    <row r="18" spans="1:8">
      <c r="A18" s="53" t="s">
        <v>254</v>
      </c>
      <c r="B18" s="16">
        <f>D51</f>
        <v>-288754.98</v>
      </c>
    </row>
    <row r="19" spans="1:8">
      <c r="A19" s="18" t="s">
        <v>255</v>
      </c>
      <c r="B19" s="55">
        <f>SUM(B16:B18)</f>
        <v>-497876</v>
      </c>
    </row>
    <row r="20" spans="1:8">
      <c r="B20" s="26"/>
      <c r="F20" s="5"/>
      <c r="G20" s="5"/>
      <c r="H20" s="5"/>
    </row>
    <row r="21" spans="1:8">
      <c r="A21" s="499" t="s">
        <v>256</v>
      </c>
      <c r="B21" s="499"/>
      <c r="C21" s="486"/>
      <c r="D21" s="486"/>
      <c r="E21" s="486"/>
      <c r="F21" s="486"/>
      <c r="G21" s="486"/>
    </row>
    <row r="22" spans="1:8" ht="27.6" customHeight="1">
      <c r="A22" s="38" t="s">
        <v>257</v>
      </c>
      <c r="B22" s="39"/>
      <c r="C22" s="57"/>
      <c r="D22" s="7"/>
      <c r="E22" s="7"/>
      <c r="F22" s="7"/>
      <c r="G22" s="7"/>
    </row>
    <row r="23" spans="1:8" ht="50.1" customHeight="1">
      <c r="A23" s="58" t="s">
        <v>258</v>
      </c>
      <c r="B23" s="58" t="s">
        <v>259</v>
      </c>
      <c r="C23" s="58" t="s">
        <v>260</v>
      </c>
      <c r="D23" s="58" t="s">
        <v>261</v>
      </c>
      <c r="E23" s="58" t="s">
        <v>262</v>
      </c>
      <c r="F23" s="58" t="s">
        <v>263</v>
      </c>
      <c r="G23" s="58" t="s">
        <v>264</v>
      </c>
      <c r="H23" s="21"/>
    </row>
    <row r="24" spans="1:8">
      <c r="A24" s="59" t="s">
        <v>265</v>
      </c>
      <c r="B24" s="10">
        <v>291</v>
      </c>
      <c r="C24" s="10">
        <v>82998</v>
      </c>
      <c r="D24" s="10">
        <v>23567</v>
      </c>
      <c r="E24" s="10">
        <v>17580.419999999998</v>
      </c>
      <c r="F24" s="10">
        <v>-51185</v>
      </c>
      <c r="G24" s="10">
        <v>-73251.42</v>
      </c>
    </row>
    <row r="25" spans="1:8">
      <c r="A25" s="5" t="s">
        <v>266</v>
      </c>
      <c r="B25" s="13">
        <v>291</v>
      </c>
      <c r="C25" s="13">
        <v>64335</v>
      </c>
      <c r="D25" s="13">
        <v>23567</v>
      </c>
      <c r="E25" s="13">
        <v>31971.23</v>
      </c>
      <c r="F25" s="13">
        <v>-45031</v>
      </c>
      <c r="G25" s="13">
        <v>-75133.23</v>
      </c>
    </row>
    <row r="26" spans="1:8">
      <c r="A26" s="5" t="s">
        <v>267</v>
      </c>
      <c r="B26" s="13">
        <v>291</v>
      </c>
      <c r="C26" s="13">
        <v>74852</v>
      </c>
      <c r="D26" s="13">
        <v>23567</v>
      </c>
      <c r="E26" s="13">
        <v>29124.639999999999</v>
      </c>
      <c r="F26" s="13">
        <v>-48493</v>
      </c>
      <c r="G26" s="13">
        <v>-79341.64</v>
      </c>
    </row>
    <row r="27" spans="1:8">
      <c r="A27" s="5" t="s">
        <v>268</v>
      </c>
      <c r="B27" s="13">
        <v>291</v>
      </c>
      <c r="C27" s="13">
        <v>90014</v>
      </c>
      <c r="D27" s="13">
        <v>23567</v>
      </c>
      <c r="E27" s="13">
        <v>39922.589999999997</v>
      </c>
      <c r="F27" s="13">
        <v>-53494</v>
      </c>
      <c r="G27" s="13">
        <v>-100300.59</v>
      </c>
    </row>
    <row r="28" spans="1:8">
      <c r="A28" s="5" t="s">
        <v>269</v>
      </c>
      <c r="B28" s="13">
        <v>291</v>
      </c>
      <c r="C28" s="13">
        <v>95232</v>
      </c>
      <c r="D28" s="13">
        <v>23567</v>
      </c>
      <c r="E28" s="13">
        <v>33782.6</v>
      </c>
      <c r="F28" s="13">
        <v>-55212</v>
      </c>
      <c r="G28" s="13">
        <v>-97660.6</v>
      </c>
    </row>
    <row r="29" spans="1:8">
      <c r="A29" s="5" t="s">
        <v>270</v>
      </c>
      <c r="B29" s="13">
        <v>291</v>
      </c>
      <c r="C29" s="13">
        <v>88843</v>
      </c>
      <c r="D29" s="13">
        <v>23567</v>
      </c>
      <c r="E29" s="13">
        <v>43524.95</v>
      </c>
      <c r="F29" s="13">
        <v>-53105</v>
      </c>
      <c r="G29" s="13">
        <v>-103120.95</v>
      </c>
    </row>
    <row r="30" spans="1:8">
      <c r="A30" s="5" t="s">
        <v>271</v>
      </c>
      <c r="B30" s="13">
        <v>291</v>
      </c>
      <c r="C30" s="13">
        <v>75739</v>
      </c>
      <c r="D30" s="13">
        <v>23567</v>
      </c>
      <c r="E30" s="13">
        <v>16862.8</v>
      </c>
      <c r="F30" s="13">
        <v>-48787</v>
      </c>
      <c r="G30" s="13">
        <v>-67672.800000000003</v>
      </c>
    </row>
    <row r="31" spans="1:8">
      <c r="A31" s="5" t="s">
        <v>272</v>
      </c>
      <c r="B31" s="13">
        <v>-1110</v>
      </c>
      <c r="C31" s="13">
        <v>75444</v>
      </c>
      <c r="D31" s="13">
        <v>37255</v>
      </c>
      <c r="E31" s="13">
        <v>3734.17</v>
      </c>
      <c r="F31" s="13">
        <v>-60985</v>
      </c>
      <c r="G31" s="13">
        <v>-54338.17</v>
      </c>
    </row>
    <row r="32" spans="1:8">
      <c r="A32" s="5" t="s">
        <v>273</v>
      </c>
      <c r="B32" s="13">
        <v>291</v>
      </c>
      <c r="C32" s="13">
        <v>115598</v>
      </c>
      <c r="D32" s="13">
        <v>23567</v>
      </c>
      <c r="E32" s="13">
        <v>14085.29</v>
      </c>
      <c r="F32" s="13">
        <v>-61932</v>
      </c>
      <c r="G32" s="13">
        <v>-91609.29</v>
      </c>
    </row>
    <row r="33" spans="1:7">
      <c r="A33" s="5" t="s">
        <v>274</v>
      </c>
      <c r="B33" s="13">
        <v>302.58</v>
      </c>
      <c r="C33" s="13">
        <v>51216</v>
      </c>
      <c r="D33" s="13">
        <v>24565.5</v>
      </c>
      <c r="E33" s="13">
        <v>29317.34</v>
      </c>
      <c r="F33" s="13">
        <v>-24941.08</v>
      </c>
      <c r="G33" s="13">
        <v>-80460.34</v>
      </c>
    </row>
    <row r="34" spans="1:7">
      <c r="A34" s="5" t="s">
        <v>275</v>
      </c>
      <c r="B34" s="13">
        <v>302.58</v>
      </c>
      <c r="C34" s="13">
        <v>-49709</v>
      </c>
      <c r="D34" s="13">
        <v>24565.5</v>
      </c>
      <c r="E34" s="13">
        <v>17204.95</v>
      </c>
      <c r="F34" s="13">
        <v>-8635.08</v>
      </c>
      <c r="G34" s="13">
        <v>16271.05</v>
      </c>
    </row>
    <row r="35" spans="1:7">
      <c r="A35" s="60" t="s">
        <v>276</v>
      </c>
      <c r="B35" s="16">
        <v>302.58</v>
      </c>
      <c r="C35" s="16">
        <v>-47542</v>
      </c>
      <c r="D35" s="16">
        <v>24565.5</v>
      </c>
      <c r="E35" s="16">
        <v>11644</v>
      </c>
      <c r="F35" s="16">
        <v>-8957.08</v>
      </c>
      <c r="G35" s="16">
        <v>19987</v>
      </c>
    </row>
    <row r="36" spans="1:7">
      <c r="A36" s="38" t="s">
        <v>277</v>
      </c>
      <c r="B36" s="61">
        <f t="shared" ref="B36:G36" si="0">SUM(B24:B35)</f>
        <v>2125.7399999999998</v>
      </c>
      <c r="C36" s="61">
        <f t="shared" si="0"/>
        <v>717020</v>
      </c>
      <c r="D36" s="61">
        <f t="shared" si="0"/>
        <v>299487.5</v>
      </c>
      <c r="E36" s="61">
        <f t="shared" si="0"/>
        <v>288754.98</v>
      </c>
      <c r="F36" s="61">
        <f t="shared" si="0"/>
        <v>-520757.24000000005</v>
      </c>
      <c r="G36" s="61">
        <f t="shared" si="0"/>
        <v>-786630.98</v>
      </c>
    </row>
    <row r="37" spans="1:7">
      <c r="A37" s="9"/>
      <c r="B37" s="9"/>
      <c r="C37" s="9"/>
      <c r="D37" s="9"/>
      <c r="E37" s="9"/>
      <c r="F37" s="9"/>
      <c r="G37" s="9"/>
    </row>
    <row r="38" spans="1:7">
      <c r="A38" s="56" t="s">
        <v>278</v>
      </c>
    </row>
    <row r="39" spans="1:7">
      <c r="A39" s="62" t="s">
        <v>279</v>
      </c>
      <c r="B39" s="500" t="s">
        <v>280</v>
      </c>
      <c r="C39" s="501"/>
      <c r="D39" s="57"/>
    </row>
    <row r="40" spans="1:7">
      <c r="A40" s="62" t="s">
        <v>281</v>
      </c>
      <c r="B40" s="62" t="s">
        <v>282</v>
      </c>
      <c r="C40" s="62" t="s">
        <v>283</v>
      </c>
      <c r="D40" s="62" t="s">
        <v>284</v>
      </c>
      <c r="E40" s="21"/>
    </row>
    <row r="41" spans="1:7">
      <c r="A41" s="9" t="s">
        <v>285</v>
      </c>
      <c r="B41" s="9"/>
      <c r="C41" s="10">
        <v>-12287</v>
      </c>
      <c r="D41" s="10">
        <v>-12287</v>
      </c>
      <c r="E41" s="6"/>
      <c r="F41" s="6"/>
      <c r="G41" s="6"/>
    </row>
    <row r="42" spans="1:7">
      <c r="A42" s="6" t="s">
        <v>286</v>
      </c>
      <c r="B42" s="13">
        <v>717019.85</v>
      </c>
      <c r="C42" s="6"/>
      <c r="D42" s="13">
        <v>717019.85</v>
      </c>
      <c r="E42" s="6"/>
      <c r="F42" s="6"/>
      <c r="G42" s="6"/>
    </row>
    <row r="43" spans="1:7">
      <c r="A43" s="6" t="s">
        <v>287</v>
      </c>
      <c r="B43" s="6"/>
      <c r="C43" s="13">
        <v>-289326.24</v>
      </c>
      <c r="D43" s="13">
        <v>-289326.24</v>
      </c>
      <c r="E43" s="6"/>
      <c r="F43" s="6"/>
      <c r="G43" s="6"/>
    </row>
    <row r="44" spans="1:7">
      <c r="A44" s="7" t="s">
        <v>288</v>
      </c>
      <c r="B44" s="7"/>
      <c r="C44" s="16">
        <v>-219144</v>
      </c>
      <c r="D44" s="16">
        <v>-219144</v>
      </c>
      <c r="E44" s="6"/>
      <c r="F44" s="6"/>
      <c r="G44" s="6"/>
    </row>
    <row r="45" spans="1:7">
      <c r="A45" s="38" t="s">
        <v>277</v>
      </c>
      <c r="B45" s="61">
        <v>717019.85</v>
      </c>
      <c r="C45" s="61">
        <v>-520757.24</v>
      </c>
      <c r="D45" s="63">
        <v>196262.61</v>
      </c>
      <c r="E45" s="21"/>
    </row>
    <row r="46" spans="1:7">
      <c r="A46" s="9"/>
      <c r="B46" s="9"/>
      <c r="C46" s="9"/>
      <c r="D46" s="9"/>
    </row>
    <row r="47" spans="1:7">
      <c r="A47" s="56" t="s">
        <v>289</v>
      </c>
      <c r="B47" s="7"/>
      <c r="C47" s="6"/>
      <c r="D47" s="6"/>
      <c r="E47" s="6"/>
      <c r="F47" s="6"/>
      <c r="G47" s="6"/>
    </row>
    <row r="48" spans="1:7">
      <c r="A48" s="62" t="s">
        <v>279</v>
      </c>
      <c r="B48" s="62" t="s">
        <v>290</v>
      </c>
      <c r="C48" s="57"/>
      <c r="D48" s="7"/>
      <c r="E48" s="6"/>
      <c r="F48" s="6"/>
      <c r="G48" s="6"/>
    </row>
    <row r="49" spans="1:7">
      <c r="A49" s="62" t="s">
        <v>291</v>
      </c>
      <c r="B49" s="62" t="s">
        <v>292</v>
      </c>
      <c r="C49" s="62" t="s">
        <v>293</v>
      </c>
      <c r="D49" s="62" t="s">
        <v>294</v>
      </c>
      <c r="E49" s="21"/>
      <c r="F49" s="6"/>
      <c r="G49" s="6"/>
    </row>
    <row r="50" spans="1:7">
      <c r="A50" s="9" t="s">
        <v>295</v>
      </c>
      <c r="B50" s="9"/>
      <c r="C50" s="10">
        <v>-497876</v>
      </c>
      <c r="D50" s="10">
        <v>-497876</v>
      </c>
      <c r="E50" s="6"/>
      <c r="F50" s="6"/>
      <c r="G50" s="6"/>
    </row>
    <row r="51" spans="1:7">
      <c r="A51" s="7" t="s">
        <v>296</v>
      </c>
      <c r="B51" s="16">
        <v>-288754.98</v>
      </c>
      <c r="C51" s="7"/>
      <c r="D51" s="16">
        <v>-288754.98</v>
      </c>
      <c r="E51" s="6"/>
      <c r="F51" s="6"/>
      <c r="G51" s="6"/>
    </row>
    <row r="52" spans="1:7">
      <c r="A52" s="38" t="s">
        <v>277</v>
      </c>
      <c r="B52" s="61">
        <v>-288754.98</v>
      </c>
      <c r="C52" s="61">
        <v>-497876</v>
      </c>
      <c r="D52" s="63">
        <v>-786630.98</v>
      </c>
      <c r="E52" s="21"/>
      <c r="F52" s="6"/>
      <c r="G52" s="6"/>
    </row>
    <row r="53" spans="1:7">
      <c r="A53" s="9"/>
      <c r="B53" s="9"/>
      <c r="C53" s="9"/>
      <c r="D53" s="9"/>
      <c r="E53" s="6"/>
      <c r="F53" s="6"/>
      <c r="G53" s="6"/>
    </row>
    <row r="54" spans="1:7">
      <c r="A54" s="6"/>
      <c r="B54" s="6"/>
      <c r="C54" s="6"/>
      <c r="D54" s="6"/>
      <c r="E54" s="6"/>
      <c r="F54" s="6"/>
      <c r="G54" s="6"/>
    </row>
    <row r="55" spans="1:7">
      <c r="A55" s="53" t="s">
        <v>2</v>
      </c>
      <c r="B55" s="5" t="s">
        <v>3</v>
      </c>
      <c r="C55" s="6"/>
      <c r="D55" s="6"/>
      <c r="E55" s="6"/>
      <c r="F55" s="6"/>
      <c r="G55" s="6"/>
    </row>
    <row r="56" spans="1:7">
      <c r="A56" s="6"/>
      <c r="B56" s="6"/>
      <c r="C56" s="6"/>
      <c r="D56" s="6"/>
      <c r="E56" s="6"/>
      <c r="F56" s="6"/>
      <c r="G56" s="6"/>
    </row>
  </sheetData>
  <mergeCells count="5">
    <mergeCell ref="A2:D2"/>
    <mergeCell ref="A1:C1"/>
    <mergeCell ref="A4:E4"/>
    <mergeCell ref="A21:G21"/>
    <mergeCell ref="B39:C39"/>
  </mergeCells>
  <pageMargins left="0.75" right="0.75" top="1" bottom="1" header="0.5" footer="0.5"/>
  <pageSetup scale="59" fitToHeight="2"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2.xml><?xml version="1.0" encoding="utf-8"?>
<sisl xmlns:xsi="http://www.w3.org/2001/XMLSchema-instance" xmlns:xsd="http://www.w3.org/2001/XMLSchema" xmlns="http://www.boldonjames.com/2008/01/sie/internal/label" sislVersion="0" policy="e9c0b8d7-bdb4-4fd3-b62a-f50327aaefce" origin="userSelected">
  <element uid="50c31824-0780-4910-87d1-eaaffd182d42" value=""/>
</sisl>
</file>

<file path=customXml/item3.xml><?xml version="1.0" encoding="utf-8"?>
<ct:contentTypeSchema xmlns:ct="http://schemas.microsoft.com/office/2006/metadata/contentType" xmlns:ma="http://schemas.microsoft.com/office/2006/metadata/properties/metaAttributes" ct:_="" ma:_="" ma:contentTypeName="Document" ma:contentTypeID="0x0101002135A8D66889804D93A541DC7FCD6740" ma:contentTypeVersion="1" ma:contentTypeDescription="Create a new document." ma:contentTypeScope="" ma:versionID="efd721c7cda02a20df6329f4e8d3d67f">
  <xsd:schema xmlns:xsd="http://www.w3.org/2001/XMLSchema" xmlns:xs="http://www.w3.org/2001/XMLSchema" xmlns:p="http://schemas.microsoft.com/office/2006/metadata/properties" xmlns:ns2="a1040523-5304-4b09-b6d4-64a124c994e2" targetNamespace="http://schemas.microsoft.com/office/2006/metadata/properties" ma:root="true" ma:fieldsID="600ce198b5c5104e6f0363384ebebfc8" ns2:_="">
    <xsd:import namespace="a1040523-5304-4b09-b6d4-64a124c994e2"/>
    <xsd:element name="properties">
      <xsd:complexType>
        <xsd:sequence>
          <xsd:element name="documentManagement">
            <xsd:complexType>
              <xsd:all>
                <xsd:element ref="ns2:Operating_x0020_Company"/>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040523-5304-4b09-b6d4-64a124c994e2" elementFormDefault="qualified">
    <xsd:import namespace="http://schemas.microsoft.com/office/2006/documentManagement/types"/>
    <xsd:import namespace="http://schemas.microsoft.com/office/infopath/2007/PartnerControls"/>
    <xsd:element name="Operating_x0020_Company" ma:index="8" ma:displayName="Operating Company" ma:default="AEP Ohio" ma:format="Dropdown" ma:internalName="Operating_x0020_Company">
      <xsd:simpleType>
        <xsd:restriction base="dms:Choice">
          <xsd:enumeration value="AEP Ohio"/>
          <xsd:enumeration value="AEP Texas"/>
          <xsd:enumeration value="Appalachian Power - Tennessee"/>
          <xsd:enumeration value="Appalachian Power - Virginia"/>
          <xsd:enumeration value="Appalachian Power - West Virginia"/>
          <xsd:enumeration value="ETT"/>
          <xsd:enumeration value="FERC"/>
          <xsd:enumeration value="Indiana &amp; Michigan Power - Indiana"/>
          <xsd:enumeration value="Indiana &amp; Michigan Power - Michigan"/>
          <xsd:enumeration value="Kentucky Power"/>
          <xsd:enumeration value="PSO"/>
          <xsd:enumeration value="SWEPCO - Arkansas"/>
          <xsd:enumeration value="SWEPCO - Louisiana"/>
          <xsd:enumeration value="SWEPCO - Texa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Operating_x0020_Company xmlns="a1040523-5304-4b09-b6d4-64a124c994e2">Kentucky Power</Operating_x0020_Company>
  </documentManagement>
</p:properties>
</file>

<file path=customXml/itemProps1.xml><?xml version="1.0" encoding="utf-8"?>
<ds:datastoreItem xmlns:ds="http://schemas.openxmlformats.org/officeDocument/2006/customXml" ds:itemID="{2521C528-1F6B-4FAF-8729-EACF8A6FB48D}">
  <ds:schemaRefs>
    <ds:schemaRef ds:uri="http://schemas.microsoft.com/PowerBIAddIn"/>
  </ds:schemaRefs>
</ds:datastoreItem>
</file>

<file path=customXml/itemProps2.xml><?xml version="1.0" encoding="utf-8"?>
<ds:datastoreItem xmlns:ds="http://schemas.openxmlformats.org/officeDocument/2006/customXml" ds:itemID="{79EA49BC-EDAE-4CE5-B07A-BF89AF657620}">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4FD30D64-433F-40F2-AFAB-BEA32537883D}"/>
</file>

<file path=customXml/itemProps4.xml><?xml version="1.0" encoding="utf-8"?>
<ds:datastoreItem xmlns:ds="http://schemas.openxmlformats.org/officeDocument/2006/customXml" ds:itemID="{90C8DD0F-2F93-4767-9A3C-8786B12D4CAD}"/>
</file>

<file path=customXml/itemProps5.xml><?xml version="1.0" encoding="utf-8"?>
<ds:datastoreItem xmlns:ds="http://schemas.openxmlformats.org/officeDocument/2006/customXml" ds:itemID="{D6F32C20-C672-4D96-A2FF-F22680BDA1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6</vt:i4>
      </vt:variant>
    </vt:vector>
  </HeadingPairs>
  <TitlesOfParts>
    <vt:vector size="66" baseType="lpstr">
      <vt:lpstr>Index</vt:lpstr>
      <vt:lpstr>W02_PG_1_of_4</vt:lpstr>
      <vt:lpstr>W02_PG_2_of_4</vt:lpstr>
      <vt:lpstr>W02_PG_3_of_4</vt:lpstr>
      <vt:lpstr>W02_PG_4_of_4</vt:lpstr>
      <vt:lpstr>W08_PG_1_of_2</vt:lpstr>
      <vt:lpstr>W08_PG_2_of_2</vt:lpstr>
      <vt:lpstr>W09_PG_1_of_2</vt:lpstr>
      <vt:lpstr>W09_PG_2_of_2</vt:lpstr>
      <vt:lpstr>W10_PG_1_of_1</vt:lpstr>
      <vt:lpstr>WP11_PG_1_of_1</vt:lpstr>
      <vt:lpstr>W15_PG_1_of_2</vt:lpstr>
      <vt:lpstr>W15_PG_2_of_2</vt:lpstr>
      <vt:lpstr>W17_PG_1_of_1</vt:lpstr>
      <vt:lpstr>W20_PG_1_of_3</vt:lpstr>
      <vt:lpstr>W20_PG_2_of_3</vt:lpstr>
      <vt:lpstr>W20_PG_3_of_3</vt:lpstr>
      <vt:lpstr>W21_PG_1_of_2</vt:lpstr>
      <vt:lpstr>W21_PG_2_of_2</vt:lpstr>
      <vt:lpstr>W22_PG_1_of_6</vt:lpstr>
      <vt:lpstr>W22_PG_2_of_6</vt:lpstr>
      <vt:lpstr>W22_PG_3_of_6</vt:lpstr>
      <vt:lpstr>W22_PG_4_of_6</vt:lpstr>
      <vt:lpstr>W22_PG_5_of_6</vt:lpstr>
      <vt:lpstr>W22_PG_6_of_6</vt:lpstr>
      <vt:lpstr>W25_PG_1_of_3</vt:lpstr>
      <vt:lpstr>W25_PG_2_of_3</vt:lpstr>
      <vt:lpstr>W25_PG_3_of_3</vt:lpstr>
      <vt:lpstr>W26_PG_1_of_1</vt:lpstr>
      <vt:lpstr>W27_W33_PG_1_of_1</vt:lpstr>
      <vt:lpstr>W27_PG_1_of_3</vt:lpstr>
      <vt:lpstr>W27_PG_2_of_3</vt:lpstr>
      <vt:lpstr>W27_PG_3_of_3</vt:lpstr>
      <vt:lpstr>W28_PG_1_of_4</vt:lpstr>
      <vt:lpstr>W28_PG_2_of_4</vt:lpstr>
      <vt:lpstr>W28_PG_3_of_4</vt:lpstr>
      <vt:lpstr>W28_PG_4_of_4</vt:lpstr>
      <vt:lpstr>W29_PG_1_of_2</vt:lpstr>
      <vt:lpstr>W29_PG_2_of_2</vt:lpstr>
      <vt:lpstr>W32_PG_1_of_3</vt:lpstr>
      <vt:lpstr>W32_PG_2_of_3</vt:lpstr>
      <vt:lpstr>W32_PG_3_of_3</vt:lpstr>
      <vt:lpstr>W33_PG_1_of_2</vt:lpstr>
      <vt:lpstr>W33_PG_2_of_2</vt:lpstr>
      <vt:lpstr>W35_PG_1_of_3</vt:lpstr>
      <vt:lpstr>W35_PG_2_of_3</vt:lpstr>
      <vt:lpstr>W35_PG_3_of_3</vt:lpstr>
      <vt:lpstr>W36_PG_1_of_2</vt:lpstr>
      <vt:lpstr>W36_PG_2_of_2</vt:lpstr>
      <vt:lpstr>W37_PG_1_of_2</vt:lpstr>
      <vt:lpstr>W37_PG_2_of_2</vt:lpstr>
      <vt:lpstr>W39_PG_1_of_1</vt:lpstr>
      <vt:lpstr>W49_PG_1_of_2</vt:lpstr>
      <vt:lpstr>W49_PG_2_of_2</vt:lpstr>
      <vt:lpstr>W50_PG_1_of_1</vt:lpstr>
      <vt:lpstr>W51_PG_1_of_1</vt:lpstr>
      <vt:lpstr>W52_PG_1_of_1</vt:lpstr>
      <vt:lpstr>W53_PG_1_of_1</vt:lpstr>
      <vt:lpstr>W54_PG_1_of_1</vt:lpstr>
      <vt:lpstr>W64_PG_1_of_1</vt:lpstr>
      <vt:lpstr>W22_PG_4_of_6!Print_Area</vt:lpstr>
      <vt:lpstr>W22_PG_5_of_6!Print_Area</vt:lpstr>
      <vt:lpstr>W09_PG_2_of_2!Print_Titles</vt:lpstr>
      <vt:lpstr>W20_PG_3_of_3!Print_Titles</vt:lpstr>
      <vt:lpstr>W27_PG_2_of_3!Print_Titles</vt:lpstr>
      <vt:lpstr>W27_PG_3_of_3!Print_Titles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
  <dc:description/>
  <cp:lastModifiedBy>s012197</cp:lastModifiedBy>
  <cp:revision>2</cp:revision>
  <cp:lastPrinted>2020-07-23T06:01:51Z</cp:lastPrinted>
  <dcterms:created xsi:type="dcterms:W3CDTF">2020-07-23T02:42:28Z</dcterms:created>
  <dcterms:modified xsi:type="dcterms:W3CDTF">2020-07-26T20:11:10Z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386cc2f8-3ca9-41cf-a502-b9857d10cf8d</vt:lpwstr>
  </property>
  <property fmtid="{D5CDD505-2E9C-101B-9397-08002B2CF9AE}" pid="3" name="bjSaver">
    <vt:lpwstr>mHnpUGvhrYAwVF9YqH5Whw/DnKUHosNP</vt:lpwstr>
  </property>
  <property fmtid="{D5CDD505-2E9C-101B-9397-08002B2CF9AE}" pid="4"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5" name="bjDocumentLabelXML-0">
    <vt:lpwstr>ames.com/2008/01/sie/internal/label"&gt;&lt;element uid="50c31824-0780-4910-87d1-eaaffd182d42" value="" /&gt;&lt;/sisl&gt;</vt:lpwstr>
  </property>
  <property fmtid="{D5CDD505-2E9C-101B-9397-08002B2CF9AE}" pid="6" name="bjDocumentSecurityLabel">
    <vt:lpwstr>AEP Internal</vt:lpwstr>
  </property>
  <property fmtid="{D5CDD505-2E9C-101B-9397-08002B2CF9AE}" pid="7" name="ContentTypeId">
    <vt:lpwstr>0x0101002135A8D66889804D93A541DC7FCD6740</vt:lpwstr>
  </property>
</Properties>
</file>