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olors14.xml" ContentType="application/vnd.ms-office.chartcolorstyle+xml"/>
  <Override PartName="/xl/charts/style14.xml" ContentType="application/vnd.ms-office.chartstyle+xml"/>
  <Override PartName="/xl/charts/chart14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15.xml" ContentType="application/vnd.ms-office.chartcolorstyle+xml"/>
  <Override PartName="/xl/theme/themeOverride13.xml" ContentType="application/vnd.openxmlformats-officedocument.themeOverride+xml"/>
  <Override PartName="/xl/charts/colors13.xml" ContentType="application/vnd.ms-office.chartcolorstyle+xml"/>
  <Override PartName="/xl/charts/style13.xml" ContentType="application/vnd.ms-office.chartstyle+xml"/>
  <Override PartName="/xl/charts/style11.xml" ContentType="application/vnd.ms-office.chartstyle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theme/themeOverride10.xml" ContentType="application/vnd.openxmlformats-officedocument.themeOverride+xml"/>
  <Override PartName="/xl/charts/colors11.xml" ContentType="application/vnd.ms-office.chartcolorstyle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theme/themeOverride12.xml" ContentType="application/vnd.openxmlformats-officedocument.themeOverride+xml"/>
  <Override PartName="/xl/charts/colors12.xml" ContentType="application/vnd.ms-office.chartcolorstyle+xml"/>
  <Override PartName="/xl/charts/style12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chart10.xml" ContentType="application/vnd.openxmlformats-officedocument.drawingml.chart+xml"/>
  <Override PartName="/xl/charts/style2.xml" ContentType="application/vnd.ms-office.chartstyle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olors1.xml" ContentType="application/vnd.ms-office.chartcolor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olors3.xml" ContentType="application/vnd.ms-office.chartcolorstyle+xml"/>
  <Override PartName="/xl/charts/style3.xml" ContentType="application/vnd.ms-office.chart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charts/style4.xml" ContentType="application/vnd.ms-office.chartstyle+xml"/>
  <Override PartName="/xl/charts/style10.xml" ContentType="application/vnd.ms-office.chartstyle+xml"/>
  <Override PartName="/xl/theme/themeOverride7.xml" ContentType="application/vnd.openxmlformats-officedocument.themeOverride+xml"/>
  <Override PartName="/xl/charts/colors6.xml" ContentType="application/vnd.ms-office.chartcolorstyle+xml"/>
  <Override PartName="/xl/theme/themeOverride8.xml" ContentType="application/vnd.openxmlformats-officedocument.themeOverride+xml"/>
  <Override PartName="/xl/charts/style6.xml" ContentType="application/vnd.ms-office.chartstyl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hart8.xml" ContentType="application/vnd.openxmlformats-officedocument.drawingml.chart+xml"/>
  <Override PartName="/xl/charts/colors7.xml" ContentType="application/vnd.ms-office.chartcolorstyle+xml"/>
  <Override PartName="/xl/theme/themeOverride5.xml" ContentType="application/vnd.openxmlformats-officedocument.themeOverride+xml"/>
  <Override PartName="/xl/charts/style5.xml" ContentType="application/vnd.ms-office.chartstyle+xml"/>
  <Override PartName="/xl/theme/themeOverride9.xml" ContentType="application/vnd.openxmlformats-officedocument.themeOverride+xml"/>
  <Override PartName="/xl/charts/colors9.xml" ContentType="application/vnd.ms-office.chartcolorstyle+xml"/>
  <Override PartName="/xl/charts/colors5.xml" ContentType="application/vnd.ms-office.chartcolorstyle+xml"/>
  <Override PartName="/xl/charts/style9.xml" ContentType="application/vnd.ms-office.chartstyle+xml"/>
  <Override PartName="/xl/charts/colors4.xml" ContentType="application/vnd.ms-office.chartcolorstyle+xml"/>
  <Override PartName="/xl/charts/chart9.xml" ContentType="application/vnd.openxmlformats-officedocument.drawingml.chart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8" windowWidth="14808" windowHeight="8016" tabRatio="799" activeTab="3"/>
  </bookViews>
  <sheets>
    <sheet name="EXHIBIT EGP X" sheetId="11" r:id="rId1"/>
    <sheet name="Summary" sheetId="1" r:id="rId2"/>
    <sheet name="Age of Brush-need work for v4" sheetId="8" r:id="rId3"/>
    <sheet name="Hours" sheetId="10" r:id="rId4"/>
    <sheet name="Task Clearing" sheetId="2" r:id="rId5"/>
    <sheet name="Spray" sheetId="4" r:id="rId6"/>
    <sheet name="Internal" sheetId="3" r:id="rId7"/>
    <sheet name="Reactive" sheetId="5" r:id="rId8"/>
    <sheet name="Hours raw data" sheetId="9" r:id="rId9"/>
    <sheet name="Cost by Worktype" sheetId="7" r:id="rId10"/>
    <sheet name="Capital Exp" sheetId="17" r:id="rId11"/>
    <sheet name="One Way Balance" sheetId="18" r:id="rId12"/>
  </sheets>
  <definedNames>
    <definedName name="_xlnm._FilterDatabase" localSheetId="8" hidden="1">'Hours raw data'!$A$3:$D$130</definedName>
  </definedNames>
  <calcPr calcId="162913"/>
</workbook>
</file>

<file path=xl/calcChain.xml><?xml version="1.0" encoding="utf-8"?>
<calcChain xmlns="http://schemas.openxmlformats.org/spreadsheetml/2006/main">
  <c r="E6" i="1" l="1"/>
  <c r="E18" i="1"/>
  <c r="C9" i="18" l="1"/>
  <c r="B9" i="18"/>
  <c r="D8" i="18"/>
  <c r="D7" i="18"/>
  <c r="D6" i="18"/>
  <c r="D5" i="18"/>
  <c r="D4" i="18"/>
  <c r="D9" i="18" l="1"/>
  <c r="G5" i="17"/>
  <c r="G6" i="17"/>
  <c r="G4" i="17"/>
  <c r="F6" i="17" l="1"/>
  <c r="E6" i="17"/>
  <c r="D6" i="17"/>
  <c r="C6" i="17"/>
  <c r="B7" i="11" l="1"/>
  <c r="B8" i="11"/>
  <c r="M6" i="1" l="1"/>
  <c r="K6" i="1"/>
  <c r="I6" i="1"/>
  <c r="G6" i="1"/>
  <c r="M9" i="1"/>
  <c r="K9" i="1"/>
  <c r="I9" i="1"/>
  <c r="G9" i="1"/>
  <c r="B9" i="1"/>
  <c r="AB31" i="8" l="1"/>
  <c r="AA31" i="8"/>
  <c r="AF25" i="8" s="1"/>
  <c r="Z31" i="8"/>
  <c r="AE24" i="8" s="1"/>
  <c r="Y31" i="8"/>
  <c r="AD23" i="8" s="1"/>
  <c r="X31" i="8"/>
  <c r="AC22" i="8" s="1"/>
  <c r="W31" i="8"/>
  <c r="AB21" i="8" s="1"/>
  <c r="V31" i="8"/>
  <c r="U31" i="8"/>
  <c r="T31" i="8"/>
  <c r="S31" i="8"/>
  <c r="K31" i="8"/>
  <c r="J31" i="8"/>
  <c r="O25" i="8" s="1"/>
  <c r="I31" i="8"/>
  <c r="H31" i="8"/>
  <c r="M23" i="8" s="1"/>
  <c r="G31" i="8"/>
  <c r="L22" i="8" s="1"/>
  <c r="F31" i="8"/>
  <c r="K21" i="8" s="1"/>
  <c r="E31" i="8"/>
  <c r="D31" i="8"/>
  <c r="C31" i="8"/>
  <c r="B31" i="8"/>
  <c r="N24" i="8"/>
  <c r="U14" i="8"/>
  <c r="T14" i="8"/>
  <c r="S14" i="8"/>
  <c r="D14" i="8"/>
  <c r="W13" i="8"/>
  <c r="V13" i="8"/>
  <c r="F13" i="8"/>
  <c r="E13" i="8"/>
  <c r="V12" i="8"/>
  <c r="C12" i="8"/>
  <c r="E12" i="8" s="1"/>
  <c r="B12" i="8"/>
  <c r="V11" i="8"/>
  <c r="C11" i="8"/>
  <c r="B11" i="8"/>
  <c r="E11" i="8" s="1"/>
  <c r="V10" i="8"/>
  <c r="C10" i="8"/>
  <c r="B10" i="8"/>
  <c r="V9" i="8"/>
  <c r="C9" i="8"/>
  <c r="B9" i="8"/>
  <c r="E9" i="8" s="1"/>
  <c r="V8" i="8"/>
  <c r="B8" i="8"/>
  <c r="E8" i="8" s="1"/>
  <c r="V7" i="8"/>
  <c r="B7" i="8"/>
  <c r="E7" i="8" s="1"/>
  <c r="V6" i="8"/>
  <c r="B6" i="8"/>
  <c r="V5" i="8"/>
  <c r="B5" i="8"/>
  <c r="E5" i="8" s="1"/>
  <c r="V4" i="8"/>
  <c r="W4" i="8" s="1"/>
  <c r="B4" i="8"/>
  <c r="E4" i="8" s="1"/>
  <c r="F4" i="8" s="1"/>
  <c r="J34" i="10"/>
  <c r="K34" i="10"/>
  <c r="L34" i="10"/>
  <c r="I34" i="10"/>
  <c r="M24" i="10"/>
  <c r="M25" i="10"/>
  <c r="M26" i="10"/>
  <c r="M27" i="10"/>
  <c r="M28" i="10"/>
  <c r="M29" i="10"/>
  <c r="M30" i="10"/>
  <c r="M31" i="10"/>
  <c r="M32" i="10"/>
  <c r="M33" i="10"/>
  <c r="M23" i="10"/>
  <c r="D34" i="10"/>
  <c r="E34" i="10"/>
  <c r="F34" i="10"/>
  <c r="C34" i="10"/>
  <c r="G24" i="10"/>
  <c r="G25" i="10"/>
  <c r="G26" i="10"/>
  <c r="G27" i="10"/>
  <c r="G28" i="10"/>
  <c r="G29" i="10"/>
  <c r="G30" i="10"/>
  <c r="G31" i="10"/>
  <c r="G32" i="10"/>
  <c r="G33" i="10"/>
  <c r="G23" i="10"/>
  <c r="K17" i="10"/>
  <c r="K18" i="10" s="1"/>
  <c r="J17" i="10"/>
  <c r="J18" i="10" s="1"/>
  <c r="I17" i="10"/>
  <c r="I18" i="10" s="1"/>
  <c r="L16" i="10"/>
  <c r="M16" i="10" s="1"/>
  <c r="L15" i="10"/>
  <c r="M15" i="10" s="1"/>
  <c r="L14" i="10"/>
  <c r="M14" i="10" s="1"/>
  <c r="L13" i="10"/>
  <c r="M13" i="10" s="1"/>
  <c r="L12" i="10"/>
  <c r="M12" i="10" s="1"/>
  <c r="L11" i="10"/>
  <c r="M11" i="10" s="1"/>
  <c r="L10" i="10"/>
  <c r="M10" i="10" s="1"/>
  <c r="L9" i="10"/>
  <c r="M9" i="10" s="1"/>
  <c r="L8" i="10"/>
  <c r="M8" i="10" s="1"/>
  <c r="L7" i="10"/>
  <c r="M7" i="10" s="1"/>
  <c r="E17" i="10"/>
  <c r="E18" i="10" s="1"/>
  <c r="D17" i="10"/>
  <c r="D18" i="10" s="1"/>
  <c r="F16" i="10"/>
  <c r="G16" i="10" s="1"/>
  <c r="F15" i="10"/>
  <c r="G15" i="10" s="1"/>
  <c r="F14" i="10"/>
  <c r="G14" i="10" s="1"/>
  <c r="F13" i="10"/>
  <c r="G13" i="10" s="1"/>
  <c r="F12" i="10"/>
  <c r="G12" i="10" s="1"/>
  <c r="F11" i="10"/>
  <c r="G11" i="10" s="1"/>
  <c r="F10" i="10"/>
  <c r="G10" i="10" s="1"/>
  <c r="F9" i="10"/>
  <c r="G9" i="10" s="1"/>
  <c r="F8" i="10"/>
  <c r="G8" i="10" s="1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4" i="9"/>
  <c r="G15" i="1"/>
  <c r="I15" i="1" s="1"/>
  <c r="K15" i="1" s="1"/>
  <c r="M15" i="1" s="1"/>
  <c r="G12" i="1"/>
  <c r="I12" i="1" s="1"/>
  <c r="K12" i="1" s="1"/>
  <c r="M12" i="1" s="1"/>
  <c r="G18" i="1" l="1"/>
  <c r="G20" i="1" s="1"/>
  <c r="E10" i="8"/>
  <c r="X6" i="8"/>
  <c r="AA6" i="8" s="1"/>
  <c r="C14" i="8"/>
  <c r="X5" i="8"/>
  <c r="X11" i="8"/>
  <c r="AA11" i="8" s="1"/>
  <c r="X8" i="8"/>
  <c r="Z8" i="8" s="1"/>
  <c r="X7" i="8"/>
  <c r="Z7" i="8" s="1"/>
  <c r="B14" i="8"/>
  <c r="G11" i="8" s="1"/>
  <c r="X13" i="8"/>
  <c r="Z13" i="8" s="1"/>
  <c r="AA13" i="8"/>
  <c r="F5" i="8"/>
  <c r="G4" i="8"/>
  <c r="X12" i="8"/>
  <c r="W5" i="8"/>
  <c r="W6" i="8" s="1"/>
  <c r="W7" i="8" s="1"/>
  <c r="W8" i="8" s="1"/>
  <c r="W9" i="8" s="1"/>
  <c r="W10" i="8" s="1"/>
  <c r="W11" i="8" s="1"/>
  <c r="W12" i="8" s="1"/>
  <c r="X4" i="8"/>
  <c r="X10" i="8"/>
  <c r="E6" i="8"/>
  <c r="G5" i="8" s="1"/>
  <c r="Z6" i="8"/>
  <c r="X9" i="8"/>
  <c r="L17" i="10"/>
  <c r="G8" i="8" l="1"/>
  <c r="G12" i="8"/>
  <c r="I12" i="8" s="1"/>
  <c r="G9" i="8"/>
  <c r="G7" i="8"/>
  <c r="J7" i="8" s="1"/>
  <c r="G10" i="8"/>
  <c r="I10" i="8" s="1"/>
  <c r="G13" i="8"/>
  <c r="I13" i="8" s="1"/>
  <c r="AA7" i="8"/>
  <c r="AA8" i="8"/>
  <c r="Z11" i="8"/>
  <c r="F6" i="8"/>
  <c r="F7" i="8" s="1"/>
  <c r="F8" i="8" s="1"/>
  <c r="F9" i="8" s="1"/>
  <c r="F10" i="8" s="1"/>
  <c r="F11" i="8" s="1"/>
  <c r="F12" i="8" s="1"/>
  <c r="G6" i="8"/>
  <c r="Z9" i="8"/>
  <c r="AA9" i="8"/>
  <c r="J12" i="8"/>
  <c r="Z10" i="8"/>
  <c r="AA10" i="8"/>
  <c r="J9" i="8"/>
  <c r="I9" i="8"/>
  <c r="Z12" i="8"/>
  <c r="AA12" i="8"/>
  <c r="I7" i="8"/>
  <c r="J11" i="8"/>
  <c r="I11" i="8"/>
  <c r="J8" i="8"/>
  <c r="I8" i="8"/>
  <c r="L18" i="10"/>
  <c r="M17" i="10"/>
  <c r="J13" i="8" l="1"/>
  <c r="J10" i="8"/>
  <c r="AA15" i="8"/>
  <c r="I6" i="8"/>
  <c r="J6" i="8"/>
  <c r="J15" i="8"/>
  <c r="R78" i="2" l="1"/>
  <c r="R79" i="2" s="1"/>
  <c r="Q78" i="2"/>
  <c r="P78" i="2"/>
  <c r="P79" i="2" s="1"/>
  <c r="O78" i="2"/>
  <c r="O79" i="2" s="1"/>
  <c r="R77" i="2"/>
  <c r="S77" i="2" s="1"/>
  <c r="Q77" i="2"/>
  <c r="R76" i="2"/>
  <c r="S76" i="2" s="1"/>
  <c r="P76" i="2"/>
  <c r="O76" i="2"/>
  <c r="S75" i="2"/>
  <c r="R75" i="2"/>
  <c r="P75" i="2"/>
  <c r="O75" i="2"/>
  <c r="R74" i="2"/>
  <c r="S74" i="2" s="1"/>
  <c r="P74" i="2"/>
  <c r="O74" i="2"/>
  <c r="S73" i="2"/>
  <c r="R73" i="2"/>
  <c r="P73" i="2"/>
  <c r="O73" i="2"/>
  <c r="R72" i="2"/>
  <c r="S72" i="2" s="1"/>
  <c r="O72" i="2"/>
  <c r="R71" i="2"/>
  <c r="S71" i="2" s="1"/>
  <c r="O71" i="2"/>
  <c r="R70" i="2"/>
  <c r="S70" i="2" s="1"/>
  <c r="O70" i="2"/>
  <c r="R69" i="2"/>
  <c r="S69" i="2" s="1"/>
  <c r="O69" i="2"/>
  <c r="S68" i="2"/>
  <c r="R68" i="2"/>
  <c r="O68" i="2"/>
  <c r="J79" i="2"/>
  <c r="K79" i="2"/>
  <c r="L79" i="2"/>
  <c r="I79" i="2"/>
  <c r="M69" i="2"/>
  <c r="M70" i="2"/>
  <c r="M71" i="2"/>
  <c r="M72" i="2"/>
  <c r="M73" i="2"/>
  <c r="M74" i="2"/>
  <c r="M75" i="2"/>
  <c r="M76" i="2"/>
  <c r="M77" i="2"/>
  <c r="M78" i="2"/>
  <c r="M68" i="2"/>
  <c r="L78" i="2"/>
  <c r="L69" i="2"/>
  <c r="L70" i="2"/>
  <c r="L71" i="2"/>
  <c r="L72" i="2"/>
  <c r="L73" i="2"/>
  <c r="L74" i="2"/>
  <c r="L75" i="2"/>
  <c r="L76" i="2"/>
  <c r="L77" i="2"/>
  <c r="L68" i="2"/>
  <c r="J78" i="2"/>
  <c r="K78" i="2"/>
  <c r="I78" i="2"/>
  <c r="D79" i="2"/>
  <c r="E79" i="2"/>
  <c r="F79" i="2"/>
  <c r="C79" i="2"/>
  <c r="G69" i="2"/>
  <c r="G70" i="2"/>
  <c r="G71" i="2"/>
  <c r="G72" i="2"/>
  <c r="G73" i="2"/>
  <c r="G74" i="2"/>
  <c r="G75" i="2"/>
  <c r="G76" i="2"/>
  <c r="G77" i="2"/>
  <c r="G78" i="2"/>
  <c r="G68" i="2"/>
  <c r="F78" i="2"/>
  <c r="F69" i="2"/>
  <c r="F70" i="2"/>
  <c r="F71" i="2"/>
  <c r="F72" i="2"/>
  <c r="F73" i="2"/>
  <c r="F74" i="2"/>
  <c r="F75" i="2"/>
  <c r="F76" i="2"/>
  <c r="F77" i="2"/>
  <c r="F68" i="2"/>
  <c r="D78" i="2"/>
  <c r="E78" i="2"/>
  <c r="C78" i="2"/>
  <c r="S78" i="2" l="1"/>
  <c r="D17" i="4" l="1"/>
  <c r="E17" i="4"/>
  <c r="F17" i="4"/>
  <c r="C17" i="4"/>
  <c r="G7" i="4"/>
  <c r="G8" i="4"/>
  <c r="G9" i="4"/>
  <c r="G10" i="4"/>
  <c r="G11" i="4"/>
  <c r="G12" i="4"/>
  <c r="G13" i="4"/>
  <c r="G14" i="4"/>
  <c r="G15" i="4"/>
  <c r="G16" i="4"/>
  <c r="G6" i="4"/>
  <c r="K50" i="7"/>
  <c r="K51" i="7"/>
  <c r="K52" i="7"/>
  <c r="K53" i="7"/>
  <c r="K54" i="7"/>
  <c r="K55" i="7"/>
  <c r="K56" i="7"/>
  <c r="K57" i="7"/>
  <c r="K58" i="7"/>
  <c r="K49" i="7"/>
  <c r="D59" i="7"/>
  <c r="E59" i="7"/>
  <c r="F59" i="7"/>
  <c r="G59" i="7"/>
  <c r="H59" i="7"/>
  <c r="I59" i="7"/>
  <c r="J59" i="7"/>
  <c r="C59" i="7"/>
  <c r="C58" i="7"/>
  <c r="E30" i="7"/>
  <c r="F30" i="7"/>
  <c r="G30" i="7"/>
  <c r="H30" i="7"/>
  <c r="I30" i="7"/>
  <c r="J30" i="7"/>
  <c r="K30" i="7"/>
  <c r="D30" i="7"/>
  <c r="L19" i="7"/>
  <c r="L20" i="7"/>
  <c r="L21" i="7"/>
  <c r="L22" i="7"/>
  <c r="L23" i="7"/>
  <c r="L24" i="7"/>
  <c r="L25" i="7"/>
  <c r="L26" i="7"/>
  <c r="L27" i="7"/>
  <c r="L28" i="7"/>
  <c r="L29" i="7"/>
  <c r="L18" i="7"/>
  <c r="O6" i="4" l="1"/>
  <c r="D17" i="5"/>
  <c r="E17" i="5"/>
  <c r="F17" i="5"/>
  <c r="C17" i="5"/>
  <c r="G7" i="5"/>
  <c r="G8" i="5"/>
  <c r="G9" i="5"/>
  <c r="G10" i="5"/>
  <c r="G11" i="5"/>
  <c r="G12" i="5"/>
  <c r="G13" i="5"/>
  <c r="G14" i="5"/>
  <c r="G15" i="5"/>
  <c r="G16" i="5"/>
  <c r="G6" i="5"/>
  <c r="S15" i="4"/>
  <c r="P17" i="4"/>
  <c r="Q17" i="4"/>
  <c r="Q15" i="4"/>
  <c r="P11" i="4"/>
  <c r="P12" i="4"/>
  <c r="P13" i="4"/>
  <c r="P14" i="4"/>
  <c r="O7" i="4"/>
  <c r="O8" i="4"/>
  <c r="O9" i="4"/>
  <c r="O10" i="4"/>
  <c r="O11" i="4"/>
  <c r="O12" i="4"/>
  <c r="O13" i="4"/>
  <c r="O14" i="4"/>
  <c r="Q16" i="4"/>
  <c r="J17" i="4"/>
  <c r="K17" i="4"/>
  <c r="K16" i="4"/>
  <c r="L7" i="4"/>
  <c r="L8" i="4"/>
  <c r="L9" i="4"/>
  <c r="L10" i="4"/>
  <c r="L11" i="4"/>
  <c r="L12" i="4"/>
  <c r="L13" i="4"/>
  <c r="L14" i="4"/>
  <c r="L15" i="4"/>
  <c r="L6" i="4"/>
  <c r="F7" i="4"/>
  <c r="F8" i="4"/>
  <c r="F9" i="4"/>
  <c r="F10" i="4"/>
  <c r="F11" i="4"/>
  <c r="F12" i="4"/>
  <c r="F13" i="4"/>
  <c r="F14" i="4"/>
  <c r="F15" i="4"/>
  <c r="F6" i="4"/>
  <c r="E16" i="4"/>
  <c r="Q14" i="2"/>
  <c r="K16" i="2"/>
  <c r="L6" i="2"/>
  <c r="L7" i="2"/>
  <c r="L8" i="2"/>
  <c r="L9" i="2"/>
  <c r="L10" i="2"/>
  <c r="L11" i="2"/>
  <c r="L12" i="2"/>
  <c r="L13" i="2"/>
  <c r="L14" i="2"/>
  <c r="L5" i="2"/>
  <c r="K15" i="2"/>
  <c r="F6" i="2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5" i="2"/>
  <c r="G5" i="2" s="1"/>
  <c r="E15" i="2"/>
  <c r="E16" i="2" s="1"/>
  <c r="K4" i="3"/>
  <c r="K5" i="3"/>
  <c r="K6" i="3"/>
  <c r="K7" i="3"/>
  <c r="K8" i="3"/>
  <c r="H9" i="3"/>
  <c r="H10" i="3" s="1"/>
  <c r="I9" i="3"/>
  <c r="I10" i="3" s="1"/>
  <c r="J9" i="3"/>
  <c r="J10" i="3" s="1"/>
  <c r="Q15" i="2" l="1"/>
  <c r="R6" i="4"/>
  <c r="S6" i="4" s="1"/>
  <c r="K9" i="3"/>
  <c r="L5" i="3" s="1"/>
  <c r="P11" i="2"/>
  <c r="P12" i="2"/>
  <c r="P13" i="2"/>
  <c r="P10" i="2"/>
  <c r="O6" i="2"/>
  <c r="O7" i="2"/>
  <c r="O8" i="2"/>
  <c r="O9" i="2"/>
  <c r="O10" i="2"/>
  <c r="O11" i="2"/>
  <c r="O12" i="2"/>
  <c r="O13" i="2"/>
  <c r="O5" i="2"/>
  <c r="M5" i="2"/>
  <c r="M6" i="2"/>
  <c r="M7" i="2"/>
  <c r="M8" i="2"/>
  <c r="M9" i="2"/>
  <c r="M10" i="2"/>
  <c r="M11" i="2"/>
  <c r="M12" i="2"/>
  <c r="M13" i="2"/>
  <c r="M14" i="2"/>
  <c r="I15" i="2"/>
  <c r="J15" i="2"/>
  <c r="J16" i="2" s="1"/>
  <c r="I16" i="2" l="1"/>
  <c r="L15" i="2"/>
  <c r="L16" i="2" s="1"/>
  <c r="L9" i="3"/>
  <c r="K10" i="3"/>
  <c r="L8" i="3"/>
  <c r="L4" i="3"/>
  <c r="L7" i="3"/>
  <c r="L6" i="3"/>
  <c r="M15" i="2"/>
  <c r="M6" i="4"/>
  <c r="M7" i="4"/>
  <c r="M8" i="4"/>
  <c r="M9" i="4"/>
  <c r="M10" i="4"/>
  <c r="M11" i="4"/>
  <c r="M12" i="4"/>
  <c r="M13" i="4"/>
  <c r="M14" i="4"/>
  <c r="M15" i="4"/>
  <c r="I16" i="4"/>
  <c r="J16" i="4"/>
  <c r="D9" i="3"/>
  <c r="E9" i="3" s="1"/>
  <c r="H7" i="5"/>
  <c r="H15" i="5"/>
  <c r="H6" i="5"/>
  <c r="D15" i="2"/>
  <c r="D16" i="2" s="1"/>
  <c r="C15" i="2"/>
  <c r="C16" i="2" s="1"/>
  <c r="D16" i="4"/>
  <c r="P16" i="4" s="1"/>
  <c r="C16" i="4"/>
  <c r="E16" i="5"/>
  <c r="D16" i="5"/>
  <c r="C16" i="5"/>
  <c r="F15" i="5"/>
  <c r="F14" i="5"/>
  <c r="F13" i="5"/>
  <c r="F12" i="5"/>
  <c r="F11" i="5"/>
  <c r="F10" i="5"/>
  <c r="H10" i="5" s="1"/>
  <c r="F9" i="5"/>
  <c r="H9" i="5" s="1"/>
  <c r="F8" i="5"/>
  <c r="F7" i="5"/>
  <c r="F6" i="5"/>
  <c r="I58" i="7"/>
  <c r="H58" i="7"/>
  <c r="G58" i="7"/>
  <c r="F58" i="7"/>
  <c r="E58" i="7"/>
  <c r="D58" i="7"/>
  <c r="J57" i="7"/>
  <c r="J56" i="7"/>
  <c r="J55" i="7"/>
  <c r="J54" i="7"/>
  <c r="J53" i="7"/>
  <c r="J52" i="7"/>
  <c r="J51" i="7"/>
  <c r="J50" i="7"/>
  <c r="J49" i="7"/>
  <c r="J43" i="7"/>
  <c r="I43" i="7"/>
  <c r="H43" i="7"/>
  <c r="G43" i="7"/>
  <c r="F43" i="7"/>
  <c r="E43" i="7"/>
  <c r="D43" i="7"/>
  <c r="C43" i="7"/>
  <c r="B43" i="7"/>
  <c r="K42" i="7"/>
  <c r="K41" i="7"/>
  <c r="K40" i="7"/>
  <c r="K39" i="7"/>
  <c r="K38" i="7"/>
  <c r="K37" i="7"/>
  <c r="K36" i="7"/>
  <c r="M6" i="7"/>
  <c r="M7" i="7"/>
  <c r="M8" i="7"/>
  <c r="M9" i="7"/>
  <c r="M10" i="7"/>
  <c r="M11" i="7"/>
  <c r="M5" i="7"/>
  <c r="K19" i="7"/>
  <c r="K20" i="7"/>
  <c r="K21" i="7"/>
  <c r="K22" i="7"/>
  <c r="K23" i="7"/>
  <c r="K24" i="7"/>
  <c r="K25" i="7"/>
  <c r="K26" i="7"/>
  <c r="K27" i="7"/>
  <c r="K28" i="7"/>
  <c r="K18" i="7"/>
  <c r="E29" i="7"/>
  <c r="F29" i="7"/>
  <c r="G29" i="7"/>
  <c r="H29" i="7"/>
  <c r="I29" i="7"/>
  <c r="J29" i="7"/>
  <c r="D29" i="7"/>
  <c r="B12" i="7"/>
  <c r="C12" i="7"/>
  <c r="D12" i="7"/>
  <c r="E12" i="7"/>
  <c r="F12" i="7"/>
  <c r="G12" i="7"/>
  <c r="H12" i="7"/>
  <c r="I12" i="7"/>
  <c r="J12" i="7"/>
  <c r="K12" i="7"/>
  <c r="L12" i="7"/>
  <c r="F16" i="4" l="1"/>
  <c r="F15" i="2"/>
  <c r="I17" i="4"/>
  <c r="L16" i="4"/>
  <c r="L17" i="4" s="1"/>
  <c r="H14" i="5"/>
  <c r="H13" i="5"/>
  <c r="H8" i="5"/>
  <c r="H12" i="5"/>
  <c r="H11" i="5"/>
  <c r="R9" i="4"/>
  <c r="S9" i="4" s="1"/>
  <c r="O16" i="4"/>
  <c r="O17" i="4" s="1"/>
  <c r="R15" i="4"/>
  <c r="R8" i="4"/>
  <c r="S8" i="4" s="1"/>
  <c r="R11" i="4"/>
  <c r="S11" i="4" s="1"/>
  <c r="R7" i="4"/>
  <c r="S7" i="4" s="1"/>
  <c r="R10" i="4"/>
  <c r="S10" i="4" s="1"/>
  <c r="R12" i="4"/>
  <c r="S12" i="4" s="1"/>
  <c r="R13" i="4"/>
  <c r="S13" i="4" s="1"/>
  <c r="R14" i="4"/>
  <c r="S14" i="4" s="1"/>
  <c r="R11" i="2"/>
  <c r="S11" i="2" s="1"/>
  <c r="R10" i="2"/>
  <c r="S10" i="2" s="1"/>
  <c r="R12" i="2"/>
  <c r="S12" i="2" s="1"/>
  <c r="R14" i="2"/>
  <c r="S14" i="2" s="1"/>
  <c r="R7" i="2"/>
  <c r="S7" i="2" s="1"/>
  <c r="O15" i="2"/>
  <c r="O16" i="2" s="1"/>
  <c r="R5" i="2"/>
  <c r="S5" i="2" s="1"/>
  <c r="R6" i="2"/>
  <c r="S6" i="2" s="1"/>
  <c r="R8" i="2"/>
  <c r="S8" i="2" s="1"/>
  <c r="P15" i="2"/>
  <c r="P16" i="2" s="1"/>
  <c r="R13" i="2"/>
  <c r="S13" i="2" s="1"/>
  <c r="R9" i="2"/>
  <c r="S9" i="2" s="1"/>
  <c r="R16" i="4"/>
  <c r="E5" i="3"/>
  <c r="E4" i="3"/>
  <c r="E6" i="3"/>
  <c r="E7" i="3"/>
  <c r="E8" i="3"/>
  <c r="F16" i="5"/>
  <c r="K43" i="7"/>
  <c r="J58" i="7"/>
  <c r="K29" i="7"/>
  <c r="M12" i="7"/>
  <c r="F16" i="2" l="1"/>
  <c r="G15" i="2"/>
  <c r="R17" i="4"/>
  <c r="S16" i="4"/>
  <c r="R15" i="2"/>
  <c r="R16" i="2" s="1"/>
  <c r="M16" i="4"/>
  <c r="S15" i="2" l="1"/>
  <c r="F7" i="10" l="1"/>
  <c r="G7" i="10" s="1"/>
  <c r="C17" i="10"/>
  <c r="C18" i="10" s="1"/>
  <c r="F17" i="10" l="1"/>
  <c r="G17" i="10" l="1"/>
  <c r="F18" i="10"/>
  <c r="I18" i="1"/>
  <c r="I20" i="1" l="1"/>
  <c r="C4" i="11"/>
  <c r="M18" i="1"/>
  <c r="K18" i="1"/>
  <c r="K20" i="1" l="1"/>
  <c r="C5" i="11"/>
  <c r="M20" i="1"/>
  <c r="C6" i="11"/>
  <c r="C8" i="11"/>
  <c r="C7" i="11"/>
</calcChain>
</file>

<file path=xl/sharedStrings.xml><?xml version="1.0" encoding="utf-8"?>
<sst xmlns="http://schemas.openxmlformats.org/spreadsheetml/2006/main" count="813" uniqueCount="125">
  <si>
    <t>DMC</t>
  </si>
  <si>
    <t>DMI</t>
  </si>
  <si>
    <t>DGS</t>
  </si>
  <si>
    <t>DGI</t>
  </si>
  <si>
    <t>DHS</t>
  </si>
  <si>
    <t>DQS</t>
  </si>
  <si>
    <t>MIS</t>
  </si>
  <si>
    <t>Contract Dollars Summary Report</t>
  </si>
  <si>
    <t>Total</t>
  </si>
  <si>
    <t>Jan 1 to Dec 31 for all years except current year</t>
  </si>
  <si>
    <t>*Jan 1 to Apr 25</t>
  </si>
  <si>
    <t>Initial Work (DMC, DGS = Task 1)  &amp;  Interim Work (DMI, DGI = Task 2)  &amp;  Five Year Cycle Work (DMC, DGS = Task 3)</t>
  </si>
  <si>
    <t>Five Year Cycle Began 2019</t>
  </si>
  <si>
    <t>Initial Work (DMC, DGS = Task 1)  &amp;  Interim Work (DMI, DGI = Task 2)</t>
  </si>
  <si>
    <t>Year</t>
  </si>
  <si>
    <t>Work Type</t>
  </si>
  <si>
    <t>Monthly Average</t>
  </si>
  <si>
    <t>Reactive Expenditures</t>
  </si>
  <si>
    <t>Internal</t>
  </si>
  <si>
    <t>Spray Expenditures</t>
  </si>
  <si>
    <t>Internal Expenditures</t>
  </si>
  <si>
    <t>Spray Acres Completed</t>
  </si>
  <si>
    <t>Spray Cost per Acre</t>
  </si>
  <si>
    <t>Circuit Summary Report</t>
  </si>
  <si>
    <t>Maintenance Clearing Expenditures</t>
  </si>
  <si>
    <t>Maintenance Miles Completed</t>
  </si>
  <si>
    <t>Internal Total</t>
  </si>
  <si>
    <t>Task 1</t>
  </si>
  <si>
    <t>Task 2</t>
  </si>
  <si>
    <t>5YCycle</t>
  </si>
  <si>
    <t>5 Year Cycle</t>
  </si>
  <si>
    <t>Overall</t>
  </si>
  <si>
    <t>2010*</t>
  </si>
  <si>
    <t>2020*</t>
  </si>
  <si>
    <t>Jan 1 to Dec 31 for all years except 2010 and 2020</t>
  </si>
  <si>
    <t>*Jul 1 to Dec 31</t>
  </si>
  <si>
    <t>Jan 1 to Dec 31 for all years except 2010</t>
  </si>
  <si>
    <t>Jan 1 to Dec 31 *(2010 = Jul 1 to Dec 31)</t>
  </si>
  <si>
    <t>Monthly Miles Completed</t>
  </si>
  <si>
    <t>Monthly Clearing Expenditures</t>
  </si>
  <si>
    <t>Base Line</t>
  </si>
  <si>
    <t>Yr.2020</t>
  </si>
  <si>
    <t>Yr.2021</t>
  </si>
  <si>
    <t>Yr.2022</t>
  </si>
  <si>
    <t>Yr.2023</t>
  </si>
  <si>
    <t>miles</t>
  </si>
  <si>
    <t>CPM</t>
  </si>
  <si>
    <t>Spray</t>
  </si>
  <si>
    <t>Reactive</t>
  </si>
  <si>
    <t>Targeted Miles =</t>
  </si>
  <si>
    <t>Units</t>
  </si>
  <si>
    <t>Hours</t>
  </si>
  <si>
    <t>Acres</t>
  </si>
  <si>
    <t>Trees Trimmed</t>
  </si>
  <si>
    <t>Trees Removed</t>
  </si>
  <si>
    <t>Brush Cut</t>
  </si>
  <si>
    <t>Brush Sprayed</t>
  </si>
  <si>
    <t>12681D Total :</t>
  </si>
  <si>
    <t>12681F Total :</t>
  </si>
  <si>
    <t>dmc</t>
  </si>
  <si>
    <t>12681G Total :</t>
  </si>
  <si>
    <t>12681K Total :</t>
  </si>
  <si>
    <t>Grand Total :</t>
  </si>
  <si>
    <t>Circuit Summary Reports</t>
  </si>
  <si>
    <t>0.00</t>
  </si>
  <si>
    <t>dgs</t>
  </si>
  <si>
    <t>0.0</t>
  </si>
  <si>
    <t>0</t>
  </si>
  <si>
    <t>dmi</t>
  </si>
  <si>
    <t>dgi</t>
  </si>
  <si>
    <t>2ndHalf</t>
  </si>
  <si>
    <t>Work Area</t>
  </si>
  <si>
    <t>Dollars</t>
  </si>
  <si>
    <t>Circuit Level - Not Same as Contract $ Summary Report</t>
  </si>
  <si>
    <t>Sum of Hours All Units</t>
  </si>
  <si>
    <t>Grand Total Hours - Based on Units per Circuit</t>
  </si>
  <si>
    <t>Hours Based on Circuit Level Unit Reporting - May not account for all associated hours</t>
  </si>
  <si>
    <t>Hours per Acre Sprayed</t>
  </si>
  <si>
    <t>Acres Brush Cut</t>
  </si>
  <si>
    <t>Tot. Acres Cut</t>
  </si>
  <si>
    <t>T1 Cuml. Acres</t>
  </si>
  <si>
    <t>Variance</t>
  </si>
  <si>
    <t>5 Yr Cycle</t>
  </si>
  <si>
    <t>Cut Age</t>
  </si>
  <si>
    <t>Acres Brush Sprayed</t>
  </si>
  <si>
    <t>Spray Age</t>
  </si>
  <si>
    <t>T1</t>
  </si>
  <si>
    <t>T2</t>
  </si>
  <si>
    <t>T3</t>
  </si>
  <si>
    <t>T2 Offset</t>
  </si>
  <si>
    <t>Sum</t>
  </si>
  <si>
    <t>Average Yrs Age Brush Cut for 2020 -2024 =</t>
  </si>
  <si>
    <t>Average Yrs Age Brush Sprayed for 2020 -2024 =</t>
  </si>
  <si>
    <t>Yr 1 Miles</t>
  </si>
  <si>
    <t>Yr 2 Miles</t>
  </si>
  <si>
    <t>Yr 3 Miles</t>
  </si>
  <si>
    <t>Yr 4 Miles</t>
  </si>
  <si>
    <t>Yr 5 Miles</t>
  </si>
  <si>
    <t>Yr 6 Miles</t>
  </si>
  <si>
    <t>Yr 7 Miles</t>
  </si>
  <si>
    <t>Yr 8 Miles</t>
  </si>
  <si>
    <t>Yr 9 Miles</t>
  </si>
  <si>
    <t>Yr 10 Miles</t>
  </si>
  <si>
    <t>Program Acres</t>
  </si>
  <si>
    <t>Interim Re-clear</t>
  </si>
  <si>
    <t>Interim    Re-clear</t>
  </si>
  <si>
    <t>Initial          Re-clear</t>
  </si>
  <si>
    <t>Hours per Mile Completed by Task</t>
  </si>
  <si>
    <t>Initial Re-Clear</t>
  </si>
  <si>
    <t>Maintenance Cost per Mile by Task</t>
  </si>
  <si>
    <t>Initial            Re-clear</t>
  </si>
  <si>
    <t>Interim           Re-clear</t>
  </si>
  <si>
    <t>spray</t>
  </si>
  <si>
    <t>TOTAL</t>
  </si>
  <si>
    <t>3 year Average (2021, 2022, 2023)</t>
  </si>
  <si>
    <t xml:space="preserve">Exhibit EGP - 5                       5 Year Cycle                                     (Case No. 2017-00179)           </t>
  </si>
  <si>
    <t>Associated Capital Re-clear</t>
  </si>
  <si>
    <t>Capital Widening</t>
  </si>
  <si>
    <t>Total Capital</t>
  </si>
  <si>
    <t>2017                    (Mar. - Dec.)</t>
  </si>
  <si>
    <t>2020                   (Jan. - Mar.)</t>
  </si>
  <si>
    <t>Required Expenditure</t>
  </si>
  <si>
    <t>Actual Expenditure</t>
  </si>
  <si>
    <t>Kentucky Power Balancing Account Vegetation Management Program Dollars</t>
  </si>
  <si>
    <t>Recommend Proposal                    (Case No. 2020-00174)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</si>
</sst>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164" formatCode="\$#,##0.00;&quot;($&quot;#,##0.00\)"/>
    <numFmt numFmtId="165" formatCode="&quot;$&quot;#,##0"/>
    <numFmt numFmtId="166" formatCode="0.0%"/>
    <numFmt numFmtId="167" formatCode="#,##0.0"/>
    <numFmt numFmtId="168" formatCode="&quot;$&quot;#,##0.00"/>
    <numFmt numFmtId="169" formatCode="\$#,##0;&quot;($&quot;#,##0\)"/>
    <numFmt numFmtId="170" formatCode="0.0"/>
    <numFmt numFmtId="171" formatCode="\$#,##0.00;[Red]&quot;($&quot;#,##0.00\)"/>
    <numFmt numFmtId="172" formatCode="0.00\%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b/>
      <u/>
      <sz val="10"/>
      <color theme="1"/>
      <name val="Arial"/>
      <family val="2"/>
    </font>
    <font>
      <b/>
      <u/>
      <sz val="9"/>
      <color theme="1"/>
      <name val="Arial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double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auto="1"/>
      </bottom>
      <diagonal/>
    </border>
    <border>
      <left style="double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uble">
        <color indexed="64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ck">
        <color auto="1"/>
      </bottom>
      <diagonal/>
    </border>
    <border>
      <left style="double">
        <color indexed="64"/>
      </left>
      <right style="thick">
        <color auto="1"/>
      </right>
      <top style="thin">
        <color indexed="64"/>
      </top>
      <bottom style="double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ouble">
        <color indexed="64"/>
      </left>
      <right style="thick">
        <color auto="1"/>
      </right>
      <top style="double">
        <color indexed="64"/>
      </top>
      <bottom style="thick">
        <color auto="1"/>
      </bottom>
      <diagonal/>
    </border>
    <border>
      <left style="thin">
        <color indexed="64"/>
      </left>
      <right/>
      <top style="double">
        <color indexed="64"/>
      </top>
      <bottom style="thick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0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</cellStyleXfs>
  <cellXfs count="18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66" fontId="3" fillId="0" borderId="0" xfId="0" applyNumberFormat="1" applyFont="1" applyFill="1" applyAlignment="1">
      <alignment horizontal="left"/>
    </xf>
    <xf numFmtId="166" fontId="3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166" fontId="3" fillId="0" borderId="0" xfId="0" applyNumberFormat="1" applyFont="1" applyFill="1" applyAlignment="1">
      <alignment horizontal="left" vertical="top"/>
    </xf>
    <xf numFmtId="167" fontId="5" fillId="0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/>
    </xf>
    <xf numFmtId="167" fontId="2" fillId="0" borderId="9" xfId="0" applyNumberFormat="1" applyFont="1" applyFill="1" applyBorder="1" applyAlignment="1">
      <alignment horizontal="center" vertical="center"/>
    </xf>
    <xf numFmtId="167" fontId="2" fillId="0" borderId="8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3" fillId="0" borderId="0" xfId="0" applyNumberFormat="1" applyFont="1" applyAlignment="1">
      <alignment horizontal="right" vertical="top"/>
    </xf>
    <xf numFmtId="168" fontId="2" fillId="0" borderId="2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7" fontId="1" fillId="0" borderId="14" xfId="0" applyNumberFormat="1" applyFont="1" applyFill="1" applyBorder="1" applyAlignment="1">
      <alignment horizontal="center" vertical="center"/>
    </xf>
    <xf numFmtId="167" fontId="5" fillId="0" borderId="14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9" fontId="5" fillId="0" borderId="0" xfId="0" applyNumberFormat="1" applyFont="1" applyFill="1" applyAlignment="1">
      <alignment horizontal="center" vertical="center"/>
    </xf>
    <xf numFmtId="169" fontId="1" fillId="0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right" vertical="center"/>
    </xf>
    <xf numFmtId="165" fontId="6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17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1" fontId="5" fillId="0" borderId="0" xfId="0" applyNumberFormat="1" applyFont="1" applyFill="1" applyAlignment="1">
      <alignment horizontal="center" vertical="center"/>
    </xf>
    <xf numFmtId="172" fontId="5" fillId="0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171" fontId="1" fillId="0" borderId="0" xfId="0" applyNumberFormat="1" applyFont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1" fontId="8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1" fontId="8" fillId="0" borderId="0" xfId="0" applyNumberFormat="1" applyFont="1" applyFill="1" applyAlignment="1">
      <alignment horizontal="center" vertical="center"/>
    </xf>
    <xf numFmtId="167" fontId="5" fillId="0" borderId="0" xfId="0" applyNumberFormat="1" applyFont="1" applyFill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7" fontId="8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67" fontId="1" fillId="0" borderId="6" xfId="0" applyNumberFormat="1" applyFont="1" applyFill="1" applyBorder="1" applyAlignment="1">
      <alignment horizontal="center" vertical="center"/>
    </xf>
    <xf numFmtId="167" fontId="1" fillId="0" borderId="7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167" fontId="2" fillId="0" borderId="30" xfId="0" applyNumberFormat="1" applyFont="1" applyFill="1" applyBorder="1" applyAlignment="1">
      <alignment horizontal="center" vertical="center"/>
    </xf>
    <xf numFmtId="167" fontId="2" fillId="0" borderId="32" xfId="0" applyNumberFormat="1" applyFont="1" applyFill="1" applyBorder="1" applyAlignment="1">
      <alignment horizontal="center" vertical="center"/>
    </xf>
    <xf numFmtId="167" fontId="2" fillId="0" borderId="31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65" fontId="2" fillId="0" borderId="31" xfId="0" applyNumberFormat="1" applyFont="1" applyFill="1" applyBorder="1" applyAlignment="1">
      <alignment horizontal="center" vertical="center"/>
    </xf>
    <xf numFmtId="165" fontId="2" fillId="0" borderId="34" xfId="0" applyNumberFormat="1" applyFont="1" applyFill="1" applyBorder="1" applyAlignment="1">
      <alignment horizontal="center" vertical="center"/>
    </xf>
    <xf numFmtId="165" fontId="2" fillId="0" borderId="33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4" fillId="5" borderId="44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4" fillId="5" borderId="45" xfId="0" applyFont="1" applyFill="1" applyBorder="1" applyAlignment="1">
      <alignment horizontal="center" vertical="center" wrapText="1"/>
    </xf>
    <xf numFmtId="0" fontId="14" fillId="5" borderId="46" xfId="0" applyFont="1" applyFill="1" applyBorder="1" applyAlignment="1">
      <alignment horizontal="center" vertical="center" wrapText="1"/>
    </xf>
    <xf numFmtId="165" fontId="12" fillId="0" borderId="35" xfId="0" applyNumberFormat="1" applyFont="1" applyBorder="1" applyAlignment="1">
      <alignment horizontal="center" vertical="center"/>
    </xf>
    <xf numFmtId="165" fontId="12" fillId="0" borderId="36" xfId="0" applyNumberFormat="1" applyFont="1" applyBorder="1" applyAlignment="1">
      <alignment horizontal="center" vertical="center"/>
    </xf>
    <xf numFmtId="165" fontId="12" fillId="0" borderId="37" xfId="0" applyNumberFormat="1" applyFont="1" applyBorder="1" applyAlignment="1">
      <alignment horizontal="center" vertical="center"/>
    </xf>
    <xf numFmtId="165" fontId="13" fillId="0" borderId="40" xfId="0" applyNumberFormat="1" applyFont="1" applyBorder="1" applyAlignment="1">
      <alignment horizontal="center" vertical="center"/>
    </xf>
    <xf numFmtId="5" fontId="13" fillId="0" borderId="39" xfId="0" applyNumberFormat="1" applyFont="1" applyBorder="1" applyAlignment="1">
      <alignment horizontal="center" vertical="center"/>
    </xf>
    <xf numFmtId="165" fontId="12" fillId="2" borderId="36" xfId="0" applyNumberFormat="1" applyFont="1" applyFill="1" applyBorder="1" applyAlignment="1">
      <alignment horizontal="center" vertical="center"/>
    </xf>
    <xf numFmtId="165" fontId="12" fillId="2" borderId="38" xfId="0" applyNumberFormat="1" applyFont="1" applyFill="1" applyBorder="1" applyAlignment="1">
      <alignment horizontal="center" vertical="center"/>
    </xf>
    <xf numFmtId="0" fontId="15" fillId="0" borderId="0" xfId="0" applyFont="1"/>
    <xf numFmtId="0" fontId="17" fillId="0" borderId="23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165" fontId="18" fillId="0" borderId="57" xfId="0" applyNumberFormat="1" applyFont="1" applyBorder="1" applyAlignment="1">
      <alignment horizontal="center" vertical="center"/>
    </xf>
    <xf numFmtId="165" fontId="18" fillId="0" borderId="58" xfId="0" applyNumberFormat="1" applyFont="1" applyBorder="1" applyAlignment="1">
      <alignment horizontal="center" vertical="center"/>
    </xf>
    <xf numFmtId="165" fontId="17" fillId="0" borderId="48" xfId="0" applyNumberFormat="1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165" fontId="18" fillId="0" borderId="59" xfId="0" applyNumberFormat="1" applyFont="1" applyBorder="1" applyAlignment="1">
      <alignment horizontal="center" vertical="center"/>
    </xf>
    <xf numFmtId="165" fontId="18" fillId="0" borderId="60" xfId="0" applyNumberFormat="1" applyFont="1" applyBorder="1" applyAlignment="1">
      <alignment horizontal="center" vertical="center"/>
    </xf>
    <xf numFmtId="165" fontId="17" fillId="0" borderId="49" xfId="0" applyNumberFormat="1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165" fontId="17" fillId="0" borderId="52" xfId="0" applyNumberFormat="1" applyFont="1" applyBorder="1" applyAlignment="1">
      <alignment horizontal="center" vertical="center"/>
    </xf>
    <xf numFmtId="165" fontId="17" fillId="0" borderId="53" xfId="0" applyNumberFormat="1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165" fontId="16" fillId="0" borderId="64" xfId="0" applyNumberFormat="1" applyFont="1" applyBorder="1" applyAlignment="1">
      <alignment horizontal="center" vertical="center"/>
    </xf>
    <xf numFmtId="165" fontId="15" fillId="0" borderId="65" xfId="0" applyNumberFormat="1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165" fontId="15" fillId="0" borderId="67" xfId="0" applyNumberFormat="1" applyFont="1" applyBorder="1" applyAlignment="1">
      <alignment horizontal="center" vertical="center"/>
    </xf>
    <xf numFmtId="165" fontId="15" fillId="3" borderId="68" xfId="0" applyNumberFormat="1" applyFont="1" applyFill="1" applyBorder="1" applyAlignment="1">
      <alignment horizontal="center" vertical="center"/>
    </xf>
    <xf numFmtId="0" fontId="13" fillId="0" borderId="69" xfId="0" applyFont="1" applyBorder="1" applyAlignment="1">
      <alignment horizontal="center" vertical="center" wrapText="1"/>
    </xf>
    <xf numFmtId="165" fontId="13" fillId="0" borderId="70" xfId="0" applyNumberFormat="1" applyFont="1" applyFill="1" applyBorder="1" applyAlignment="1">
      <alignment horizontal="center" vertical="center"/>
    </xf>
    <xf numFmtId="165" fontId="13" fillId="6" borderId="71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70" fontId="1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3" fontId="1" fillId="0" borderId="0" xfId="0" applyNumberFormat="1" applyFont="1" applyBorder="1" applyAlignment="1">
      <alignment horizontal="center" vertical="center"/>
    </xf>
    <xf numFmtId="165" fontId="1" fillId="0" borderId="72" xfId="0" applyNumberFormat="1" applyFont="1" applyBorder="1" applyAlignment="1">
      <alignment horizontal="center" vertical="center"/>
    </xf>
    <xf numFmtId="3" fontId="1" fillId="0" borderId="73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15" fillId="3" borderId="61" xfId="0" applyFont="1" applyFill="1" applyBorder="1" applyAlignment="1">
      <alignment horizontal="center" vertical="center" wrapText="1"/>
    </xf>
    <xf numFmtId="0" fontId="15" fillId="3" borderId="57" xfId="0" applyFont="1" applyFill="1" applyBorder="1" applyAlignment="1">
      <alignment horizontal="center" vertical="center" wrapText="1"/>
    </xf>
    <xf numFmtId="0" fontId="15" fillId="3" borderId="62" xfId="0" applyFont="1" applyFill="1" applyBorder="1" applyAlignment="1">
      <alignment horizontal="center" vertical="center" wrapText="1"/>
    </xf>
  </cellXfs>
  <cellStyles count="10">
    <cellStyle name="Normal" xfId="0" builtinId="0"/>
    <cellStyle name="Normal 2" xfId="1"/>
    <cellStyle name="Normal 3" xfId="2"/>
    <cellStyle name="Normal 4" xfId="3"/>
    <cellStyle name="Normal 4 2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Maintenance Clearing Expenditures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Dollars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'Task Clearing'!$B$5:$B$14</c:f>
              <c:strCache>
                <c:ptCount val="10"/>
                <c:pt idx="0">
                  <c:v>2010*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'Task Clearing'!$F$5:$F$14</c:f>
              <c:numCache>
                <c:formatCode>"$"#,##0</c:formatCode>
                <c:ptCount val="10"/>
                <c:pt idx="0">
                  <c:v>7175298.6000000015</c:v>
                </c:pt>
                <c:pt idx="1">
                  <c:v>15349945.060000027</c:v>
                </c:pt>
                <c:pt idx="2">
                  <c:v>13779127.900000002</c:v>
                </c:pt>
                <c:pt idx="3">
                  <c:v>13803501.61000002</c:v>
                </c:pt>
                <c:pt idx="4">
                  <c:v>14963749.499999994</c:v>
                </c:pt>
                <c:pt idx="5">
                  <c:v>19881131.819999993</c:v>
                </c:pt>
                <c:pt idx="6">
                  <c:v>24275107.370000012</c:v>
                </c:pt>
                <c:pt idx="7">
                  <c:v>24982571.319999997</c:v>
                </c:pt>
                <c:pt idx="8">
                  <c:v>19071218.780000005</c:v>
                </c:pt>
                <c:pt idx="9">
                  <c:v>17817635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DA-48C5-B0E7-52BE18B6E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283768"/>
        <c:axId val="716286392"/>
      </c:lineChart>
      <c:catAx>
        <c:axId val="716283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86392"/>
        <c:crosses val="autoZero"/>
        <c:auto val="1"/>
        <c:lblAlgn val="ctr"/>
        <c:lblOffset val="100"/>
        <c:noMultiLvlLbl val="0"/>
      </c:catAx>
      <c:valAx>
        <c:axId val="716286392"/>
        <c:scaling>
          <c:orientation val="minMax"/>
        </c:scaling>
        <c:delete val="0"/>
        <c:axPos val="l"/>
        <c:majorGridlines>
          <c:spPr>
            <a:ln w="3175" cap="rnd" cmpd="sng" algn="ctr">
              <a:solidFill>
                <a:schemeClr val="accent1">
                  <a:alpha val="50000"/>
                </a:schemeClr>
              </a:solidFill>
              <a:prstDash val="sysDot"/>
              <a:bevel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8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DMI Cost per Mile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Cost per Mile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1.2478127734033245E-3"/>
                  <c:y val="9.982885275435245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strRef>
              <c:f>'Task Clearing'!$N$5:$N$13</c:f>
              <c:strCache>
                <c:ptCount val="9"/>
                <c:pt idx="0">
                  <c:v>2010*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'Task Clearing'!$P$5:$P$13</c:f>
              <c:numCache>
                <c:formatCode>"$"#,##0</c:formatCode>
                <c:ptCount val="9"/>
                <c:pt idx="5">
                  <c:v>9189.709216589863</c:v>
                </c:pt>
                <c:pt idx="6">
                  <c:v>13309.139887482434</c:v>
                </c:pt>
                <c:pt idx="7">
                  <c:v>15384.81932432432</c:v>
                </c:pt>
                <c:pt idx="8">
                  <c:v>11820.789187173756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2F-4E66-8AD3-C15CB8BF6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283768"/>
        <c:axId val="716286392"/>
      </c:lineChart>
      <c:catAx>
        <c:axId val="716283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86392"/>
        <c:crosses val="autoZero"/>
        <c:auto val="1"/>
        <c:lblAlgn val="ctr"/>
        <c:lblOffset val="100"/>
        <c:noMultiLvlLbl val="0"/>
      </c:catAx>
      <c:valAx>
        <c:axId val="716286392"/>
        <c:scaling>
          <c:orientation val="minMax"/>
        </c:scaling>
        <c:delete val="0"/>
        <c:axPos val="l"/>
        <c:majorGridlines>
          <c:spPr>
            <a:ln w="3175" cap="rnd" cmpd="sng" algn="ctr">
              <a:solidFill>
                <a:schemeClr val="accent1">
                  <a:alpha val="50000"/>
                </a:schemeClr>
              </a:solidFill>
              <a:prstDash val="sysDot"/>
              <a:bevel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8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Spray Expenditures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Dollars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Spray!$B$6:$B$15</c:f>
              <c:strCache>
                <c:ptCount val="10"/>
                <c:pt idx="0">
                  <c:v>2010*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Spray!$F$6:$F$15</c:f>
              <c:numCache>
                <c:formatCode>"$"#,##0</c:formatCode>
                <c:ptCount val="10"/>
                <c:pt idx="0">
                  <c:v>792836.4</c:v>
                </c:pt>
                <c:pt idx="1">
                  <c:v>1169763.3199999998</c:v>
                </c:pt>
                <c:pt idx="2">
                  <c:v>1209155.0399999993</c:v>
                </c:pt>
                <c:pt idx="3">
                  <c:v>1521265.2600000005</c:v>
                </c:pt>
                <c:pt idx="4">
                  <c:v>1619408.47</c:v>
                </c:pt>
                <c:pt idx="5">
                  <c:v>1765813.2500000005</c:v>
                </c:pt>
                <c:pt idx="6">
                  <c:v>2215039.8400000003</c:v>
                </c:pt>
                <c:pt idx="7">
                  <c:v>1752698.7200000004</c:v>
                </c:pt>
                <c:pt idx="8">
                  <c:v>2114912.66</c:v>
                </c:pt>
                <c:pt idx="9">
                  <c:v>2541775.31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31-40F7-8155-1E10FCE3A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283768"/>
        <c:axId val="716286392"/>
      </c:lineChart>
      <c:catAx>
        <c:axId val="716283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86392"/>
        <c:crosses val="autoZero"/>
        <c:auto val="1"/>
        <c:lblAlgn val="ctr"/>
        <c:lblOffset val="100"/>
        <c:noMultiLvlLbl val="0"/>
      </c:catAx>
      <c:valAx>
        <c:axId val="716286392"/>
        <c:scaling>
          <c:orientation val="minMax"/>
        </c:scaling>
        <c:delete val="0"/>
        <c:axPos val="l"/>
        <c:majorGridlines>
          <c:spPr>
            <a:ln w="3175" cap="rnd" cmpd="sng" algn="ctr">
              <a:solidFill>
                <a:schemeClr val="accent1">
                  <a:alpha val="50000"/>
                </a:schemeClr>
              </a:solidFill>
              <a:prstDash val="sysDot"/>
              <a:bevel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8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Spray Acres Completed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Acres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Spray!$H$6:$H$15</c:f>
              <c:strCache>
                <c:ptCount val="10"/>
                <c:pt idx="0">
                  <c:v>2010*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Spray!$L$6:$L$15</c:f>
              <c:numCache>
                <c:formatCode>#,##0.0</c:formatCode>
                <c:ptCount val="10"/>
                <c:pt idx="0">
                  <c:v>1372.28</c:v>
                </c:pt>
                <c:pt idx="1">
                  <c:v>1580.7</c:v>
                </c:pt>
                <c:pt idx="2">
                  <c:v>1735.9</c:v>
                </c:pt>
                <c:pt idx="3">
                  <c:v>2334.8000000000002</c:v>
                </c:pt>
                <c:pt idx="4">
                  <c:v>2266.5</c:v>
                </c:pt>
                <c:pt idx="5">
                  <c:v>2050.7999999999997</c:v>
                </c:pt>
                <c:pt idx="6">
                  <c:v>3704.3999999999996</c:v>
                </c:pt>
                <c:pt idx="7">
                  <c:v>2461</c:v>
                </c:pt>
                <c:pt idx="8">
                  <c:v>3165.5</c:v>
                </c:pt>
                <c:pt idx="9">
                  <c:v>3813.5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56-4BF6-9034-2B5551142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283768"/>
        <c:axId val="716286392"/>
      </c:lineChart>
      <c:catAx>
        <c:axId val="716283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86392"/>
        <c:crosses val="autoZero"/>
        <c:auto val="1"/>
        <c:lblAlgn val="ctr"/>
        <c:lblOffset val="100"/>
        <c:noMultiLvlLbl val="0"/>
      </c:catAx>
      <c:valAx>
        <c:axId val="716286392"/>
        <c:scaling>
          <c:orientation val="minMax"/>
        </c:scaling>
        <c:delete val="0"/>
        <c:axPos val="l"/>
        <c:majorGridlines>
          <c:spPr>
            <a:ln w="3175" cap="rnd" cmpd="sng" algn="ctr">
              <a:solidFill>
                <a:schemeClr val="accent1">
                  <a:alpha val="50000"/>
                </a:schemeClr>
              </a:solidFill>
              <a:prstDash val="sysDot"/>
              <a:bevel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8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Spray Cost</a:t>
            </a:r>
            <a:r>
              <a:rPr lang="en-US" b="1" u="sng" baseline="0"/>
              <a:t> per Acre</a:t>
            </a:r>
            <a:endParaRPr lang="en-US" b="1" u="sng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$/acre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Spray!$N$6:$N$15</c:f>
              <c:strCache>
                <c:ptCount val="10"/>
                <c:pt idx="0">
                  <c:v>2010*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Spray!$R$6:$R$15</c:f>
              <c:numCache>
                <c:formatCode>"$"#,##0</c:formatCode>
                <c:ptCount val="10"/>
                <c:pt idx="0">
                  <c:v>577.75118780423827</c:v>
                </c:pt>
                <c:pt idx="1">
                  <c:v>740.02867084203183</c:v>
                </c:pt>
                <c:pt idx="2">
                  <c:v>696.55800449334595</c:v>
                </c:pt>
                <c:pt idx="3">
                  <c:v>651.5612729141684</c:v>
                </c:pt>
                <c:pt idx="4">
                  <c:v>714.49744981248625</c:v>
                </c:pt>
                <c:pt idx="5">
                  <c:v>861.03630290618332</c:v>
                </c:pt>
                <c:pt idx="6">
                  <c:v>597.94834251160796</c:v>
                </c:pt>
                <c:pt idx="7">
                  <c:v>712.18964648516885</c:v>
                </c:pt>
                <c:pt idx="8">
                  <c:v>668.11330279576691</c:v>
                </c:pt>
                <c:pt idx="9">
                  <c:v>666.52033827192872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8F-4238-863D-585D404DD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283768"/>
        <c:axId val="716286392"/>
      </c:lineChart>
      <c:catAx>
        <c:axId val="716283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86392"/>
        <c:crosses val="autoZero"/>
        <c:auto val="1"/>
        <c:lblAlgn val="ctr"/>
        <c:lblOffset val="100"/>
        <c:noMultiLvlLbl val="0"/>
      </c:catAx>
      <c:valAx>
        <c:axId val="716286392"/>
        <c:scaling>
          <c:orientation val="minMax"/>
        </c:scaling>
        <c:delete val="0"/>
        <c:axPos val="l"/>
        <c:majorGridlines>
          <c:spPr>
            <a:ln w="3175" cap="rnd" cmpd="sng" algn="ctr">
              <a:solidFill>
                <a:schemeClr val="accent1">
                  <a:alpha val="50000"/>
                </a:schemeClr>
              </a:solidFill>
              <a:prstDash val="sysDot"/>
              <a:bevel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8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Internal Expenditures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Dollars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Internal!$C$4:$C$8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Internal!$D$4:$D$8</c:f>
              <c:numCache>
                <c:formatCode>"$"#,##0</c:formatCode>
                <c:ptCount val="5"/>
                <c:pt idx="0">
                  <c:v>418013</c:v>
                </c:pt>
                <c:pt idx="1">
                  <c:v>688956</c:v>
                </c:pt>
                <c:pt idx="2">
                  <c:v>628994</c:v>
                </c:pt>
                <c:pt idx="3">
                  <c:v>462025</c:v>
                </c:pt>
                <c:pt idx="4">
                  <c:v>470206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B3-4BF6-AB61-54A1D9639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283768"/>
        <c:axId val="716286392"/>
      </c:lineChart>
      <c:catAx>
        <c:axId val="716283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86392"/>
        <c:crosses val="autoZero"/>
        <c:auto val="1"/>
        <c:lblAlgn val="ctr"/>
        <c:lblOffset val="100"/>
        <c:noMultiLvlLbl val="0"/>
      </c:catAx>
      <c:valAx>
        <c:axId val="716286392"/>
        <c:scaling>
          <c:orientation val="minMax"/>
        </c:scaling>
        <c:delete val="0"/>
        <c:axPos val="l"/>
        <c:majorGridlines>
          <c:spPr>
            <a:ln w="3175" cap="rnd" cmpd="sng" algn="ctr">
              <a:solidFill>
                <a:schemeClr val="accent1">
                  <a:alpha val="50000"/>
                </a:schemeClr>
              </a:solidFill>
              <a:prstDash val="sysDot"/>
              <a:bevel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8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Reactive Expenditures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Dollars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Reactive!$B$6:$B$15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Reactive!$F$6:$F$15</c:f>
              <c:numCache>
                <c:formatCode>"$"#,##0</c:formatCode>
                <c:ptCount val="10"/>
                <c:pt idx="0">
                  <c:v>921323.57</c:v>
                </c:pt>
                <c:pt idx="1">
                  <c:v>679512.7100000002</c:v>
                </c:pt>
                <c:pt idx="2">
                  <c:v>994011.25999999989</c:v>
                </c:pt>
                <c:pt idx="3">
                  <c:v>1381961.3399999999</c:v>
                </c:pt>
                <c:pt idx="4">
                  <c:v>606286.24000000011</c:v>
                </c:pt>
                <c:pt idx="5">
                  <c:v>303284.8</c:v>
                </c:pt>
                <c:pt idx="6">
                  <c:v>312223.20999999996</c:v>
                </c:pt>
                <c:pt idx="7">
                  <c:v>223816.93999999992</c:v>
                </c:pt>
                <c:pt idx="8">
                  <c:v>375294.9200000001</c:v>
                </c:pt>
                <c:pt idx="9">
                  <c:v>280869.97000000003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451-450A-A777-D57B74829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283768"/>
        <c:axId val="716286392"/>
      </c:lineChart>
      <c:catAx>
        <c:axId val="716283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86392"/>
        <c:crosses val="autoZero"/>
        <c:auto val="1"/>
        <c:lblAlgn val="ctr"/>
        <c:lblOffset val="100"/>
        <c:noMultiLvlLbl val="0"/>
      </c:catAx>
      <c:valAx>
        <c:axId val="716286392"/>
        <c:scaling>
          <c:orientation val="minMax"/>
        </c:scaling>
        <c:delete val="0"/>
        <c:axPos val="l"/>
        <c:majorGridlines>
          <c:spPr>
            <a:ln w="3175" cap="rnd" cmpd="sng" algn="ctr">
              <a:solidFill>
                <a:schemeClr val="accent1">
                  <a:alpha val="50000"/>
                </a:schemeClr>
              </a:solidFill>
              <a:prstDash val="sysDot"/>
              <a:bevel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8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Maintenance Miles Completed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Miles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'Task Clearing'!$H$5:$H$14</c:f>
              <c:strCache>
                <c:ptCount val="10"/>
                <c:pt idx="0">
                  <c:v>2010*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'Task Clearing'!$L$5:$L$14</c:f>
              <c:numCache>
                <c:formatCode>#,##0.0</c:formatCode>
                <c:ptCount val="10"/>
                <c:pt idx="0">
                  <c:v>345</c:v>
                </c:pt>
                <c:pt idx="1">
                  <c:v>942</c:v>
                </c:pt>
                <c:pt idx="2">
                  <c:v>866</c:v>
                </c:pt>
                <c:pt idx="3">
                  <c:v>831</c:v>
                </c:pt>
                <c:pt idx="4">
                  <c:v>1155</c:v>
                </c:pt>
                <c:pt idx="5">
                  <c:v>1836</c:v>
                </c:pt>
                <c:pt idx="6">
                  <c:v>1804.8</c:v>
                </c:pt>
                <c:pt idx="7">
                  <c:v>1558</c:v>
                </c:pt>
                <c:pt idx="8">
                  <c:v>1557</c:v>
                </c:pt>
                <c:pt idx="9">
                  <c:v>1543.3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F6-494F-88B0-2B42782D9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283768"/>
        <c:axId val="716286392"/>
      </c:lineChart>
      <c:catAx>
        <c:axId val="716283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86392"/>
        <c:crosses val="autoZero"/>
        <c:auto val="1"/>
        <c:lblAlgn val="ctr"/>
        <c:lblOffset val="100"/>
        <c:noMultiLvlLbl val="0"/>
      </c:catAx>
      <c:valAx>
        <c:axId val="716286392"/>
        <c:scaling>
          <c:orientation val="minMax"/>
        </c:scaling>
        <c:delete val="0"/>
        <c:axPos val="l"/>
        <c:majorGridlines>
          <c:spPr>
            <a:ln w="3175" cap="rnd" cmpd="sng" algn="ctr">
              <a:solidFill>
                <a:schemeClr val="accent1">
                  <a:alpha val="50000"/>
                </a:schemeClr>
              </a:solidFill>
              <a:prstDash val="sysDot"/>
              <a:bevel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8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Maintenance Cost per Mile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Cost per Mile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4.8814523184601928E-3"/>
                  <c:y val="5.808631909177033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strRef>
              <c:f>'Task Clearing'!$N$5:$N$14</c:f>
              <c:strCache>
                <c:ptCount val="10"/>
                <c:pt idx="0">
                  <c:v>2010*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'Task Clearing'!$R$5:$R$14</c:f>
              <c:numCache>
                <c:formatCode>"$"#,##0</c:formatCode>
                <c:ptCount val="10"/>
                <c:pt idx="0">
                  <c:v>20797.966956521745</c:v>
                </c:pt>
                <c:pt idx="1">
                  <c:v>16295.058450106186</c:v>
                </c:pt>
                <c:pt idx="2">
                  <c:v>15911.233140877601</c:v>
                </c:pt>
                <c:pt idx="3">
                  <c:v>16610.711925391119</c:v>
                </c:pt>
                <c:pt idx="4">
                  <c:v>12955.627272727268</c:v>
                </c:pt>
                <c:pt idx="5">
                  <c:v>10828.503169934636</c:v>
                </c:pt>
                <c:pt idx="6">
                  <c:v>13450.303285682632</c:v>
                </c:pt>
                <c:pt idx="7">
                  <c:v>16035.026521180998</c:v>
                </c:pt>
                <c:pt idx="8">
                  <c:v>12248.695427103406</c:v>
                </c:pt>
                <c:pt idx="9">
                  <c:v>11545.153243050607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A0-4353-B273-CC94DB572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283768"/>
        <c:axId val="716286392"/>
      </c:lineChart>
      <c:catAx>
        <c:axId val="716283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86392"/>
        <c:crosses val="autoZero"/>
        <c:auto val="1"/>
        <c:lblAlgn val="ctr"/>
        <c:lblOffset val="100"/>
        <c:noMultiLvlLbl val="0"/>
      </c:catAx>
      <c:valAx>
        <c:axId val="716286392"/>
        <c:scaling>
          <c:orientation val="minMax"/>
        </c:scaling>
        <c:delete val="0"/>
        <c:axPos val="l"/>
        <c:majorGridlines>
          <c:spPr>
            <a:ln w="3175" cap="rnd" cmpd="sng" algn="ctr">
              <a:solidFill>
                <a:schemeClr val="accent1">
                  <a:alpha val="50000"/>
                </a:schemeClr>
              </a:solidFill>
              <a:prstDash val="sysDot"/>
              <a:bevel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8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DMC Clearing Expenditures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Dollars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'Task Clearing'!$B$5:$B$13</c:f>
              <c:strCache>
                <c:ptCount val="9"/>
                <c:pt idx="0">
                  <c:v>2010*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'Task Clearing'!$C$5:$C$13</c:f>
              <c:numCache>
                <c:formatCode>"$"#,##0</c:formatCode>
                <c:ptCount val="9"/>
                <c:pt idx="0" formatCode="\$#,##0;&quot;($&quot;#,##0\)">
                  <c:v>7175298.6000000015</c:v>
                </c:pt>
                <c:pt idx="1">
                  <c:v>15349945.060000027</c:v>
                </c:pt>
                <c:pt idx="2">
                  <c:v>13779127.900000002</c:v>
                </c:pt>
                <c:pt idx="3">
                  <c:v>13803501.61000002</c:v>
                </c:pt>
                <c:pt idx="4">
                  <c:v>14963749.499999994</c:v>
                </c:pt>
                <c:pt idx="5">
                  <c:v>15892798.019999994</c:v>
                </c:pt>
                <c:pt idx="6">
                  <c:v>14812308.91</c:v>
                </c:pt>
                <c:pt idx="7">
                  <c:v>20428664.799999997</c:v>
                </c:pt>
                <c:pt idx="8">
                  <c:v>3219540.48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A1-4DDA-B84C-7BB933BD9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283768"/>
        <c:axId val="716286392"/>
      </c:lineChart>
      <c:catAx>
        <c:axId val="716283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86392"/>
        <c:crosses val="autoZero"/>
        <c:auto val="1"/>
        <c:lblAlgn val="ctr"/>
        <c:lblOffset val="100"/>
        <c:noMultiLvlLbl val="0"/>
      </c:catAx>
      <c:valAx>
        <c:axId val="716286392"/>
        <c:scaling>
          <c:orientation val="minMax"/>
        </c:scaling>
        <c:delete val="0"/>
        <c:axPos val="l"/>
        <c:majorGridlines>
          <c:spPr>
            <a:ln w="3175" cap="rnd" cmpd="sng" algn="ctr">
              <a:solidFill>
                <a:schemeClr val="accent1">
                  <a:alpha val="50000"/>
                </a:schemeClr>
              </a:solidFill>
              <a:prstDash val="sysDot"/>
              <a:bevel/>
            </a:ln>
            <a:effectLst/>
          </c:spPr>
        </c:majorGridlines>
        <c:numFmt formatCode="\$#,##0;&quot;(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8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DMI Clearing Expenditures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Dollars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'Task Clearing'!$B$5:$B$13</c:f>
              <c:strCache>
                <c:ptCount val="9"/>
                <c:pt idx="0">
                  <c:v>2010*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'Task Clearing'!$D$5:$D$13</c:f>
              <c:numCache>
                <c:formatCode>"$"#,##0</c:formatCode>
                <c:ptCount val="9"/>
                <c:pt idx="5">
                  <c:v>3988333.8000000003</c:v>
                </c:pt>
                <c:pt idx="6">
                  <c:v>9462798.4600000102</c:v>
                </c:pt>
                <c:pt idx="7">
                  <c:v>4553906.5199999986</c:v>
                </c:pt>
                <c:pt idx="8">
                  <c:v>15851678.300000006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A-442A-BDC3-BCFA9AC79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283768"/>
        <c:axId val="716286392"/>
      </c:lineChart>
      <c:catAx>
        <c:axId val="716283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86392"/>
        <c:crosses val="autoZero"/>
        <c:auto val="1"/>
        <c:lblAlgn val="ctr"/>
        <c:lblOffset val="100"/>
        <c:noMultiLvlLbl val="0"/>
      </c:catAx>
      <c:valAx>
        <c:axId val="716286392"/>
        <c:scaling>
          <c:orientation val="minMax"/>
        </c:scaling>
        <c:delete val="0"/>
        <c:axPos val="l"/>
        <c:majorGridlines>
          <c:spPr>
            <a:ln w="3175" cap="rnd" cmpd="sng" algn="ctr">
              <a:solidFill>
                <a:schemeClr val="accent1">
                  <a:alpha val="50000"/>
                </a:schemeClr>
              </a:solidFill>
              <a:prstDash val="sysDot"/>
              <a:bevel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8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Annualized Clearing Expenditures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Dollars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'Task Clearing'!$B$68:$B$77</c:f>
              <c:strCache>
                <c:ptCount val="10"/>
                <c:pt idx="0">
                  <c:v>2010*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'Task Clearing'!$F$68:$F$77</c:f>
              <c:numCache>
                <c:formatCode>"$"#,##0</c:formatCode>
                <c:ptCount val="10"/>
                <c:pt idx="0">
                  <c:v>1195883.1000000003</c:v>
                </c:pt>
                <c:pt idx="1">
                  <c:v>1279162.0883333355</c:v>
                </c:pt>
                <c:pt idx="2">
                  <c:v>1148260.6583333334</c:v>
                </c:pt>
                <c:pt idx="3">
                  <c:v>1150291.8008333349</c:v>
                </c:pt>
                <c:pt idx="4">
                  <c:v>1246979.1249999995</c:v>
                </c:pt>
                <c:pt idx="5">
                  <c:v>1989122.1349999995</c:v>
                </c:pt>
                <c:pt idx="6">
                  <c:v>2022925.6141666677</c:v>
                </c:pt>
                <c:pt idx="7">
                  <c:v>2081880.9433333331</c:v>
                </c:pt>
                <c:pt idx="8">
                  <c:v>2125858.311666667</c:v>
                </c:pt>
                <c:pt idx="9">
                  <c:v>1484802.9166666667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C1-49DB-B4FC-8D43A1C83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283768"/>
        <c:axId val="716286392"/>
      </c:lineChart>
      <c:catAx>
        <c:axId val="716283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86392"/>
        <c:crosses val="autoZero"/>
        <c:auto val="1"/>
        <c:lblAlgn val="ctr"/>
        <c:lblOffset val="100"/>
        <c:noMultiLvlLbl val="0"/>
      </c:catAx>
      <c:valAx>
        <c:axId val="716286392"/>
        <c:scaling>
          <c:orientation val="minMax"/>
        </c:scaling>
        <c:delete val="0"/>
        <c:axPos val="l"/>
        <c:majorGridlines>
          <c:spPr>
            <a:ln w="3175" cap="rnd" cmpd="sng" algn="ctr">
              <a:solidFill>
                <a:schemeClr val="accent1">
                  <a:alpha val="50000"/>
                </a:schemeClr>
              </a:solidFill>
              <a:prstDash val="sysDot"/>
              <a:bevel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8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DMC Miles Completed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Miles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'Task Clearing'!$H$5:$H$13</c:f>
              <c:strCache>
                <c:ptCount val="9"/>
                <c:pt idx="0">
                  <c:v>2010*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'Task Clearing'!$I$5:$I$13</c:f>
              <c:numCache>
                <c:formatCode>#,##0.0</c:formatCode>
                <c:ptCount val="9"/>
                <c:pt idx="0">
                  <c:v>345</c:v>
                </c:pt>
                <c:pt idx="1">
                  <c:v>942</c:v>
                </c:pt>
                <c:pt idx="2">
                  <c:v>866</c:v>
                </c:pt>
                <c:pt idx="3">
                  <c:v>831</c:v>
                </c:pt>
                <c:pt idx="4">
                  <c:v>1155</c:v>
                </c:pt>
                <c:pt idx="5">
                  <c:v>1402</c:v>
                </c:pt>
                <c:pt idx="6">
                  <c:v>1093.8</c:v>
                </c:pt>
                <c:pt idx="7">
                  <c:v>1262</c:v>
                </c:pt>
                <c:pt idx="8">
                  <c:v>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E9-42E5-8BB0-8BDC789AD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283768"/>
        <c:axId val="716286392"/>
      </c:lineChart>
      <c:catAx>
        <c:axId val="716283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86392"/>
        <c:crosses val="autoZero"/>
        <c:auto val="1"/>
        <c:lblAlgn val="ctr"/>
        <c:lblOffset val="100"/>
        <c:noMultiLvlLbl val="0"/>
      </c:catAx>
      <c:valAx>
        <c:axId val="716286392"/>
        <c:scaling>
          <c:orientation val="minMax"/>
        </c:scaling>
        <c:delete val="0"/>
        <c:axPos val="l"/>
        <c:majorGridlines>
          <c:spPr>
            <a:ln w="3175" cap="rnd" cmpd="sng" algn="ctr">
              <a:solidFill>
                <a:schemeClr val="accent1">
                  <a:alpha val="50000"/>
                </a:schemeClr>
              </a:solidFill>
              <a:prstDash val="sysDot"/>
              <a:bevel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8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DMI Miles Completed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Miles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'Task Clearing'!$H$5:$H$13</c:f>
              <c:strCache>
                <c:ptCount val="9"/>
                <c:pt idx="0">
                  <c:v>2010*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'Task Clearing'!$J$5:$J$13</c:f>
              <c:numCache>
                <c:formatCode>#,##0.0</c:formatCode>
                <c:ptCount val="9"/>
                <c:pt idx="5">
                  <c:v>434</c:v>
                </c:pt>
                <c:pt idx="6">
                  <c:v>711</c:v>
                </c:pt>
                <c:pt idx="7">
                  <c:v>296</c:v>
                </c:pt>
                <c:pt idx="8">
                  <c:v>1341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36-411B-B595-2AD9D34E7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283768"/>
        <c:axId val="716286392"/>
      </c:lineChart>
      <c:catAx>
        <c:axId val="716283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86392"/>
        <c:crosses val="autoZero"/>
        <c:auto val="1"/>
        <c:lblAlgn val="ctr"/>
        <c:lblOffset val="100"/>
        <c:noMultiLvlLbl val="0"/>
      </c:catAx>
      <c:valAx>
        <c:axId val="716286392"/>
        <c:scaling>
          <c:orientation val="minMax"/>
        </c:scaling>
        <c:delete val="0"/>
        <c:axPos val="l"/>
        <c:majorGridlines>
          <c:spPr>
            <a:ln w="3175" cap="rnd" cmpd="sng" algn="ctr">
              <a:solidFill>
                <a:schemeClr val="accent1">
                  <a:alpha val="50000"/>
                </a:schemeClr>
              </a:solidFill>
              <a:prstDash val="sysDot"/>
              <a:bevel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8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DMC Cost per Mile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Cost per Mile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1.2478127734033245E-3"/>
                  <c:y val="3.963472021618599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strRef>
              <c:f>'Task Clearing'!$N$5:$N$13</c:f>
              <c:strCache>
                <c:ptCount val="9"/>
                <c:pt idx="0">
                  <c:v>2010*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'Task Clearing'!$O$5:$O$13</c:f>
              <c:numCache>
                <c:formatCode>"$"#,##0</c:formatCode>
                <c:ptCount val="9"/>
                <c:pt idx="0">
                  <c:v>20797.966956521745</c:v>
                </c:pt>
                <c:pt idx="1">
                  <c:v>16295.058450106186</c:v>
                </c:pt>
                <c:pt idx="2">
                  <c:v>15911.233140877601</c:v>
                </c:pt>
                <c:pt idx="3">
                  <c:v>16610.711925391119</c:v>
                </c:pt>
                <c:pt idx="4">
                  <c:v>12955.627272727268</c:v>
                </c:pt>
                <c:pt idx="5">
                  <c:v>11335.804579172605</c:v>
                </c:pt>
                <c:pt idx="6">
                  <c:v>13542.063366246115</c:v>
                </c:pt>
                <c:pt idx="7">
                  <c:v>16187.53153724247</c:v>
                </c:pt>
                <c:pt idx="8">
                  <c:v>14905.28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09-4F7A-8922-92A8BED76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283768"/>
        <c:axId val="716286392"/>
      </c:lineChart>
      <c:catAx>
        <c:axId val="716283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86392"/>
        <c:crosses val="autoZero"/>
        <c:auto val="1"/>
        <c:lblAlgn val="ctr"/>
        <c:lblOffset val="100"/>
        <c:noMultiLvlLbl val="0"/>
      </c:catAx>
      <c:valAx>
        <c:axId val="716286392"/>
        <c:scaling>
          <c:orientation val="minMax"/>
        </c:scaling>
        <c:delete val="0"/>
        <c:axPos val="l"/>
        <c:majorGridlines>
          <c:spPr>
            <a:ln w="3175" cap="rnd" cmpd="sng" algn="ctr">
              <a:solidFill>
                <a:schemeClr val="accent1">
                  <a:alpha val="50000"/>
                </a:schemeClr>
              </a:solidFill>
              <a:prstDash val="sysDot"/>
              <a:bevel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8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6</xdr:col>
      <xdr:colOff>0</xdr:colOff>
      <xdr:row>31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0</xdr:colOff>
      <xdr:row>31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17</xdr:row>
      <xdr:rowOff>0</xdr:rowOff>
    </xdr:from>
    <xdr:to>
      <xdr:col>18</xdr:col>
      <xdr:colOff>0</xdr:colOff>
      <xdr:row>31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6</xdr:col>
      <xdr:colOff>0</xdr:colOff>
      <xdr:row>46</xdr:row>
      <xdr:rowOff>19050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6</xdr:col>
      <xdr:colOff>0</xdr:colOff>
      <xdr:row>61</xdr:row>
      <xdr:rowOff>19050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6</xdr:col>
      <xdr:colOff>0</xdr:colOff>
      <xdr:row>94</xdr:row>
      <xdr:rowOff>19050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12</xdr:col>
      <xdr:colOff>0</xdr:colOff>
      <xdr:row>46</xdr:row>
      <xdr:rowOff>19050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47</xdr:row>
      <xdr:rowOff>0</xdr:rowOff>
    </xdr:from>
    <xdr:to>
      <xdr:col>12</xdr:col>
      <xdr:colOff>0</xdr:colOff>
      <xdr:row>61</xdr:row>
      <xdr:rowOff>19050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32</xdr:row>
      <xdr:rowOff>0</xdr:rowOff>
    </xdr:from>
    <xdr:to>
      <xdr:col>18</xdr:col>
      <xdr:colOff>0</xdr:colOff>
      <xdr:row>46</xdr:row>
      <xdr:rowOff>19050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0</xdr:colOff>
      <xdr:row>47</xdr:row>
      <xdr:rowOff>0</xdr:rowOff>
    </xdr:from>
    <xdr:to>
      <xdr:col>18</xdr:col>
      <xdr:colOff>0</xdr:colOff>
      <xdr:row>61</xdr:row>
      <xdr:rowOff>19050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6</xdr:col>
      <xdr:colOff>0</xdr:colOff>
      <xdr:row>32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18</xdr:row>
      <xdr:rowOff>0</xdr:rowOff>
    </xdr:from>
    <xdr:to>
      <xdr:col>12</xdr:col>
      <xdr:colOff>0</xdr:colOff>
      <xdr:row>32</xdr:row>
      <xdr:rowOff>19050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18</xdr:row>
      <xdr:rowOff>0</xdr:rowOff>
    </xdr:from>
    <xdr:to>
      <xdr:col>18</xdr:col>
      <xdr:colOff>0</xdr:colOff>
      <xdr:row>32</xdr:row>
      <xdr:rowOff>19050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5</xdr:col>
      <xdr:colOff>0</xdr:colOff>
      <xdr:row>24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6</xdr:col>
      <xdr:colOff>0</xdr:colOff>
      <xdr:row>32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2" sqref="C2"/>
    </sheetView>
  </sheetViews>
  <sheetFormatPr defaultRowHeight="14.4" x14ac:dyDescent="0.3"/>
  <cols>
    <col min="1" max="1" width="18.6640625" customWidth="1"/>
    <col min="2" max="3" width="31.77734375" customWidth="1"/>
  </cols>
  <sheetData>
    <row r="1" spans="1:3" ht="84.75" customHeight="1" thickTop="1" x14ac:dyDescent="0.3">
      <c r="A1" s="129" t="s">
        <v>14</v>
      </c>
      <c r="B1" s="132" t="s">
        <v>115</v>
      </c>
      <c r="C1" s="133" t="s">
        <v>124</v>
      </c>
    </row>
    <row r="2" spans="1:3" ht="21" customHeight="1" x14ac:dyDescent="0.3">
      <c r="A2" s="130">
        <v>2019</v>
      </c>
      <c r="B2" s="134">
        <v>21283946.047741558</v>
      </c>
      <c r="C2" s="135">
        <v>21312894</v>
      </c>
    </row>
    <row r="3" spans="1:3" ht="21" customHeight="1" x14ac:dyDescent="0.3">
      <c r="A3" s="130">
        <v>2020</v>
      </c>
      <c r="B3" s="134">
        <v>21472776.923601754</v>
      </c>
      <c r="C3" s="135">
        <v>21472777</v>
      </c>
    </row>
    <row r="4" spans="1:3" ht="21" customHeight="1" x14ac:dyDescent="0.3">
      <c r="A4" s="130">
        <v>2021</v>
      </c>
      <c r="B4" s="134">
        <v>21688685.327020627</v>
      </c>
      <c r="C4" s="139">
        <f>Summary!I18</f>
        <v>21733093.564149998</v>
      </c>
    </row>
    <row r="5" spans="1:3" ht="21" customHeight="1" x14ac:dyDescent="0.3">
      <c r="A5" s="130">
        <v>2022</v>
      </c>
      <c r="B5" s="134">
        <v>21881311.719430137</v>
      </c>
      <c r="C5" s="139">
        <f>Summary!K18</f>
        <v>21577960.743688952</v>
      </c>
    </row>
    <row r="6" spans="1:3" ht="21" customHeight="1" thickBot="1" x14ac:dyDescent="0.35">
      <c r="A6" s="131">
        <v>2023</v>
      </c>
      <c r="B6" s="136">
        <v>22101559.280987717</v>
      </c>
      <c r="C6" s="140">
        <f>Summary!M18</f>
        <v>21447083.34727456</v>
      </c>
    </row>
    <row r="7" spans="1:3" ht="32.25" customHeight="1" thickTop="1" x14ac:dyDescent="0.3">
      <c r="A7" s="128" t="s">
        <v>113</v>
      </c>
      <c r="B7" s="138">
        <f>SUM(B2:B6)</f>
        <v>108428279.29878178</v>
      </c>
      <c r="C7" s="137">
        <f>SUM(C2:C6)</f>
        <v>107543808.6551135</v>
      </c>
    </row>
    <row r="8" spans="1:3" ht="37.5" customHeight="1" thickBot="1" x14ac:dyDescent="0.35">
      <c r="A8" s="167" t="s">
        <v>114</v>
      </c>
      <c r="B8" s="168">
        <f>AVERAGE(B4:B6)</f>
        <v>21890518.775812827</v>
      </c>
      <c r="C8" s="169">
        <f>AVERAGE(C4:C6)</f>
        <v>21586045.885037836</v>
      </c>
    </row>
    <row r="9" spans="1:3" ht="15" thickTop="1" x14ac:dyDescent="0.3"/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A34" zoomScale="90" zoomScaleNormal="90" workbookViewId="0">
      <selection activeCell="G20" sqref="G20"/>
    </sheetView>
  </sheetViews>
  <sheetFormatPr defaultColWidth="13.77734375" defaultRowHeight="18" customHeight="1" x14ac:dyDescent="0.3"/>
  <cols>
    <col min="1" max="1" width="9.77734375" style="2" customWidth="1"/>
    <col min="2" max="9" width="13.77734375" style="2"/>
    <col min="10" max="11" width="13.77734375" style="2" customWidth="1"/>
    <col min="12" max="12" width="13.77734375" style="2"/>
    <col min="13" max="13" width="13.77734375" style="2" customWidth="1"/>
    <col min="14" max="16384" width="13.77734375" style="2"/>
  </cols>
  <sheetData>
    <row r="1" spans="1:13" ht="18" customHeight="1" x14ac:dyDescent="0.3">
      <c r="G1" s="32" t="s">
        <v>7</v>
      </c>
    </row>
    <row r="2" spans="1:13" ht="18" customHeight="1" x14ac:dyDescent="0.3">
      <c r="G2" s="32" t="s">
        <v>11</v>
      </c>
    </row>
    <row r="3" spans="1:13" ht="18" customHeight="1" x14ac:dyDescent="0.2">
      <c r="C3" s="11"/>
      <c r="D3" s="11"/>
      <c r="E3" s="11"/>
      <c r="F3" s="11"/>
      <c r="G3" s="31" t="s">
        <v>34</v>
      </c>
      <c r="H3" s="11"/>
      <c r="I3" s="11"/>
      <c r="J3" s="11"/>
      <c r="K3" s="28" t="s">
        <v>12</v>
      </c>
    </row>
    <row r="4" spans="1:13" ht="18" customHeight="1" x14ac:dyDescent="0.3">
      <c r="A4" s="16" t="s">
        <v>15</v>
      </c>
      <c r="B4" s="17" t="s">
        <v>32</v>
      </c>
      <c r="C4" s="17">
        <v>2011</v>
      </c>
      <c r="D4" s="17">
        <v>2012</v>
      </c>
      <c r="E4" s="17">
        <v>2013</v>
      </c>
      <c r="F4" s="17">
        <v>2014</v>
      </c>
      <c r="G4" s="17">
        <v>2015</v>
      </c>
      <c r="H4" s="17">
        <v>2016</v>
      </c>
      <c r="I4" s="17">
        <v>2017</v>
      </c>
      <c r="J4" s="17">
        <v>2018</v>
      </c>
      <c r="K4" s="17">
        <v>2019</v>
      </c>
      <c r="L4" s="51" t="s">
        <v>33</v>
      </c>
      <c r="M4" s="22" t="s">
        <v>8</v>
      </c>
    </row>
    <row r="5" spans="1:13" ht="18" customHeight="1" x14ac:dyDescent="0.3">
      <c r="A5" s="14" t="s">
        <v>0</v>
      </c>
      <c r="B5" s="52">
        <v>7175298.6000000015</v>
      </c>
      <c r="C5" s="15">
        <v>15349945.060000027</v>
      </c>
      <c r="D5" s="15">
        <v>13779127.900000002</v>
      </c>
      <c r="E5" s="6">
        <v>13803501.61000002</v>
      </c>
      <c r="F5" s="6">
        <v>14963749.499999994</v>
      </c>
      <c r="G5" s="15">
        <v>15892798.019999994</v>
      </c>
      <c r="H5" s="6">
        <v>14812308.91</v>
      </c>
      <c r="I5" s="6">
        <v>20428664.799999997</v>
      </c>
      <c r="J5" s="6">
        <v>3219540.48</v>
      </c>
      <c r="K5" s="6">
        <v>17817634.960000001</v>
      </c>
      <c r="L5" s="7">
        <v>6902634.1799999988</v>
      </c>
      <c r="M5" s="23">
        <f t="shared" ref="M5:M12" si="0">SUM(B5:L5)</f>
        <v>144145204.02000004</v>
      </c>
    </row>
    <row r="6" spans="1:13" ht="18" customHeight="1" x14ac:dyDescent="0.3">
      <c r="A6" s="14" t="s">
        <v>1</v>
      </c>
      <c r="B6" s="53"/>
      <c r="C6" s="15"/>
      <c r="D6" s="15"/>
      <c r="E6" s="15"/>
      <c r="F6" s="15"/>
      <c r="G6" s="15">
        <v>3988333.8000000003</v>
      </c>
      <c r="H6" s="15">
        <v>9462798.4600000102</v>
      </c>
      <c r="I6" s="6">
        <v>4553906.5199999986</v>
      </c>
      <c r="J6" s="15">
        <v>15851678.300000006</v>
      </c>
      <c r="K6" s="15"/>
      <c r="L6" s="27"/>
      <c r="M6" s="23">
        <f t="shared" si="0"/>
        <v>33856717.080000013</v>
      </c>
    </row>
    <row r="7" spans="1:13" ht="18" customHeight="1" x14ac:dyDescent="0.3">
      <c r="A7" s="14" t="s">
        <v>2</v>
      </c>
      <c r="B7" s="52">
        <v>792836.4</v>
      </c>
      <c r="C7" s="6">
        <v>1169763.3199999998</v>
      </c>
      <c r="D7" s="6">
        <v>1209155.0399999993</v>
      </c>
      <c r="E7" s="6">
        <v>1521265.2600000005</v>
      </c>
      <c r="F7" s="6">
        <v>1619408.47</v>
      </c>
      <c r="G7" s="6">
        <v>1592992.1700000004</v>
      </c>
      <c r="H7" s="6">
        <v>1806570.0300000003</v>
      </c>
      <c r="I7" s="6">
        <v>1641926.9800000004</v>
      </c>
      <c r="J7" s="15">
        <v>1481106.8500000003</v>
      </c>
      <c r="K7" s="6">
        <v>2541775.3099999991</v>
      </c>
      <c r="L7" s="7">
        <v>15136.2</v>
      </c>
      <c r="M7" s="23">
        <f t="shared" si="0"/>
        <v>15391936.029999999</v>
      </c>
    </row>
    <row r="8" spans="1:13" ht="18" customHeight="1" x14ac:dyDescent="0.3">
      <c r="A8" s="14" t="s">
        <v>3</v>
      </c>
      <c r="B8" s="53"/>
      <c r="C8" s="15"/>
      <c r="D8" s="15"/>
      <c r="E8" s="15"/>
      <c r="F8" s="15"/>
      <c r="G8" s="6">
        <v>172821.07999999996</v>
      </c>
      <c r="H8" s="6">
        <v>408469.81000000006</v>
      </c>
      <c r="I8" s="6">
        <v>110771.74</v>
      </c>
      <c r="J8" s="15">
        <v>633805.80999999982</v>
      </c>
      <c r="K8" s="15"/>
      <c r="L8" s="27"/>
      <c r="M8" s="23">
        <f t="shared" si="0"/>
        <v>1325868.44</v>
      </c>
    </row>
    <row r="9" spans="1:13" ht="18" customHeight="1" x14ac:dyDescent="0.3">
      <c r="A9" s="14" t="s">
        <v>4</v>
      </c>
      <c r="B9" s="52">
        <v>119998.42000000001</v>
      </c>
      <c r="C9" s="6">
        <v>359878.75000000012</v>
      </c>
      <c r="D9" s="6">
        <v>422492.48</v>
      </c>
      <c r="E9" s="6">
        <v>547271.42999999993</v>
      </c>
      <c r="F9" s="6">
        <v>326239.25999999995</v>
      </c>
      <c r="G9" s="6">
        <v>283437.96999999997</v>
      </c>
      <c r="H9" s="6">
        <v>284709.52</v>
      </c>
      <c r="I9" s="6">
        <v>209794.33999999991</v>
      </c>
      <c r="J9" s="6">
        <v>302589.93000000005</v>
      </c>
      <c r="K9" s="6">
        <v>217983.06000000003</v>
      </c>
      <c r="L9" s="7">
        <v>25301.909999999996</v>
      </c>
      <c r="M9" s="23">
        <f t="shared" si="0"/>
        <v>3099697.0700000003</v>
      </c>
    </row>
    <row r="10" spans="1:13" ht="18" customHeight="1" x14ac:dyDescent="0.3">
      <c r="A10" s="14" t="s">
        <v>5</v>
      </c>
      <c r="B10" s="53">
        <v>347510.68999999994</v>
      </c>
      <c r="C10" s="15">
        <v>315222.44000000006</v>
      </c>
      <c r="D10" s="6">
        <v>558797.66999999993</v>
      </c>
      <c r="E10" s="6">
        <v>827692.08</v>
      </c>
      <c r="F10" s="6">
        <v>278174.55000000005</v>
      </c>
      <c r="G10" s="6">
        <v>13985.739999999998</v>
      </c>
      <c r="H10" s="6">
        <v>27185.22</v>
      </c>
      <c r="I10" s="6">
        <v>1758.1</v>
      </c>
      <c r="J10" s="6">
        <v>15783.530000000002</v>
      </c>
      <c r="K10" s="6">
        <v>38583.68</v>
      </c>
      <c r="L10" s="27"/>
      <c r="M10" s="23">
        <f t="shared" si="0"/>
        <v>2424693.7000000002</v>
      </c>
    </row>
    <row r="11" spans="1:13" ht="18" customHeight="1" thickBot="1" x14ac:dyDescent="0.35">
      <c r="A11" s="26" t="s">
        <v>6</v>
      </c>
      <c r="B11" s="52">
        <v>40262.81</v>
      </c>
      <c r="C11" s="8">
        <v>4411.5200000000004</v>
      </c>
      <c r="D11" s="8">
        <v>12721.110000000002</v>
      </c>
      <c r="E11" s="8">
        <v>6997.8300000000008</v>
      </c>
      <c r="F11" s="8">
        <v>1872.43</v>
      </c>
      <c r="G11" s="8">
        <v>5861.09</v>
      </c>
      <c r="H11" s="8">
        <v>328.47</v>
      </c>
      <c r="I11" s="8">
        <v>12264.499999999998</v>
      </c>
      <c r="J11" s="8">
        <v>56921.460000000006</v>
      </c>
      <c r="K11" s="8">
        <v>24303.230000000003</v>
      </c>
      <c r="L11" s="9">
        <v>1911.01</v>
      </c>
      <c r="M11" s="25">
        <f t="shared" si="0"/>
        <v>167855.46000000002</v>
      </c>
    </row>
    <row r="12" spans="1:13" ht="18" customHeight="1" thickTop="1" thickBot="1" x14ac:dyDescent="0.35">
      <c r="A12" s="19" t="s">
        <v>8</v>
      </c>
      <c r="B12" s="20">
        <f t="shared" ref="B12:L12" si="1">SUM(B5:B11)</f>
        <v>8475906.9200000018</v>
      </c>
      <c r="C12" s="20">
        <f t="shared" si="1"/>
        <v>17199221.09000003</v>
      </c>
      <c r="D12" s="20">
        <f t="shared" si="1"/>
        <v>15982294.200000001</v>
      </c>
      <c r="E12" s="20">
        <f t="shared" si="1"/>
        <v>16706728.21000002</v>
      </c>
      <c r="F12" s="20">
        <f t="shared" si="1"/>
        <v>17189444.209999997</v>
      </c>
      <c r="G12" s="20">
        <f t="shared" si="1"/>
        <v>21950229.86999999</v>
      </c>
      <c r="H12" s="20">
        <f t="shared" si="1"/>
        <v>26802370.420000009</v>
      </c>
      <c r="I12" s="20">
        <f t="shared" si="1"/>
        <v>26959086.979999997</v>
      </c>
      <c r="J12" s="20">
        <f t="shared" si="1"/>
        <v>21561426.360000007</v>
      </c>
      <c r="K12" s="20">
        <f t="shared" si="1"/>
        <v>20640280.239999998</v>
      </c>
      <c r="L12" s="24">
        <f t="shared" si="1"/>
        <v>6944983.2999999989</v>
      </c>
      <c r="M12" s="10">
        <f t="shared" si="0"/>
        <v>200411971.80000007</v>
      </c>
    </row>
    <row r="13" spans="1:13" ht="18" customHeight="1" x14ac:dyDescent="0.3">
      <c r="B13" s="12" t="s">
        <v>35</v>
      </c>
      <c r="C13" s="30"/>
      <c r="D13" s="30"/>
      <c r="E13" s="30"/>
      <c r="F13" s="30"/>
      <c r="G13" s="30"/>
      <c r="H13" s="30"/>
      <c r="I13" s="30"/>
      <c r="J13" s="30"/>
      <c r="K13" s="30"/>
      <c r="L13" s="12" t="s">
        <v>10</v>
      </c>
      <c r="M13" s="30"/>
    </row>
    <row r="14" spans="1:13" ht="18" customHeight="1" x14ac:dyDescent="0.3">
      <c r="G14" s="32" t="s">
        <v>7</v>
      </c>
    </row>
    <row r="15" spans="1:13" ht="18" customHeight="1" x14ac:dyDescent="0.3">
      <c r="G15" s="32" t="s">
        <v>11</v>
      </c>
    </row>
    <row r="16" spans="1:13" ht="18" customHeight="1" x14ac:dyDescent="0.3">
      <c r="G16" s="41" t="s">
        <v>34</v>
      </c>
    </row>
    <row r="17" spans="2:12" ht="18" customHeight="1" x14ac:dyDescent="0.3">
      <c r="B17" s="4"/>
      <c r="C17" s="16" t="s">
        <v>14</v>
      </c>
      <c r="D17" s="17" t="s">
        <v>0</v>
      </c>
      <c r="E17" s="17" t="s">
        <v>1</v>
      </c>
      <c r="F17" s="17" t="s">
        <v>2</v>
      </c>
      <c r="G17" s="17" t="s">
        <v>3</v>
      </c>
      <c r="H17" s="17" t="s">
        <v>4</v>
      </c>
      <c r="I17" s="17" t="s">
        <v>5</v>
      </c>
      <c r="J17" s="21" t="s">
        <v>6</v>
      </c>
      <c r="K17" s="22" t="s">
        <v>8</v>
      </c>
    </row>
    <row r="18" spans="2:12" ht="18" customHeight="1" x14ac:dyDescent="0.2">
      <c r="B18" s="4"/>
      <c r="C18" s="14" t="s">
        <v>32</v>
      </c>
      <c r="D18" s="52">
        <v>7175298.6000000015</v>
      </c>
      <c r="E18" s="15"/>
      <c r="F18" s="52">
        <v>792836.4</v>
      </c>
      <c r="G18" s="15"/>
      <c r="H18" s="52">
        <v>119998.42000000001</v>
      </c>
      <c r="I18" s="53">
        <v>347510.68999999994</v>
      </c>
      <c r="J18" s="52">
        <v>40262.81</v>
      </c>
      <c r="K18" s="23">
        <f t="shared" ref="K18:K29" si="2">SUM(D18:J18)</f>
        <v>8475906.9200000018</v>
      </c>
      <c r="L18" s="29">
        <f>K18/200411971.8</f>
        <v>4.2292418181776509E-2</v>
      </c>
    </row>
    <row r="19" spans="2:12" ht="18" customHeight="1" x14ac:dyDescent="0.2">
      <c r="B19" s="4"/>
      <c r="C19" s="14">
        <v>2011</v>
      </c>
      <c r="D19" s="15">
        <v>15349945.060000027</v>
      </c>
      <c r="E19" s="15"/>
      <c r="F19" s="6">
        <v>1169763.3199999998</v>
      </c>
      <c r="G19" s="15"/>
      <c r="H19" s="6">
        <v>359878.75000000012</v>
      </c>
      <c r="I19" s="15">
        <v>315222.44000000006</v>
      </c>
      <c r="J19" s="7">
        <v>4411.5200000000004</v>
      </c>
      <c r="K19" s="23">
        <f t="shared" si="2"/>
        <v>17199221.09000003</v>
      </c>
      <c r="L19" s="29">
        <f t="shared" ref="L19:L29" si="3">K19/200411971.8</f>
        <v>8.5819329731279204E-2</v>
      </c>
    </row>
    <row r="20" spans="2:12" ht="18" customHeight="1" x14ac:dyDescent="0.2">
      <c r="B20" s="4"/>
      <c r="C20" s="14">
        <v>2012</v>
      </c>
      <c r="D20" s="15">
        <v>13779127.900000002</v>
      </c>
      <c r="E20" s="15"/>
      <c r="F20" s="6">
        <v>1209155.0399999993</v>
      </c>
      <c r="G20" s="15"/>
      <c r="H20" s="6">
        <v>422492.48</v>
      </c>
      <c r="I20" s="6">
        <v>558797.66999999993</v>
      </c>
      <c r="J20" s="7">
        <v>12721.110000000002</v>
      </c>
      <c r="K20" s="23">
        <f t="shared" si="2"/>
        <v>15982294.200000001</v>
      </c>
      <c r="L20" s="29">
        <f t="shared" si="3"/>
        <v>7.9747203006162934E-2</v>
      </c>
    </row>
    <row r="21" spans="2:12" ht="18" customHeight="1" x14ac:dyDescent="0.2">
      <c r="B21" s="13"/>
      <c r="C21" s="14">
        <v>2013</v>
      </c>
      <c r="D21" s="6">
        <v>13803501.61000002</v>
      </c>
      <c r="E21" s="15"/>
      <c r="F21" s="6">
        <v>1521265.2600000005</v>
      </c>
      <c r="G21" s="15"/>
      <c r="H21" s="6">
        <v>547271.42999999993</v>
      </c>
      <c r="I21" s="6">
        <v>827692.08</v>
      </c>
      <c r="J21" s="7">
        <v>6997.8300000000008</v>
      </c>
      <c r="K21" s="23">
        <f t="shared" si="2"/>
        <v>16706728.21000002</v>
      </c>
      <c r="L21" s="29">
        <f t="shared" si="3"/>
        <v>8.3361927233929933E-2</v>
      </c>
    </row>
    <row r="22" spans="2:12" ht="18" customHeight="1" x14ac:dyDescent="0.2">
      <c r="C22" s="14">
        <v>2014</v>
      </c>
      <c r="D22" s="6">
        <v>14963749.499999994</v>
      </c>
      <c r="E22" s="15"/>
      <c r="F22" s="6">
        <v>1619408.47</v>
      </c>
      <c r="G22" s="15"/>
      <c r="H22" s="6">
        <v>326239.25999999995</v>
      </c>
      <c r="I22" s="6">
        <v>278174.55000000005</v>
      </c>
      <c r="J22" s="7">
        <v>1872.43</v>
      </c>
      <c r="K22" s="23">
        <f t="shared" si="2"/>
        <v>17189444.209999997</v>
      </c>
      <c r="L22" s="29">
        <f t="shared" si="3"/>
        <v>8.5770545819259261E-2</v>
      </c>
    </row>
    <row r="23" spans="2:12" ht="18" customHeight="1" x14ac:dyDescent="0.2">
      <c r="C23" s="14">
        <v>2015</v>
      </c>
      <c r="D23" s="15">
        <v>15892798.019999994</v>
      </c>
      <c r="E23" s="15">
        <v>3988333.8000000003</v>
      </c>
      <c r="F23" s="6">
        <v>1592992.1700000004</v>
      </c>
      <c r="G23" s="6">
        <v>172821.07999999996</v>
      </c>
      <c r="H23" s="6">
        <v>283437.96999999997</v>
      </c>
      <c r="I23" s="6">
        <v>13985.739999999998</v>
      </c>
      <c r="J23" s="7">
        <v>5861.09</v>
      </c>
      <c r="K23" s="23">
        <f t="shared" si="2"/>
        <v>21950229.86999999</v>
      </c>
      <c r="L23" s="29">
        <f t="shared" si="3"/>
        <v>0.10952554217621838</v>
      </c>
    </row>
    <row r="24" spans="2:12" ht="18" customHeight="1" x14ac:dyDescent="0.2">
      <c r="C24" s="14">
        <v>2016</v>
      </c>
      <c r="D24" s="6">
        <v>14812308.91</v>
      </c>
      <c r="E24" s="15">
        <v>9462798.4600000102</v>
      </c>
      <c r="F24" s="6">
        <v>1806570.0300000003</v>
      </c>
      <c r="G24" s="6">
        <v>408469.81000000006</v>
      </c>
      <c r="H24" s="6">
        <v>284709.52</v>
      </c>
      <c r="I24" s="6">
        <v>27185.22</v>
      </c>
      <c r="J24" s="7">
        <v>328.47</v>
      </c>
      <c r="K24" s="23">
        <f t="shared" si="2"/>
        <v>26802370.420000009</v>
      </c>
      <c r="L24" s="29">
        <f t="shared" si="3"/>
        <v>0.13373637402633454</v>
      </c>
    </row>
    <row r="25" spans="2:12" ht="18" customHeight="1" x14ac:dyDescent="0.2">
      <c r="C25" s="14">
        <v>2017</v>
      </c>
      <c r="D25" s="6">
        <v>20428664.799999997</v>
      </c>
      <c r="E25" s="6">
        <v>4553906.5199999986</v>
      </c>
      <c r="F25" s="6">
        <v>1641926.9800000004</v>
      </c>
      <c r="G25" s="6">
        <v>110771.74</v>
      </c>
      <c r="H25" s="6">
        <v>209794.33999999991</v>
      </c>
      <c r="I25" s="6">
        <v>1758.1</v>
      </c>
      <c r="J25" s="7">
        <v>12264.499999999998</v>
      </c>
      <c r="K25" s="23">
        <f t="shared" si="2"/>
        <v>26959086.979999997</v>
      </c>
      <c r="L25" s="29">
        <f t="shared" si="3"/>
        <v>0.13451834607417398</v>
      </c>
    </row>
    <row r="26" spans="2:12" ht="18" customHeight="1" x14ac:dyDescent="0.2">
      <c r="C26" s="14">
        <v>2018</v>
      </c>
      <c r="D26" s="6">
        <v>3219540.48</v>
      </c>
      <c r="E26" s="15">
        <v>15851678.300000006</v>
      </c>
      <c r="F26" s="15">
        <v>1481106.8500000003</v>
      </c>
      <c r="G26" s="15">
        <v>633805.80999999982</v>
      </c>
      <c r="H26" s="6">
        <v>302589.93000000005</v>
      </c>
      <c r="I26" s="6">
        <v>15783.530000000002</v>
      </c>
      <c r="J26" s="7">
        <v>56921.460000000006</v>
      </c>
      <c r="K26" s="23">
        <f t="shared" si="2"/>
        <v>21561426.360000007</v>
      </c>
      <c r="L26" s="29">
        <f t="shared" si="3"/>
        <v>0.10758552079671722</v>
      </c>
    </row>
    <row r="27" spans="2:12" ht="18" customHeight="1" x14ac:dyDescent="0.2">
      <c r="C27" s="14">
        <v>2019</v>
      </c>
      <c r="D27" s="6">
        <v>17817634.960000001</v>
      </c>
      <c r="E27" s="15"/>
      <c r="F27" s="6">
        <v>2541775.3099999991</v>
      </c>
      <c r="G27" s="15"/>
      <c r="H27" s="6">
        <v>217983.06000000003</v>
      </c>
      <c r="I27" s="6">
        <v>38583.68</v>
      </c>
      <c r="J27" s="7">
        <v>24303.230000000003</v>
      </c>
      <c r="K27" s="23">
        <f t="shared" si="2"/>
        <v>20640280.239999998</v>
      </c>
      <c r="L27" s="29">
        <f t="shared" si="3"/>
        <v>0.1029892578503137</v>
      </c>
    </row>
    <row r="28" spans="2:12" ht="18" customHeight="1" thickBot="1" x14ac:dyDescent="0.25">
      <c r="C28" s="26" t="s">
        <v>33</v>
      </c>
      <c r="D28" s="8">
        <v>6902634.1799999988</v>
      </c>
      <c r="E28" s="18"/>
      <c r="F28" s="8">
        <v>15136.2</v>
      </c>
      <c r="G28" s="18"/>
      <c r="H28" s="8">
        <v>25301.909999999996</v>
      </c>
      <c r="I28" s="18"/>
      <c r="J28" s="9">
        <v>1911.01</v>
      </c>
      <c r="K28" s="25">
        <f t="shared" si="2"/>
        <v>6944983.2999999989</v>
      </c>
      <c r="L28" s="29">
        <f t="shared" si="3"/>
        <v>3.4653535103834544E-2</v>
      </c>
    </row>
    <row r="29" spans="2:12" ht="18" customHeight="1" thickTop="1" thickBot="1" x14ac:dyDescent="0.25">
      <c r="C29" s="19" t="s">
        <v>8</v>
      </c>
      <c r="D29" s="20">
        <f t="shared" ref="D29:J29" si="4">SUM(D18:D28)</f>
        <v>144145204.02000004</v>
      </c>
      <c r="E29" s="20">
        <f t="shared" si="4"/>
        <v>33856717.080000013</v>
      </c>
      <c r="F29" s="20">
        <f t="shared" si="4"/>
        <v>15391936.029999999</v>
      </c>
      <c r="G29" s="20">
        <f t="shared" si="4"/>
        <v>1325868.44</v>
      </c>
      <c r="H29" s="20">
        <f t="shared" si="4"/>
        <v>3099697.0700000003</v>
      </c>
      <c r="I29" s="20">
        <f t="shared" si="4"/>
        <v>2424693.7000000002</v>
      </c>
      <c r="J29" s="24">
        <f t="shared" si="4"/>
        <v>167855.46000000002</v>
      </c>
      <c r="K29" s="10">
        <f t="shared" si="2"/>
        <v>200411971.80000004</v>
      </c>
      <c r="L29" s="29">
        <f t="shared" si="3"/>
        <v>1.0000000000000002</v>
      </c>
    </row>
    <row r="30" spans="2:12" ht="18" customHeight="1" x14ac:dyDescent="0.3">
      <c r="D30" s="30">
        <f>D29/200411971.8</f>
        <v>0.71924447788902013</v>
      </c>
      <c r="E30" s="30">
        <f t="shared" ref="E30:K30" si="5">E29/200411971.8</f>
        <v>0.16893560188004703</v>
      </c>
      <c r="F30" s="30">
        <f t="shared" si="5"/>
        <v>7.6801479930352134E-2</v>
      </c>
      <c r="G30" s="30">
        <f t="shared" si="5"/>
        <v>6.615714760409337E-3</v>
      </c>
      <c r="H30" s="30">
        <f t="shared" si="5"/>
        <v>1.5466626280656155E-2</v>
      </c>
      <c r="I30" s="30">
        <f t="shared" si="5"/>
        <v>1.2098547198665903E-2</v>
      </c>
      <c r="J30" s="30">
        <f t="shared" si="5"/>
        <v>8.3755206084949068E-4</v>
      </c>
      <c r="K30" s="30">
        <f t="shared" si="5"/>
        <v>1.0000000000000002</v>
      </c>
    </row>
    <row r="32" spans="2:12" ht="18" customHeight="1" x14ac:dyDescent="0.3">
      <c r="F32" s="32" t="s">
        <v>7</v>
      </c>
    </row>
    <row r="33" spans="1:11" ht="18" customHeight="1" x14ac:dyDescent="0.3">
      <c r="F33" s="32" t="s">
        <v>13</v>
      </c>
    </row>
    <row r="34" spans="1:11" ht="18" customHeight="1" x14ac:dyDescent="0.3">
      <c r="B34" s="11"/>
      <c r="C34" s="11"/>
      <c r="D34" s="11"/>
      <c r="E34" s="11"/>
      <c r="F34" s="31" t="s">
        <v>36</v>
      </c>
      <c r="H34" s="11"/>
      <c r="I34" s="11"/>
      <c r="J34" s="11"/>
    </row>
    <row r="35" spans="1:11" ht="18" customHeight="1" x14ac:dyDescent="0.3">
      <c r="A35" s="16" t="s">
        <v>15</v>
      </c>
      <c r="B35" s="17" t="s">
        <v>32</v>
      </c>
      <c r="C35" s="17">
        <v>2011</v>
      </c>
      <c r="D35" s="17">
        <v>2012</v>
      </c>
      <c r="E35" s="17">
        <v>2013</v>
      </c>
      <c r="F35" s="17">
        <v>2014</v>
      </c>
      <c r="G35" s="17">
        <v>2015</v>
      </c>
      <c r="H35" s="17">
        <v>2016</v>
      </c>
      <c r="I35" s="17">
        <v>2017</v>
      </c>
      <c r="J35" s="17">
        <v>2018</v>
      </c>
      <c r="K35" s="22" t="s">
        <v>8</v>
      </c>
    </row>
    <row r="36" spans="1:11" ht="18" customHeight="1" x14ac:dyDescent="0.3">
      <c r="A36" s="14" t="s">
        <v>0</v>
      </c>
      <c r="B36" s="52">
        <v>7175298.6000000015</v>
      </c>
      <c r="C36" s="15">
        <v>15349945.060000027</v>
      </c>
      <c r="D36" s="15">
        <v>13779127.900000002</v>
      </c>
      <c r="E36" s="6">
        <v>13803501.61000002</v>
      </c>
      <c r="F36" s="6">
        <v>14963749.499999994</v>
      </c>
      <c r="G36" s="15">
        <v>15892798.019999994</v>
      </c>
      <c r="H36" s="6">
        <v>14812308.91</v>
      </c>
      <c r="I36" s="6">
        <v>20428664.799999997</v>
      </c>
      <c r="J36" s="6">
        <v>3219540.48</v>
      </c>
      <c r="K36" s="23">
        <f t="shared" ref="K36:K43" si="6">SUM(B36:J36)</f>
        <v>119424934.88000004</v>
      </c>
    </row>
    <row r="37" spans="1:11" ht="18" customHeight="1" x14ac:dyDescent="0.3">
      <c r="A37" s="14" t="s">
        <v>1</v>
      </c>
      <c r="B37" s="53"/>
      <c r="C37" s="15"/>
      <c r="D37" s="15"/>
      <c r="E37" s="15"/>
      <c r="F37" s="15"/>
      <c r="G37" s="15">
        <v>3988333.8000000003</v>
      </c>
      <c r="H37" s="15">
        <v>9462798.4600000102</v>
      </c>
      <c r="I37" s="6">
        <v>4553906.5199999986</v>
      </c>
      <c r="J37" s="15">
        <v>15851678.300000006</v>
      </c>
      <c r="K37" s="23">
        <f t="shared" si="6"/>
        <v>33856717.080000013</v>
      </c>
    </row>
    <row r="38" spans="1:11" ht="18" customHeight="1" x14ac:dyDescent="0.3">
      <c r="A38" s="14" t="s">
        <v>2</v>
      </c>
      <c r="B38" s="52">
        <v>792836.4</v>
      </c>
      <c r="C38" s="6">
        <v>1169763.3199999998</v>
      </c>
      <c r="D38" s="6">
        <v>1209155.0399999993</v>
      </c>
      <c r="E38" s="6">
        <v>1521265.2600000005</v>
      </c>
      <c r="F38" s="6">
        <v>1619408.47</v>
      </c>
      <c r="G38" s="6">
        <v>1592992.1700000004</v>
      </c>
      <c r="H38" s="6">
        <v>1806570.0300000003</v>
      </c>
      <c r="I38" s="6">
        <v>1641926.9800000004</v>
      </c>
      <c r="J38" s="15">
        <v>1481106.8500000003</v>
      </c>
      <c r="K38" s="23">
        <f t="shared" si="6"/>
        <v>12835024.520000001</v>
      </c>
    </row>
    <row r="39" spans="1:11" ht="18" customHeight="1" x14ac:dyDescent="0.3">
      <c r="A39" s="14" t="s">
        <v>3</v>
      </c>
      <c r="B39" s="53"/>
      <c r="C39" s="15"/>
      <c r="D39" s="15"/>
      <c r="E39" s="15"/>
      <c r="F39" s="15"/>
      <c r="G39" s="6">
        <v>172821.07999999996</v>
      </c>
      <c r="H39" s="6">
        <v>408469.81000000006</v>
      </c>
      <c r="I39" s="6">
        <v>110771.74</v>
      </c>
      <c r="J39" s="15">
        <v>633805.80999999982</v>
      </c>
      <c r="K39" s="23">
        <f t="shared" si="6"/>
        <v>1325868.44</v>
      </c>
    </row>
    <row r="40" spans="1:11" ht="18" customHeight="1" x14ac:dyDescent="0.3">
      <c r="A40" s="14" t="s">
        <v>4</v>
      </c>
      <c r="B40" s="52">
        <v>119998.42000000001</v>
      </c>
      <c r="C40" s="6">
        <v>359878.75000000012</v>
      </c>
      <c r="D40" s="6">
        <v>422492.48</v>
      </c>
      <c r="E40" s="6">
        <v>547271.42999999993</v>
      </c>
      <c r="F40" s="6">
        <v>326239.25999999995</v>
      </c>
      <c r="G40" s="6">
        <v>283437.96999999997</v>
      </c>
      <c r="H40" s="6">
        <v>284709.52</v>
      </c>
      <c r="I40" s="6">
        <v>209794.33999999991</v>
      </c>
      <c r="J40" s="6">
        <v>302589.93000000005</v>
      </c>
      <c r="K40" s="23">
        <f t="shared" si="6"/>
        <v>2856412.1</v>
      </c>
    </row>
    <row r="41" spans="1:11" ht="18" customHeight="1" x14ac:dyDescent="0.3">
      <c r="A41" s="14" t="s">
        <v>5</v>
      </c>
      <c r="B41" s="53">
        <v>347510.68999999994</v>
      </c>
      <c r="C41" s="15">
        <v>315222.44000000006</v>
      </c>
      <c r="D41" s="6">
        <v>558797.66999999993</v>
      </c>
      <c r="E41" s="6">
        <v>827692.08</v>
      </c>
      <c r="F41" s="6">
        <v>278174.55000000005</v>
      </c>
      <c r="G41" s="6">
        <v>13985.739999999998</v>
      </c>
      <c r="H41" s="6">
        <v>27185.22</v>
      </c>
      <c r="I41" s="6">
        <v>1758.1</v>
      </c>
      <c r="J41" s="6">
        <v>15783.530000000002</v>
      </c>
      <c r="K41" s="23">
        <f t="shared" si="6"/>
        <v>2386110.02</v>
      </c>
    </row>
    <row r="42" spans="1:11" ht="18" customHeight="1" thickBot="1" x14ac:dyDescent="0.35">
      <c r="A42" s="26" t="s">
        <v>6</v>
      </c>
      <c r="B42" s="52">
        <v>40262.81</v>
      </c>
      <c r="C42" s="8">
        <v>4411.5200000000004</v>
      </c>
      <c r="D42" s="8">
        <v>12721.110000000002</v>
      </c>
      <c r="E42" s="8">
        <v>6997.8300000000008</v>
      </c>
      <c r="F42" s="8">
        <v>1872.43</v>
      </c>
      <c r="G42" s="8">
        <v>5861.09</v>
      </c>
      <c r="H42" s="8">
        <v>328.47</v>
      </c>
      <c r="I42" s="8">
        <v>12264.499999999998</v>
      </c>
      <c r="J42" s="8">
        <v>56921.460000000006</v>
      </c>
      <c r="K42" s="25">
        <f t="shared" si="6"/>
        <v>141641.22</v>
      </c>
    </row>
    <row r="43" spans="1:11" ht="18" customHeight="1" thickTop="1" thickBot="1" x14ac:dyDescent="0.35">
      <c r="A43" s="19" t="s">
        <v>8</v>
      </c>
      <c r="B43" s="20">
        <f t="shared" ref="B43:J43" si="7">SUM(B36:B42)</f>
        <v>8475906.9200000018</v>
      </c>
      <c r="C43" s="20">
        <f t="shared" si="7"/>
        <v>17199221.09000003</v>
      </c>
      <c r="D43" s="20">
        <f t="shared" si="7"/>
        <v>15982294.200000001</v>
      </c>
      <c r="E43" s="20">
        <f t="shared" si="7"/>
        <v>16706728.21000002</v>
      </c>
      <c r="F43" s="20">
        <f t="shared" si="7"/>
        <v>17189444.209999997</v>
      </c>
      <c r="G43" s="20">
        <f t="shared" si="7"/>
        <v>21950229.86999999</v>
      </c>
      <c r="H43" s="20">
        <f t="shared" si="7"/>
        <v>26802370.420000009</v>
      </c>
      <c r="I43" s="20">
        <f t="shared" si="7"/>
        <v>26959086.979999997</v>
      </c>
      <c r="J43" s="20">
        <f t="shared" si="7"/>
        <v>21561426.360000007</v>
      </c>
      <c r="K43" s="10">
        <f t="shared" si="6"/>
        <v>172826708.26000005</v>
      </c>
    </row>
    <row r="44" spans="1:11" ht="18" customHeight="1" x14ac:dyDescent="0.3">
      <c r="B44" s="12" t="s">
        <v>35</v>
      </c>
    </row>
    <row r="45" spans="1:11" ht="18" customHeight="1" x14ac:dyDescent="0.3">
      <c r="F45" s="32" t="s">
        <v>7</v>
      </c>
    </row>
    <row r="46" spans="1:11" ht="18" customHeight="1" x14ac:dyDescent="0.3">
      <c r="F46" s="33" t="s">
        <v>13</v>
      </c>
    </row>
    <row r="47" spans="1:11" ht="18" customHeight="1" x14ac:dyDescent="0.3">
      <c r="F47" s="41" t="s">
        <v>36</v>
      </c>
    </row>
    <row r="48" spans="1:11" ht="18" customHeight="1" x14ac:dyDescent="0.3">
      <c r="B48" s="16" t="s">
        <v>14</v>
      </c>
      <c r="C48" s="17" t="s">
        <v>0</v>
      </c>
      <c r="D48" s="17" t="s">
        <v>1</v>
      </c>
      <c r="E48" s="17" t="s">
        <v>2</v>
      </c>
      <c r="F48" s="17" t="s">
        <v>3</v>
      </c>
      <c r="G48" s="17" t="s">
        <v>4</v>
      </c>
      <c r="H48" s="17" t="s">
        <v>5</v>
      </c>
      <c r="I48" s="21" t="s">
        <v>6</v>
      </c>
      <c r="J48" s="22" t="s">
        <v>8</v>
      </c>
    </row>
    <row r="49" spans="2:11" ht="18" customHeight="1" x14ac:dyDescent="0.2">
      <c r="B49" s="14" t="s">
        <v>32</v>
      </c>
      <c r="C49" s="52">
        <v>7175298.6000000015</v>
      </c>
      <c r="D49" s="15"/>
      <c r="E49" s="52">
        <v>792836.4</v>
      </c>
      <c r="F49" s="15"/>
      <c r="G49" s="52">
        <v>119998.42000000001</v>
      </c>
      <c r="H49" s="53">
        <v>347510.68999999994</v>
      </c>
      <c r="I49" s="52">
        <v>40262.81</v>
      </c>
      <c r="J49" s="23">
        <f t="shared" ref="J49:J58" si="8">SUM(C49:I49)</f>
        <v>8475906.9200000018</v>
      </c>
      <c r="K49" s="29">
        <f>J49/172826708.26</f>
        <v>4.9042807129375351E-2</v>
      </c>
    </row>
    <row r="50" spans="2:11" ht="18" customHeight="1" x14ac:dyDescent="0.2">
      <c r="B50" s="14">
        <v>2011</v>
      </c>
      <c r="C50" s="15">
        <v>15349945.060000027</v>
      </c>
      <c r="D50" s="15"/>
      <c r="E50" s="6">
        <v>1169763.3199999998</v>
      </c>
      <c r="F50" s="15"/>
      <c r="G50" s="6">
        <v>359878.75000000012</v>
      </c>
      <c r="H50" s="15">
        <v>315222.44000000006</v>
      </c>
      <c r="I50" s="7">
        <v>4411.5200000000004</v>
      </c>
      <c r="J50" s="23">
        <f t="shared" si="8"/>
        <v>17199221.09000003</v>
      </c>
      <c r="K50" s="29">
        <f t="shared" ref="K50:K58" si="9">J50/172826708.26</f>
        <v>9.9517147917471016E-2</v>
      </c>
    </row>
    <row r="51" spans="2:11" ht="18" customHeight="1" x14ac:dyDescent="0.2">
      <c r="B51" s="14">
        <v>2012</v>
      </c>
      <c r="C51" s="15">
        <v>13779127.900000002</v>
      </c>
      <c r="D51" s="15"/>
      <c r="E51" s="6">
        <v>1209155.0399999993</v>
      </c>
      <c r="F51" s="15"/>
      <c r="G51" s="6">
        <v>422492.48</v>
      </c>
      <c r="H51" s="6">
        <v>558797.66999999993</v>
      </c>
      <c r="I51" s="7">
        <v>12721.110000000002</v>
      </c>
      <c r="J51" s="23">
        <f t="shared" si="8"/>
        <v>15982294.200000001</v>
      </c>
      <c r="K51" s="29">
        <f t="shared" si="9"/>
        <v>9.2475835250858826E-2</v>
      </c>
    </row>
    <row r="52" spans="2:11" ht="18" customHeight="1" x14ac:dyDescent="0.2">
      <c r="B52" s="14">
        <v>2013</v>
      </c>
      <c r="C52" s="6">
        <v>13803501.61000002</v>
      </c>
      <c r="D52" s="15"/>
      <c r="E52" s="6">
        <v>1521265.2600000005</v>
      </c>
      <c r="F52" s="15"/>
      <c r="G52" s="6">
        <v>547271.42999999993</v>
      </c>
      <c r="H52" s="6">
        <v>827692.08</v>
      </c>
      <c r="I52" s="7">
        <v>6997.8300000000008</v>
      </c>
      <c r="J52" s="23">
        <f t="shared" si="8"/>
        <v>16706728.21000002</v>
      </c>
      <c r="K52" s="29">
        <f t="shared" si="9"/>
        <v>9.6667513824694656E-2</v>
      </c>
    </row>
    <row r="53" spans="2:11" ht="18" customHeight="1" x14ac:dyDescent="0.2">
      <c r="B53" s="14">
        <v>2014</v>
      </c>
      <c r="C53" s="6">
        <v>14963749.499999994</v>
      </c>
      <c r="D53" s="15"/>
      <c r="E53" s="6">
        <v>1619408.47</v>
      </c>
      <c r="F53" s="15"/>
      <c r="G53" s="6">
        <v>326239.25999999995</v>
      </c>
      <c r="H53" s="6">
        <v>278174.55000000005</v>
      </c>
      <c r="I53" s="7">
        <v>1872.43</v>
      </c>
      <c r="J53" s="23">
        <f t="shared" si="8"/>
        <v>17189444.209999997</v>
      </c>
      <c r="K53" s="29">
        <f t="shared" si="9"/>
        <v>9.9460577494424343E-2</v>
      </c>
    </row>
    <row r="54" spans="2:11" ht="18" customHeight="1" x14ac:dyDescent="0.2">
      <c r="B54" s="14">
        <v>2015</v>
      </c>
      <c r="C54" s="15">
        <v>15892798.019999994</v>
      </c>
      <c r="D54" s="15">
        <v>3988333.8000000003</v>
      </c>
      <c r="E54" s="6">
        <v>1592992.1700000004</v>
      </c>
      <c r="F54" s="6">
        <v>172821.07999999996</v>
      </c>
      <c r="G54" s="6">
        <v>283437.96999999997</v>
      </c>
      <c r="H54" s="6">
        <v>13985.739999999998</v>
      </c>
      <c r="I54" s="7">
        <v>5861.09</v>
      </c>
      <c r="J54" s="23">
        <f t="shared" si="8"/>
        <v>21950229.86999999</v>
      </c>
      <c r="K54" s="29">
        <f t="shared" si="9"/>
        <v>0.1270071627874676</v>
      </c>
    </row>
    <row r="55" spans="2:11" ht="18" customHeight="1" x14ac:dyDescent="0.2">
      <c r="B55" s="14">
        <v>2016</v>
      </c>
      <c r="C55" s="6">
        <v>14812308.91</v>
      </c>
      <c r="D55" s="15">
        <v>9462798.4600000102</v>
      </c>
      <c r="E55" s="6">
        <v>1806570.0300000003</v>
      </c>
      <c r="F55" s="6">
        <v>408469.81000000006</v>
      </c>
      <c r="G55" s="6">
        <v>284709.52</v>
      </c>
      <c r="H55" s="6">
        <v>27185.22</v>
      </c>
      <c r="I55" s="7">
        <v>328.47</v>
      </c>
      <c r="J55" s="23">
        <f t="shared" si="8"/>
        <v>26802370.420000009</v>
      </c>
      <c r="K55" s="29">
        <f t="shared" si="9"/>
        <v>0.15508234051231598</v>
      </c>
    </row>
    <row r="56" spans="2:11" ht="18" customHeight="1" x14ac:dyDescent="0.2">
      <c r="B56" s="14">
        <v>2017</v>
      </c>
      <c r="C56" s="6">
        <v>20428664.799999997</v>
      </c>
      <c r="D56" s="6">
        <v>4553906.5199999986</v>
      </c>
      <c r="E56" s="6">
        <v>1641926.9800000004</v>
      </c>
      <c r="F56" s="6">
        <v>110771.74</v>
      </c>
      <c r="G56" s="6">
        <v>209794.33999999991</v>
      </c>
      <c r="H56" s="6">
        <v>1758.1</v>
      </c>
      <c r="I56" s="7">
        <v>12264.499999999998</v>
      </c>
      <c r="J56" s="23">
        <f t="shared" si="8"/>
        <v>26959086.979999997</v>
      </c>
      <c r="K56" s="29">
        <f t="shared" si="9"/>
        <v>0.1559891248952264</v>
      </c>
    </row>
    <row r="57" spans="2:11" ht="18" customHeight="1" thickBot="1" x14ac:dyDescent="0.25">
      <c r="B57" s="14">
        <v>2018</v>
      </c>
      <c r="C57" s="6">
        <v>3219540.48</v>
      </c>
      <c r="D57" s="15">
        <v>15851678.300000006</v>
      </c>
      <c r="E57" s="15">
        <v>1481106.8500000003</v>
      </c>
      <c r="F57" s="15">
        <v>633805.80999999982</v>
      </c>
      <c r="G57" s="6">
        <v>302589.93000000005</v>
      </c>
      <c r="H57" s="6">
        <v>15783.530000000002</v>
      </c>
      <c r="I57" s="7">
        <v>56921.460000000006</v>
      </c>
      <c r="J57" s="23">
        <f t="shared" si="8"/>
        <v>21561426.360000007</v>
      </c>
      <c r="K57" s="29">
        <f t="shared" si="9"/>
        <v>0.12475749018816618</v>
      </c>
    </row>
    <row r="58" spans="2:11" ht="18" customHeight="1" thickTop="1" thickBot="1" x14ac:dyDescent="0.25">
      <c r="B58" s="19" t="s">
        <v>8</v>
      </c>
      <c r="C58" s="20">
        <f t="shared" ref="C58:I58" si="10">SUM(C49:C57)</f>
        <v>119424934.88000004</v>
      </c>
      <c r="D58" s="20">
        <f t="shared" si="10"/>
        <v>33856717.080000013</v>
      </c>
      <c r="E58" s="20">
        <f t="shared" si="10"/>
        <v>12835024.520000001</v>
      </c>
      <c r="F58" s="20">
        <f t="shared" si="10"/>
        <v>1325868.44</v>
      </c>
      <c r="G58" s="20">
        <f t="shared" si="10"/>
        <v>2856412.1</v>
      </c>
      <c r="H58" s="20">
        <f t="shared" si="10"/>
        <v>2386110.02</v>
      </c>
      <c r="I58" s="24">
        <f t="shared" si="10"/>
        <v>141641.22</v>
      </c>
      <c r="J58" s="10">
        <f t="shared" si="8"/>
        <v>172826708.26000005</v>
      </c>
      <c r="K58" s="29">
        <f t="shared" si="9"/>
        <v>1.0000000000000004</v>
      </c>
    </row>
    <row r="59" spans="2:11" ht="18" customHeight="1" x14ac:dyDescent="0.3">
      <c r="C59" s="30">
        <f>C58/172826708.26</f>
        <v>0.69100971766665553</v>
      </c>
      <c r="D59" s="30">
        <f t="shared" ref="D59:J59" si="11">D58/172826708.26</f>
        <v>0.19589979709077179</v>
      </c>
      <c r="E59" s="30">
        <f t="shared" si="11"/>
        <v>7.4265283700775162E-2</v>
      </c>
      <c r="F59" s="30">
        <f t="shared" si="11"/>
        <v>7.6716640231634069E-3</v>
      </c>
      <c r="G59" s="30">
        <f t="shared" si="11"/>
        <v>1.652760808070719E-2</v>
      </c>
      <c r="H59" s="30">
        <f t="shared" si="11"/>
        <v>1.3806373123824954E-2</v>
      </c>
      <c r="I59" s="30">
        <f t="shared" si="11"/>
        <v>8.1955631410230508E-4</v>
      </c>
      <c r="J59" s="30">
        <f t="shared" si="11"/>
        <v>1.0000000000000004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"/>
  <sheetViews>
    <sheetView workbookViewId="0">
      <selection activeCell="B3" sqref="B3:G6"/>
    </sheetView>
  </sheetViews>
  <sheetFormatPr defaultRowHeight="14.4" x14ac:dyDescent="0.3"/>
  <cols>
    <col min="2" max="2" width="26.5546875" customWidth="1"/>
    <col min="3" max="3" width="14.21875" customWidth="1"/>
    <col min="4" max="5" width="12.44140625" customWidth="1"/>
    <col min="6" max="7" width="14.21875" customWidth="1"/>
  </cols>
  <sheetData>
    <row r="2" spans="2:8" ht="16.2" thickBot="1" x14ac:dyDescent="0.35">
      <c r="H2" s="141"/>
    </row>
    <row r="3" spans="2:8" ht="40.5" customHeight="1" thickTop="1" thickBot="1" x14ac:dyDescent="0.35">
      <c r="B3" s="142" t="s">
        <v>14</v>
      </c>
      <c r="C3" s="143" t="s">
        <v>119</v>
      </c>
      <c r="D3" s="144">
        <v>2018</v>
      </c>
      <c r="E3" s="144">
        <v>2019</v>
      </c>
      <c r="F3" s="145" t="s">
        <v>120</v>
      </c>
      <c r="G3" s="146" t="s">
        <v>8</v>
      </c>
    </row>
    <row r="4" spans="2:8" ht="18.75" customHeight="1" x14ac:dyDescent="0.3">
      <c r="B4" s="147" t="s">
        <v>116</v>
      </c>
      <c r="C4" s="148">
        <v>2451505</v>
      </c>
      <c r="D4" s="148">
        <v>2641237</v>
      </c>
      <c r="E4" s="148">
        <v>3012287</v>
      </c>
      <c r="F4" s="149">
        <v>762620</v>
      </c>
      <c r="G4" s="150">
        <f>SUM(C4:F4)</f>
        <v>8867649</v>
      </c>
    </row>
    <row r="5" spans="2:8" ht="18.75" customHeight="1" thickBot="1" x14ac:dyDescent="0.35">
      <c r="B5" s="151" t="s">
        <v>117</v>
      </c>
      <c r="C5" s="152">
        <v>0</v>
      </c>
      <c r="D5" s="152">
        <v>4839134</v>
      </c>
      <c r="E5" s="152">
        <v>11032438</v>
      </c>
      <c r="F5" s="153">
        <v>3457173</v>
      </c>
      <c r="G5" s="154">
        <f>SUM(C5:F5)</f>
        <v>19328745</v>
      </c>
    </row>
    <row r="6" spans="2:8" ht="26.25" customHeight="1" thickTop="1" thickBot="1" x14ac:dyDescent="0.35">
      <c r="B6" s="155" t="s">
        <v>118</v>
      </c>
      <c r="C6" s="156">
        <f>SUM(C4:C5)</f>
        <v>2451505</v>
      </c>
      <c r="D6" s="156">
        <f t="shared" ref="D6:F6" si="0">SUM(D4:D5)</f>
        <v>7480371</v>
      </c>
      <c r="E6" s="156">
        <f t="shared" si="0"/>
        <v>14044725</v>
      </c>
      <c r="F6" s="156">
        <f t="shared" si="0"/>
        <v>4219793</v>
      </c>
      <c r="G6" s="157">
        <f>SUM(C6:F6)</f>
        <v>28196394</v>
      </c>
    </row>
    <row r="7" spans="2:8" ht="15" thickTop="1" x14ac:dyDescent="0.3"/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2" sqref="A2:D9"/>
    </sheetView>
  </sheetViews>
  <sheetFormatPr defaultRowHeight="14.4" x14ac:dyDescent="0.3"/>
  <cols>
    <col min="1" max="1" width="13.21875" customWidth="1"/>
    <col min="2" max="2" width="15.77734375" customWidth="1"/>
    <col min="3" max="3" width="16.77734375" customWidth="1"/>
    <col min="4" max="4" width="15" customWidth="1"/>
  </cols>
  <sheetData>
    <row r="1" spans="1:4" ht="15" thickBot="1" x14ac:dyDescent="0.35"/>
    <row r="2" spans="1:4" ht="44.25" customHeight="1" x14ac:dyDescent="0.3">
      <c r="A2" s="186" t="s">
        <v>123</v>
      </c>
      <c r="B2" s="187"/>
      <c r="C2" s="187"/>
      <c r="D2" s="188"/>
    </row>
    <row r="3" spans="1:4" ht="37.5" customHeight="1" x14ac:dyDescent="0.3">
      <c r="A3" s="158" t="s">
        <v>14</v>
      </c>
      <c r="B3" s="159" t="s">
        <v>121</v>
      </c>
      <c r="C3" s="159" t="s">
        <v>122</v>
      </c>
      <c r="D3" s="160" t="s">
        <v>81</v>
      </c>
    </row>
    <row r="4" spans="1:4" ht="22.5" customHeight="1" x14ac:dyDescent="0.3">
      <c r="A4" s="161">
        <v>2015</v>
      </c>
      <c r="B4" s="162">
        <v>13830530</v>
      </c>
      <c r="C4" s="162">
        <v>13620717</v>
      </c>
      <c r="D4" s="163">
        <f>C4-B4</f>
        <v>-209813</v>
      </c>
    </row>
    <row r="5" spans="1:4" ht="22.5" customHeight="1" x14ac:dyDescent="0.3">
      <c r="A5" s="161">
        <v>2016</v>
      </c>
      <c r="B5" s="162">
        <v>27664598</v>
      </c>
      <c r="C5" s="162">
        <v>27774546</v>
      </c>
      <c r="D5" s="163">
        <f t="shared" ref="D5:D9" si="0">C5-B5</f>
        <v>109948</v>
      </c>
    </row>
    <row r="6" spans="1:4" ht="22.5" customHeight="1" x14ac:dyDescent="0.3">
      <c r="A6" s="161">
        <v>2017</v>
      </c>
      <c r="B6" s="162">
        <v>27661949</v>
      </c>
      <c r="C6" s="162">
        <v>27840992</v>
      </c>
      <c r="D6" s="163">
        <f t="shared" si="0"/>
        <v>179043</v>
      </c>
    </row>
    <row r="7" spans="1:4" ht="22.5" customHeight="1" x14ac:dyDescent="0.3">
      <c r="A7" s="161">
        <v>2018</v>
      </c>
      <c r="B7" s="162">
        <v>21638766</v>
      </c>
      <c r="C7" s="162">
        <v>21779501</v>
      </c>
      <c r="D7" s="163">
        <f t="shared" si="0"/>
        <v>140735</v>
      </c>
    </row>
    <row r="8" spans="1:4" ht="22.5" customHeight="1" x14ac:dyDescent="0.3">
      <c r="A8" s="161">
        <v>2019</v>
      </c>
      <c r="B8" s="162">
        <v>21283946</v>
      </c>
      <c r="C8" s="162">
        <v>21312894</v>
      </c>
      <c r="D8" s="163">
        <f t="shared" si="0"/>
        <v>28948</v>
      </c>
    </row>
    <row r="9" spans="1:4" ht="30.75" customHeight="1" thickBot="1" x14ac:dyDescent="0.35">
      <c r="A9" s="164" t="s">
        <v>8</v>
      </c>
      <c r="B9" s="165">
        <f>SUM(B4:B8)</f>
        <v>112079789</v>
      </c>
      <c r="C9" s="165">
        <f>SUM(C4:C8)</f>
        <v>112328650</v>
      </c>
      <c r="D9" s="166">
        <f t="shared" si="0"/>
        <v>248861</v>
      </c>
    </row>
  </sheetData>
  <mergeCells count="1"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selection activeCell="M29" sqref="L29:M30"/>
    </sheetView>
  </sheetViews>
  <sheetFormatPr defaultColWidth="8.77734375" defaultRowHeight="13.2" x14ac:dyDescent="0.3"/>
  <cols>
    <col min="1" max="1" width="8.77734375" style="3"/>
    <col min="2" max="2" width="13.5546875" style="3" bestFit="1" customWidth="1"/>
    <col min="3" max="3" width="8.77734375" style="3"/>
    <col min="4" max="4" width="16.5546875" style="3" customWidth="1"/>
    <col min="5" max="5" width="13.77734375" style="3" bestFit="1" customWidth="1"/>
    <col min="6" max="6" width="13.5546875" style="3" customWidth="1"/>
    <col min="7" max="7" width="12.44140625" style="3" customWidth="1"/>
    <col min="8" max="8" width="8.77734375" style="3"/>
    <col min="9" max="9" width="12.44140625" style="3" customWidth="1"/>
    <col min="10" max="10" width="8.77734375" style="3"/>
    <col min="11" max="11" width="11.77734375" style="3" customWidth="1"/>
    <col min="12" max="12" width="8.77734375" style="3"/>
    <col min="13" max="13" width="13.77734375" style="3" customWidth="1"/>
    <col min="14" max="14" width="8.77734375" style="3"/>
    <col min="15" max="15" width="13.21875" style="3" customWidth="1"/>
    <col min="16" max="16" width="8.77734375" style="3"/>
    <col min="17" max="17" width="13" style="3" customWidth="1"/>
    <col min="18" max="16384" width="8.77734375" style="3"/>
  </cols>
  <sheetData>
    <row r="1" spans="1:19" ht="13.8" thickBot="1" x14ac:dyDescent="0.35"/>
    <row r="2" spans="1:19" ht="13.8" thickBot="1" x14ac:dyDescent="0.35">
      <c r="D2" s="60"/>
      <c r="E2" s="62" t="s">
        <v>49</v>
      </c>
      <c r="F2" s="61"/>
      <c r="G2" s="61">
        <v>1642</v>
      </c>
      <c r="H2" s="61"/>
      <c r="I2" s="61">
        <v>1643</v>
      </c>
      <c r="J2" s="61"/>
      <c r="K2" s="61">
        <v>1642</v>
      </c>
      <c r="L2" s="61"/>
      <c r="M2" s="176">
        <v>1643</v>
      </c>
      <c r="N2" s="174"/>
      <c r="O2" s="174"/>
      <c r="P2" s="174"/>
      <c r="Q2" s="174"/>
      <c r="R2" s="174"/>
      <c r="S2" s="174"/>
    </row>
    <row r="3" spans="1:19" x14ac:dyDescent="0.3">
      <c r="E3" s="56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ht="14.55" customHeight="1" x14ac:dyDescent="0.3">
      <c r="D4" s="177" t="s">
        <v>40</v>
      </c>
      <c r="E4" s="177"/>
      <c r="G4" s="63" t="s">
        <v>41</v>
      </c>
      <c r="I4" s="63" t="s">
        <v>42</v>
      </c>
      <c r="K4" s="63" t="s">
        <v>43</v>
      </c>
      <c r="M4" s="63" t="s">
        <v>44</v>
      </c>
      <c r="O4" s="63"/>
      <c r="Q4" s="63"/>
      <c r="S4" s="63"/>
    </row>
    <row r="5" spans="1:19" x14ac:dyDescent="0.3">
      <c r="D5" s="170"/>
      <c r="E5" s="170"/>
    </row>
    <row r="6" spans="1:19" x14ac:dyDescent="0.3">
      <c r="D6" s="170" t="s">
        <v>0</v>
      </c>
      <c r="E6" s="170">
        <f>B8*1643</f>
        <v>18968435</v>
      </c>
      <c r="G6" s="3">
        <f>G2*B8*0.995</f>
        <v>18862105.550000001</v>
      </c>
      <c r="I6" s="3">
        <f>I2*B8*0.995*0.992</f>
        <v>18722604.082399998</v>
      </c>
      <c r="K6" s="3">
        <f>K2*B8*0.995*0.992*0.992</f>
        <v>18561519.035955202</v>
      </c>
      <c r="M6" s="3">
        <f>M2*B8*0.995*0.992*0.992*0.992</f>
        <v>18424240.66374287</v>
      </c>
    </row>
    <row r="7" spans="1:19" x14ac:dyDescent="0.3">
      <c r="A7" s="3" t="s">
        <v>45</v>
      </c>
      <c r="B7" s="57">
        <v>1543</v>
      </c>
      <c r="D7" s="170"/>
      <c r="E7" s="170"/>
    </row>
    <row r="8" spans="1:19" x14ac:dyDescent="0.3">
      <c r="A8" s="3" t="s">
        <v>46</v>
      </c>
      <c r="B8" s="3">
        <v>11545</v>
      </c>
      <c r="D8" s="170"/>
      <c r="E8" s="170"/>
    </row>
    <row r="9" spans="1:19" x14ac:dyDescent="0.3">
      <c r="A9" s="3" t="s">
        <v>112</v>
      </c>
      <c r="B9" s="3">
        <f>3300*667</f>
        <v>2201100</v>
      </c>
      <c r="D9" s="170" t="s">
        <v>47</v>
      </c>
      <c r="E9" s="170">
        <v>2500000</v>
      </c>
      <c r="G9" s="3">
        <f>B9</f>
        <v>2201100</v>
      </c>
      <c r="I9" s="3">
        <f>G9*0.999</f>
        <v>2198898.9</v>
      </c>
      <c r="K9" s="3">
        <f>I9*0.999</f>
        <v>2196700.0011</v>
      </c>
      <c r="M9" s="3">
        <f>K9*0.999</f>
        <v>2194503.3010988999</v>
      </c>
    </row>
    <row r="10" spans="1:19" x14ac:dyDescent="0.3">
      <c r="D10" s="170"/>
      <c r="E10" s="170"/>
    </row>
    <row r="11" spans="1:19" x14ac:dyDescent="0.3">
      <c r="D11" s="170"/>
      <c r="E11" s="170"/>
    </row>
    <row r="12" spans="1:19" x14ac:dyDescent="0.3">
      <c r="D12" s="170" t="s">
        <v>18</v>
      </c>
      <c r="E12" s="170">
        <v>515734</v>
      </c>
      <c r="G12" s="3">
        <f>E12*1.025</f>
        <v>528627.35</v>
      </c>
      <c r="I12" s="3">
        <f>G12*1.025</f>
        <v>541843.03374999994</v>
      </c>
      <c r="K12" s="3">
        <f>I12*1.025</f>
        <v>555389.10959374986</v>
      </c>
      <c r="M12" s="3">
        <f>K12*1.025</f>
        <v>569273.83733359352</v>
      </c>
    </row>
    <row r="13" spans="1:19" x14ac:dyDescent="0.3">
      <c r="D13" s="170"/>
      <c r="E13" s="170"/>
    </row>
    <row r="14" spans="1:19" x14ac:dyDescent="0.3">
      <c r="D14" s="170"/>
      <c r="E14" s="170"/>
    </row>
    <row r="15" spans="1:19" x14ac:dyDescent="0.3">
      <c r="D15" s="170" t="s">
        <v>48</v>
      </c>
      <c r="E15" s="170">
        <v>280870</v>
      </c>
      <c r="G15" s="3">
        <f>E15*0.98</f>
        <v>275252.59999999998</v>
      </c>
      <c r="I15" s="3">
        <f>G15*0.98</f>
        <v>269747.54799999995</v>
      </c>
      <c r="K15" s="3">
        <f>I15*0.98</f>
        <v>264352.59703999996</v>
      </c>
      <c r="M15" s="3">
        <f>K15*0.98</f>
        <v>259065.54509919995</v>
      </c>
    </row>
    <row r="16" spans="1:19" x14ac:dyDescent="0.3">
      <c r="D16" s="170"/>
      <c r="E16" s="170"/>
    </row>
    <row r="17" spans="4:19" x14ac:dyDescent="0.3">
      <c r="D17" s="170"/>
      <c r="E17" s="170"/>
    </row>
    <row r="18" spans="4:19" x14ac:dyDescent="0.3">
      <c r="D18" s="170" t="s">
        <v>8</v>
      </c>
      <c r="E18" s="170">
        <f>SUM(E6,E9,E12,E15)</f>
        <v>22265039</v>
      </c>
      <c r="G18" s="3">
        <f t="shared" ref="G18" si="0">SUM(G6,G9,G12,G15)</f>
        <v>21867085.500000004</v>
      </c>
      <c r="I18" s="3">
        <f>SUM(I6,I9,I12,I15)</f>
        <v>21733093.564149998</v>
      </c>
      <c r="K18" s="3">
        <f t="shared" ref="K18" si="1">SUM(K6,K9,K12,K15)</f>
        <v>21577960.743688952</v>
      </c>
      <c r="M18" s="3">
        <f t="shared" ref="M18" si="2">SUM(M6,M9,M12,M15)</f>
        <v>21447083.34727456</v>
      </c>
    </row>
    <row r="19" spans="4:19" x14ac:dyDescent="0.3">
      <c r="D19" s="170"/>
      <c r="E19" s="170"/>
    </row>
    <row r="20" spans="4:19" x14ac:dyDescent="0.3">
      <c r="D20" s="170" t="s">
        <v>46</v>
      </c>
      <c r="E20" s="171"/>
      <c r="F20" s="59"/>
      <c r="G20" s="58">
        <f>G18/G2</f>
        <v>13317.348051157127</v>
      </c>
      <c r="H20" s="58"/>
      <c r="I20" s="58">
        <f>I18/I2</f>
        <v>13227.689326932439</v>
      </c>
      <c r="J20" s="58"/>
      <c r="K20" s="58">
        <f>K18/K2</f>
        <v>13141.267200784989</v>
      </c>
      <c r="L20" s="58"/>
      <c r="M20" s="58">
        <f>M18/M2</f>
        <v>13053.611288663762</v>
      </c>
      <c r="N20" s="175"/>
      <c r="O20" s="170"/>
      <c r="P20" s="170"/>
      <c r="Q20" s="170"/>
      <c r="R20" s="170"/>
      <c r="S20" s="170"/>
    </row>
    <row r="21" spans="4:19" x14ac:dyDescent="0.3">
      <c r="D21" s="170"/>
      <c r="E21" s="170"/>
    </row>
    <row r="22" spans="4:19" x14ac:dyDescent="0.3">
      <c r="I22" s="64"/>
      <c r="K22" s="64"/>
      <c r="M22" s="64"/>
      <c r="O22" s="64"/>
      <c r="Q22" s="64"/>
    </row>
  </sheetData>
  <mergeCells count="1">
    <mergeCell ref="D4:E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1"/>
  <sheetViews>
    <sheetView zoomScale="70" zoomScaleNormal="70" workbookViewId="0">
      <selection activeCell="K21" sqref="K21"/>
    </sheetView>
  </sheetViews>
  <sheetFormatPr defaultColWidth="9.77734375" defaultRowHeight="13.2" x14ac:dyDescent="0.3"/>
  <cols>
    <col min="1" max="16384" width="9.77734375" style="1"/>
  </cols>
  <sheetData>
    <row r="2" spans="1:27" ht="39.6" x14ac:dyDescent="0.3">
      <c r="A2" s="92" t="s">
        <v>14</v>
      </c>
      <c r="B2" s="92" t="s">
        <v>78</v>
      </c>
      <c r="C2" s="92"/>
      <c r="D2" s="92"/>
      <c r="E2" s="92" t="s">
        <v>79</v>
      </c>
      <c r="F2" s="92" t="s">
        <v>80</v>
      </c>
      <c r="G2" s="92" t="s">
        <v>81</v>
      </c>
      <c r="H2" s="92" t="s">
        <v>82</v>
      </c>
      <c r="I2" s="92"/>
      <c r="J2" s="92" t="s">
        <v>83</v>
      </c>
      <c r="R2" s="93" t="s">
        <v>14</v>
      </c>
      <c r="S2" s="94" t="s">
        <v>84</v>
      </c>
      <c r="T2" s="93"/>
      <c r="U2" s="93"/>
      <c r="V2" s="94" t="s">
        <v>79</v>
      </c>
      <c r="W2" s="94" t="s">
        <v>80</v>
      </c>
      <c r="X2" s="94" t="s">
        <v>81</v>
      </c>
      <c r="Y2" s="94" t="s">
        <v>82</v>
      </c>
      <c r="Z2" s="94"/>
      <c r="AA2" s="94" t="s">
        <v>85</v>
      </c>
    </row>
    <row r="3" spans="1:27" x14ac:dyDescent="0.3">
      <c r="A3" s="95"/>
      <c r="B3" s="95" t="s">
        <v>86</v>
      </c>
      <c r="C3" s="95" t="s">
        <v>87</v>
      </c>
      <c r="D3" s="95" t="s">
        <v>88</v>
      </c>
      <c r="E3" s="95"/>
      <c r="F3" s="95"/>
      <c r="G3" s="95"/>
      <c r="H3" s="95" t="s">
        <v>14</v>
      </c>
      <c r="I3" s="95" t="s">
        <v>89</v>
      </c>
      <c r="J3" s="95"/>
      <c r="R3" s="95"/>
      <c r="S3" s="95" t="s">
        <v>86</v>
      </c>
      <c r="T3" s="95" t="s">
        <v>87</v>
      </c>
      <c r="U3" s="95" t="s">
        <v>88</v>
      </c>
      <c r="V3" s="95"/>
      <c r="W3" s="95"/>
      <c r="X3" s="95"/>
      <c r="Y3" s="95" t="s">
        <v>14</v>
      </c>
      <c r="Z3" s="95" t="s">
        <v>89</v>
      </c>
      <c r="AA3" s="95"/>
    </row>
    <row r="4" spans="1:27" x14ac:dyDescent="0.3">
      <c r="A4" s="95">
        <v>2010</v>
      </c>
      <c r="B4" s="96">
        <f>B21</f>
        <v>909.5</v>
      </c>
      <c r="C4" s="96"/>
      <c r="D4" s="96"/>
      <c r="E4" s="96">
        <f>SUM(B4:C4)</f>
        <v>909.5</v>
      </c>
      <c r="F4" s="96">
        <f>E4</f>
        <v>909.5</v>
      </c>
      <c r="G4" s="96">
        <f>F4-G21</f>
        <v>741.6</v>
      </c>
      <c r="H4" s="95">
        <v>2015</v>
      </c>
      <c r="I4" s="95"/>
      <c r="J4" s="95"/>
      <c r="R4" s="95">
        <v>2010</v>
      </c>
      <c r="S4" s="96">
        <v>2055.5</v>
      </c>
      <c r="T4" s="96"/>
      <c r="U4" s="96"/>
      <c r="V4" s="96">
        <f>SUM(S4:T4)</f>
        <v>2055.5</v>
      </c>
      <c r="W4" s="96">
        <f>V4</f>
        <v>2055.5</v>
      </c>
      <c r="X4" s="96">
        <f>W4-X21</f>
        <v>1970.8</v>
      </c>
      <c r="Y4" s="95">
        <v>2015</v>
      </c>
      <c r="Z4" s="95"/>
      <c r="AA4" s="95"/>
    </row>
    <row r="5" spans="1:27" x14ac:dyDescent="0.3">
      <c r="A5" s="95">
        <v>2011</v>
      </c>
      <c r="B5" s="96">
        <f>C22</f>
        <v>2285.8000000000002</v>
      </c>
      <c r="C5" s="96"/>
      <c r="D5" s="96"/>
      <c r="E5" s="96">
        <f t="shared" ref="E5:E12" si="0">SUM(B5:C5)</f>
        <v>2285.8000000000002</v>
      </c>
      <c r="F5" s="96">
        <f>F4+E5</f>
        <v>3195.3</v>
      </c>
      <c r="G5" s="96">
        <f>SUM(E5,E6,E7,E8,E9)-B14</f>
        <v>-5658.0999999999995</v>
      </c>
      <c r="H5" s="95">
        <v>2016</v>
      </c>
      <c r="I5" s="95"/>
      <c r="J5" s="95"/>
      <c r="R5" s="95">
        <v>2011</v>
      </c>
      <c r="S5" s="96">
        <v>1580.7</v>
      </c>
      <c r="T5" s="96"/>
      <c r="U5" s="96"/>
      <c r="V5" s="96">
        <f t="shared" ref="V5:V12" si="1">SUM(S5:T5)</f>
        <v>1580.7</v>
      </c>
      <c r="W5" s="96">
        <f>W4+V5</f>
        <v>3636.2</v>
      </c>
      <c r="X5" s="96">
        <f>SUM(V5,V6,V7,V8,V9)-S14</f>
        <v>-9518</v>
      </c>
      <c r="Y5" s="95">
        <v>2016</v>
      </c>
      <c r="Z5" s="95"/>
      <c r="AA5" s="95"/>
    </row>
    <row r="6" spans="1:27" x14ac:dyDescent="0.3">
      <c r="A6" s="95">
        <v>2012</v>
      </c>
      <c r="B6" s="96">
        <f>D23</f>
        <v>1240.5999999999999</v>
      </c>
      <c r="C6" s="96"/>
      <c r="D6" s="96"/>
      <c r="E6" s="96">
        <f t="shared" si="0"/>
        <v>1240.5999999999999</v>
      </c>
      <c r="F6" s="96">
        <f>F5+E6</f>
        <v>4435.8999999999996</v>
      </c>
      <c r="G6" s="96">
        <f>SUM(E6,E7,E8,E9,E10)-B14</f>
        <v>-4360.2999999999993</v>
      </c>
      <c r="H6" s="95">
        <v>2017</v>
      </c>
      <c r="I6" s="96">
        <f>G6</f>
        <v>-4360.2999999999993</v>
      </c>
      <c r="J6" s="97">
        <f>(-G6/I31)+5</f>
        <v>6.6135514191614551</v>
      </c>
      <c r="R6" s="95">
        <v>2012</v>
      </c>
      <c r="S6" s="96">
        <v>1735.9</v>
      </c>
      <c r="T6" s="96"/>
      <c r="U6" s="96"/>
      <c r="V6" s="96">
        <f t="shared" si="1"/>
        <v>1735.9</v>
      </c>
      <c r="W6" s="96">
        <f>W5+V6</f>
        <v>5372.1</v>
      </c>
      <c r="X6" s="96">
        <f>SUM(V6,V7,V8,V9,V10)-S14</f>
        <v>-7394.3000000000011</v>
      </c>
      <c r="Y6" s="95">
        <v>2017</v>
      </c>
      <c r="Z6" s="96">
        <f>X6</f>
        <v>-7394.3000000000011</v>
      </c>
      <c r="AA6" s="97">
        <f>(-X6/Z31)+5</f>
        <v>8.0045916294189361</v>
      </c>
    </row>
    <row r="7" spans="1:27" x14ac:dyDescent="0.3">
      <c r="A7" s="95">
        <v>2013</v>
      </c>
      <c r="B7" s="96">
        <f>E24</f>
        <v>1228.4000000000001</v>
      </c>
      <c r="C7" s="96"/>
      <c r="D7" s="96"/>
      <c r="E7" s="96">
        <f t="shared" si="0"/>
        <v>1228.4000000000001</v>
      </c>
      <c r="F7" s="96">
        <f>F6+E7</f>
        <v>5664.2999999999993</v>
      </c>
      <c r="G7" s="96">
        <f>SUM(E7,E8,E9,E10,E11)-B14</f>
        <v>-2898.6000000000004</v>
      </c>
      <c r="H7" s="95">
        <v>2018</v>
      </c>
      <c r="I7" s="96">
        <f t="shared" ref="I7:I13" si="2">G7</f>
        <v>-2898.6000000000004</v>
      </c>
      <c r="J7" s="97">
        <f>(-G7/J31)+5</f>
        <v>5.8610129214317546</v>
      </c>
      <c r="R7" s="95">
        <v>2013</v>
      </c>
      <c r="S7" s="96">
        <v>2334.8000000000002</v>
      </c>
      <c r="T7" s="96"/>
      <c r="U7" s="96"/>
      <c r="V7" s="96">
        <f t="shared" si="1"/>
        <v>2334.8000000000002</v>
      </c>
      <c r="W7" s="96">
        <f>W6+V7</f>
        <v>7706.9000000000005</v>
      </c>
      <c r="X7" s="96">
        <f>SUM(V7,V8,V9,V10,V11)-S14</f>
        <v>-6669.2000000000007</v>
      </c>
      <c r="Y7" s="95">
        <v>2018</v>
      </c>
      <c r="Z7" s="96">
        <f t="shared" ref="Z7:Z13" si="3">X7</f>
        <v>-6669.2000000000007</v>
      </c>
      <c r="AA7" s="97">
        <f>(-X7/AA31)+5</f>
        <v>7.1068393618701631</v>
      </c>
    </row>
    <row r="8" spans="1:27" x14ac:dyDescent="0.3">
      <c r="A8" s="95">
        <v>2014</v>
      </c>
      <c r="B8" s="96">
        <f>F25</f>
        <v>1637</v>
      </c>
      <c r="C8" s="96"/>
      <c r="D8" s="96"/>
      <c r="E8" s="96">
        <f t="shared" si="0"/>
        <v>1637</v>
      </c>
      <c r="F8" s="96">
        <f>F7+E8</f>
        <v>7301.2999999999993</v>
      </c>
      <c r="G8" s="96">
        <f>SUM(E8:E12)-B14</f>
        <v>-760.5</v>
      </c>
      <c r="H8" s="95">
        <v>2019</v>
      </c>
      <c r="I8" s="96">
        <f t="shared" si="2"/>
        <v>-760.5</v>
      </c>
      <c r="J8" s="97">
        <f>(-G8/K31)+5</f>
        <v>5.180654203387415</v>
      </c>
      <c r="R8" s="95">
        <v>2014</v>
      </c>
      <c r="S8" s="96">
        <v>2266.5</v>
      </c>
      <c r="T8" s="96"/>
      <c r="U8" s="96"/>
      <c r="V8" s="96">
        <f t="shared" si="1"/>
        <v>2266.5</v>
      </c>
      <c r="W8" s="96">
        <f>W7+V8</f>
        <v>9973.4000000000015</v>
      </c>
      <c r="X8" s="96">
        <f>SUM(V8:V12)-S14</f>
        <v>-5838.5000000000018</v>
      </c>
      <c r="Y8" s="95">
        <v>2019</v>
      </c>
      <c r="Z8" s="96">
        <f t="shared" si="3"/>
        <v>-5838.5000000000018</v>
      </c>
      <c r="AA8" s="97">
        <f>(-X8/AB31)+5</f>
        <v>6.4149823081770156</v>
      </c>
    </row>
    <row r="9" spans="1:27" x14ac:dyDescent="0.3">
      <c r="A9" s="95">
        <v>2015</v>
      </c>
      <c r="B9" s="96">
        <f>G26</f>
        <v>1356.2</v>
      </c>
      <c r="C9" s="96">
        <f>G21</f>
        <v>167.9</v>
      </c>
      <c r="D9" s="96"/>
      <c r="E9" s="96">
        <f t="shared" si="0"/>
        <v>1524.1000000000001</v>
      </c>
      <c r="F9" s="96">
        <f>F8+B9</f>
        <v>8657.5</v>
      </c>
      <c r="G9" s="96">
        <f>SUM(E9:E13)-B14</f>
        <v>-854.5</v>
      </c>
      <c r="H9" s="95">
        <v>2020</v>
      </c>
      <c r="I9" s="96">
        <f t="shared" si="2"/>
        <v>-854.5</v>
      </c>
      <c r="J9" s="97">
        <f>(-G9/L31)+5</f>
        <v>5.52039180722422</v>
      </c>
      <c r="R9" s="95">
        <v>2015</v>
      </c>
      <c r="S9" s="96">
        <v>1966.1</v>
      </c>
      <c r="T9" s="96">
        <v>84.7</v>
      </c>
      <c r="U9" s="96"/>
      <c r="V9" s="96">
        <f t="shared" si="1"/>
        <v>2050.7999999999997</v>
      </c>
      <c r="W9" s="96">
        <f>W8+S9</f>
        <v>11939.500000000002</v>
      </c>
      <c r="X9" s="96">
        <f>SUM(V9:V13)-S14</f>
        <v>-3978.8000000000029</v>
      </c>
      <c r="Y9" s="95">
        <v>2020</v>
      </c>
      <c r="Z9" s="96">
        <f t="shared" si="3"/>
        <v>-3978.8000000000029</v>
      </c>
      <c r="AA9" s="97">
        <f>(-X9/AC31)+5</f>
        <v>7.4230952868153626</v>
      </c>
    </row>
    <row r="10" spans="1:27" x14ac:dyDescent="0.3">
      <c r="A10" s="95">
        <v>2016</v>
      </c>
      <c r="B10" s="96">
        <f>H27</f>
        <v>2049.8000000000002</v>
      </c>
      <c r="C10" s="96">
        <f>H22</f>
        <v>1533.8</v>
      </c>
      <c r="D10" s="96"/>
      <c r="E10" s="96">
        <f t="shared" si="0"/>
        <v>3583.6000000000004</v>
      </c>
      <c r="F10" s="96">
        <f>F9+B10</f>
        <v>10707.3</v>
      </c>
      <c r="G10" s="96">
        <f>SUM(E10,E11,E12,E13,L22)-B14</f>
        <v>-854.5</v>
      </c>
      <c r="H10" s="95">
        <v>2021</v>
      </c>
      <c r="I10" s="96">
        <f t="shared" si="2"/>
        <v>-854.5</v>
      </c>
      <c r="J10" s="97">
        <f>(-G10/M31)+5</f>
        <v>5.5200919050175239</v>
      </c>
      <c r="R10" s="95">
        <v>2016</v>
      </c>
      <c r="S10" s="96">
        <v>3008.2</v>
      </c>
      <c r="T10" s="96">
        <v>696.2</v>
      </c>
      <c r="U10" s="96"/>
      <c r="V10" s="96">
        <f t="shared" si="1"/>
        <v>3704.3999999999996</v>
      </c>
      <c r="W10" s="96">
        <f>W9+S10</f>
        <v>14947.7</v>
      </c>
      <c r="X10" s="96">
        <f>SUM(V10,V11,V12,V13,AC22)-S14</f>
        <v>-3978.8000000000029</v>
      </c>
      <c r="Y10" s="95">
        <v>2021</v>
      </c>
      <c r="Z10" s="96">
        <f t="shared" si="3"/>
        <v>-3978.8000000000029</v>
      </c>
      <c r="AA10" s="97">
        <f>(-X10/AD31)+5</f>
        <v>7.4216988551009058</v>
      </c>
    </row>
    <row r="11" spans="1:27" x14ac:dyDescent="0.3">
      <c r="A11" s="95">
        <v>2017</v>
      </c>
      <c r="B11" s="96">
        <f>I28</f>
        <v>2299.1</v>
      </c>
      <c r="C11" s="96">
        <f>I23</f>
        <v>403.2</v>
      </c>
      <c r="D11" s="96"/>
      <c r="E11" s="96">
        <f t="shared" si="0"/>
        <v>2702.2999999999997</v>
      </c>
      <c r="F11" s="96">
        <f>F10+B11</f>
        <v>13006.4</v>
      </c>
      <c r="G11" s="96">
        <f>SUM(E11,E12,E13,L22,M23)-B14</f>
        <v>-854.5</v>
      </c>
      <c r="H11" s="95">
        <v>2022</v>
      </c>
      <c r="I11" s="96">
        <f t="shared" si="2"/>
        <v>-854.5</v>
      </c>
      <c r="J11" s="97">
        <f>(-G11/N31)+5</f>
        <v>5.520391997375933</v>
      </c>
      <c r="R11" s="95">
        <v>2017</v>
      </c>
      <c r="S11" s="96">
        <v>2306.6999999999998</v>
      </c>
      <c r="T11" s="96">
        <v>154.30000000000001</v>
      </c>
      <c r="U11" s="96"/>
      <c r="V11" s="96">
        <f t="shared" si="1"/>
        <v>2461</v>
      </c>
      <c r="W11" s="96">
        <f>W10+S11</f>
        <v>17254.400000000001</v>
      </c>
      <c r="X11" s="96">
        <f>SUM(V11,V12,V13,AC22,AD23)-S14</f>
        <v>-3978.8000000000011</v>
      </c>
      <c r="Y11" s="95">
        <v>2022</v>
      </c>
      <c r="Z11" s="96">
        <f t="shared" si="3"/>
        <v>-3978.8000000000011</v>
      </c>
      <c r="AA11" s="97">
        <f>(-X11/AE31)+5</f>
        <v>7.4230961722169262</v>
      </c>
    </row>
    <row r="12" spans="1:27" x14ac:dyDescent="0.3">
      <c r="A12" s="95">
        <v>2018</v>
      </c>
      <c r="B12" s="96">
        <f>J29</f>
        <v>567.6</v>
      </c>
      <c r="C12" s="96">
        <f>J24</f>
        <v>2798.9</v>
      </c>
      <c r="D12" s="96"/>
      <c r="E12" s="96">
        <f t="shared" si="0"/>
        <v>3366.5</v>
      </c>
      <c r="F12" s="96">
        <f>F11+B12</f>
        <v>13574</v>
      </c>
      <c r="G12" s="96">
        <f>SUM(E12,E13,L22,M23,N24)-B14</f>
        <v>-854.5</v>
      </c>
      <c r="H12" s="95">
        <v>2023</v>
      </c>
      <c r="I12" s="96">
        <f t="shared" si="2"/>
        <v>-854.5</v>
      </c>
      <c r="J12" s="97">
        <f>(-G12/O31)+5</f>
        <v>5.5200917942235668</v>
      </c>
      <c r="R12" s="95">
        <v>2018</v>
      </c>
      <c r="S12" s="96">
        <v>2232.3000000000002</v>
      </c>
      <c r="T12" s="96">
        <v>933.2</v>
      </c>
      <c r="U12" s="96"/>
      <c r="V12" s="96">
        <f t="shared" si="1"/>
        <v>3165.5</v>
      </c>
      <c r="W12" s="96">
        <f>W11+S12</f>
        <v>19486.7</v>
      </c>
      <c r="X12" s="96">
        <f>SUM(V12,V13,AC22,AD23,AE24)-S14</f>
        <v>-3978.8000000000011</v>
      </c>
      <c r="Y12" s="95">
        <v>2023</v>
      </c>
      <c r="Z12" s="96">
        <f t="shared" si="3"/>
        <v>-3978.8000000000011</v>
      </c>
      <c r="AA12" s="97">
        <f>(-X12/AF31)+5</f>
        <v>7.4216983392120852</v>
      </c>
    </row>
    <row r="13" spans="1:27" x14ac:dyDescent="0.3">
      <c r="A13" s="95">
        <v>2019</v>
      </c>
      <c r="B13" s="96"/>
      <c r="C13" s="96"/>
      <c r="D13" s="96">
        <v>1543</v>
      </c>
      <c r="E13" s="96">
        <f>D13</f>
        <v>1543</v>
      </c>
      <c r="F13" s="96">
        <f>D13</f>
        <v>1543</v>
      </c>
      <c r="G13" s="96">
        <f>SUM(E13,L22,M23,N24,O25)-B14</f>
        <v>-854.5</v>
      </c>
      <c r="H13" s="95">
        <v>2024</v>
      </c>
      <c r="I13" s="96">
        <f t="shared" si="2"/>
        <v>-854.5</v>
      </c>
      <c r="J13" s="97">
        <f>(G13/K21)+5</f>
        <v>4.4780085522296886</v>
      </c>
      <c r="R13" s="95">
        <v>2019</v>
      </c>
      <c r="S13" s="96"/>
      <c r="T13" s="96"/>
      <c r="U13" s="96">
        <v>4126.2</v>
      </c>
      <c r="V13" s="96">
        <f>U13</f>
        <v>4126.2</v>
      </c>
      <c r="W13" s="96">
        <f>U13</f>
        <v>4126.2</v>
      </c>
      <c r="X13" s="96">
        <f>SUM(V13,AC22,AD23,AE24,AF25)-S14</f>
        <v>-3978.8000000000011</v>
      </c>
      <c r="Y13" s="95">
        <v>2024</v>
      </c>
      <c r="Z13" s="96">
        <f t="shared" si="3"/>
        <v>-3978.8000000000011</v>
      </c>
      <c r="AA13" s="97">
        <f>(X13/AB21)+5</f>
        <v>3.2445179792631809</v>
      </c>
    </row>
    <row r="14" spans="1:27" x14ac:dyDescent="0.3">
      <c r="A14" s="95" t="s">
        <v>90</v>
      </c>
      <c r="B14" s="96">
        <f>SUM(B4:B12)</f>
        <v>13574</v>
      </c>
      <c r="C14" s="96">
        <f>SUM(C4:C12)</f>
        <v>4903.8</v>
      </c>
      <c r="D14" s="96">
        <f>SUM(D4:D13)</f>
        <v>1543</v>
      </c>
      <c r="E14" s="96"/>
      <c r="F14" s="96"/>
      <c r="G14" s="96"/>
      <c r="H14" s="95"/>
      <c r="I14" s="95"/>
      <c r="J14" s="95"/>
      <c r="R14" s="95" t="s">
        <v>90</v>
      </c>
      <c r="S14" s="96">
        <f>SUM(S4:S12)</f>
        <v>19486.7</v>
      </c>
      <c r="T14" s="96">
        <f>SUM(T4:T12)</f>
        <v>1868.4</v>
      </c>
      <c r="U14" s="96">
        <f>SUM(U4:U13)</f>
        <v>4126.2</v>
      </c>
      <c r="V14" s="96"/>
      <c r="W14" s="96"/>
      <c r="X14" s="96"/>
      <c r="Y14" s="95"/>
      <c r="Z14" s="95"/>
      <c r="AA14" s="95"/>
    </row>
    <row r="15" spans="1:27" x14ac:dyDescent="0.3">
      <c r="C15" s="57"/>
      <c r="D15" s="57"/>
      <c r="F15" s="57"/>
      <c r="G15" s="57"/>
      <c r="H15" s="57"/>
      <c r="I15" s="98" t="s">
        <v>91</v>
      </c>
      <c r="J15" s="99">
        <f>AVERAGE(J9:J13)</f>
        <v>5.3117952112141866</v>
      </c>
      <c r="T15" s="57"/>
      <c r="U15" s="57"/>
      <c r="W15" s="57"/>
      <c r="X15" s="57"/>
      <c r="Y15" s="57"/>
      <c r="Z15" s="98" t="s">
        <v>92</v>
      </c>
      <c r="AA15" s="99">
        <f>AVERAGE(AA9:AA13)</f>
        <v>6.5868213265216919</v>
      </c>
    </row>
    <row r="19" spans="1:32" ht="39.6" x14ac:dyDescent="0.3">
      <c r="A19" s="92" t="s">
        <v>78</v>
      </c>
      <c r="B19" s="100">
        <v>2010</v>
      </c>
      <c r="C19" s="100">
        <v>2011</v>
      </c>
      <c r="D19" s="100">
        <v>2012</v>
      </c>
      <c r="E19" s="100">
        <v>2013</v>
      </c>
      <c r="F19" s="100">
        <v>2014</v>
      </c>
      <c r="G19" s="100">
        <v>2015</v>
      </c>
      <c r="H19" s="100">
        <v>2016</v>
      </c>
      <c r="I19" s="100">
        <v>2017</v>
      </c>
      <c r="J19" s="100">
        <v>2018</v>
      </c>
      <c r="K19" s="100">
        <v>2019</v>
      </c>
      <c r="L19" s="95">
        <v>2020</v>
      </c>
      <c r="M19" s="95">
        <v>2021</v>
      </c>
      <c r="N19" s="95">
        <v>2022</v>
      </c>
      <c r="O19" s="95">
        <v>2023</v>
      </c>
      <c r="R19" s="94" t="s">
        <v>84</v>
      </c>
      <c r="S19" s="93">
        <v>2010</v>
      </c>
      <c r="T19" s="93">
        <v>2011</v>
      </c>
      <c r="U19" s="93">
        <v>2012</v>
      </c>
      <c r="V19" s="93">
        <v>2013</v>
      </c>
      <c r="W19" s="93">
        <v>2014</v>
      </c>
      <c r="X19" s="93">
        <v>2015</v>
      </c>
      <c r="Y19" s="93">
        <v>2016</v>
      </c>
      <c r="Z19" s="93">
        <v>2017</v>
      </c>
      <c r="AA19" s="93">
        <v>2018</v>
      </c>
      <c r="AB19" s="93">
        <v>2019</v>
      </c>
      <c r="AC19" s="95">
        <v>2020</v>
      </c>
      <c r="AD19" s="95">
        <v>2021</v>
      </c>
      <c r="AE19" s="95">
        <v>2022</v>
      </c>
      <c r="AF19" s="95">
        <v>2023</v>
      </c>
    </row>
    <row r="20" spans="1:32" x14ac:dyDescent="0.3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</row>
    <row r="21" spans="1:32" x14ac:dyDescent="0.3">
      <c r="A21" s="95" t="s">
        <v>93</v>
      </c>
      <c r="B21" s="96">
        <v>909.5</v>
      </c>
      <c r="C21" s="96"/>
      <c r="D21" s="96"/>
      <c r="E21" s="96"/>
      <c r="F21" s="96"/>
      <c r="G21" s="96">
        <v>167.9</v>
      </c>
      <c r="H21" s="96"/>
      <c r="I21" s="96"/>
      <c r="J21" s="96"/>
      <c r="K21" s="172">
        <f>F31</f>
        <v>1637</v>
      </c>
      <c r="L21" s="96"/>
      <c r="M21" s="96"/>
      <c r="N21" s="96"/>
      <c r="O21" s="96"/>
      <c r="R21" s="95" t="s">
        <v>93</v>
      </c>
      <c r="S21" s="96">
        <v>2055.5</v>
      </c>
      <c r="T21" s="96"/>
      <c r="U21" s="96"/>
      <c r="V21" s="96"/>
      <c r="W21" s="96"/>
      <c r="X21" s="96">
        <v>84.7</v>
      </c>
      <c r="Y21" s="96"/>
      <c r="Z21" s="96"/>
      <c r="AA21" s="96"/>
      <c r="AB21" s="96">
        <f>W31</f>
        <v>2266.5</v>
      </c>
      <c r="AC21" s="96"/>
      <c r="AD21" s="96"/>
      <c r="AE21" s="96"/>
      <c r="AF21" s="96"/>
    </row>
    <row r="22" spans="1:32" x14ac:dyDescent="0.3">
      <c r="A22" s="95" t="s">
        <v>94</v>
      </c>
      <c r="B22" s="96"/>
      <c r="C22" s="96">
        <v>2285.8000000000002</v>
      </c>
      <c r="D22" s="96"/>
      <c r="E22" s="96"/>
      <c r="F22" s="96"/>
      <c r="G22" s="96"/>
      <c r="H22" s="96">
        <v>1533.8</v>
      </c>
      <c r="I22" s="96"/>
      <c r="J22" s="96"/>
      <c r="K22" s="96"/>
      <c r="L22" s="96">
        <f>G31</f>
        <v>1524.1000000000001</v>
      </c>
      <c r="M22" s="96"/>
      <c r="N22" s="96"/>
      <c r="O22" s="96"/>
      <c r="R22" s="95" t="s">
        <v>94</v>
      </c>
      <c r="S22" s="96"/>
      <c r="T22" s="96">
        <v>1580.7</v>
      </c>
      <c r="U22" s="96"/>
      <c r="V22" s="96"/>
      <c r="W22" s="96"/>
      <c r="X22" s="96"/>
      <c r="Y22" s="96">
        <v>696.2</v>
      </c>
      <c r="Z22" s="96"/>
      <c r="AA22" s="96"/>
      <c r="AB22" s="96"/>
      <c r="AC22" s="96">
        <f>X31</f>
        <v>2050.7999999999997</v>
      </c>
      <c r="AD22" s="96"/>
      <c r="AE22" s="96"/>
      <c r="AF22" s="96"/>
    </row>
    <row r="23" spans="1:32" x14ac:dyDescent="0.3">
      <c r="A23" s="95" t="s">
        <v>95</v>
      </c>
      <c r="B23" s="96"/>
      <c r="C23" s="96"/>
      <c r="D23" s="96">
        <v>1240.5999999999999</v>
      </c>
      <c r="E23" s="96"/>
      <c r="F23" s="96"/>
      <c r="G23" s="96"/>
      <c r="H23" s="96"/>
      <c r="I23" s="96">
        <v>403.2</v>
      </c>
      <c r="J23" s="96"/>
      <c r="K23" s="96"/>
      <c r="L23" s="96"/>
      <c r="M23" s="96">
        <f>H31</f>
        <v>3583.6000000000004</v>
      </c>
      <c r="N23" s="96"/>
      <c r="O23" s="96"/>
      <c r="R23" s="95" t="s">
        <v>95</v>
      </c>
      <c r="S23" s="96"/>
      <c r="T23" s="96"/>
      <c r="U23" s="96">
        <v>1735.9</v>
      </c>
      <c r="V23" s="96"/>
      <c r="W23" s="96"/>
      <c r="X23" s="96"/>
      <c r="Y23" s="96"/>
      <c r="Z23" s="96">
        <v>154.30000000000001</v>
      </c>
      <c r="AA23" s="96"/>
      <c r="AB23" s="96"/>
      <c r="AC23" s="96"/>
      <c r="AD23" s="96">
        <f>Y31</f>
        <v>3704.3999999999996</v>
      </c>
      <c r="AE23" s="96"/>
      <c r="AF23" s="96"/>
    </row>
    <row r="24" spans="1:32" x14ac:dyDescent="0.3">
      <c r="A24" s="95" t="s">
        <v>96</v>
      </c>
      <c r="B24" s="96"/>
      <c r="C24" s="96"/>
      <c r="D24" s="96"/>
      <c r="E24" s="96">
        <v>1228.4000000000001</v>
      </c>
      <c r="F24" s="96"/>
      <c r="G24" s="96"/>
      <c r="H24" s="96"/>
      <c r="I24" s="96"/>
      <c r="J24" s="96">
        <v>2798.9</v>
      </c>
      <c r="K24" s="96"/>
      <c r="L24" s="96"/>
      <c r="M24" s="96"/>
      <c r="N24" s="96">
        <f>I31</f>
        <v>2702.2999999999997</v>
      </c>
      <c r="O24" s="96"/>
      <c r="R24" s="95" t="s">
        <v>96</v>
      </c>
      <c r="S24" s="96"/>
      <c r="T24" s="96"/>
      <c r="U24" s="96"/>
      <c r="V24" s="96">
        <v>2334.8000000000002</v>
      </c>
      <c r="W24" s="96"/>
      <c r="X24" s="96"/>
      <c r="Y24" s="96"/>
      <c r="Z24" s="96"/>
      <c r="AA24" s="96">
        <v>933.2</v>
      </c>
      <c r="AB24" s="96"/>
      <c r="AC24" s="96"/>
      <c r="AD24" s="96"/>
      <c r="AE24" s="96">
        <f>Z31</f>
        <v>2461</v>
      </c>
      <c r="AF24" s="96"/>
    </row>
    <row r="25" spans="1:32" x14ac:dyDescent="0.3">
      <c r="A25" s="95" t="s">
        <v>97</v>
      </c>
      <c r="B25" s="96"/>
      <c r="C25" s="96"/>
      <c r="D25" s="96"/>
      <c r="E25" s="96"/>
      <c r="F25" s="96">
        <v>1637</v>
      </c>
      <c r="G25" s="96"/>
      <c r="H25" s="96"/>
      <c r="I25" s="96"/>
      <c r="J25" s="96"/>
      <c r="K25" s="96"/>
      <c r="L25" s="96"/>
      <c r="M25" s="96"/>
      <c r="N25" s="96"/>
      <c r="O25" s="96">
        <f>J31</f>
        <v>3366.5</v>
      </c>
      <c r="R25" s="95" t="s">
        <v>97</v>
      </c>
      <c r="S25" s="96"/>
      <c r="T25" s="96"/>
      <c r="U25" s="96"/>
      <c r="V25" s="96"/>
      <c r="W25" s="96">
        <v>2266.5</v>
      </c>
      <c r="X25" s="96"/>
      <c r="Y25" s="96"/>
      <c r="Z25" s="96"/>
      <c r="AA25" s="96"/>
      <c r="AB25" s="96"/>
      <c r="AC25" s="96"/>
      <c r="AD25" s="96"/>
      <c r="AE25" s="96"/>
      <c r="AF25" s="96">
        <f>AA31</f>
        <v>3165.5</v>
      </c>
    </row>
    <row r="26" spans="1:32" x14ac:dyDescent="0.3">
      <c r="A26" s="95" t="s">
        <v>98</v>
      </c>
      <c r="B26" s="96"/>
      <c r="C26" s="96"/>
      <c r="D26" s="96"/>
      <c r="E26" s="96"/>
      <c r="F26" s="96"/>
      <c r="G26" s="96">
        <v>1356.2</v>
      </c>
      <c r="H26" s="96"/>
      <c r="I26" s="96"/>
      <c r="J26" s="96"/>
      <c r="K26" s="96"/>
      <c r="L26" s="96"/>
      <c r="M26" s="96"/>
      <c r="N26" s="96"/>
      <c r="O26" s="96"/>
      <c r="R26" s="95" t="s">
        <v>98</v>
      </c>
      <c r="S26" s="96"/>
      <c r="T26" s="96"/>
      <c r="U26" s="96"/>
      <c r="V26" s="96"/>
      <c r="W26" s="96"/>
      <c r="X26" s="96">
        <v>1966.1</v>
      </c>
      <c r="Y26" s="96"/>
      <c r="Z26" s="96"/>
      <c r="AA26" s="96"/>
      <c r="AB26" s="96"/>
      <c r="AC26" s="96"/>
      <c r="AD26" s="96"/>
      <c r="AE26" s="96"/>
      <c r="AF26" s="96"/>
    </row>
    <row r="27" spans="1:32" x14ac:dyDescent="0.3">
      <c r="A27" s="95" t="s">
        <v>99</v>
      </c>
      <c r="B27" s="96"/>
      <c r="C27" s="96"/>
      <c r="D27" s="96"/>
      <c r="E27" s="96"/>
      <c r="F27" s="96"/>
      <c r="G27" s="96"/>
      <c r="H27" s="96">
        <v>2049.8000000000002</v>
      </c>
      <c r="I27" s="96"/>
      <c r="J27" s="96"/>
      <c r="K27" s="96"/>
      <c r="L27" s="96"/>
      <c r="M27" s="96"/>
      <c r="N27" s="96"/>
      <c r="O27" s="96"/>
      <c r="R27" s="95" t="s">
        <v>99</v>
      </c>
      <c r="S27" s="96"/>
      <c r="T27" s="96"/>
      <c r="U27" s="96"/>
      <c r="V27" s="96"/>
      <c r="W27" s="96"/>
      <c r="X27" s="96"/>
      <c r="Y27" s="96">
        <v>3008.2</v>
      </c>
      <c r="Z27" s="96"/>
      <c r="AA27" s="96"/>
      <c r="AB27" s="96"/>
      <c r="AC27" s="96"/>
      <c r="AD27" s="96"/>
      <c r="AE27" s="96"/>
      <c r="AF27" s="96"/>
    </row>
    <row r="28" spans="1:32" x14ac:dyDescent="0.3">
      <c r="A28" s="95" t="s">
        <v>100</v>
      </c>
      <c r="B28" s="96"/>
      <c r="C28" s="96"/>
      <c r="D28" s="96"/>
      <c r="E28" s="96"/>
      <c r="F28" s="96"/>
      <c r="G28" s="96"/>
      <c r="H28" s="96"/>
      <c r="I28" s="96">
        <v>2299.1</v>
      </c>
      <c r="J28" s="96"/>
      <c r="K28" s="96"/>
      <c r="L28" s="96"/>
      <c r="M28" s="96"/>
      <c r="N28" s="96"/>
      <c r="O28" s="96"/>
      <c r="R28" s="95" t="s">
        <v>100</v>
      </c>
      <c r="S28" s="96"/>
      <c r="T28" s="96"/>
      <c r="U28" s="96"/>
      <c r="V28" s="96"/>
      <c r="W28" s="96"/>
      <c r="X28" s="96"/>
      <c r="Y28" s="96"/>
      <c r="Z28" s="96">
        <v>2306.6999999999998</v>
      </c>
      <c r="AA28" s="96"/>
      <c r="AB28" s="96"/>
      <c r="AC28" s="96"/>
      <c r="AD28" s="96"/>
      <c r="AE28" s="96"/>
      <c r="AF28" s="96"/>
    </row>
    <row r="29" spans="1:32" x14ac:dyDescent="0.3">
      <c r="A29" s="95" t="s">
        <v>101</v>
      </c>
      <c r="B29" s="96"/>
      <c r="C29" s="96"/>
      <c r="D29" s="96"/>
      <c r="E29" s="96"/>
      <c r="F29" s="96"/>
      <c r="G29" s="96"/>
      <c r="H29" s="96"/>
      <c r="I29" s="96"/>
      <c r="J29" s="96">
        <v>567.6</v>
      </c>
      <c r="K29" s="96"/>
      <c r="L29" s="96"/>
      <c r="M29" s="96"/>
      <c r="N29" s="96"/>
      <c r="O29" s="96"/>
      <c r="R29" s="95" t="s">
        <v>101</v>
      </c>
      <c r="S29" s="96"/>
      <c r="T29" s="96"/>
      <c r="U29" s="96"/>
      <c r="V29" s="96"/>
      <c r="W29" s="96"/>
      <c r="X29" s="96"/>
      <c r="Y29" s="96"/>
      <c r="Z29" s="96"/>
      <c r="AA29" s="96">
        <v>2232.3000000000002</v>
      </c>
      <c r="AB29" s="96"/>
      <c r="AC29" s="96"/>
      <c r="AD29" s="96"/>
      <c r="AE29" s="96"/>
      <c r="AF29" s="96"/>
    </row>
    <row r="30" spans="1:32" x14ac:dyDescent="0.3">
      <c r="A30" s="95" t="s">
        <v>102</v>
      </c>
      <c r="B30" s="96"/>
      <c r="C30" s="96"/>
      <c r="D30" s="96"/>
      <c r="E30" s="96"/>
      <c r="F30" s="96"/>
      <c r="G30" s="96"/>
      <c r="H30" s="96"/>
      <c r="I30" s="96"/>
      <c r="J30" s="96"/>
      <c r="K30" s="96">
        <v>4209.7</v>
      </c>
      <c r="L30" s="96"/>
      <c r="M30" s="96"/>
      <c r="N30" s="96"/>
      <c r="O30" s="96"/>
      <c r="R30" s="95" t="s">
        <v>102</v>
      </c>
      <c r="S30" s="96"/>
      <c r="T30" s="96"/>
      <c r="U30" s="96"/>
      <c r="V30" s="96"/>
      <c r="W30" s="96"/>
      <c r="X30" s="96"/>
      <c r="Y30" s="96"/>
      <c r="Z30" s="96"/>
      <c r="AA30" s="96"/>
      <c r="AB30" s="96">
        <v>4126.2</v>
      </c>
      <c r="AC30" s="96"/>
      <c r="AD30" s="96"/>
      <c r="AE30" s="96"/>
      <c r="AF30" s="96"/>
    </row>
    <row r="31" spans="1:32" ht="26.4" x14ac:dyDescent="0.3">
      <c r="A31" s="101" t="s">
        <v>103</v>
      </c>
      <c r="B31" s="96">
        <f t="shared" ref="B31:F31" si="4">SUM(B21:B29)</f>
        <v>909.5</v>
      </c>
      <c r="C31" s="96">
        <f t="shared" si="4"/>
        <v>2285.8000000000002</v>
      </c>
      <c r="D31" s="96">
        <f t="shared" si="4"/>
        <v>1240.5999999999999</v>
      </c>
      <c r="E31" s="96">
        <f t="shared" si="4"/>
        <v>1228.4000000000001</v>
      </c>
      <c r="F31" s="96">
        <f t="shared" si="4"/>
        <v>1637</v>
      </c>
      <c r="G31" s="96">
        <f>SUM(G21:G29)</f>
        <v>1524.1000000000001</v>
      </c>
      <c r="H31" s="96">
        <f t="shared" ref="H31:J31" si="5">SUM(H21:H29)</f>
        <v>3583.6000000000004</v>
      </c>
      <c r="I31" s="96">
        <f t="shared" si="5"/>
        <v>2702.2999999999997</v>
      </c>
      <c r="J31" s="96">
        <f t="shared" si="5"/>
        <v>3366.5</v>
      </c>
      <c r="K31" s="96">
        <f>K30</f>
        <v>4209.7</v>
      </c>
      <c r="L31" s="96">
        <v>1642.0319999999999</v>
      </c>
      <c r="M31" s="96">
        <v>1642.97885</v>
      </c>
      <c r="N31" s="96">
        <v>1642.0314000000001</v>
      </c>
      <c r="O31" s="96">
        <v>1642.9792</v>
      </c>
      <c r="R31" s="101" t="s">
        <v>103</v>
      </c>
      <c r="S31" s="96">
        <f t="shared" ref="S31:W31" si="6">SUM(S21:S29)</f>
        <v>2055.5</v>
      </c>
      <c r="T31" s="96">
        <f t="shared" si="6"/>
        <v>1580.7</v>
      </c>
      <c r="U31" s="96">
        <f t="shared" si="6"/>
        <v>1735.9</v>
      </c>
      <c r="V31" s="96">
        <f t="shared" si="6"/>
        <v>2334.8000000000002</v>
      </c>
      <c r="W31" s="96">
        <f t="shared" si="6"/>
        <v>2266.5</v>
      </c>
      <c r="X31" s="96">
        <f>SUM(X21:X29)</f>
        <v>2050.7999999999997</v>
      </c>
      <c r="Y31" s="96">
        <f t="shared" ref="Y31:AA31" si="7">SUM(Y21:Y29)</f>
        <v>3704.3999999999996</v>
      </c>
      <c r="Z31" s="96">
        <f t="shared" si="7"/>
        <v>2461</v>
      </c>
      <c r="AA31" s="96">
        <f t="shared" si="7"/>
        <v>3165.5</v>
      </c>
      <c r="AB31" s="96">
        <f>AB30</f>
        <v>4126.2</v>
      </c>
      <c r="AC31" s="96">
        <v>1642.0319999999999</v>
      </c>
      <c r="AD31" s="96">
        <v>1642.97885</v>
      </c>
      <c r="AE31" s="96">
        <v>1642.0314000000001</v>
      </c>
      <c r="AF31" s="96">
        <v>1642.9792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4"/>
  <sheetViews>
    <sheetView tabSelected="1" zoomScale="85" zoomScaleNormal="85" workbookViewId="0">
      <selection activeCell="G39" sqref="G39"/>
    </sheetView>
  </sheetViews>
  <sheetFormatPr defaultColWidth="13.5546875" defaultRowHeight="13.2" x14ac:dyDescent="0.3"/>
  <cols>
    <col min="1" max="1" width="4.77734375" style="1" customWidth="1"/>
    <col min="2" max="2" width="13.5546875" style="1"/>
    <col min="3" max="3" width="11.44140625" style="1" customWidth="1"/>
    <col min="4" max="4" width="10.21875" style="1" customWidth="1"/>
    <col min="5" max="5" width="9.21875" style="1" customWidth="1"/>
    <col min="6" max="16384" width="13.5546875" style="1"/>
  </cols>
  <sheetData>
    <row r="2" spans="2:13" x14ac:dyDescent="0.3">
      <c r="B2" s="173" t="s">
        <v>76</v>
      </c>
    </row>
    <row r="3" spans="2:13" x14ac:dyDescent="0.3">
      <c r="B3" s="182" t="s">
        <v>23</v>
      </c>
      <c r="C3" s="182"/>
      <c r="D3" s="182"/>
      <c r="E3" s="182"/>
      <c r="F3" s="182"/>
      <c r="G3" s="2"/>
      <c r="H3" s="182" t="s">
        <v>23</v>
      </c>
      <c r="I3" s="182"/>
      <c r="J3" s="182"/>
      <c r="K3" s="182"/>
      <c r="L3" s="182"/>
      <c r="M3" s="2"/>
    </row>
    <row r="4" spans="2:13" x14ac:dyDescent="0.3">
      <c r="B4" s="183" t="s">
        <v>37</v>
      </c>
      <c r="C4" s="183"/>
      <c r="D4" s="183"/>
      <c r="E4" s="183"/>
      <c r="F4" s="183"/>
      <c r="G4" s="2"/>
      <c r="H4" s="183" t="s">
        <v>37</v>
      </c>
      <c r="I4" s="183"/>
      <c r="J4" s="183"/>
      <c r="K4" s="183"/>
      <c r="L4" s="183"/>
      <c r="M4" s="2"/>
    </row>
    <row r="5" spans="2:13" x14ac:dyDescent="0.3">
      <c r="B5" s="181" t="s">
        <v>75</v>
      </c>
      <c r="C5" s="181"/>
      <c r="D5" s="181"/>
      <c r="E5" s="181"/>
      <c r="F5" s="181"/>
      <c r="G5" s="2"/>
      <c r="H5" s="181" t="s">
        <v>75</v>
      </c>
      <c r="I5" s="181"/>
      <c r="J5" s="181"/>
      <c r="K5" s="181"/>
      <c r="L5" s="181"/>
      <c r="M5" s="2"/>
    </row>
    <row r="6" spans="2:13" x14ac:dyDescent="0.3">
      <c r="B6" s="16" t="s">
        <v>14</v>
      </c>
      <c r="C6" s="17" t="s">
        <v>0</v>
      </c>
      <c r="D6" s="17" t="s">
        <v>1</v>
      </c>
      <c r="E6" s="46" t="s">
        <v>30</v>
      </c>
      <c r="F6" s="22" t="s">
        <v>8</v>
      </c>
      <c r="G6" s="2"/>
      <c r="H6" s="16" t="s">
        <v>14</v>
      </c>
      <c r="I6" s="17" t="s">
        <v>2</v>
      </c>
      <c r="J6" s="17" t="s">
        <v>3</v>
      </c>
      <c r="K6" s="46" t="s">
        <v>30</v>
      </c>
      <c r="L6" s="22" t="s">
        <v>8</v>
      </c>
      <c r="M6" s="2"/>
    </row>
    <row r="7" spans="2:13" x14ac:dyDescent="0.3">
      <c r="B7" s="14" t="s">
        <v>32</v>
      </c>
      <c r="C7" s="37">
        <v>219572.59999999998</v>
      </c>
      <c r="D7" s="37"/>
      <c r="E7" s="49"/>
      <c r="F7" s="38">
        <f>SUM(C7:E7)</f>
        <v>219572.59999999998</v>
      </c>
      <c r="G7" s="35">
        <f>F7/4683525.9</f>
        <v>4.6881901517828686E-2</v>
      </c>
      <c r="H7" s="14" t="s">
        <v>32</v>
      </c>
      <c r="I7" s="37">
        <v>21004.5</v>
      </c>
      <c r="J7" s="37"/>
      <c r="K7" s="49"/>
      <c r="L7" s="38">
        <f>SUM(I7:K7)</f>
        <v>21004.5</v>
      </c>
      <c r="M7" s="35">
        <f>L7/344550</f>
        <v>6.0962124510230739E-2</v>
      </c>
    </row>
    <row r="8" spans="2:13" x14ac:dyDescent="0.3">
      <c r="B8" s="14">
        <v>2011</v>
      </c>
      <c r="C8" s="37">
        <v>505550.5</v>
      </c>
      <c r="D8" s="37"/>
      <c r="E8" s="49"/>
      <c r="F8" s="38">
        <f t="shared" ref="F8:F16" si="0">SUM(C8:E8)</f>
        <v>505550.5</v>
      </c>
      <c r="G8" s="35">
        <f t="shared" ref="G8:G17" si="1">F8/4683525.9</f>
        <v>0.10794228766835685</v>
      </c>
      <c r="H8" s="14">
        <v>2011</v>
      </c>
      <c r="I8" s="37">
        <v>23247</v>
      </c>
      <c r="J8" s="37"/>
      <c r="K8" s="49"/>
      <c r="L8" s="38">
        <f t="shared" ref="L8:L16" si="2">SUM(I8:K8)</f>
        <v>23247</v>
      </c>
      <c r="M8" s="35">
        <f t="shared" ref="M8:M17" si="3">L8/344550</f>
        <v>6.7470613844144531E-2</v>
      </c>
    </row>
    <row r="9" spans="2:13" x14ac:dyDescent="0.3">
      <c r="B9" s="14">
        <v>2012</v>
      </c>
      <c r="C9" s="37">
        <v>437899.29999999993</v>
      </c>
      <c r="D9" s="37"/>
      <c r="E9" s="49"/>
      <c r="F9" s="38">
        <f t="shared" si="0"/>
        <v>437899.29999999993</v>
      </c>
      <c r="G9" s="35">
        <f t="shared" si="1"/>
        <v>9.3497785503865768E-2</v>
      </c>
      <c r="H9" s="14">
        <v>2012</v>
      </c>
      <c r="I9" s="37">
        <v>28203.5</v>
      </c>
      <c r="J9" s="37"/>
      <c r="K9" s="49"/>
      <c r="L9" s="38">
        <f t="shared" si="2"/>
        <v>28203.5</v>
      </c>
      <c r="M9" s="35">
        <f t="shared" si="3"/>
        <v>8.1856044115512991E-2</v>
      </c>
    </row>
    <row r="10" spans="2:13" x14ac:dyDescent="0.3">
      <c r="B10" s="14">
        <v>2013</v>
      </c>
      <c r="C10" s="36">
        <v>429202.7</v>
      </c>
      <c r="D10" s="37"/>
      <c r="E10" s="49"/>
      <c r="F10" s="38">
        <f t="shared" si="0"/>
        <v>429202.7</v>
      </c>
      <c r="G10" s="35">
        <f t="shared" si="1"/>
        <v>9.1640936585831625E-2</v>
      </c>
      <c r="H10" s="14">
        <v>2013</v>
      </c>
      <c r="I10" s="36">
        <v>35503.5</v>
      </c>
      <c r="J10" s="37"/>
      <c r="K10" s="49"/>
      <c r="L10" s="38">
        <f t="shared" si="2"/>
        <v>35503.5</v>
      </c>
      <c r="M10" s="35">
        <f t="shared" si="3"/>
        <v>0.10304309969525469</v>
      </c>
    </row>
    <row r="11" spans="2:13" x14ac:dyDescent="0.3">
      <c r="B11" s="14">
        <v>2014</v>
      </c>
      <c r="C11" s="36">
        <v>440542</v>
      </c>
      <c r="D11" s="37"/>
      <c r="E11" s="49"/>
      <c r="F11" s="38">
        <f t="shared" si="0"/>
        <v>440542</v>
      </c>
      <c r="G11" s="35">
        <f t="shared" si="1"/>
        <v>9.406203988324266E-2</v>
      </c>
      <c r="H11" s="14">
        <v>2014</v>
      </c>
      <c r="I11" s="36">
        <v>36109.5</v>
      </c>
      <c r="J11" s="37"/>
      <c r="K11" s="49"/>
      <c r="L11" s="38">
        <f t="shared" si="2"/>
        <v>36109.5</v>
      </c>
      <c r="M11" s="35">
        <f t="shared" si="3"/>
        <v>0.10480191554201132</v>
      </c>
    </row>
    <row r="12" spans="2:13" x14ac:dyDescent="0.3">
      <c r="B12" s="14">
        <v>2015</v>
      </c>
      <c r="C12" s="37">
        <v>460312</v>
      </c>
      <c r="D12" s="37">
        <v>89372</v>
      </c>
      <c r="E12" s="49"/>
      <c r="F12" s="38">
        <f t="shared" si="0"/>
        <v>549684</v>
      </c>
      <c r="G12" s="35">
        <f t="shared" si="1"/>
        <v>0.11736542334483513</v>
      </c>
      <c r="H12" s="14">
        <v>2015</v>
      </c>
      <c r="I12" s="37">
        <v>31523</v>
      </c>
      <c r="J12" s="37">
        <v>983</v>
      </c>
      <c r="K12" s="49"/>
      <c r="L12" s="38">
        <f t="shared" si="2"/>
        <v>32506</v>
      </c>
      <c r="M12" s="35">
        <f t="shared" si="3"/>
        <v>9.4343346393847047E-2</v>
      </c>
    </row>
    <row r="13" spans="2:13" x14ac:dyDescent="0.3">
      <c r="B13" s="14">
        <v>2016</v>
      </c>
      <c r="C13" s="36">
        <v>393334</v>
      </c>
      <c r="D13" s="37">
        <v>211279.75</v>
      </c>
      <c r="E13" s="49"/>
      <c r="F13" s="38">
        <f t="shared" si="0"/>
        <v>604613.75</v>
      </c>
      <c r="G13" s="35">
        <f t="shared" si="1"/>
        <v>0.12909371334959416</v>
      </c>
      <c r="H13" s="14">
        <v>2016</v>
      </c>
      <c r="I13" s="36">
        <v>40008</v>
      </c>
      <c r="J13" s="37">
        <v>8684.5</v>
      </c>
      <c r="K13" s="49"/>
      <c r="L13" s="38">
        <f t="shared" si="2"/>
        <v>48692.5</v>
      </c>
      <c r="M13" s="35">
        <f t="shared" si="3"/>
        <v>0.14132201422144827</v>
      </c>
    </row>
    <row r="14" spans="2:13" x14ac:dyDescent="0.3">
      <c r="B14" s="14">
        <v>2017</v>
      </c>
      <c r="C14" s="36">
        <v>528481.5</v>
      </c>
      <c r="D14" s="36">
        <v>89644.5</v>
      </c>
      <c r="E14" s="50"/>
      <c r="F14" s="38">
        <f t="shared" si="0"/>
        <v>618126</v>
      </c>
      <c r="G14" s="35">
        <f t="shared" si="1"/>
        <v>0.13197877265929073</v>
      </c>
      <c r="H14" s="14">
        <v>2017</v>
      </c>
      <c r="I14" s="36">
        <v>24545</v>
      </c>
      <c r="J14" s="36">
        <v>2712</v>
      </c>
      <c r="K14" s="50"/>
      <c r="L14" s="38">
        <f t="shared" si="2"/>
        <v>27257</v>
      </c>
      <c r="M14" s="35">
        <f t="shared" si="3"/>
        <v>7.9108982731098537E-2</v>
      </c>
    </row>
    <row r="15" spans="2:13" x14ac:dyDescent="0.3">
      <c r="B15" s="14">
        <v>2018</v>
      </c>
      <c r="C15" s="36">
        <v>87358.5</v>
      </c>
      <c r="D15" s="37">
        <v>389239</v>
      </c>
      <c r="E15" s="49"/>
      <c r="F15" s="38">
        <f t="shared" si="0"/>
        <v>476597.5</v>
      </c>
      <c r="G15" s="35">
        <f t="shared" si="1"/>
        <v>0.10176040662014914</v>
      </c>
      <c r="H15" s="14">
        <v>2018</v>
      </c>
      <c r="I15" s="36">
        <v>30263</v>
      </c>
      <c r="J15" s="37">
        <v>11546</v>
      </c>
      <c r="K15" s="49"/>
      <c r="L15" s="38">
        <f t="shared" si="2"/>
        <v>41809</v>
      </c>
      <c r="M15" s="35">
        <f t="shared" si="3"/>
        <v>0.12134378174430417</v>
      </c>
    </row>
    <row r="16" spans="2:13" ht="13.8" thickBot="1" x14ac:dyDescent="0.35">
      <c r="B16" s="14">
        <v>2019</v>
      </c>
      <c r="C16" s="36"/>
      <c r="D16" s="37"/>
      <c r="E16" s="49">
        <v>401737.5</v>
      </c>
      <c r="F16" s="38">
        <f t="shared" si="0"/>
        <v>401737.5</v>
      </c>
      <c r="G16" s="35">
        <f t="shared" si="1"/>
        <v>8.5776722191287541E-2</v>
      </c>
      <c r="H16" s="14">
        <v>2019</v>
      </c>
      <c r="I16" s="36"/>
      <c r="J16" s="37"/>
      <c r="K16" s="49">
        <v>50217.5</v>
      </c>
      <c r="L16" s="38">
        <f t="shared" si="2"/>
        <v>50217.5</v>
      </c>
      <c r="M16" s="35">
        <f t="shared" si="3"/>
        <v>0.14574807720214772</v>
      </c>
    </row>
    <row r="17" spans="2:13" ht="14.4" thickTop="1" thickBot="1" x14ac:dyDescent="0.35">
      <c r="B17" s="19" t="s">
        <v>8</v>
      </c>
      <c r="C17" s="39">
        <f>SUM(C7:C16)</f>
        <v>3502253.0999999996</v>
      </c>
      <c r="D17" s="39">
        <f>SUM(D7:D16)</f>
        <v>779535.25</v>
      </c>
      <c r="E17" s="39">
        <f>SUM(E7:E16)</f>
        <v>401737.5</v>
      </c>
      <c r="F17" s="40">
        <f>SUM(C17:E17)</f>
        <v>4683525.8499999996</v>
      </c>
      <c r="G17" s="35">
        <f t="shared" si="1"/>
        <v>0.99999998932428225</v>
      </c>
      <c r="H17" s="19" t="s">
        <v>8</v>
      </c>
      <c r="I17" s="39">
        <f>SUM(I7:I16)</f>
        <v>270407</v>
      </c>
      <c r="J17" s="39">
        <f>SUM(J7:J16)</f>
        <v>23925.5</v>
      </c>
      <c r="K17" s="39">
        <f>SUM(K7:K16)</f>
        <v>50217.5</v>
      </c>
      <c r="L17" s="40">
        <f>SUM(I17:K17)</f>
        <v>344550</v>
      </c>
      <c r="M17" s="35">
        <f t="shared" si="3"/>
        <v>1</v>
      </c>
    </row>
    <row r="18" spans="2:13" x14ac:dyDescent="0.3">
      <c r="B18" s="2"/>
      <c r="C18" s="30">
        <f>C17/4683525.9</f>
        <v>0.74778130297090906</v>
      </c>
      <c r="D18" s="30">
        <f t="shared" ref="D18:F18" si="4">D17/4683525.9</f>
        <v>0.16644196416208565</v>
      </c>
      <c r="E18" s="30">
        <f t="shared" si="4"/>
        <v>8.5776722191287541E-2</v>
      </c>
      <c r="F18" s="30">
        <f t="shared" si="4"/>
        <v>0.99999998932428225</v>
      </c>
      <c r="G18" s="83"/>
      <c r="H18" s="82"/>
      <c r="I18" s="30">
        <f>I17/344550</f>
        <v>0.78481207371934403</v>
      </c>
      <c r="J18" s="30">
        <f t="shared" ref="J18:L18" si="5">J17/344550</f>
        <v>6.9439849078508198E-2</v>
      </c>
      <c r="K18" s="30">
        <f t="shared" si="5"/>
        <v>0.14574807720214772</v>
      </c>
      <c r="L18" s="30">
        <f t="shared" si="5"/>
        <v>1</v>
      </c>
      <c r="M18" s="83"/>
    </row>
    <row r="19" spans="2:13" x14ac:dyDescent="0.3">
      <c r="G19" s="84"/>
      <c r="M19" s="84"/>
    </row>
    <row r="20" spans="2:13" ht="13.8" thickBot="1" x14ac:dyDescent="0.35">
      <c r="G20" s="84"/>
      <c r="M20" s="84"/>
    </row>
    <row r="21" spans="2:13" ht="22.5" customHeight="1" thickTop="1" thickBot="1" x14ac:dyDescent="0.35">
      <c r="B21" s="178" t="s">
        <v>107</v>
      </c>
      <c r="C21" s="179"/>
      <c r="D21" s="179"/>
      <c r="E21" s="179"/>
      <c r="F21" s="180"/>
      <c r="G21" s="83"/>
      <c r="H21" s="181" t="s">
        <v>77</v>
      </c>
      <c r="I21" s="181"/>
      <c r="J21" s="181"/>
      <c r="K21" s="181"/>
      <c r="L21" s="181"/>
      <c r="M21" s="83"/>
    </row>
    <row r="22" spans="2:13" ht="29.25" customHeight="1" thickBot="1" x14ac:dyDescent="0.35">
      <c r="B22" s="111" t="s">
        <v>14</v>
      </c>
      <c r="C22" s="112" t="s">
        <v>106</v>
      </c>
      <c r="D22" s="112" t="s">
        <v>105</v>
      </c>
      <c r="E22" s="113" t="s">
        <v>30</v>
      </c>
      <c r="F22" s="114" t="s">
        <v>8</v>
      </c>
      <c r="G22" s="83"/>
      <c r="H22" s="16" t="s">
        <v>14</v>
      </c>
      <c r="I22" s="17" t="s">
        <v>2</v>
      </c>
      <c r="J22" s="17" t="s">
        <v>3</v>
      </c>
      <c r="K22" s="46" t="s">
        <v>30</v>
      </c>
      <c r="L22" s="22" t="s">
        <v>8</v>
      </c>
      <c r="M22" s="83"/>
    </row>
    <row r="23" spans="2:13" x14ac:dyDescent="0.3">
      <c r="B23" s="107" t="s">
        <v>32</v>
      </c>
      <c r="C23" s="108">
        <v>636.44231884057967</v>
      </c>
      <c r="D23" s="108"/>
      <c r="E23" s="109"/>
      <c r="F23" s="110">
        <v>636.44231884057967</v>
      </c>
      <c r="G23" s="35">
        <f>F23/376.5</f>
        <v>1.6904178455261081</v>
      </c>
      <c r="H23" s="14" t="s">
        <v>32</v>
      </c>
      <c r="I23" s="85">
        <v>15.30627860203457</v>
      </c>
      <c r="J23" s="85"/>
      <c r="K23" s="86"/>
      <c r="L23" s="87">
        <v>15.30627860203457</v>
      </c>
      <c r="M23" s="35">
        <f>L23/14.07</f>
        <v>1.0878662830159609</v>
      </c>
    </row>
    <row r="24" spans="2:13" x14ac:dyDescent="0.3">
      <c r="B24" s="103">
        <v>2011</v>
      </c>
      <c r="C24" s="37">
        <v>536.67781316348191</v>
      </c>
      <c r="D24" s="37"/>
      <c r="E24" s="49"/>
      <c r="F24" s="104">
        <v>536.67781316348191</v>
      </c>
      <c r="G24" s="35">
        <f t="shared" ref="G24:G33" si="6">F24/376.5</f>
        <v>1.4254390787874687</v>
      </c>
      <c r="H24" s="14">
        <v>2011</v>
      </c>
      <c r="I24" s="85">
        <v>14.706775479218068</v>
      </c>
      <c r="J24" s="85"/>
      <c r="K24" s="86"/>
      <c r="L24" s="87">
        <v>14.706775479218068</v>
      </c>
      <c r="M24" s="35">
        <f t="shared" ref="M24:M33" si="7">L24/14.07</f>
        <v>1.0452576744291449</v>
      </c>
    </row>
    <row r="25" spans="2:13" x14ac:dyDescent="0.3">
      <c r="B25" s="103">
        <v>2012</v>
      </c>
      <c r="C25" s="37">
        <v>505.65739030023087</v>
      </c>
      <c r="D25" s="37"/>
      <c r="E25" s="49"/>
      <c r="F25" s="104">
        <v>505.65739030023087</v>
      </c>
      <c r="G25" s="35">
        <f t="shared" si="6"/>
        <v>1.3430475173976915</v>
      </c>
      <c r="H25" s="14">
        <v>2012</v>
      </c>
      <c r="I25" s="85">
        <v>16.247191658505674</v>
      </c>
      <c r="J25" s="85"/>
      <c r="K25" s="86"/>
      <c r="L25" s="87">
        <v>16.247191658505674</v>
      </c>
      <c r="M25" s="35">
        <f t="shared" si="7"/>
        <v>1.1547399899435447</v>
      </c>
    </row>
    <row r="26" spans="2:13" x14ac:dyDescent="0.3">
      <c r="B26" s="103">
        <v>2013</v>
      </c>
      <c r="C26" s="36">
        <v>516.48941034897712</v>
      </c>
      <c r="D26" s="37"/>
      <c r="E26" s="49"/>
      <c r="F26" s="104">
        <v>516.48941034897712</v>
      </c>
      <c r="G26" s="35">
        <f t="shared" si="6"/>
        <v>1.3718178229720508</v>
      </c>
      <c r="H26" s="14">
        <v>2013</v>
      </c>
      <c r="I26" s="88">
        <v>15.206227514133971</v>
      </c>
      <c r="J26" s="85"/>
      <c r="K26" s="86"/>
      <c r="L26" s="87">
        <v>15.206227514133971</v>
      </c>
      <c r="M26" s="35">
        <f t="shared" si="7"/>
        <v>1.0807553314949516</v>
      </c>
    </row>
    <row r="27" spans="2:13" x14ac:dyDescent="0.3">
      <c r="B27" s="103">
        <v>2014</v>
      </c>
      <c r="C27" s="36">
        <v>381.42164502164502</v>
      </c>
      <c r="D27" s="37"/>
      <c r="E27" s="49"/>
      <c r="F27" s="104">
        <v>381.42164502164502</v>
      </c>
      <c r="G27" s="35">
        <f t="shared" si="6"/>
        <v>1.0130720983310624</v>
      </c>
      <c r="H27" s="14">
        <v>2014</v>
      </c>
      <c r="I27" s="88">
        <v>15.931833223031106</v>
      </c>
      <c r="J27" s="85"/>
      <c r="K27" s="86"/>
      <c r="L27" s="87">
        <v>15.931833223031106</v>
      </c>
      <c r="M27" s="35">
        <f t="shared" si="7"/>
        <v>1.1323264550839449</v>
      </c>
    </row>
    <row r="28" spans="2:13" x14ac:dyDescent="0.3">
      <c r="B28" s="103">
        <v>2015</v>
      </c>
      <c r="C28" s="37">
        <v>328.32524964336665</v>
      </c>
      <c r="D28" s="37">
        <v>205.92626728110599</v>
      </c>
      <c r="E28" s="49"/>
      <c r="F28" s="104">
        <v>299.39215686274508</v>
      </c>
      <c r="G28" s="35">
        <f t="shared" si="6"/>
        <v>0.79519829180011969</v>
      </c>
      <c r="H28" s="14">
        <v>2015</v>
      </c>
      <c r="I28" s="85">
        <v>16.033263821779158</v>
      </c>
      <c r="J28" s="85">
        <v>11.605667060212514</v>
      </c>
      <c r="K28" s="86"/>
      <c r="L28" s="87">
        <v>15.850399843963334</v>
      </c>
      <c r="M28" s="35">
        <f t="shared" si="7"/>
        <v>1.1265387238069178</v>
      </c>
    </row>
    <row r="29" spans="2:13" x14ac:dyDescent="0.3">
      <c r="B29" s="103">
        <v>2016</v>
      </c>
      <c r="C29" s="36">
        <v>359.6032181385994</v>
      </c>
      <c r="D29" s="37">
        <v>297.15857946554149</v>
      </c>
      <c r="E29" s="49"/>
      <c r="F29" s="104">
        <v>335.00318594858157</v>
      </c>
      <c r="G29" s="35">
        <f t="shared" si="6"/>
        <v>0.88978269840260715</v>
      </c>
      <c r="H29" s="14">
        <v>2016</v>
      </c>
      <c r="I29" s="88">
        <v>13.299647629811849</v>
      </c>
      <c r="J29" s="85">
        <v>12.474145360528583</v>
      </c>
      <c r="K29" s="86"/>
      <c r="L29" s="87">
        <v>13.144503833279344</v>
      </c>
      <c r="M29" s="35">
        <f t="shared" si="7"/>
        <v>0.93422202084430306</v>
      </c>
    </row>
    <row r="30" spans="2:13" x14ac:dyDescent="0.3">
      <c r="B30" s="103">
        <v>2017</v>
      </c>
      <c r="C30" s="36">
        <v>418.7650554675119</v>
      </c>
      <c r="D30" s="36">
        <v>302.85304054054052</v>
      </c>
      <c r="E30" s="50"/>
      <c r="F30" s="104">
        <v>396.74326059050065</v>
      </c>
      <c r="G30" s="35">
        <f t="shared" si="6"/>
        <v>1.0537669603997362</v>
      </c>
      <c r="H30" s="14">
        <v>2017</v>
      </c>
      <c r="I30" s="88">
        <v>10.640742185806564</v>
      </c>
      <c r="J30" s="88">
        <v>17.576150356448476</v>
      </c>
      <c r="K30" s="89"/>
      <c r="L30" s="87">
        <v>11.075579032913449</v>
      </c>
      <c r="M30" s="35">
        <f t="shared" si="7"/>
        <v>0.7871769035475088</v>
      </c>
    </row>
    <row r="31" spans="2:13" x14ac:dyDescent="0.3">
      <c r="B31" s="103">
        <v>2018</v>
      </c>
      <c r="C31" s="36">
        <v>404.4375</v>
      </c>
      <c r="D31" s="37">
        <v>290.26025354213272</v>
      </c>
      <c r="E31" s="49"/>
      <c r="F31" s="104">
        <v>306.09987154784841</v>
      </c>
      <c r="G31" s="35">
        <f t="shared" si="6"/>
        <v>0.81301426705935831</v>
      </c>
      <c r="H31" s="14">
        <v>2018</v>
      </c>
      <c r="I31" s="88">
        <v>13.556869596380414</v>
      </c>
      <c r="J31" s="85">
        <v>12.372481783111873</v>
      </c>
      <c r="K31" s="86"/>
      <c r="L31" s="87">
        <v>13.207708102985311</v>
      </c>
      <c r="M31" s="35">
        <f t="shared" si="7"/>
        <v>0.93871415088737109</v>
      </c>
    </row>
    <row r="32" spans="2:13" ht="13.8" thickBot="1" x14ac:dyDescent="0.35">
      <c r="B32" s="103">
        <v>2019</v>
      </c>
      <c r="C32" s="36"/>
      <c r="D32" s="37"/>
      <c r="E32" s="49">
        <v>260.31069785524528</v>
      </c>
      <c r="F32" s="117">
        <v>260.31069785524528</v>
      </c>
      <c r="G32" s="35">
        <f t="shared" si="6"/>
        <v>0.69139627584394492</v>
      </c>
      <c r="H32" s="14">
        <v>2019</v>
      </c>
      <c r="I32" s="88"/>
      <c r="J32" s="85"/>
      <c r="K32" s="86">
        <v>13.168349285433329</v>
      </c>
      <c r="L32" s="87">
        <v>13.168349285433329</v>
      </c>
      <c r="M32" s="35">
        <f t="shared" si="7"/>
        <v>0.9359167935631364</v>
      </c>
    </row>
    <row r="33" spans="2:13" ht="14.4" thickTop="1" thickBot="1" x14ac:dyDescent="0.35">
      <c r="B33" s="105" t="s">
        <v>8</v>
      </c>
      <c r="C33" s="106">
        <v>431.69474164283594</v>
      </c>
      <c r="D33" s="106">
        <v>280.2067757009346</v>
      </c>
      <c r="E33" s="115">
        <v>260.31069785524528</v>
      </c>
      <c r="F33" s="116">
        <v>376.54672739405538</v>
      </c>
      <c r="G33" s="35">
        <f t="shared" si="6"/>
        <v>1.0001241099443703</v>
      </c>
      <c r="H33" s="19" t="s">
        <v>8</v>
      </c>
      <c r="I33" s="90">
        <v>14.380689106484544</v>
      </c>
      <c r="J33" s="90">
        <v>12.805341468636266</v>
      </c>
      <c r="K33" s="90">
        <v>13.168349285433329</v>
      </c>
      <c r="L33" s="91">
        <v>14.071662355250357</v>
      </c>
      <c r="M33" s="35">
        <f t="shared" si="7"/>
        <v>1.000118148916159</v>
      </c>
    </row>
    <row r="34" spans="2:13" ht="13.8" thickTop="1" x14ac:dyDescent="0.3">
      <c r="B34" s="2"/>
      <c r="C34" s="30">
        <f>C33/376.5</f>
        <v>1.1465995793966426</v>
      </c>
      <c r="D34" s="30">
        <f t="shared" ref="D34:F34" si="8">D33/376.5</f>
        <v>0.74424110411934818</v>
      </c>
      <c r="E34" s="30">
        <f t="shared" si="8"/>
        <v>0.69139627584394492</v>
      </c>
      <c r="F34" s="30">
        <f t="shared" si="8"/>
        <v>1.0001241099443703</v>
      </c>
      <c r="G34" s="82"/>
      <c r="H34" s="82"/>
      <c r="I34" s="30">
        <f>I33/14.07</f>
        <v>1.0220816706812041</v>
      </c>
      <c r="J34" s="30">
        <f t="shared" ref="J34:L34" si="9">J33/14.07</f>
        <v>0.91011666443754557</v>
      </c>
      <c r="K34" s="30">
        <f t="shared" si="9"/>
        <v>0.9359167935631364</v>
      </c>
      <c r="L34" s="30">
        <f t="shared" si="9"/>
        <v>1.000118148916159</v>
      </c>
      <c r="M34" s="2"/>
    </row>
  </sheetData>
  <mergeCells count="8">
    <mergeCell ref="B21:F21"/>
    <mergeCell ref="H21:L21"/>
    <mergeCell ref="B3:F3"/>
    <mergeCell ref="B4:F4"/>
    <mergeCell ref="B5:F5"/>
    <mergeCell ref="H3:L3"/>
    <mergeCell ref="H4:L4"/>
    <mergeCell ref="H5:L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opLeftCell="G1" zoomScale="110" zoomScaleNormal="110" workbookViewId="0">
      <selection activeCell="Q14" sqref="Q14"/>
    </sheetView>
  </sheetViews>
  <sheetFormatPr defaultColWidth="13.77734375" defaultRowHeight="18" customHeight="1" x14ac:dyDescent="0.3"/>
  <cols>
    <col min="1" max="2" width="13.77734375" style="1"/>
    <col min="3" max="3" width="15.5546875" style="1" customWidth="1"/>
    <col min="4" max="5" width="13.77734375" style="1"/>
    <col min="6" max="6" width="14.77734375" style="1" bestFit="1" customWidth="1"/>
    <col min="7" max="16384" width="13.77734375" style="1"/>
  </cols>
  <sheetData>
    <row r="1" spans="1:19" ht="18" customHeight="1" x14ac:dyDescent="0.3">
      <c r="B1" s="182" t="s">
        <v>7</v>
      </c>
      <c r="C1" s="182"/>
      <c r="D1" s="182"/>
      <c r="E1" s="182"/>
      <c r="F1" s="182"/>
      <c r="G1" s="2"/>
      <c r="H1" s="182" t="s">
        <v>23</v>
      </c>
      <c r="I1" s="182"/>
      <c r="J1" s="182"/>
      <c r="K1" s="182"/>
      <c r="L1" s="182"/>
      <c r="M1" s="2"/>
      <c r="N1" s="182"/>
      <c r="O1" s="182"/>
      <c r="P1" s="182"/>
      <c r="Q1" s="182"/>
      <c r="R1" s="182"/>
      <c r="S1" s="2"/>
    </row>
    <row r="2" spans="1:19" ht="18" customHeight="1" thickBot="1" x14ac:dyDescent="0.35">
      <c r="B2" s="184" t="s">
        <v>37</v>
      </c>
      <c r="C2" s="184"/>
      <c r="D2" s="184"/>
      <c r="E2" s="184"/>
      <c r="F2" s="184"/>
      <c r="G2" s="2"/>
      <c r="H2" s="184" t="s">
        <v>37</v>
      </c>
      <c r="I2" s="184"/>
      <c r="J2" s="184"/>
      <c r="K2" s="184"/>
      <c r="L2" s="184"/>
      <c r="M2" s="2"/>
      <c r="N2" s="184" t="s">
        <v>37</v>
      </c>
      <c r="O2" s="184"/>
      <c r="P2" s="184"/>
      <c r="Q2" s="184"/>
      <c r="R2" s="184"/>
      <c r="S2" s="2"/>
    </row>
    <row r="3" spans="1:19" ht="18" customHeight="1" thickTop="1" thickBot="1" x14ac:dyDescent="0.35">
      <c r="B3" s="181" t="s">
        <v>24</v>
      </c>
      <c r="C3" s="181"/>
      <c r="D3" s="181"/>
      <c r="E3" s="181"/>
      <c r="F3" s="181"/>
      <c r="G3" s="2"/>
      <c r="H3" s="181" t="s">
        <v>25</v>
      </c>
      <c r="I3" s="181"/>
      <c r="J3" s="181"/>
      <c r="K3" s="181"/>
      <c r="L3" s="181"/>
      <c r="M3" s="2"/>
      <c r="N3" s="178" t="s">
        <v>109</v>
      </c>
      <c r="O3" s="179"/>
      <c r="P3" s="179"/>
      <c r="Q3" s="179"/>
      <c r="R3" s="180"/>
      <c r="S3" s="2"/>
    </row>
    <row r="4" spans="1:19" ht="41.25" customHeight="1" thickBot="1" x14ac:dyDescent="0.35">
      <c r="B4" s="16" t="s">
        <v>14</v>
      </c>
      <c r="C4" s="17" t="s">
        <v>0</v>
      </c>
      <c r="D4" s="17" t="s">
        <v>1</v>
      </c>
      <c r="E4" s="46" t="s">
        <v>30</v>
      </c>
      <c r="F4" s="22" t="s">
        <v>8</v>
      </c>
      <c r="G4" s="2"/>
      <c r="H4" s="16" t="s">
        <v>14</v>
      </c>
      <c r="I4" s="17" t="s">
        <v>0</v>
      </c>
      <c r="J4" s="17" t="s">
        <v>1</v>
      </c>
      <c r="K4" s="46" t="s">
        <v>30</v>
      </c>
      <c r="L4" s="22" t="s">
        <v>8</v>
      </c>
      <c r="M4" s="2"/>
      <c r="N4" s="111" t="s">
        <v>14</v>
      </c>
      <c r="O4" s="112" t="s">
        <v>110</v>
      </c>
      <c r="P4" s="112" t="s">
        <v>111</v>
      </c>
      <c r="Q4" s="123" t="s">
        <v>30</v>
      </c>
      <c r="R4" s="114" t="s">
        <v>8</v>
      </c>
      <c r="S4" s="2"/>
    </row>
    <row r="5" spans="1:19" ht="18" customHeight="1" x14ac:dyDescent="0.3">
      <c r="A5" s="54"/>
      <c r="B5" s="14" t="s">
        <v>32</v>
      </c>
      <c r="C5" s="52">
        <v>7175298.6000000015</v>
      </c>
      <c r="D5" s="15"/>
      <c r="E5" s="47"/>
      <c r="F5" s="23">
        <f>SUM(C5:E5)</f>
        <v>7175298.6000000015</v>
      </c>
      <c r="G5" s="35">
        <f>F5/171099286.96</f>
        <v>4.1936461147716292E-2</v>
      </c>
      <c r="H5" s="14" t="s">
        <v>32</v>
      </c>
      <c r="I5" s="37">
        <v>345</v>
      </c>
      <c r="J5" s="37"/>
      <c r="K5" s="49"/>
      <c r="L5" s="38">
        <f>SUM(I5:K5)</f>
        <v>345</v>
      </c>
      <c r="M5" s="35">
        <f>L5/12438.1</f>
        <v>2.7737355383860879E-2</v>
      </c>
      <c r="N5" s="102" t="s">
        <v>32</v>
      </c>
      <c r="O5" s="120">
        <f t="shared" ref="O5:O13" si="0">C5/I5</f>
        <v>20797.966956521745</v>
      </c>
      <c r="P5" s="120"/>
      <c r="Q5" s="121"/>
      <c r="R5" s="122">
        <f t="shared" ref="R5:R15" si="1">F5/L5</f>
        <v>20797.966956521745</v>
      </c>
      <c r="S5" s="35">
        <f>R5/13758.2</f>
        <v>1.5116779052871556</v>
      </c>
    </row>
    <row r="6" spans="1:19" ht="18" customHeight="1" x14ac:dyDescent="0.3">
      <c r="A6" s="54"/>
      <c r="B6" s="14">
        <v>2011</v>
      </c>
      <c r="C6" s="15">
        <v>15349945.060000027</v>
      </c>
      <c r="D6" s="15"/>
      <c r="E6" s="47"/>
      <c r="F6" s="23">
        <f t="shared" ref="F6:F14" si="2">SUM(C6:E6)</f>
        <v>15349945.060000027</v>
      </c>
      <c r="G6" s="35">
        <f t="shared" ref="G6:G15" si="3">F6/171099286.96</f>
        <v>8.9713670540243526E-2</v>
      </c>
      <c r="H6" s="14">
        <v>2011</v>
      </c>
      <c r="I6" s="37">
        <v>942</v>
      </c>
      <c r="J6" s="37"/>
      <c r="K6" s="49"/>
      <c r="L6" s="38">
        <f t="shared" ref="L6:L14" si="4">SUM(I6:K6)</f>
        <v>942</v>
      </c>
      <c r="M6" s="35">
        <f t="shared" ref="M6:M15" si="5">L6/12438.1</f>
        <v>7.5735039917672317E-2</v>
      </c>
      <c r="N6" s="127">
        <v>2011</v>
      </c>
      <c r="O6" s="15">
        <f t="shared" si="0"/>
        <v>16295.058450106186</v>
      </c>
      <c r="P6" s="15"/>
      <c r="Q6" s="47"/>
      <c r="R6" s="118">
        <f t="shared" si="1"/>
        <v>16295.058450106186</v>
      </c>
      <c r="S6" s="35">
        <f t="shared" ref="S6:S15" si="6">R6/13758.2</f>
        <v>1.1843888335760626</v>
      </c>
    </row>
    <row r="7" spans="1:19" ht="18" customHeight="1" x14ac:dyDescent="0.3">
      <c r="A7" s="54"/>
      <c r="B7" s="14">
        <v>2012</v>
      </c>
      <c r="C7" s="15">
        <v>13779127.900000002</v>
      </c>
      <c r="D7" s="15"/>
      <c r="E7" s="47"/>
      <c r="F7" s="23">
        <f t="shared" si="2"/>
        <v>13779127.900000002</v>
      </c>
      <c r="G7" s="35">
        <f t="shared" si="3"/>
        <v>8.0532935845731013E-2</v>
      </c>
      <c r="H7" s="14">
        <v>2012</v>
      </c>
      <c r="I7" s="37">
        <v>866</v>
      </c>
      <c r="J7" s="37"/>
      <c r="K7" s="49"/>
      <c r="L7" s="38">
        <f t="shared" si="4"/>
        <v>866</v>
      </c>
      <c r="M7" s="35">
        <f t="shared" si="5"/>
        <v>6.9624781920068171E-2</v>
      </c>
      <c r="N7" s="127">
        <v>2012</v>
      </c>
      <c r="O7" s="15">
        <f t="shared" si="0"/>
        <v>15911.233140877601</v>
      </c>
      <c r="P7" s="15"/>
      <c r="Q7" s="47"/>
      <c r="R7" s="118">
        <f t="shared" si="1"/>
        <v>15911.233140877601</v>
      </c>
      <c r="S7" s="35">
        <f t="shared" si="6"/>
        <v>1.1564909029435246</v>
      </c>
    </row>
    <row r="8" spans="1:19" ht="18" customHeight="1" x14ac:dyDescent="0.3">
      <c r="A8" s="54"/>
      <c r="B8" s="14">
        <v>2013</v>
      </c>
      <c r="C8" s="6">
        <v>13803501.61000002</v>
      </c>
      <c r="D8" s="15"/>
      <c r="E8" s="47"/>
      <c r="F8" s="23">
        <f t="shared" si="2"/>
        <v>13803501.61000002</v>
      </c>
      <c r="G8" s="35">
        <f t="shared" si="3"/>
        <v>8.0675389449326201E-2</v>
      </c>
      <c r="H8" s="14">
        <v>2013</v>
      </c>
      <c r="I8" s="36">
        <v>831</v>
      </c>
      <c r="J8" s="37"/>
      <c r="K8" s="49"/>
      <c r="L8" s="38">
        <f t="shared" si="4"/>
        <v>831</v>
      </c>
      <c r="M8" s="35">
        <f t="shared" si="5"/>
        <v>6.6810847315908375E-2</v>
      </c>
      <c r="N8" s="127">
        <v>2013</v>
      </c>
      <c r="O8" s="15">
        <f t="shared" si="0"/>
        <v>16610.711925391119</v>
      </c>
      <c r="P8" s="15"/>
      <c r="Q8" s="47"/>
      <c r="R8" s="118">
        <f t="shared" si="1"/>
        <v>16610.711925391119</v>
      </c>
      <c r="S8" s="35">
        <f t="shared" si="6"/>
        <v>1.2073317676288409</v>
      </c>
    </row>
    <row r="9" spans="1:19" ht="18" customHeight="1" x14ac:dyDescent="0.3">
      <c r="A9" s="54"/>
      <c r="B9" s="14">
        <v>2014</v>
      </c>
      <c r="C9" s="6">
        <v>14963749.499999994</v>
      </c>
      <c r="D9" s="15"/>
      <c r="E9" s="47"/>
      <c r="F9" s="23">
        <f t="shared" si="2"/>
        <v>14963749.499999994</v>
      </c>
      <c r="G9" s="35">
        <f t="shared" si="3"/>
        <v>8.7456527527775468E-2</v>
      </c>
      <c r="H9" s="14">
        <v>2014</v>
      </c>
      <c r="I9" s="36">
        <v>1155</v>
      </c>
      <c r="J9" s="37"/>
      <c r="K9" s="49"/>
      <c r="L9" s="38">
        <f t="shared" si="4"/>
        <v>1155</v>
      </c>
      <c r="M9" s="35">
        <f t="shared" si="5"/>
        <v>9.2859841937273369E-2</v>
      </c>
      <c r="N9" s="127">
        <v>2014</v>
      </c>
      <c r="O9" s="15">
        <f t="shared" si="0"/>
        <v>12955.627272727268</v>
      </c>
      <c r="P9" s="15"/>
      <c r="Q9" s="47"/>
      <c r="R9" s="118">
        <f t="shared" si="1"/>
        <v>12955.627272727268</v>
      </c>
      <c r="S9" s="35">
        <f t="shared" si="6"/>
        <v>0.94166586273838637</v>
      </c>
    </row>
    <row r="10" spans="1:19" ht="18" customHeight="1" x14ac:dyDescent="0.3">
      <c r="A10" s="54"/>
      <c r="B10" s="14">
        <v>2015</v>
      </c>
      <c r="C10" s="15">
        <v>15892798.019999994</v>
      </c>
      <c r="D10" s="15">
        <v>3988333.8000000003</v>
      </c>
      <c r="E10" s="47"/>
      <c r="F10" s="23">
        <f t="shared" si="2"/>
        <v>19881131.819999993</v>
      </c>
      <c r="G10" s="35">
        <f t="shared" si="3"/>
        <v>0.11619646214333933</v>
      </c>
      <c r="H10" s="14">
        <v>2015</v>
      </c>
      <c r="I10" s="37">
        <v>1402</v>
      </c>
      <c r="J10" s="37">
        <v>434</v>
      </c>
      <c r="K10" s="49"/>
      <c r="L10" s="38">
        <f t="shared" si="4"/>
        <v>1836</v>
      </c>
      <c r="M10" s="35">
        <f t="shared" si="5"/>
        <v>0.14761096952106834</v>
      </c>
      <c r="N10" s="127">
        <v>2015</v>
      </c>
      <c r="O10" s="15">
        <f t="shared" si="0"/>
        <v>11335.804579172605</v>
      </c>
      <c r="P10" s="15">
        <f>D10/J10</f>
        <v>9189.709216589863</v>
      </c>
      <c r="Q10" s="47"/>
      <c r="R10" s="118">
        <f t="shared" si="1"/>
        <v>10828.503169934636</v>
      </c>
      <c r="S10" s="35">
        <f t="shared" si="6"/>
        <v>0.78705813041928707</v>
      </c>
    </row>
    <row r="11" spans="1:19" ht="18" customHeight="1" x14ac:dyDescent="0.3">
      <c r="A11" s="54"/>
      <c r="B11" s="14">
        <v>2016</v>
      </c>
      <c r="C11" s="6">
        <v>14812308.91</v>
      </c>
      <c r="D11" s="15">
        <v>9462798.4600000102</v>
      </c>
      <c r="E11" s="47"/>
      <c r="F11" s="23">
        <f t="shared" si="2"/>
        <v>24275107.370000012</v>
      </c>
      <c r="G11" s="35">
        <f t="shared" si="3"/>
        <v>0.14187731463588801</v>
      </c>
      <c r="H11" s="14">
        <v>2016</v>
      </c>
      <c r="I11" s="36">
        <v>1093.8</v>
      </c>
      <c r="J11" s="37">
        <v>711</v>
      </c>
      <c r="K11" s="49"/>
      <c r="L11" s="38">
        <f t="shared" si="4"/>
        <v>1804.8</v>
      </c>
      <c r="M11" s="35">
        <f t="shared" si="5"/>
        <v>0.14510254781678872</v>
      </c>
      <c r="N11" s="127">
        <v>2016</v>
      </c>
      <c r="O11" s="15">
        <f t="shared" si="0"/>
        <v>13542.063366246115</v>
      </c>
      <c r="P11" s="15">
        <f t="shared" ref="P11:P13" si="7">D11/J11</f>
        <v>13309.139887482434</v>
      </c>
      <c r="Q11" s="47"/>
      <c r="R11" s="118">
        <f t="shared" si="1"/>
        <v>13450.303285682632</v>
      </c>
      <c r="S11" s="35">
        <f t="shared" si="6"/>
        <v>0.97762085779263508</v>
      </c>
    </row>
    <row r="12" spans="1:19" ht="18" customHeight="1" x14ac:dyDescent="0.3">
      <c r="A12" s="54"/>
      <c r="B12" s="14">
        <v>2017</v>
      </c>
      <c r="C12" s="6">
        <v>20428664.799999997</v>
      </c>
      <c r="D12" s="6">
        <v>4553906.5199999986</v>
      </c>
      <c r="E12" s="48"/>
      <c r="F12" s="23">
        <f t="shared" si="2"/>
        <v>24982571.319999997</v>
      </c>
      <c r="G12" s="35">
        <f t="shared" si="3"/>
        <v>0.14601212993856882</v>
      </c>
      <c r="H12" s="14">
        <v>2017</v>
      </c>
      <c r="I12" s="36">
        <v>1262</v>
      </c>
      <c r="J12" s="36">
        <v>296</v>
      </c>
      <c r="K12" s="50"/>
      <c r="L12" s="38">
        <f t="shared" si="4"/>
        <v>1558</v>
      </c>
      <c r="M12" s="35">
        <f t="shared" si="5"/>
        <v>0.12526028895088478</v>
      </c>
      <c r="N12" s="127">
        <v>2017</v>
      </c>
      <c r="O12" s="15">
        <f t="shared" si="0"/>
        <v>16187.53153724247</v>
      </c>
      <c r="P12" s="15">
        <f t="shared" si="7"/>
        <v>15384.81932432432</v>
      </c>
      <c r="Q12" s="47"/>
      <c r="R12" s="118">
        <f t="shared" si="1"/>
        <v>16035.026521180998</v>
      </c>
      <c r="S12" s="35">
        <f t="shared" si="6"/>
        <v>1.1654886919205272</v>
      </c>
    </row>
    <row r="13" spans="1:19" ht="18" customHeight="1" x14ac:dyDescent="0.3">
      <c r="A13" s="54"/>
      <c r="B13" s="14">
        <v>2018</v>
      </c>
      <c r="C13" s="6">
        <v>3219540.48</v>
      </c>
      <c r="D13" s="15">
        <v>15851678.300000006</v>
      </c>
      <c r="E13" s="47"/>
      <c r="F13" s="23">
        <f t="shared" si="2"/>
        <v>19071218.780000005</v>
      </c>
      <c r="G13" s="35">
        <f t="shared" si="3"/>
        <v>0.11146287701630526</v>
      </c>
      <c r="H13" s="14">
        <v>2018</v>
      </c>
      <c r="I13" s="36">
        <v>216</v>
      </c>
      <c r="J13" s="37">
        <v>1341</v>
      </c>
      <c r="K13" s="49"/>
      <c r="L13" s="38">
        <f t="shared" si="4"/>
        <v>1557</v>
      </c>
      <c r="M13" s="35">
        <f t="shared" si="5"/>
        <v>0.12517989081933736</v>
      </c>
      <c r="N13" s="127">
        <v>2018</v>
      </c>
      <c r="O13" s="15">
        <f t="shared" si="0"/>
        <v>14905.28</v>
      </c>
      <c r="P13" s="15">
        <f t="shared" si="7"/>
        <v>11820.789187173756</v>
      </c>
      <c r="Q13" s="47"/>
      <c r="R13" s="118">
        <f t="shared" si="1"/>
        <v>12248.695427103406</v>
      </c>
      <c r="S13" s="35">
        <f t="shared" si="6"/>
        <v>0.89028328030581083</v>
      </c>
    </row>
    <row r="14" spans="1:19" ht="18" customHeight="1" thickBot="1" x14ac:dyDescent="0.35">
      <c r="A14" s="55"/>
      <c r="B14" s="14">
        <v>2019</v>
      </c>
      <c r="C14" s="6"/>
      <c r="D14" s="15"/>
      <c r="E14" s="47">
        <v>17817635</v>
      </c>
      <c r="F14" s="23">
        <f t="shared" si="2"/>
        <v>17817635</v>
      </c>
      <c r="G14" s="35">
        <f t="shared" si="3"/>
        <v>0.10413623175510631</v>
      </c>
      <c r="H14" s="14">
        <v>2019</v>
      </c>
      <c r="I14" s="36"/>
      <c r="J14" s="37"/>
      <c r="K14" s="49">
        <v>1543.3</v>
      </c>
      <c r="L14" s="38">
        <f t="shared" si="4"/>
        <v>1543.3</v>
      </c>
      <c r="M14" s="35">
        <f t="shared" si="5"/>
        <v>0.12407843641713766</v>
      </c>
      <c r="N14" s="127">
        <v>2019</v>
      </c>
      <c r="O14" s="74"/>
      <c r="P14" s="15"/>
      <c r="Q14" s="15">
        <f>E14/K14</f>
        <v>11545.153243050607</v>
      </c>
      <c r="R14" s="124">
        <f t="shared" si="1"/>
        <v>11545.153243050607</v>
      </c>
      <c r="S14" s="35">
        <f t="shared" si="6"/>
        <v>0.83914707178632419</v>
      </c>
    </row>
    <row r="15" spans="1:19" ht="18" customHeight="1" thickTop="1" thickBot="1" x14ac:dyDescent="0.35">
      <c r="B15" s="19" t="s">
        <v>8</v>
      </c>
      <c r="C15" s="20">
        <f>SUM(C5:C14)</f>
        <v>119424934.88000004</v>
      </c>
      <c r="D15" s="20">
        <f>SUM(D5:D14)</f>
        <v>33856717.080000013</v>
      </c>
      <c r="E15" s="20">
        <f>SUM(E5:E14)</f>
        <v>17817635</v>
      </c>
      <c r="F15" s="10">
        <f>SUM(C15:E15)</f>
        <v>171099286.96000004</v>
      </c>
      <c r="G15" s="35">
        <f t="shared" si="3"/>
        <v>1.0000000000000002</v>
      </c>
      <c r="H15" s="19" t="s">
        <v>8</v>
      </c>
      <c r="I15" s="39">
        <f>SUM(I5:I14)</f>
        <v>8112.8</v>
      </c>
      <c r="J15" s="39">
        <f>SUM(J5:J14)</f>
        <v>2782</v>
      </c>
      <c r="K15" s="39">
        <f>SUM(K5:K14)</f>
        <v>1543.3</v>
      </c>
      <c r="L15" s="40">
        <f>SUM(I15:K15)</f>
        <v>12438.099999999999</v>
      </c>
      <c r="M15" s="35">
        <f t="shared" si="5"/>
        <v>0.99999999999999989</v>
      </c>
      <c r="N15" s="105" t="s">
        <v>8</v>
      </c>
      <c r="O15" s="119">
        <f>C15/I15</f>
        <v>14720.55700621241</v>
      </c>
      <c r="P15" s="119">
        <f>D15/J15</f>
        <v>12169.919870596697</v>
      </c>
      <c r="Q15" s="125">
        <f>E15/K15</f>
        <v>11545.153243050607</v>
      </c>
      <c r="R15" s="126">
        <f t="shared" si="1"/>
        <v>13756.062980680334</v>
      </c>
      <c r="S15" s="35">
        <f t="shared" si="6"/>
        <v>0.99984467304446312</v>
      </c>
    </row>
    <row r="16" spans="1:19" ht="18" customHeight="1" x14ac:dyDescent="0.3">
      <c r="B16" s="2"/>
      <c r="C16" s="30">
        <f>C15/171099286.96</f>
        <v>0.69798616348365894</v>
      </c>
      <c r="D16" s="30">
        <f t="shared" ref="D16:F16" si="8">D15/171099286.96</f>
        <v>0.197877604761235</v>
      </c>
      <c r="E16" s="30">
        <f t="shared" si="8"/>
        <v>0.10413623175510631</v>
      </c>
      <c r="F16" s="30">
        <f t="shared" si="8"/>
        <v>1.0000000000000002</v>
      </c>
      <c r="G16" s="2"/>
      <c r="H16" s="2"/>
      <c r="I16" s="30">
        <f>I15/12438.1</f>
        <v>0.65225396161793203</v>
      </c>
      <c r="J16" s="30">
        <f t="shared" ref="J16:K16" si="9">J15/12438.1</f>
        <v>0.22366760196493032</v>
      </c>
      <c r="K16" s="30">
        <f t="shared" si="9"/>
        <v>0.12407843641713766</v>
      </c>
      <c r="L16" s="30">
        <f t="shared" ref="L16" si="10">L15/12438.1</f>
        <v>0.99999999999999989</v>
      </c>
      <c r="M16" s="2"/>
      <c r="N16" s="2"/>
      <c r="O16" s="30">
        <f>O15/13758.2</f>
        <v>1.0699478860761154</v>
      </c>
      <c r="P16" s="30">
        <f t="shared" ref="P16:R16" si="11">P15/13758.2</f>
        <v>0.88455756353278026</v>
      </c>
      <c r="Q16" s="30"/>
      <c r="R16" s="30">
        <f t="shared" si="11"/>
        <v>0.99984467304446312</v>
      </c>
      <c r="S16" s="2"/>
    </row>
    <row r="64" spans="2:13" ht="18" customHeight="1" x14ac:dyDescent="0.3">
      <c r="B64" s="182" t="s">
        <v>7</v>
      </c>
      <c r="C64" s="182"/>
      <c r="D64" s="182"/>
      <c r="E64" s="182"/>
      <c r="F64" s="182"/>
      <c r="G64" s="2"/>
      <c r="H64" s="182" t="s">
        <v>23</v>
      </c>
      <c r="I64" s="182"/>
      <c r="J64" s="182"/>
      <c r="K64" s="182"/>
      <c r="L64" s="182"/>
      <c r="M64" s="2"/>
    </row>
    <row r="65" spans="2:19" ht="18" customHeight="1" thickBot="1" x14ac:dyDescent="0.35">
      <c r="B65" s="184" t="s">
        <v>37</v>
      </c>
      <c r="C65" s="184"/>
      <c r="D65" s="184"/>
      <c r="E65" s="184"/>
      <c r="F65" s="184"/>
      <c r="G65" s="2"/>
      <c r="H65" s="184" t="s">
        <v>37</v>
      </c>
      <c r="I65" s="184"/>
      <c r="J65" s="184"/>
      <c r="K65" s="184"/>
      <c r="L65" s="184"/>
      <c r="M65" s="2"/>
    </row>
    <row r="66" spans="2:19" ht="26.25" customHeight="1" thickTop="1" thickBot="1" x14ac:dyDescent="0.35">
      <c r="B66" s="181" t="s">
        <v>39</v>
      </c>
      <c r="C66" s="181"/>
      <c r="D66" s="181"/>
      <c r="E66" s="181"/>
      <c r="F66" s="181"/>
      <c r="G66" s="2"/>
      <c r="H66" s="181" t="s">
        <v>38</v>
      </c>
      <c r="I66" s="181"/>
      <c r="J66" s="181"/>
      <c r="K66" s="181"/>
      <c r="L66" s="181"/>
      <c r="M66" s="2"/>
      <c r="N66" s="178" t="s">
        <v>109</v>
      </c>
      <c r="O66" s="179"/>
      <c r="P66" s="179"/>
      <c r="Q66" s="179"/>
      <c r="R66" s="180"/>
      <c r="S66" s="2"/>
    </row>
    <row r="67" spans="2:19" ht="41.25" customHeight="1" thickBot="1" x14ac:dyDescent="0.35">
      <c r="B67" s="16" t="s">
        <v>14</v>
      </c>
      <c r="C67" s="17" t="s">
        <v>0</v>
      </c>
      <c r="D67" s="17" t="s">
        <v>1</v>
      </c>
      <c r="E67" s="46" t="s">
        <v>30</v>
      </c>
      <c r="F67" s="22" t="s">
        <v>8</v>
      </c>
      <c r="G67" s="2"/>
      <c r="H67" s="16" t="s">
        <v>14</v>
      </c>
      <c r="I67" s="17" t="s">
        <v>0</v>
      </c>
      <c r="J67" s="17" t="s">
        <v>1</v>
      </c>
      <c r="K67" s="46" t="s">
        <v>30</v>
      </c>
      <c r="L67" s="22" t="s">
        <v>8</v>
      </c>
      <c r="M67" s="2"/>
      <c r="N67" s="111" t="s">
        <v>14</v>
      </c>
      <c r="O67" s="112" t="s">
        <v>108</v>
      </c>
      <c r="P67" s="112" t="s">
        <v>104</v>
      </c>
      <c r="Q67" s="123" t="s">
        <v>30</v>
      </c>
      <c r="R67" s="114" t="s">
        <v>8</v>
      </c>
      <c r="S67" s="2"/>
    </row>
    <row r="68" spans="2:19" ht="18" customHeight="1" x14ac:dyDescent="0.3">
      <c r="B68" s="14" t="s">
        <v>32</v>
      </c>
      <c r="C68" s="52">
        <v>1195883.1000000003</v>
      </c>
      <c r="D68" s="15"/>
      <c r="E68" s="47"/>
      <c r="F68" s="23">
        <f>SUM(C68:E68)</f>
        <v>1195883.1000000003</v>
      </c>
      <c r="G68" s="35">
        <f>F68/15725166.69</f>
        <v>7.6048993538522569E-2</v>
      </c>
      <c r="H68" s="14" t="s">
        <v>32</v>
      </c>
      <c r="I68" s="37">
        <v>57.5</v>
      </c>
      <c r="J68" s="37"/>
      <c r="K68" s="49"/>
      <c r="L68" s="38">
        <f>SUM(I68:K68)</f>
        <v>57.5</v>
      </c>
      <c r="M68" s="35">
        <f>L68/1137.4</f>
        <v>5.0553894847898712E-2</v>
      </c>
      <c r="N68" s="107" t="s">
        <v>32</v>
      </c>
      <c r="O68" s="120">
        <f t="shared" ref="O68:O76" si="12">C68/I68</f>
        <v>20797.966956521745</v>
      </c>
      <c r="P68" s="120"/>
      <c r="Q68" s="121"/>
      <c r="R68" s="122">
        <f t="shared" ref="R68:R78" si="13">F68/L68</f>
        <v>20797.966956521745</v>
      </c>
      <c r="S68" s="35">
        <f>R68/13758.2</f>
        <v>1.5116779052871556</v>
      </c>
    </row>
    <row r="69" spans="2:19" ht="18" customHeight="1" x14ac:dyDescent="0.3">
      <c r="B69" s="14">
        <v>2011</v>
      </c>
      <c r="C69" s="15">
        <v>1279162.0883333355</v>
      </c>
      <c r="D69" s="15"/>
      <c r="E69" s="47"/>
      <c r="F69" s="23">
        <f t="shared" ref="F69:F77" si="14">SUM(C69:E69)</f>
        <v>1279162.0883333355</v>
      </c>
      <c r="G69" s="35">
        <f t="shared" ref="G69:G78" si="15">F69/15725166.69</f>
        <v>8.1344898502524909E-2</v>
      </c>
      <c r="H69" s="14">
        <v>2011</v>
      </c>
      <c r="I69" s="37">
        <v>78.5</v>
      </c>
      <c r="J69" s="37"/>
      <c r="K69" s="49"/>
      <c r="L69" s="38">
        <f t="shared" ref="L69:L77" si="16">SUM(I69:K69)</f>
        <v>78.5</v>
      </c>
      <c r="M69" s="35">
        <f t="shared" ref="M69:M78" si="17">L69/1137.4</f>
        <v>6.9017056444522593E-2</v>
      </c>
      <c r="N69" s="103">
        <v>2011</v>
      </c>
      <c r="O69" s="15">
        <f t="shared" si="12"/>
        <v>16295.058450106184</v>
      </c>
      <c r="P69" s="15"/>
      <c r="Q69" s="47"/>
      <c r="R69" s="118">
        <f t="shared" si="13"/>
        <v>16295.058450106184</v>
      </c>
      <c r="S69" s="35">
        <f t="shared" ref="S69:S78" si="18">R69/13758.2</f>
        <v>1.1843888335760624</v>
      </c>
    </row>
    <row r="70" spans="2:19" ht="18" customHeight="1" x14ac:dyDescent="0.3">
      <c r="B70" s="14">
        <v>2012</v>
      </c>
      <c r="C70" s="15">
        <v>1148260.6583333334</v>
      </c>
      <c r="D70" s="15"/>
      <c r="E70" s="47"/>
      <c r="F70" s="23">
        <f t="shared" si="14"/>
        <v>1148260.6583333334</v>
      </c>
      <c r="G70" s="35">
        <f t="shared" si="15"/>
        <v>7.3020571480716903E-2</v>
      </c>
      <c r="H70" s="14">
        <v>2012</v>
      </c>
      <c r="I70" s="37">
        <v>72.166666666666671</v>
      </c>
      <c r="J70" s="37"/>
      <c r="K70" s="49"/>
      <c r="L70" s="38">
        <f t="shared" si="16"/>
        <v>72.166666666666671</v>
      </c>
      <c r="M70" s="35">
        <f t="shared" si="17"/>
        <v>6.3448801359826501E-2</v>
      </c>
      <c r="N70" s="103">
        <v>2012</v>
      </c>
      <c r="O70" s="15">
        <f t="shared" si="12"/>
        <v>15911.233140877599</v>
      </c>
      <c r="P70" s="15"/>
      <c r="Q70" s="47"/>
      <c r="R70" s="118">
        <f t="shared" si="13"/>
        <v>15911.233140877599</v>
      </c>
      <c r="S70" s="35">
        <f t="shared" si="18"/>
        <v>1.1564909029435244</v>
      </c>
    </row>
    <row r="71" spans="2:19" ht="18" customHeight="1" x14ac:dyDescent="0.3">
      <c r="B71" s="14">
        <v>2013</v>
      </c>
      <c r="C71" s="6">
        <v>1150291.8008333349</v>
      </c>
      <c r="D71" s="15"/>
      <c r="E71" s="47"/>
      <c r="F71" s="23">
        <f t="shared" si="14"/>
        <v>1150291.8008333349</v>
      </c>
      <c r="G71" s="35">
        <f t="shared" si="15"/>
        <v>7.3149736566216012E-2</v>
      </c>
      <c r="H71" s="14">
        <v>2013</v>
      </c>
      <c r="I71" s="37">
        <v>69.25</v>
      </c>
      <c r="J71" s="37"/>
      <c r="K71" s="49"/>
      <c r="L71" s="38">
        <f t="shared" si="16"/>
        <v>69.25</v>
      </c>
      <c r="M71" s="35">
        <f t="shared" si="17"/>
        <v>6.0884473360295406E-2</v>
      </c>
      <c r="N71" s="103">
        <v>2013</v>
      </c>
      <c r="O71" s="15">
        <f t="shared" si="12"/>
        <v>16610.711925391119</v>
      </c>
      <c r="P71" s="15"/>
      <c r="Q71" s="47"/>
      <c r="R71" s="118">
        <f t="shared" si="13"/>
        <v>16610.711925391119</v>
      </c>
      <c r="S71" s="35">
        <f t="shared" si="18"/>
        <v>1.2073317676288409</v>
      </c>
    </row>
    <row r="72" spans="2:19" ht="18" customHeight="1" x14ac:dyDescent="0.3">
      <c r="B72" s="14">
        <v>2014</v>
      </c>
      <c r="C72" s="6">
        <v>1246979.1249999995</v>
      </c>
      <c r="D72" s="15"/>
      <c r="E72" s="47"/>
      <c r="F72" s="23">
        <f t="shared" si="14"/>
        <v>1246979.1249999995</v>
      </c>
      <c r="G72" s="35">
        <f t="shared" si="15"/>
        <v>7.9298308856273217E-2</v>
      </c>
      <c r="H72" s="14">
        <v>2014</v>
      </c>
      <c r="I72" s="37">
        <v>96.25</v>
      </c>
      <c r="J72" s="37"/>
      <c r="K72" s="49"/>
      <c r="L72" s="38">
        <f t="shared" si="16"/>
        <v>96.25</v>
      </c>
      <c r="M72" s="35">
        <f t="shared" si="17"/>
        <v>8.4622823984526099E-2</v>
      </c>
      <c r="N72" s="103">
        <v>2014</v>
      </c>
      <c r="O72" s="15">
        <f t="shared" si="12"/>
        <v>12955.627272727268</v>
      </c>
      <c r="P72" s="15"/>
      <c r="Q72" s="47"/>
      <c r="R72" s="118">
        <f t="shared" si="13"/>
        <v>12955.627272727268</v>
      </c>
      <c r="S72" s="35">
        <f t="shared" si="18"/>
        <v>0.94166586273838637</v>
      </c>
    </row>
    <row r="73" spans="2:19" ht="18" customHeight="1" x14ac:dyDescent="0.3">
      <c r="B73" s="14">
        <v>2015</v>
      </c>
      <c r="C73" s="15">
        <v>1324399.8349999995</v>
      </c>
      <c r="D73" s="15">
        <v>664722.30000000005</v>
      </c>
      <c r="E73" s="47"/>
      <c r="F73" s="23">
        <f t="shared" si="14"/>
        <v>1989122.1349999995</v>
      </c>
      <c r="G73" s="35">
        <f t="shared" si="15"/>
        <v>0.12649291255303061</v>
      </c>
      <c r="H73" s="14">
        <v>2015</v>
      </c>
      <c r="I73" s="37">
        <v>116.83333333333333</v>
      </c>
      <c r="J73" s="37">
        <v>72.333333333333329</v>
      </c>
      <c r="K73" s="49"/>
      <c r="L73" s="38">
        <f t="shared" si="16"/>
        <v>189.16666666666666</v>
      </c>
      <c r="M73" s="35">
        <f t="shared" si="17"/>
        <v>0.16631498739815953</v>
      </c>
      <c r="N73" s="103">
        <v>2015</v>
      </c>
      <c r="O73" s="15">
        <f t="shared" si="12"/>
        <v>11335.804579172607</v>
      </c>
      <c r="P73" s="15">
        <f>D73/J73</f>
        <v>9189.709216589863</v>
      </c>
      <c r="Q73" s="47"/>
      <c r="R73" s="118">
        <f t="shared" si="13"/>
        <v>10515.183092511012</v>
      </c>
      <c r="S73" s="35">
        <f t="shared" si="18"/>
        <v>0.76428479688556727</v>
      </c>
    </row>
    <row r="74" spans="2:19" ht="18" customHeight="1" x14ac:dyDescent="0.3">
      <c r="B74" s="14">
        <v>2016</v>
      </c>
      <c r="C74" s="6">
        <v>1234359.0758333334</v>
      </c>
      <c r="D74" s="15">
        <v>788566.53833333415</v>
      </c>
      <c r="E74" s="47"/>
      <c r="F74" s="23">
        <f t="shared" si="14"/>
        <v>2022925.6141666677</v>
      </c>
      <c r="G74" s="35">
        <f t="shared" si="15"/>
        <v>0.12864255457801241</v>
      </c>
      <c r="H74" s="14">
        <v>2016</v>
      </c>
      <c r="I74" s="37">
        <v>91.149999999999991</v>
      </c>
      <c r="J74" s="37">
        <v>59.25</v>
      </c>
      <c r="K74" s="49"/>
      <c r="L74" s="38">
        <f t="shared" si="16"/>
        <v>150.39999999999998</v>
      </c>
      <c r="M74" s="35">
        <f t="shared" si="17"/>
        <v>0.13223140495867766</v>
      </c>
      <c r="N74" s="103">
        <v>2016</v>
      </c>
      <c r="O74" s="15">
        <f t="shared" si="12"/>
        <v>13542.063366246117</v>
      </c>
      <c r="P74" s="15">
        <f t="shared" ref="P74:P76" si="19">D74/J74</f>
        <v>13309.139887482434</v>
      </c>
      <c r="Q74" s="47"/>
      <c r="R74" s="118">
        <f t="shared" si="13"/>
        <v>13450.303285682632</v>
      </c>
      <c r="S74" s="35">
        <f t="shared" si="18"/>
        <v>0.97762085779263508</v>
      </c>
    </row>
    <row r="75" spans="2:19" ht="18" customHeight="1" x14ac:dyDescent="0.3">
      <c r="B75" s="14">
        <v>2017</v>
      </c>
      <c r="C75" s="6">
        <v>1702388.7333333332</v>
      </c>
      <c r="D75" s="6">
        <v>379492.2099999999</v>
      </c>
      <c r="E75" s="48"/>
      <c r="F75" s="23">
        <f t="shared" si="14"/>
        <v>2081880.9433333331</v>
      </c>
      <c r="G75" s="35">
        <f t="shared" si="15"/>
        <v>0.13239166136517014</v>
      </c>
      <c r="H75" s="14">
        <v>2017</v>
      </c>
      <c r="I75" s="37">
        <v>105.16666666666667</v>
      </c>
      <c r="J75" s="37">
        <v>24.666666666666668</v>
      </c>
      <c r="K75" s="50"/>
      <c r="L75" s="38">
        <f t="shared" si="16"/>
        <v>129.83333333333334</v>
      </c>
      <c r="M75" s="35">
        <f t="shared" si="17"/>
        <v>0.11414922923626986</v>
      </c>
      <c r="N75" s="103">
        <v>2017</v>
      </c>
      <c r="O75" s="15">
        <f t="shared" si="12"/>
        <v>16187.53153724247</v>
      </c>
      <c r="P75" s="15">
        <f t="shared" si="19"/>
        <v>15384.81932432432</v>
      </c>
      <c r="Q75" s="47"/>
      <c r="R75" s="118">
        <f t="shared" si="13"/>
        <v>16035.026521180998</v>
      </c>
      <c r="S75" s="35">
        <f t="shared" si="18"/>
        <v>1.1654886919205272</v>
      </c>
    </row>
    <row r="76" spans="2:19" ht="18" customHeight="1" x14ac:dyDescent="0.3">
      <c r="B76" s="14">
        <v>2018</v>
      </c>
      <c r="C76" s="6">
        <v>804885.12</v>
      </c>
      <c r="D76" s="15">
        <v>1320973.1916666671</v>
      </c>
      <c r="E76" s="47"/>
      <c r="F76" s="23">
        <f t="shared" si="14"/>
        <v>2125858.311666667</v>
      </c>
      <c r="G76" s="35">
        <f t="shared" si="15"/>
        <v>0.13518828471424407</v>
      </c>
      <c r="H76" s="14">
        <v>2018</v>
      </c>
      <c r="I76" s="36">
        <v>54</v>
      </c>
      <c r="J76" s="37">
        <v>111.75</v>
      </c>
      <c r="K76" s="49"/>
      <c r="L76" s="38">
        <f t="shared" si="16"/>
        <v>165.75</v>
      </c>
      <c r="M76" s="35">
        <f t="shared" si="17"/>
        <v>0.14572709688763846</v>
      </c>
      <c r="N76" s="103">
        <v>2018</v>
      </c>
      <c r="O76" s="15">
        <f t="shared" si="12"/>
        <v>14905.28</v>
      </c>
      <c r="P76" s="15">
        <f t="shared" si="19"/>
        <v>11820.789187173756</v>
      </c>
      <c r="Q76" s="47"/>
      <c r="R76" s="118">
        <f t="shared" si="13"/>
        <v>12825.691171442939</v>
      </c>
      <c r="S76" s="35">
        <f t="shared" si="18"/>
        <v>0.93222159668001181</v>
      </c>
    </row>
    <row r="77" spans="2:19" ht="18" customHeight="1" thickBot="1" x14ac:dyDescent="0.35">
      <c r="B77" s="14">
        <v>2019</v>
      </c>
      <c r="C77" s="6"/>
      <c r="D77" s="15"/>
      <c r="E77" s="47">
        <v>1484802.9166666667</v>
      </c>
      <c r="F77" s="23">
        <f t="shared" si="14"/>
        <v>1484802.9166666667</v>
      </c>
      <c r="G77" s="35">
        <f t="shared" si="15"/>
        <v>9.4422078057263936E-2</v>
      </c>
      <c r="H77" s="14">
        <v>2019</v>
      </c>
      <c r="I77" s="36"/>
      <c r="J77" s="37"/>
      <c r="K77" s="49">
        <v>128.60833333333332</v>
      </c>
      <c r="L77" s="38">
        <f t="shared" si="16"/>
        <v>128.60833333333332</v>
      </c>
      <c r="M77" s="35">
        <f t="shared" si="17"/>
        <v>0.11307221147646677</v>
      </c>
      <c r="N77" s="103">
        <v>2019</v>
      </c>
      <c r="O77" s="74"/>
      <c r="P77" s="15"/>
      <c r="Q77" s="15">
        <f>E77/K77</f>
        <v>11545.153243050607</v>
      </c>
      <c r="R77" s="124">
        <f t="shared" si="13"/>
        <v>11545.153243050607</v>
      </c>
      <c r="S77" s="35">
        <f t="shared" si="18"/>
        <v>0.83914707178632419</v>
      </c>
    </row>
    <row r="78" spans="2:19" ht="18" customHeight="1" thickTop="1" thickBot="1" x14ac:dyDescent="0.35">
      <c r="B78" s="19" t="s">
        <v>8</v>
      </c>
      <c r="C78" s="20">
        <f>SUM(C68:C77)</f>
        <v>11086609.536666669</v>
      </c>
      <c r="D78" s="20">
        <f t="shared" ref="D78:E78" si="20">SUM(D68:D77)</f>
        <v>3153754.2400000012</v>
      </c>
      <c r="E78" s="20">
        <f t="shared" si="20"/>
        <v>1484802.9166666667</v>
      </c>
      <c r="F78" s="10">
        <f>SUM(C78:E78)</f>
        <v>15725166.693333337</v>
      </c>
      <c r="G78" s="35">
        <f t="shared" si="15"/>
        <v>1.0000000002119747</v>
      </c>
      <c r="H78" s="19" t="s">
        <v>8</v>
      </c>
      <c r="I78" s="39">
        <f>SUM(I68:I77)</f>
        <v>740.81666666666661</v>
      </c>
      <c r="J78" s="39">
        <f t="shared" ref="J78:K78" si="21">SUM(J68:J77)</f>
        <v>268</v>
      </c>
      <c r="K78" s="39">
        <f t="shared" si="21"/>
        <v>128.60833333333332</v>
      </c>
      <c r="L78" s="40">
        <f>SUM(I78:K78)</f>
        <v>1137.425</v>
      </c>
      <c r="M78" s="35">
        <f t="shared" si="17"/>
        <v>1.0000219799542815</v>
      </c>
      <c r="N78" s="105" t="s">
        <v>8</v>
      </c>
      <c r="O78" s="119">
        <f>C78/I78</f>
        <v>14965.388922135486</v>
      </c>
      <c r="P78" s="119">
        <f>D78/J78</f>
        <v>11767.739701492541</v>
      </c>
      <c r="Q78" s="125">
        <f>E78/K78</f>
        <v>11545.153243050607</v>
      </c>
      <c r="R78" s="126">
        <f t="shared" si="13"/>
        <v>13825.233921650515</v>
      </c>
      <c r="S78" s="35">
        <f t="shared" si="18"/>
        <v>1.0048722886460812</v>
      </c>
    </row>
    <row r="79" spans="2:19" ht="18" customHeight="1" x14ac:dyDescent="0.3">
      <c r="B79" s="2"/>
      <c r="C79" s="30">
        <f>C78/15725166.69</f>
        <v>0.70502333967098119</v>
      </c>
      <c r="D79" s="30">
        <f t="shared" ref="D79:F79" si="22">D78/15725166.69</f>
        <v>0.20055458248372954</v>
      </c>
      <c r="E79" s="30">
        <f t="shared" si="22"/>
        <v>9.4422078057263936E-2</v>
      </c>
      <c r="F79" s="30">
        <f t="shared" si="22"/>
        <v>1.0000000002119747</v>
      </c>
      <c r="G79" s="2"/>
      <c r="H79" s="2"/>
      <c r="I79" s="30">
        <f>I78/1137.4</f>
        <v>0.65132465857804334</v>
      </c>
      <c r="J79" s="30">
        <f t="shared" ref="J79:L79" si="23">J78/1137.4</f>
        <v>0.2356251098997714</v>
      </c>
      <c r="K79" s="30">
        <f t="shared" si="23"/>
        <v>0.11307221147646677</v>
      </c>
      <c r="L79" s="30">
        <f t="shared" si="23"/>
        <v>1.0000219799542815</v>
      </c>
      <c r="M79" s="2"/>
      <c r="N79" s="2"/>
      <c r="O79" s="30">
        <f>O78/13758.2</f>
        <v>1.0877432311011241</v>
      </c>
      <c r="P79" s="30">
        <f t="shared" ref="P79" si="24">P78/13758.2</f>
        <v>0.85532552961088948</v>
      </c>
      <c r="Q79" s="30"/>
      <c r="R79" s="30">
        <f t="shared" ref="R79" si="25">R78/13758.2</f>
        <v>1.0048722886460812</v>
      </c>
      <c r="S79" s="2"/>
    </row>
  </sheetData>
  <mergeCells count="16">
    <mergeCell ref="B3:F3"/>
    <mergeCell ref="B1:F1"/>
    <mergeCell ref="B2:F2"/>
    <mergeCell ref="H1:L1"/>
    <mergeCell ref="N1:R1"/>
    <mergeCell ref="H2:L2"/>
    <mergeCell ref="N2:R2"/>
    <mergeCell ref="H3:L3"/>
    <mergeCell ref="N3:R3"/>
    <mergeCell ref="N66:R66"/>
    <mergeCell ref="B64:F64"/>
    <mergeCell ref="B65:F65"/>
    <mergeCell ref="B66:F66"/>
    <mergeCell ref="H66:L66"/>
    <mergeCell ref="H65:L65"/>
    <mergeCell ref="H64:L6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7"/>
  <sheetViews>
    <sheetView zoomScale="70" zoomScaleNormal="70" workbookViewId="0">
      <selection activeCell="G2" sqref="G2"/>
    </sheetView>
  </sheetViews>
  <sheetFormatPr defaultColWidth="13.77734375" defaultRowHeight="18" customHeight="1" x14ac:dyDescent="0.3"/>
  <cols>
    <col min="1" max="1" width="6.77734375" style="1" customWidth="1"/>
    <col min="2" max="16384" width="13.77734375" style="1"/>
  </cols>
  <sheetData>
    <row r="2" spans="2:19" ht="18" customHeight="1" x14ac:dyDescent="0.3">
      <c r="B2" s="182" t="s">
        <v>7</v>
      </c>
      <c r="C2" s="182"/>
      <c r="D2" s="182"/>
      <c r="E2" s="182"/>
      <c r="F2" s="182"/>
      <c r="G2" s="2"/>
      <c r="H2" s="182" t="s">
        <v>23</v>
      </c>
      <c r="I2" s="182"/>
      <c r="J2" s="182"/>
      <c r="K2" s="182"/>
      <c r="L2" s="182"/>
      <c r="M2" s="2"/>
      <c r="N2" s="182"/>
      <c r="O2" s="182"/>
      <c r="P2" s="182"/>
      <c r="Q2" s="182"/>
      <c r="R2" s="182"/>
      <c r="S2" s="2"/>
    </row>
    <row r="3" spans="2:19" ht="18" customHeight="1" x14ac:dyDescent="0.3">
      <c r="B3" s="184" t="s">
        <v>37</v>
      </c>
      <c r="C3" s="184"/>
      <c r="D3" s="184"/>
      <c r="E3" s="184"/>
      <c r="F3" s="184"/>
      <c r="G3" s="2"/>
      <c r="H3" s="184" t="s">
        <v>37</v>
      </c>
      <c r="I3" s="184"/>
      <c r="J3" s="184"/>
      <c r="K3" s="184"/>
      <c r="L3" s="184"/>
      <c r="M3" s="2"/>
      <c r="N3" s="184" t="s">
        <v>37</v>
      </c>
      <c r="O3" s="184"/>
      <c r="P3" s="184"/>
      <c r="Q3" s="184"/>
      <c r="R3" s="184"/>
      <c r="S3" s="2"/>
    </row>
    <row r="4" spans="2:19" ht="18" customHeight="1" x14ac:dyDescent="0.3">
      <c r="B4" s="185" t="s">
        <v>19</v>
      </c>
      <c r="C4" s="185"/>
      <c r="D4" s="185"/>
      <c r="E4" s="185"/>
      <c r="F4" s="185"/>
      <c r="G4" s="2"/>
      <c r="H4" s="185" t="s">
        <v>21</v>
      </c>
      <c r="I4" s="185"/>
      <c r="J4" s="185"/>
      <c r="K4" s="185"/>
      <c r="L4" s="185"/>
      <c r="M4" s="2"/>
      <c r="N4" s="185" t="s">
        <v>22</v>
      </c>
      <c r="O4" s="185"/>
      <c r="P4" s="185"/>
      <c r="Q4" s="185"/>
      <c r="R4" s="185"/>
      <c r="S4" s="2"/>
    </row>
    <row r="5" spans="2:19" ht="18" customHeight="1" x14ac:dyDescent="0.3">
      <c r="B5" s="16" t="s">
        <v>14</v>
      </c>
      <c r="C5" s="17" t="s">
        <v>2</v>
      </c>
      <c r="D5" s="17" t="s">
        <v>3</v>
      </c>
      <c r="E5" s="46" t="s">
        <v>30</v>
      </c>
      <c r="F5" s="22" t="s">
        <v>8</v>
      </c>
      <c r="G5" s="2"/>
      <c r="H5" s="16" t="s">
        <v>14</v>
      </c>
      <c r="I5" s="17" t="s">
        <v>2</v>
      </c>
      <c r="J5" s="17" t="s">
        <v>3</v>
      </c>
      <c r="K5" s="46" t="s">
        <v>30</v>
      </c>
      <c r="L5" s="22" t="s">
        <v>8</v>
      </c>
      <c r="M5" s="2"/>
      <c r="N5" s="16" t="s">
        <v>14</v>
      </c>
      <c r="O5" s="17" t="s">
        <v>2</v>
      </c>
      <c r="P5" s="17" t="s">
        <v>3</v>
      </c>
      <c r="Q5" s="46" t="s">
        <v>30</v>
      </c>
      <c r="R5" s="22" t="s">
        <v>8</v>
      </c>
      <c r="S5" s="2"/>
    </row>
    <row r="6" spans="2:19" ht="18" customHeight="1" x14ac:dyDescent="0.3">
      <c r="B6" s="14" t="s">
        <v>32</v>
      </c>
      <c r="C6" s="52">
        <v>792836.4</v>
      </c>
      <c r="D6" s="15"/>
      <c r="E6" s="47"/>
      <c r="F6" s="23">
        <f>SUM(C6:E6)</f>
        <v>792836.4</v>
      </c>
      <c r="G6" s="35">
        <f>F6/16702668.27</f>
        <v>4.746764931110016E-2</v>
      </c>
      <c r="H6" s="14" t="s">
        <v>32</v>
      </c>
      <c r="I6" s="36">
        <v>1372.28</v>
      </c>
      <c r="J6" s="37"/>
      <c r="K6" s="49"/>
      <c r="L6" s="38">
        <f>SUM(I6:K6)</f>
        <v>1372.28</v>
      </c>
      <c r="M6" s="35">
        <f>L6/25168.6</f>
        <v>5.4523493559435171E-2</v>
      </c>
      <c r="N6" s="14" t="s">
        <v>32</v>
      </c>
      <c r="O6" s="6">
        <f>C6/I6</f>
        <v>577.75118780423827</v>
      </c>
      <c r="P6" s="15"/>
      <c r="Q6" s="47"/>
      <c r="R6" s="23">
        <f>F6/L6</f>
        <v>577.75118780423827</v>
      </c>
      <c r="S6" s="35">
        <f>R6/686.25</f>
        <v>0.84189608423204121</v>
      </c>
    </row>
    <row r="7" spans="2:19" ht="18" customHeight="1" x14ac:dyDescent="0.3">
      <c r="B7" s="14">
        <v>2011</v>
      </c>
      <c r="C7" s="6">
        <v>1169763.3199999998</v>
      </c>
      <c r="D7" s="15"/>
      <c r="E7" s="47"/>
      <c r="F7" s="23">
        <f t="shared" ref="F7:F15" si="0">SUM(C7:E7)</f>
        <v>1169763.3199999998</v>
      </c>
      <c r="G7" s="35">
        <f t="shared" ref="G7:G16" si="1">F7/16702668.27</f>
        <v>7.0034517904006721E-2</v>
      </c>
      <c r="H7" s="14">
        <v>2011</v>
      </c>
      <c r="I7" s="36">
        <v>1580.7</v>
      </c>
      <c r="J7" s="37"/>
      <c r="K7" s="49"/>
      <c r="L7" s="38">
        <f t="shared" ref="L7:L15" si="2">SUM(I7:K7)</f>
        <v>1580.7</v>
      </c>
      <c r="M7" s="35">
        <f t="shared" ref="M7:M16" si="3">L7/25168.6</f>
        <v>6.2804446810708583E-2</v>
      </c>
      <c r="N7" s="14">
        <v>2011</v>
      </c>
      <c r="O7" s="6">
        <f t="shared" ref="O7:O14" si="4">C7/I7</f>
        <v>740.02867084203183</v>
      </c>
      <c r="P7" s="15"/>
      <c r="Q7" s="47"/>
      <c r="R7" s="23">
        <f t="shared" ref="R7:R15" si="5">F7/L7</f>
        <v>740.02867084203183</v>
      </c>
      <c r="S7" s="35">
        <f t="shared" ref="S7:S16" si="6">R7/686.25</f>
        <v>1.0783660048699917</v>
      </c>
    </row>
    <row r="8" spans="2:19" ht="18" customHeight="1" x14ac:dyDescent="0.3">
      <c r="B8" s="14">
        <v>2012</v>
      </c>
      <c r="C8" s="6">
        <v>1209155.0399999993</v>
      </c>
      <c r="D8" s="15"/>
      <c r="E8" s="47"/>
      <c r="F8" s="23">
        <f t="shared" si="0"/>
        <v>1209155.0399999993</v>
      </c>
      <c r="G8" s="35">
        <f t="shared" si="1"/>
        <v>7.2392926714097958E-2</v>
      </c>
      <c r="H8" s="14">
        <v>2012</v>
      </c>
      <c r="I8" s="36">
        <v>1735.9</v>
      </c>
      <c r="J8" s="37"/>
      <c r="K8" s="49"/>
      <c r="L8" s="38">
        <f t="shared" si="2"/>
        <v>1735.9</v>
      </c>
      <c r="M8" s="35">
        <f t="shared" si="3"/>
        <v>6.8970860516675545E-2</v>
      </c>
      <c r="N8" s="14">
        <v>2012</v>
      </c>
      <c r="O8" s="6">
        <f t="shared" si="4"/>
        <v>696.55800449334595</v>
      </c>
      <c r="P8" s="15"/>
      <c r="Q8" s="47"/>
      <c r="R8" s="23">
        <f t="shared" si="5"/>
        <v>696.55800449334595</v>
      </c>
      <c r="S8" s="35">
        <f t="shared" si="6"/>
        <v>1.0150207715750033</v>
      </c>
    </row>
    <row r="9" spans="2:19" ht="18" customHeight="1" x14ac:dyDescent="0.3">
      <c r="B9" s="14">
        <v>2013</v>
      </c>
      <c r="C9" s="6">
        <v>1521265.2600000005</v>
      </c>
      <c r="D9" s="15"/>
      <c r="E9" s="47"/>
      <c r="F9" s="23">
        <f t="shared" si="0"/>
        <v>1521265.2600000005</v>
      </c>
      <c r="G9" s="35">
        <f t="shared" si="1"/>
        <v>9.1079175818415542E-2</v>
      </c>
      <c r="H9" s="14">
        <v>2013</v>
      </c>
      <c r="I9" s="36">
        <v>2334.8000000000002</v>
      </c>
      <c r="J9" s="37"/>
      <c r="K9" s="49"/>
      <c r="L9" s="38">
        <f t="shared" si="2"/>
        <v>2334.8000000000002</v>
      </c>
      <c r="M9" s="35">
        <f t="shared" si="3"/>
        <v>9.2766383509611194E-2</v>
      </c>
      <c r="N9" s="14">
        <v>2013</v>
      </c>
      <c r="O9" s="6">
        <f t="shared" si="4"/>
        <v>651.5612729141684</v>
      </c>
      <c r="P9" s="15"/>
      <c r="Q9" s="47"/>
      <c r="R9" s="23">
        <f t="shared" si="5"/>
        <v>651.5612729141684</v>
      </c>
      <c r="S9" s="35">
        <f t="shared" si="6"/>
        <v>0.94945176380935281</v>
      </c>
    </row>
    <row r="10" spans="2:19" ht="18" customHeight="1" x14ac:dyDescent="0.3">
      <c r="B10" s="14">
        <v>2014</v>
      </c>
      <c r="C10" s="6">
        <v>1619408.47</v>
      </c>
      <c r="D10" s="15"/>
      <c r="E10" s="47"/>
      <c r="F10" s="23">
        <f t="shared" si="0"/>
        <v>1619408.47</v>
      </c>
      <c r="G10" s="35">
        <f t="shared" si="1"/>
        <v>9.6955075908958355E-2</v>
      </c>
      <c r="H10" s="14">
        <v>2014</v>
      </c>
      <c r="I10" s="36">
        <v>2266.5</v>
      </c>
      <c r="J10" s="37"/>
      <c r="K10" s="49"/>
      <c r="L10" s="38">
        <f t="shared" si="2"/>
        <v>2266.5</v>
      </c>
      <c r="M10" s="35">
        <f t="shared" si="3"/>
        <v>9.0052684694420834E-2</v>
      </c>
      <c r="N10" s="14">
        <v>2014</v>
      </c>
      <c r="O10" s="6">
        <f t="shared" si="4"/>
        <v>714.49744981248625</v>
      </c>
      <c r="P10" s="15"/>
      <c r="Q10" s="47"/>
      <c r="R10" s="23">
        <f t="shared" si="5"/>
        <v>714.49744981248625</v>
      </c>
      <c r="S10" s="35">
        <f t="shared" si="6"/>
        <v>1.0411620397996157</v>
      </c>
    </row>
    <row r="11" spans="2:19" ht="18" customHeight="1" x14ac:dyDescent="0.3">
      <c r="B11" s="14">
        <v>2015</v>
      </c>
      <c r="C11" s="6">
        <v>1592992.1700000004</v>
      </c>
      <c r="D11" s="6">
        <v>172821.07999999996</v>
      </c>
      <c r="E11" s="48"/>
      <c r="F11" s="23">
        <f t="shared" si="0"/>
        <v>1765813.2500000005</v>
      </c>
      <c r="G11" s="35">
        <f t="shared" si="1"/>
        <v>0.1057204287036948</v>
      </c>
      <c r="H11" s="14">
        <v>2015</v>
      </c>
      <c r="I11" s="36">
        <v>1966.1</v>
      </c>
      <c r="J11" s="36">
        <v>84.7</v>
      </c>
      <c r="K11" s="50"/>
      <c r="L11" s="38">
        <f t="shared" si="2"/>
        <v>2050.7999999999997</v>
      </c>
      <c r="M11" s="35">
        <f t="shared" si="3"/>
        <v>8.1482482140444831E-2</v>
      </c>
      <c r="N11" s="14">
        <v>2015</v>
      </c>
      <c r="O11" s="6">
        <f t="shared" si="4"/>
        <v>810.22947459437489</v>
      </c>
      <c r="P11" s="15">
        <f t="shared" ref="P11:P14" si="7">D11/J11</f>
        <v>2040.3905548996452</v>
      </c>
      <c r="Q11" s="47"/>
      <c r="R11" s="23">
        <f t="shared" si="5"/>
        <v>861.03630290618332</v>
      </c>
      <c r="S11" s="35">
        <f t="shared" si="6"/>
        <v>1.2546977091529083</v>
      </c>
    </row>
    <row r="12" spans="2:19" ht="18" customHeight="1" x14ac:dyDescent="0.3">
      <c r="B12" s="14">
        <v>2016</v>
      </c>
      <c r="C12" s="6">
        <v>1806570.0300000003</v>
      </c>
      <c r="D12" s="6">
        <v>408469.81000000006</v>
      </c>
      <c r="E12" s="48"/>
      <c r="F12" s="23">
        <f t="shared" si="0"/>
        <v>2215039.8400000003</v>
      </c>
      <c r="G12" s="35">
        <f t="shared" si="1"/>
        <v>0.13261592723951049</v>
      </c>
      <c r="H12" s="14">
        <v>2016</v>
      </c>
      <c r="I12" s="36">
        <v>3008.2</v>
      </c>
      <c r="J12" s="36">
        <v>696.2</v>
      </c>
      <c r="K12" s="50"/>
      <c r="L12" s="38">
        <f t="shared" si="2"/>
        <v>3704.3999999999996</v>
      </c>
      <c r="M12" s="35">
        <f t="shared" si="3"/>
        <v>0.14718339518288662</v>
      </c>
      <c r="N12" s="14">
        <v>2016</v>
      </c>
      <c r="O12" s="6">
        <f t="shared" si="4"/>
        <v>600.54851073731811</v>
      </c>
      <c r="P12" s="15">
        <f t="shared" si="7"/>
        <v>586.71331513932785</v>
      </c>
      <c r="Q12" s="47"/>
      <c r="R12" s="23">
        <f t="shared" si="5"/>
        <v>597.94834251160796</v>
      </c>
      <c r="S12" s="35">
        <f t="shared" si="6"/>
        <v>0.87132727506245244</v>
      </c>
    </row>
    <row r="13" spans="2:19" ht="18" customHeight="1" x14ac:dyDescent="0.3">
      <c r="B13" s="14">
        <v>2017</v>
      </c>
      <c r="C13" s="6">
        <v>1641926.9800000004</v>
      </c>
      <c r="D13" s="6">
        <v>110771.74</v>
      </c>
      <c r="E13" s="48"/>
      <c r="F13" s="23">
        <f t="shared" si="0"/>
        <v>1752698.7200000004</v>
      </c>
      <c r="G13" s="35">
        <f t="shared" si="1"/>
        <v>0.1049352529588376</v>
      </c>
      <c r="H13" s="14">
        <v>2017</v>
      </c>
      <c r="I13" s="36">
        <v>2306.6999999999998</v>
      </c>
      <c r="J13" s="36">
        <v>154.30000000000001</v>
      </c>
      <c r="K13" s="50"/>
      <c r="L13" s="38">
        <f t="shared" si="2"/>
        <v>2461</v>
      </c>
      <c r="M13" s="35">
        <f t="shared" si="3"/>
        <v>9.7780567850416791E-2</v>
      </c>
      <c r="N13" s="14">
        <v>2017</v>
      </c>
      <c r="O13" s="6">
        <f t="shared" si="4"/>
        <v>711.80776867386339</v>
      </c>
      <c r="P13" s="15">
        <f t="shared" si="7"/>
        <v>717.89850939727796</v>
      </c>
      <c r="Q13" s="47"/>
      <c r="R13" s="23">
        <f t="shared" si="5"/>
        <v>712.18964648516885</v>
      </c>
      <c r="S13" s="35">
        <f t="shared" si="6"/>
        <v>1.037799120561266</v>
      </c>
    </row>
    <row r="14" spans="2:19" ht="18" customHeight="1" x14ac:dyDescent="0.3">
      <c r="B14" s="14">
        <v>2018</v>
      </c>
      <c r="C14" s="15">
        <v>1481106.8500000003</v>
      </c>
      <c r="D14" s="15">
        <v>633805.80999999982</v>
      </c>
      <c r="E14" s="47"/>
      <c r="F14" s="23">
        <f t="shared" si="0"/>
        <v>2114912.66</v>
      </c>
      <c r="G14" s="35">
        <f t="shared" si="1"/>
        <v>0.12662124552869422</v>
      </c>
      <c r="H14" s="14">
        <v>2018</v>
      </c>
      <c r="I14" s="37">
        <v>2232.3000000000002</v>
      </c>
      <c r="J14" s="37">
        <v>933.2</v>
      </c>
      <c r="K14" s="49"/>
      <c r="L14" s="38">
        <f t="shared" si="2"/>
        <v>3165.5</v>
      </c>
      <c r="M14" s="35">
        <f t="shared" si="3"/>
        <v>0.12577179501442273</v>
      </c>
      <c r="N14" s="14">
        <v>2018</v>
      </c>
      <c r="O14" s="6">
        <f t="shared" si="4"/>
        <v>663.48915916319504</v>
      </c>
      <c r="P14" s="15">
        <f t="shared" si="7"/>
        <v>679.1746785255034</v>
      </c>
      <c r="Q14" s="47"/>
      <c r="R14" s="23">
        <f t="shared" si="5"/>
        <v>668.11330279576691</v>
      </c>
      <c r="S14" s="35">
        <f t="shared" si="6"/>
        <v>0.97357129733445091</v>
      </c>
    </row>
    <row r="15" spans="2:19" ht="18" customHeight="1" thickBot="1" x14ac:dyDescent="0.35">
      <c r="B15" s="14">
        <v>2019</v>
      </c>
      <c r="C15" s="6"/>
      <c r="D15" s="15"/>
      <c r="E15" s="47">
        <v>2541775.31</v>
      </c>
      <c r="F15" s="23">
        <f t="shared" si="0"/>
        <v>2541775.31</v>
      </c>
      <c r="G15" s="35">
        <f t="shared" si="1"/>
        <v>0.15217779991268426</v>
      </c>
      <c r="H15" s="14">
        <v>2019</v>
      </c>
      <c r="I15" s="36"/>
      <c r="J15" s="37"/>
      <c r="K15" s="49">
        <v>3813.5</v>
      </c>
      <c r="L15" s="38">
        <f t="shared" si="2"/>
        <v>3813.5</v>
      </c>
      <c r="M15" s="35">
        <f t="shared" si="3"/>
        <v>0.15151816151871778</v>
      </c>
      <c r="N15" s="14">
        <v>2019</v>
      </c>
      <c r="O15" s="6"/>
      <c r="P15" s="15"/>
      <c r="Q15" s="47">
        <f>E15/K15</f>
        <v>666.52033827192872</v>
      </c>
      <c r="R15" s="23">
        <f t="shared" si="5"/>
        <v>666.52033827192872</v>
      </c>
      <c r="S15" s="35">
        <f t="shared" si="6"/>
        <v>0.97125003755472306</v>
      </c>
    </row>
    <row r="16" spans="2:19" ht="18" customHeight="1" thickTop="1" thickBot="1" x14ac:dyDescent="0.35">
      <c r="B16" s="19" t="s">
        <v>8</v>
      </c>
      <c r="C16" s="20">
        <f>SUM(C6:C15)</f>
        <v>12835024.520000001</v>
      </c>
      <c r="D16" s="20">
        <f>SUM(D6:D15)</f>
        <v>1325868.44</v>
      </c>
      <c r="E16" s="20">
        <f>SUM(E6:E15)</f>
        <v>2541775.31</v>
      </c>
      <c r="F16" s="45">
        <f>SUM(C16:E16)</f>
        <v>16702668.270000001</v>
      </c>
      <c r="G16" s="35">
        <f t="shared" si="1"/>
        <v>1.0000000000000002</v>
      </c>
      <c r="H16" s="19" t="s">
        <v>8</v>
      </c>
      <c r="I16" s="39">
        <f>SUM(I6:I15)</f>
        <v>18803.48</v>
      </c>
      <c r="J16" s="39">
        <f>SUM(J6:J15)</f>
        <v>1868.4</v>
      </c>
      <c r="K16" s="39">
        <f>SUM(K6:K15)</f>
        <v>3813.5</v>
      </c>
      <c r="L16" s="40">
        <f>SUM(I16:K16)</f>
        <v>24485.38</v>
      </c>
      <c r="M16" s="35">
        <f t="shared" si="3"/>
        <v>0.97285427079774012</v>
      </c>
      <c r="N16" s="19" t="s">
        <v>31</v>
      </c>
      <c r="O16" s="20">
        <f>C16/I16</f>
        <v>682.5877188690605</v>
      </c>
      <c r="P16" s="20">
        <f>D16/J16</f>
        <v>709.62772425604794</v>
      </c>
      <c r="Q16" s="20">
        <f>E16/K16</f>
        <v>666.52033827192872</v>
      </c>
      <c r="R16" s="10">
        <f>F16/L16</f>
        <v>682.14862379101328</v>
      </c>
      <c r="S16" s="35">
        <f t="shared" si="6"/>
        <v>0.99402349550603031</v>
      </c>
    </row>
    <row r="17" spans="2:19" ht="18" customHeight="1" x14ac:dyDescent="0.3">
      <c r="B17" s="2"/>
      <c r="C17" s="30">
        <f>C16/16702668.27</f>
        <v>0.76844156349876436</v>
      </c>
      <c r="D17" s="30">
        <f t="shared" ref="D17:F17" si="8">D16/16702668.27</f>
        <v>7.938063658855149E-2</v>
      </c>
      <c r="E17" s="30">
        <f t="shared" si="8"/>
        <v>0.15217779991268426</v>
      </c>
      <c r="F17" s="30">
        <f t="shared" si="8"/>
        <v>1.0000000000000002</v>
      </c>
      <c r="G17" s="2"/>
      <c r="H17" s="2"/>
      <c r="I17" s="30">
        <f>I16/25168.6</f>
        <v>0.74710075252497166</v>
      </c>
      <c r="J17" s="30">
        <f t="shared" ref="J17:L17" si="9">J16/25168.6</f>
        <v>7.4235356754050685E-2</v>
      </c>
      <c r="K17" s="30">
        <f t="shared" si="9"/>
        <v>0.15151816151871778</v>
      </c>
      <c r="L17" s="30">
        <f t="shared" si="9"/>
        <v>0.97285427079774012</v>
      </c>
      <c r="M17" s="2"/>
      <c r="N17" s="2"/>
      <c r="O17" s="30">
        <f>O16/686.25</f>
        <v>0.99466334261429579</v>
      </c>
      <c r="P17" s="30">
        <f t="shared" ref="P17:R17" si="10">P16/686.25</f>
        <v>1.034065900555261</v>
      </c>
      <c r="Q17" s="30">
        <f t="shared" si="10"/>
        <v>0.97125003755472306</v>
      </c>
      <c r="R17" s="30">
        <f t="shared" si="10"/>
        <v>0.99402349550603031</v>
      </c>
      <c r="S17" s="2"/>
    </row>
  </sheetData>
  <mergeCells count="9">
    <mergeCell ref="N2:R2"/>
    <mergeCell ref="N3:R3"/>
    <mergeCell ref="N4:R4"/>
    <mergeCell ref="B4:F4"/>
    <mergeCell ref="B3:F3"/>
    <mergeCell ref="B2:F2"/>
    <mergeCell ref="H2:L2"/>
    <mergeCell ref="H3:L3"/>
    <mergeCell ref="H4:L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10"/>
  <sheetViews>
    <sheetView zoomScale="85" zoomScaleNormal="85" workbookViewId="0">
      <selection activeCell="H17" sqref="H17"/>
    </sheetView>
  </sheetViews>
  <sheetFormatPr defaultColWidth="13.77734375" defaultRowHeight="18" customHeight="1" x14ac:dyDescent="0.3"/>
  <cols>
    <col min="1" max="16384" width="13.77734375" style="1"/>
  </cols>
  <sheetData>
    <row r="2" spans="3:12" ht="18" customHeight="1" x14ac:dyDescent="0.3">
      <c r="C2" s="185" t="s">
        <v>20</v>
      </c>
      <c r="D2" s="185"/>
      <c r="G2" s="43" t="s">
        <v>20</v>
      </c>
      <c r="K2" s="43"/>
    </row>
    <row r="3" spans="3:12" ht="18" customHeight="1" x14ac:dyDescent="0.3">
      <c r="C3" s="16" t="s">
        <v>14</v>
      </c>
      <c r="D3" s="17" t="s">
        <v>18</v>
      </c>
      <c r="G3" s="16" t="s">
        <v>14</v>
      </c>
      <c r="H3" s="42" t="s">
        <v>27</v>
      </c>
      <c r="I3" s="42" t="s">
        <v>28</v>
      </c>
      <c r="J3" s="42" t="s">
        <v>29</v>
      </c>
      <c r="K3" s="42" t="s">
        <v>26</v>
      </c>
    </row>
    <row r="4" spans="3:12" ht="18" customHeight="1" x14ac:dyDescent="0.3">
      <c r="C4" s="14">
        <v>2015</v>
      </c>
      <c r="D4" s="6">
        <v>418013</v>
      </c>
      <c r="E4" s="35">
        <f>D4/D9</f>
        <v>0.15666514503817938</v>
      </c>
      <c r="G4" s="14">
        <v>2015</v>
      </c>
      <c r="H4" s="6">
        <v>298696</v>
      </c>
      <c r="I4" s="6">
        <v>119317</v>
      </c>
      <c r="J4" s="6"/>
      <c r="K4" s="6">
        <f>SUM(H4:J4)</f>
        <v>418013</v>
      </c>
      <c r="L4" s="35">
        <f>K4/K9</f>
        <v>0.15666514503817938</v>
      </c>
    </row>
    <row r="5" spans="3:12" ht="18" customHeight="1" x14ac:dyDescent="0.3">
      <c r="C5" s="14">
        <v>2016</v>
      </c>
      <c r="D5" s="6">
        <v>688956</v>
      </c>
      <c r="E5" s="35">
        <f>D5/D9</f>
        <v>0.25821060987319511</v>
      </c>
      <c r="G5" s="14">
        <v>2016</v>
      </c>
      <c r="H5" s="6">
        <v>388190</v>
      </c>
      <c r="I5" s="6">
        <v>300766</v>
      </c>
      <c r="J5" s="6"/>
      <c r="K5" s="6">
        <f>SUM(H5:J5)</f>
        <v>688956</v>
      </c>
      <c r="L5" s="35">
        <f>K5/K9</f>
        <v>0.25821060987319511</v>
      </c>
    </row>
    <row r="6" spans="3:12" ht="18" customHeight="1" x14ac:dyDescent="0.3">
      <c r="C6" s="14">
        <v>2017</v>
      </c>
      <c r="D6" s="6">
        <v>628994</v>
      </c>
      <c r="E6" s="35">
        <f>D6/D9</f>
        <v>0.23573773121444694</v>
      </c>
      <c r="G6" s="14">
        <v>2017</v>
      </c>
      <c r="H6" s="6">
        <v>478791</v>
      </c>
      <c r="I6" s="6">
        <v>150203</v>
      </c>
      <c r="J6" s="6"/>
      <c r="K6" s="6">
        <f>SUM(H6:J6)</f>
        <v>628994</v>
      </c>
      <c r="L6" s="35">
        <f>K6/K9</f>
        <v>0.23573773121444694</v>
      </c>
    </row>
    <row r="7" spans="3:12" ht="18" customHeight="1" x14ac:dyDescent="0.3">
      <c r="C7" s="14">
        <v>2018</v>
      </c>
      <c r="D7" s="6">
        <v>462025</v>
      </c>
      <c r="E7" s="35">
        <f>D7/D9</f>
        <v>0.17316019749688366</v>
      </c>
      <c r="G7" s="14">
        <v>2018</v>
      </c>
      <c r="H7" s="6">
        <v>105740</v>
      </c>
      <c r="I7" s="6">
        <v>356285</v>
      </c>
      <c r="J7" s="6"/>
      <c r="K7" s="6">
        <f>SUM(H7:J7)</f>
        <v>462025</v>
      </c>
      <c r="L7" s="35">
        <f>K7/K9</f>
        <v>0.17316019749688366</v>
      </c>
    </row>
    <row r="8" spans="3:12" ht="18" customHeight="1" thickBot="1" x14ac:dyDescent="0.35">
      <c r="C8" s="14">
        <v>2019</v>
      </c>
      <c r="D8" s="6">
        <v>470206</v>
      </c>
      <c r="E8" s="35">
        <f>D8/D9</f>
        <v>0.17622631637729491</v>
      </c>
      <c r="G8" s="14">
        <v>2019</v>
      </c>
      <c r="H8" s="6">
        <v>298</v>
      </c>
      <c r="I8" s="6">
        <v>14176</v>
      </c>
      <c r="J8" s="6">
        <v>455732</v>
      </c>
      <c r="K8" s="6">
        <f>SUM(H8:J8)</f>
        <v>470206</v>
      </c>
      <c r="L8" s="35">
        <f>K8/K9</f>
        <v>0.17622631637729491</v>
      </c>
    </row>
    <row r="9" spans="3:12" ht="18" customHeight="1" thickTop="1" x14ac:dyDescent="0.3">
      <c r="C9" s="19" t="s">
        <v>8</v>
      </c>
      <c r="D9" s="20">
        <f>SUM(D4:D8)</f>
        <v>2668194</v>
      </c>
      <c r="E9" s="35">
        <f>D9/D9</f>
        <v>1</v>
      </c>
      <c r="G9" s="19" t="s">
        <v>8</v>
      </c>
      <c r="H9" s="20">
        <f>SUM(H4:H8)</f>
        <v>1271715</v>
      </c>
      <c r="I9" s="20">
        <f>SUM(I4:I8)</f>
        <v>940747</v>
      </c>
      <c r="J9" s="20">
        <f>SUM(J4:J8)</f>
        <v>455732</v>
      </c>
      <c r="K9" s="20">
        <f>SUM(K4:K8)</f>
        <v>2668194</v>
      </c>
      <c r="L9" s="35">
        <f>K9/K9</f>
        <v>1</v>
      </c>
    </row>
    <row r="10" spans="3:12" ht="18" customHeight="1" x14ac:dyDescent="0.3">
      <c r="H10" s="44">
        <f>H9/2668194</f>
        <v>0.47662014081434856</v>
      </c>
      <c r="I10" s="44">
        <f t="shared" ref="I10:K10" si="0">I9/2668194</f>
        <v>0.35257818584405781</v>
      </c>
      <c r="J10" s="44">
        <f t="shared" si="0"/>
        <v>0.1708016733415936</v>
      </c>
      <c r="K10" s="44">
        <f t="shared" si="0"/>
        <v>1</v>
      </c>
    </row>
  </sheetData>
  <mergeCells count="1">
    <mergeCell ref="C2:D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7"/>
  <sheetViews>
    <sheetView zoomScale="85" zoomScaleNormal="85" workbookViewId="0">
      <selection activeCell="J16" sqref="J16"/>
    </sheetView>
  </sheetViews>
  <sheetFormatPr defaultColWidth="13.77734375" defaultRowHeight="18" customHeight="1" x14ac:dyDescent="0.3"/>
  <cols>
    <col min="1" max="16384" width="13.77734375" style="1"/>
  </cols>
  <sheetData>
    <row r="2" spans="2:11" ht="18" customHeight="1" x14ac:dyDescent="0.3">
      <c r="B2" s="2"/>
      <c r="C2" s="2"/>
      <c r="D2" s="32" t="s">
        <v>7</v>
      </c>
      <c r="E2" s="2"/>
      <c r="G2" s="2"/>
      <c r="H2" s="2"/>
      <c r="I2" s="2"/>
      <c r="J2" s="2"/>
      <c r="K2" s="2"/>
    </row>
    <row r="3" spans="2:11" ht="18" customHeight="1" x14ac:dyDescent="0.3">
      <c r="B3" s="2"/>
      <c r="C3" s="2"/>
      <c r="D3" s="34" t="s">
        <v>9</v>
      </c>
      <c r="E3" s="2"/>
      <c r="G3" s="2"/>
      <c r="H3" s="2"/>
      <c r="I3" s="2"/>
      <c r="J3" s="2"/>
      <c r="K3" s="2"/>
    </row>
    <row r="4" spans="2:11" ht="18" customHeight="1" x14ac:dyDescent="0.3">
      <c r="B4" s="2"/>
      <c r="C4" s="2"/>
      <c r="D4" s="5" t="s">
        <v>17</v>
      </c>
      <c r="E4" s="2"/>
      <c r="G4" s="2"/>
      <c r="H4" s="2"/>
      <c r="I4" s="2"/>
      <c r="J4" s="2"/>
      <c r="K4" s="2"/>
    </row>
    <row r="5" spans="2:11" ht="18" customHeight="1" x14ac:dyDescent="0.3">
      <c r="B5" s="16" t="s">
        <v>14</v>
      </c>
      <c r="C5" s="17" t="s">
        <v>4</v>
      </c>
      <c r="D5" s="17" t="s">
        <v>5</v>
      </c>
      <c r="E5" s="21" t="s">
        <v>6</v>
      </c>
      <c r="F5" s="22" t="s">
        <v>8</v>
      </c>
      <c r="G5" s="2"/>
      <c r="H5" s="1" t="s">
        <v>16</v>
      </c>
    </row>
    <row r="6" spans="2:11" ht="18" customHeight="1" x14ac:dyDescent="0.3">
      <c r="B6" s="14">
        <v>2010</v>
      </c>
      <c r="C6" s="6">
        <v>272880.24000000005</v>
      </c>
      <c r="D6" s="15">
        <v>589217.93999999994</v>
      </c>
      <c r="E6" s="7">
        <v>59225.390000000007</v>
      </c>
      <c r="F6" s="23">
        <f t="shared" ref="F6:F16" si="0">SUM(C6:E6)</f>
        <v>921323.57</v>
      </c>
      <c r="G6" s="35">
        <f>F6/6078584.96</f>
        <v>0.15156875754188684</v>
      </c>
      <c r="H6" s="3">
        <f>F6/12</f>
        <v>76776.964166666658</v>
      </c>
    </row>
    <row r="7" spans="2:11" ht="18" customHeight="1" x14ac:dyDescent="0.3">
      <c r="B7" s="14">
        <v>2011</v>
      </c>
      <c r="C7" s="6">
        <v>359878.75000000012</v>
      </c>
      <c r="D7" s="15">
        <v>315222.44000000006</v>
      </c>
      <c r="E7" s="7">
        <v>4411.5200000000004</v>
      </c>
      <c r="F7" s="23">
        <f t="shared" si="0"/>
        <v>679512.7100000002</v>
      </c>
      <c r="G7" s="35">
        <f t="shared" ref="G7:G16" si="1">F7/6078584.96</f>
        <v>0.11178797606211302</v>
      </c>
      <c r="H7" s="3">
        <f t="shared" ref="H7:H15" si="2">F7/12</f>
        <v>56626.059166666681</v>
      </c>
    </row>
    <row r="8" spans="2:11" ht="18" customHeight="1" x14ac:dyDescent="0.3">
      <c r="B8" s="14">
        <v>2012</v>
      </c>
      <c r="C8" s="6">
        <v>422492.48</v>
      </c>
      <c r="D8" s="6">
        <v>558797.66999999993</v>
      </c>
      <c r="E8" s="7">
        <v>12721.110000000002</v>
      </c>
      <c r="F8" s="23">
        <f t="shared" si="0"/>
        <v>994011.25999999989</v>
      </c>
      <c r="G8" s="35">
        <f t="shared" si="1"/>
        <v>0.16352675277898887</v>
      </c>
      <c r="H8" s="3">
        <f t="shared" si="2"/>
        <v>82834.271666666653</v>
      </c>
    </row>
    <row r="9" spans="2:11" ht="18" customHeight="1" x14ac:dyDescent="0.3">
      <c r="B9" s="14">
        <v>2013</v>
      </c>
      <c r="C9" s="6">
        <v>547271.42999999993</v>
      </c>
      <c r="D9" s="6">
        <v>827692.08</v>
      </c>
      <c r="E9" s="7">
        <v>6997.8300000000008</v>
      </c>
      <c r="F9" s="23">
        <f t="shared" si="0"/>
        <v>1381961.3399999999</v>
      </c>
      <c r="G9" s="35">
        <f t="shared" si="1"/>
        <v>0.22734918555781769</v>
      </c>
      <c r="H9" s="3">
        <f t="shared" si="2"/>
        <v>115163.44499999999</v>
      </c>
    </row>
    <row r="10" spans="2:11" ht="18" customHeight="1" x14ac:dyDescent="0.3">
      <c r="B10" s="14">
        <v>2014</v>
      </c>
      <c r="C10" s="6">
        <v>326239.25999999995</v>
      </c>
      <c r="D10" s="6">
        <v>278174.55000000005</v>
      </c>
      <c r="E10" s="7">
        <v>1872.43</v>
      </c>
      <c r="F10" s="23">
        <f t="shared" si="0"/>
        <v>606286.24000000011</v>
      </c>
      <c r="G10" s="35">
        <f t="shared" si="1"/>
        <v>9.9741345064625064E-2</v>
      </c>
      <c r="H10" s="3">
        <f t="shared" si="2"/>
        <v>50523.85333333334</v>
      </c>
    </row>
    <row r="11" spans="2:11" ht="18" customHeight="1" x14ac:dyDescent="0.3">
      <c r="B11" s="14">
        <v>2015</v>
      </c>
      <c r="C11" s="6">
        <v>283437.96999999997</v>
      </c>
      <c r="D11" s="6">
        <v>13985.739999999998</v>
      </c>
      <c r="E11" s="7">
        <v>5861.09</v>
      </c>
      <c r="F11" s="23">
        <f t="shared" si="0"/>
        <v>303284.8</v>
      </c>
      <c r="G11" s="35">
        <f t="shared" si="1"/>
        <v>4.9893980588534864E-2</v>
      </c>
      <c r="H11" s="3">
        <f t="shared" si="2"/>
        <v>25273.733333333334</v>
      </c>
    </row>
    <row r="12" spans="2:11" ht="18" customHeight="1" x14ac:dyDescent="0.3">
      <c r="B12" s="14">
        <v>2016</v>
      </c>
      <c r="C12" s="6">
        <v>284709.52</v>
      </c>
      <c r="D12" s="6">
        <v>27185.22</v>
      </c>
      <c r="E12" s="7">
        <v>328.47</v>
      </c>
      <c r="F12" s="23">
        <f t="shared" si="0"/>
        <v>312223.20999999996</v>
      </c>
      <c r="G12" s="35">
        <f t="shared" si="1"/>
        <v>5.1364456046033444E-2</v>
      </c>
      <c r="H12" s="3">
        <f t="shared" si="2"/>
        <v>26018.60083333333</v>
      </c>
    </row>
    <row r="13" spans="2:11" ht="18" customHeight="1" x14ac:dyDescent="0.3">
      <c r="B13" s="14">
        <v>2017</v>
      </c>
      <c r="C13" s="6">
        <v>209794.33999999991</v>
      </c>
      <c r="D13" s="6">
        <v>1758.1</v>
      </c>
      <c r="E13" s="7">
        <v>12264.499999999998</v>
      </c>
      <c r="F13" s="23">
        <f t="shared" si="0"/>
        <v>223816.93999999992</v>
      </c>
      <c r="G13" s="35">
        <f t="shared" si="1"/>
        <v>3.6820566212831203E-2</v>
      </c>
      <c r="H13" s="3">
        <f t="shared" si="2"/>
        <v>18651.41166666666</v>
      </c>
    </row>
    <row r="14" spans="2:11" ht="18" customHeight="1" x14ac:dyDescent="0.3">
      <c r="B14" s="14">
        <v>2018</v>
      </c>
      <c r="C14" s="6">
        <v>302589.93000000005</v>
      </c>
      <c r="D14" s="6">
        <v>15783.530000000002</v>
      </c>
      <c r="E14" s="7">
        <v>56921.460000000006</v>
      </c>
      <c r="F14" s="23">
        <f t="shared" si="0"/>
        <v>375294.9200000001</v>
      </c>
      <c r="G14" s="35">
        <f t="shared" si="1"/>
        <v>6.1740507448628322E-2</v>
      </c>
      <c r="H14" s="3">
        <f t="shared" si="2"/>
        <v>31274.576666666675</v>
      </c>
    </row>
    <row r="15" spans="2:11" ht="18" customHeight="1" thickBot="1" x14ac:dyDescent="0.35">
      <c r="B15" s="14">
        <v>2019</v>
      </c>
      <c r="C15" s="6">
        <v>217983.06000000003</v>
      </c>
      <c r="D15" s="6">
        <v>38583.68</v>
      </c>
      <c r="E15" s="7">
        <v>24303.230000000003</v>
      </c>
      <c r="F15" s="23">
        <f t="shared" si="0"/>
        <v>280869.97000000003</v>
      </c>
      <c r="G15" s="35">
        <f t="shared" si="1"/>
        <v>4.6206472698540689E-2</v>
      </c>
      <c r="H15" s="3">
        <f t="shared" si="2"/>
        <v>23405.830833333337</v>
      </c>
    </row>
    <row r="16" spans="2:11" ht="18" customHeight="1" thickTop="1" thickBot="1" x14ac:dyDescent="0.35">
      <c r="B16" s="19" t="s">
        <v>8</v>
      </c>
      <c r="C16" s="20">
        <f>SUM(C6:C15)</f>
        <v>3227276.98</v>
      </c>
      <c r="D16" s="20">
        <f>SUM(D6:D15)</f>
        <v>2666400.9500000002</v>
      </c>
      <c r="E16" s="24">
        <f>SUM(E6:E15)</f>
        <v>184907.03</v>
      </c>
      <c r="F16" s="45">
        <f t="shared" si="0"/>
        <v>6078584.96</v>
      </c>
      <c r="G16" s="35">
        <f t="shared" si="1"/>
        <v>1</v>
      </c>
    </row>
    <row r="17" spans="2:7" ht="18" customHeight="1" x14ac:dyDescent="0.3">
      <c r="B17" s="2"/>
      <c r="C17" s="30">
        <f>C16/6078584.96</f>
        <v>0.53092570083942692</v>
      </c>
      <c r="D17" s="30">
        <f t="shared" ref="D17:F17" si="3">D16/6078584.96</f>
        <v>0.43865487898025535</v>
      </c>
      <c r="E17" s="30">
        <f t="shared" si="3"/>
        <v>3.0419420180317756E-2</v>
      </c>
      <c r="F17" s="30">
        <f t="shared" si="3"/>
        <v>1</v>
      </c>
      <c r="G17" s="2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0"/>
  <sheetViews>
    <sheetView zoomScale="70" zoomScaleNormal="70" workbookViewId="0">
      <selection activeCell="T134" sqref="T134"/>
    </sheetView>
  </sheetViews>
  <sheetFormatPr defaultColWidth="11.5546875" defaultRowHeight="13.2" x14ac:dyDescent="0.3"/>
  <cols>
    <col min="1" max="4" width="11.5546875" style="1"/>
    <col min="5" max="5" width="2.5546875" style="1" customWidth="1"/>
    <col min="6" max="6" width="11.5546875" style="1" customWidth="1"/>
    <col min="7" max="7" width="3.5546875" style="1" customWidth="1"/>
    <col min="8" max="9" width="11.5546875" style="1"/>
    <col min="10" max="10" width="2.5546875" style="1" customWidth="1"/>
    <col min="11" max="12" width="11.5546875" style="1"/>
    <col min="13" max="13" width="2.5546875" style="1" customWidth="1"/>
    <col min="14" max="15" width="11.5546875" style="1"/>
    <col min="16" max="16" width="2.5546875" style="1" customWidth="1"/>
    <col min="17" max="18" width="11.5546875" style="1"/>
    <col min="19" max="19" width="2.5546875" style="1" customWidth="1"/>
    <col min="20" max="20" width="14" style="1" bestFit="1" customWidth="1"/>
    <col min="21" max="16384" width="11.5546875" style="1"/>
  </cols>
  <sheetData>
    <row r="1" spans="1:22" x14ac:dyDescent="0.3">
      <c r="C1" s="1" t="s">
        <v>63</v>
      </c>
    </row>
    <row r="2" spans="1:22" x14ac:dyDescent="0.3">
      <c r="H2" s="1" t="s">
        <v>53</v>
      </c>
      <c r="K2" s="1" t="s">
        <v>54</v>
      </c>
      <c r="N2" s="1" t="s">
        <v>55</v>
      </c>
      <c r="Q2" s="1" t="s">
        <v>56</v>
      </c>
      <c r="T2" s="80" t="s">
        <v>73</v>
      </c>
    </row>
    <row r="3" spans="1:22" ht="39.6" x14ac:dyDescent="0.3">
      <c r="B3" s="1" t="s">
        <v>14</v>
      </c>
      <c r="C3" s="1" t="s">
        <v>15</v>
      </c>
      <c r="D3" s="1" t="s">
        <v>71</v>
      </c>
      <c r="F3" s="81" t="s">
        <v>74</v>
      </c>
      <c r="H3" s="1" t="s">
        <v>50</v>
      </c>
      <c r="I3" s="1" t="s">
        <v>51</v>
      </c>
      <c r="K3" s="1" t="s">
        <v>50</v>
      </c>
      <c r="L3" s="1" t="s">
        <v>51</v>
      </c>
      <c r="N3" s="1" t="s">
        <v>52</v>
      </c>
      <c r="O3" s="1" t="s">
        <v>51</v>
      </c>
      <c r="Q3" s="1" t="s">
        <v>52</v>
      </c>
      <c r="R3" s="1" t="s">
        <v>51</v>
      </c>
      <c r="T3" s="1" t="s">
        <v>72</v>
      </c>
    </row>
    <row r="4" spans="1:22" x14ac:dyDescent="0.3">
      <c r="A4" s="1" t="s">
        <v>70</v>
      </c>
      <c r="B4" s="1" t="s">
        <v>32</v>
      </c>
      <c r="C4" s="1" t="s">
        <v>59</v>
      </c>
      <c r="D4" s="65" t="s">
        <v>57</v>
      </c>
      <c r="E4" s="65"/>
      <c r="F4" s="76">
        <f>SUM(I4,L4,O4,R4)</f>
        <v>15926</v>
      </c>
      <c r="G4" s="65"/>
      <c r="H4" s="76">
        <v>1597</v>
      </c>
      <c r="I4" s="76">
        <v>3373</v>
      </c>
      <c r="J4" s="76"/>
      <c r="K4" s="76">
        <v>7884</v>
      </c>
      <c r="L4" s="76">
        <v>11537</v>
      </c>
      <c r="M4" s="76"/>
      <c r="N4" s="76">
        <v>29.829999999999991</v>
      </c>
      <c r="O4" s="76">
        <v>896</v>
      </c>
      <c r="P4" s="76"/>
      <c r="Q4" s="76">
        <v>15.15</v>
      </c>
      <c r="R4" s="76">
        <v>120</v>
      </c>
      <c r="T4" s="68">
        <v>439765.07</v>
      </c>
    </row>
    <row r="5" spans="1:22" x14ac:dyDescent="0.3">
      <c r="A5" s="1" t="s">
        <v>70</v>
      </c>
      <c r="B5" s="1" t="s">
        <v>32</v>
      </c>
      <c r="C5" s="1" t="s">
        <v>59</v>
      </c>
      <c r="D5" s="65" t="s">
        <v>58</v>
      </c>
      <c r="E5" s="65"/>
      <c r="F5" s="76">
        <f t="shared" ref="F5:F68" si="0">SUM(I5,L5,O5,R5)</f>
        <v>75197</v>
      </c>
      <c r="G5" s="65"/>
      <c r="H5" s="76">
        <v>10379</v>
      </c>
      <c r="I5" s="76">
        <v>17842</v>
      </c>
      <c r="J5" s="76"/>
      <c r="K5" s="76">
        <v>47807</v>
      </c>
      <c r="L5" s="76">
        <v>49493</v>
      </c>
      <c r="M5" s="76"/>
      <c r="N5" s="76">
        <v>358.66999999999996</v>
      </c>
      <c r="O5" s="76">
        <v>7836</v>
      </c>
      <c r="P5" s="76"/>
      <c r="Q5" s="76">
        <v>0.54</v>
      </c>
      <c r="R5" s="76">
        <v>26</v>
      </c>
      <c r="T5" s="68">
        <v>2420656.2199999997</v>
      </c>
    </row>
    <row r="6" spans="1:22" x14ac:dyDescent="0.3">
      <c r="A6" s="1" t="s">
        <v>70</v>
      </c>
      <c r="B6" s="1" t="s">
        <v>32</v>
      </c>
      <c r="C6" s="1" t="s">
        <v>59</v>
      </c>
      <c r="D6" s="65" t="s">
        <v>60</v>
      </c>
      <c r="E6" s="65"/>
      <c r="F6" s="76">
        <f t="shared" si="0"/>
        <v>73194.7</v>
      </c>
      <c r="G6" s="65"/>
      <c r="H6" s="76">
        <v>10737</v>
      </c>
      <c r="I6" s="76">
        <v>13728.7</v>
      </c>
      <c r="J6" s="76"/>
      <c r="K6" s="76">
        <v>31504</v>
      </c>
      <c r="L6" s="76">
        <v>52600</v>
      </c>
      <c r="M6" s="76"/>
      <c r="N6" s="76">
        <v>207.60999999999996</v>
      </c>
      <c r="O6" s="76">
        <v>6857</v>
      </c>
      <c r="P6" s="76"/>
      <c r="Q6" s="76">
        <v>0.72</v>
      </c>
      <c r="R6" s="76">
        <v>9</v>
      </c>
      <c r="T6" s="68">
        <v>2277617.12</v>
      </c>
    </row>
    <row r="7" spans="1:22" x14ac:dyDescent="0.3">
      <c r="A7" s="1" t="s">
        <v>70</v>
      </c>
      <c r="B7" s="1" t="s">
        <v>32</v>
      </c>
      <c r="C7" s="1" t="s">
        <v>59</v>
      </c>
      <c r="D7" s="65" t="s">
        <v>61</v>
      </c>
      <c r="E7" s="65"/>
      <c r="F7" s="76">
        <f t="shared" si="0"/>
        <v>55254.899999999994</v>
      </c>
      <c r="G7" s="65"/>
      <c r="H7" s="76">
        <v>22330</v>
      </c>
      <c r="I7" s="76">
        <v>25727.9</v>
      </c>
      <c r="J7" s="76"/>
      <c r="K7" s="76">
        <v>14531</v>
      </c>
      <c r="L7" s="76">
        <v>27358.799999999999</v>
      </c>
      <c r="M7" s="76"/>
      <c r="N7" s="76">
        <v>82.26</v>
      </c>
      <c r="O7" s="76">
        <v>2108.1999999999998</v>
      </c>
      <c r="P7" s="76"/>
      <c r="Q7" s="76">
        <v>1.6</v>
      </c>
      <c r="R7" s="76">
        <v>60</v>
      </c>
      <c r="T7" s="68">
        <v>1704728.5299999998</v>
      </c>
    </row>
    <row r="8" spans="1:22" x14ac:dyDescent="0.3">
      <c r="A8" s="1" t="s">
        <v>70</v>
      </c>
      <c r="B8" s="1" t="s">
        <v>32</v>
      </c>
      <c r="C8" s="1" t="s">
        <v>59</v>
      </c>
      <c r="D8" s="65" t="s">
        <v>62</v>
      </c>
      <c r="E8" s="65"/>
      <c r="F8" s="76">
        <f t="shared" si="0"/>
        <v>219572.59999999998</v>
      </c>
      <c r="G8" s="65"/>
      <c r="H8" s="76">
        <v>45043</v>
      </c>
      <c r="I8" s="76">
        <v>60671.599999999991</v>
      </c>
      <c r="J8" s="76"/>
      <c r="K8" s="76">
        <v>101726</v>
      </c>
      <c r="L8" s="76">
        <v>140988.79999999999</v>
      </c>
      <c r="M8" s="76"/>
      <c r="N8" s="76">
        <v>678.37</v>
      </c>
      <c r="O8" s="76">
        <v>17697.2</v>
      </c>
      <c r="P8" s="76"/>
      <c r="Q8" s="76">
        <v>18.010000000000002</v>
      </c>
      <c r="R8" s="76">
        <v>215</v>
      </c>
      <c r="T8" s="68">
        <v>6842766.9400000013</v>
      </c>
    </row>
    <row r="9" spans="1:22" x14ac:dyDescent="0.3">
      <c r="B9" s="1">
        <v>2011</v>
      </c>
      <c r="C9" s="1" t="s">
        <v>59</v>
      </c>
      <c r="D9" s="65" t="s">
        <v>57</v>
      </c>
      <c r="E9" s="65"/>
      <c r="F9" s="76">
        <f t="shared" si="0"/>
        <v>51682</v>
      </c>
      <c r="G9" s="65"/>
      <c r="H9" s="76">
        <v>5235</v>
      </c>
      <c r="I9" s="76">
        <v>11064</v>
      </c>
      <c r="J9" s="76"/>
      <c r="K9" s="76">
        <v>25501</v>
      </c>
      <c r="L9" s="76">
        <v>35605</v>
      </c>
      <c r="M9" s="76"/>
      <c r="N9" s="76">
        <v>139.47</v>
      </c>
      <c r="O9" s="76">
        <v>5013</v>
      </c>
      <c r="P9" s="76"/>
      <c r="Q9" s="76">
        <v>0</v>
      </c>
      <c r="R9" s="76">
        <v>0</v>
      </c>
      <c r="T9" s="68">
        <v>1614151.99</v>
      </c>
    </row>
    <row r="10" spans="1:22" x14ac:dyDescent="0.3">
      <c r="B10" s="1">
        <v>2011</v>
      </c>
      <c r="C10" s="1" t="s">
        <v>59</v>
      </c>
      <c r="D10" s="65" t="s">
        <v>58</v>
      </c>
      <c r="E10" s="65"/>
      <c r="F10" s="76">
        <f t="shared" si="0"/>
        <v>172289.5</v>
      </c>
      <c r="G10" s="65"/>
      <c r="H10" s="76">
        <v>21815</v>
      </c>
      <c r="I10" s="76">
        <v>45714</v>
      </c>
      <c r="J10" s="76"/>
      <c r="K10" s="76">
        <v>89299</v>
      </c>
      <c r="L10" s="76">
        <v>104315.7</v>
      </c>
      <c r="M10" s="76"/>
      <c r="N10" s="76">
        <v>792.46</v>
      </c>
      <c r="O10" s="76">
        <v>22074.800000000003</v>
      </c>
      <c r="P10" s="76"/>
      <c r="Q10" s="76">
        <v>0.8</v>
      </c>
      <c r="R10" s="76">
        <v>185</v>
      </c>
      <c r="T10" s="68">
        <v>5090427.41</v>
      </c>
    </row>
    <row r="11" spans="1:22" x14ac:dyDescent="0.3">
      <c r="B11" s="1">
        <v>2011</v>
      </c>
      <c r="C11" s="1" t="s">
        <v>59</v>
      </c>
      <c r="D11" s="65" t="s">
        <v>60</v>
      </c>
      <c r="E11" s="65"/>
      <c r="F11" s="76">
        <f t="shared" si="0"/>
        <v>176548</v>
      </c>
      <c r="G11" s="65"/>
      <c r="H11" s="76">
        <v>15032</v>
      </c>
      <c r="I11" s="76">
        <v>39170.6</v>
      </c>
      <c r="J11" s="76"/>
      <c r="K11" s="76">
        <v>59683</v>
      </c>
      <c r="L11" s="76">
        <v>113054.3</v>
      </c>
      <c r="M11" s="76"/>
      <c r="N11" s="76">
        <v>1175.9500000000007</v>
      </c>
      <c r="O11" s="76">
        <v>24257.1</v>
      </c>
      <c r="P11" s="76"/>
      <c r="Q11" s="76">
        <v>0</v>
      </c>
      <c r="R11" s="76">
        <v>66</v>
      </c>
      <c r="T11" s="68">
        <v>4679687.57</v>
      </c>
    </row>
    <row r="12" spans="1:22" x14ac:dyDescent="0.3">
      <c r="B12" s="1">
        <v>2011</v>
      </c>
      <c r="C12" s="1" t="s">
        <v>59</v>
      </c>
      <c r="D12" s="65" t="s">
        <v>61</v>
      </c>
      <c r="E12" s="65"/>
      <c r="F12" s="76">
        <f t="shared" si="0"/>
        <v>105031</v>
      </c>
      <c r="G12" s="65"/>
      <c r="H12" s="76">
        <v>18449</v>
      </c>
      <c r="I12" s="76">
        <v>46296.5</v>
      </c>
      <c r="J12" s="76"/>
      <c r="K12" s="76">
        <v>32948</v>
      </c>
      <c r="L12" s="76">
        <v>51031</v>
      </c>
      <c r="M12" s="76"/>
      <c r="N12" s="76">
        <v>177.88000000000008</v>
      </c>
      <c r="O12" s="76">
        <v>6368.5</v>
      </c>
      <c r="P12" s="76"/>
      <c r="Q12" s="76">
        <v>82.4</v>
      </c>
      <c r="R12" s="76">
        <v>1335</v>
      </c>
      <c r="T12" s="68">
        <v>3300864.1600000006</v>
      </c>
    </row>
    <row r="13" spans="1:22" x14ac:dyDescent="0.3">
      <c r="B13" s="1">
        <v>2011</v>
      </c>
      <c r="C13" s="1" t="s">
        <v>59</v>
      </c>
      <c r="D13" s="65" t="s">
        <v>62</v>
      </c>
      <c r="E13" s="65"/>
      <c r="F13" s="76">
        <f t="shared" si="0"/>
        <v>505550.5</v>
      </c>
      <c r="G13" s="65"/>
      <c r="H13" s="76">
        <v>60531</v>
      </c>
      <c r="I13" s="76">
        <v>142245.1</v>
      </c>
      <c r="J13" s="76"/>
      <c r="K13" s="76">
        <v>207431</v>
      </c>
      <c r="L13" s="76">
        <v>304006</v>
      </c>
      <c r="M13" s="76"/>
      <c r="N13" s="76">
        <v>2285.7600000000011</v>
      </c>
      <c r="O13" s="76">
        <v>57713.4</v>
      </c>
      <c r="P13" s="76"/>
      <c r="Q13" s="76">
        <v>83.200000000000017</v>
      </c>
      <c r="R13" s="76">
        <v>1586</v>
      </c>
      <c r="T13" s="68">
        <v>14685131.130000001</v>
      </c>
    </row>
    <row r="14" spans="1:22" x14ac:dyDescent="0.3">
      <c r="B14" s="1">
        <v>2012</v>
      </c>
      <c r="C14" s="1" t="s">
        <v>59</v>
      </c>
      <c r="D14" s="65" t="s">
        <v>57</v>
      </c>
      <c r="E14" s="65"/>
      <c r="F14" s="76">
        <f t="shared" si="0"/>
        <v>25782.5</v>
      </c>
      <c r="G14" s="65"/>
      <c r="H14" s="76">
        <v>8182</v>
      </c>
      <c r="I14" s="76">
        <v>6610.5</v>
      </c>
      <c r="J14" s="76"/>
      <c r="K14" s="76">
        <v>10614</v>
      </c>
      <c r="L14" s="76">
        <v>15881.5</v>
      </c>
      <c r="M14" s="76"/>
      <c r="N14" s="76">
        <v>45.93</v>
      </c>
      <c r="O14" s="76">
        <v>3190.5</v>
      </c>
      <c r="P14" s="76"/>
      <c r="Q14" s="76">
        <v>0</v>
      </c>
      <c r="R14" s="76">
        <v>100</v>
      </c>
      <c r="T14" s="68">
        <v>859074.05</v>
      </c>
    </row>
    <row r="15" spans="1:22" x14ac:dyDescent="0.3">
      <c r="B15" s="1">
        <v>2012</v>
      </c>
      <c r="C15" s="1" t="s">
        <v>59</v>
      </c>
      <c r="D15" s="65" t="s">
        <v>58</v>
      </c>
      <c r="E15" s="65"/>
      <c r="F15" s="76">
        <f t="shared" si="0"/>
        <v>156652.90000000002</v>
      </c>
      <c r="G15" s="65"/>
      <c r="H15" s="76">
        <v>24975</v>
      </c>
      <c r="I15" s="76">
        <v>48379.5</v>
      </c>
      <c r="J15" s="76"/>
      <c r="K15" s="76">
        <v>83775</v>
      </c>
      <c r="L15" s="76">
        <v>87256.2</v>
      </c>
      <c r="M15" s="76"/>
      <c r="N15" s="76">
        <v>769.19000000000017</v>
      </c>
      <c r="O15" s="76">
        <v>20917.2</v>
      </c>
      <c r="P15" s="76"/>
      <c r="Q15" s="76">
        <v>0.02</v>
      </c>
      <c r="R15" s="76">
        <v>100</v>
      </c>
      <c r="T15" s="68">
        <v>4692470.28</v>
      </c>
    </row>
    <row r="16" spans="1:22" x14ac:dyDescent="0.3">
      <c r="B16" s="1">
        <v>2012</v>
      </c>
      <c r="C16" s="1" t="s">
        <v>59</v>
      </c>
      <c r="D16" s="65" t="s">
        <v>60</v>
      </c>
      <c r="E16" s="65"/>
      <c r="F16" s="76">
        <f t="shared" si="0"/>
        <v>157837.4</v>
      </c>
      <c r="G16" s="65"/>
      <c r="H16" s="76">
        <v>15085</v>
      </c>
      <c r="I16" s="76">
        <v>33932.400000000001</v>
      </c>
      <c r="J16" s="76"/>
      <c r="K16" s="76">
        <v>65051</v>
      </c>
      <c r="L16" s="76">
        <v>109373.5</v>
      </c>
      <c r="M16" s="76"/>
      <c r="N16" s="76">
        <v>328.80000000000007</v>
      </c>
      <c r="O16" s="76">
        <v>14486.5</v>
      </c>
      <c r="P16" s="76"/>
      <c r="Q16" s="76">
        <v>1.99</v>
      </c>
      <c r="R16" s="76">
        <v>45</v>
      </c>
      <c r="S16" s="67"/>
      <c r="T16" s="68">
        <v>4690067.74</v>
      </c>
      <c r="U16" s="66"/>
      <c r="V16" s="69"/>
    </row>
    <row r="17" spans="2:20" x14ac:dyDescent="0.3">
      <c r="B17" s="1">
        <v>2012</v>
      </c>
      <c r="C17" s="1" t="s">
        <v>59</v>
      </c>
      <c r="D17" s="65" t="s">
        <v>61</v>
      </c>
      <c r="E17" s="65"/>
      <c r="F17" s="76">
        <f t="shared" si="0"/>
        <v>97626.5</v>
      </c>
      <c r="G17" s="65"/>
      <c r="H17" s="76">
        <v>19053</v>
      </c>
      <c r="I17" s="76">
        <v>51084</v>
      </c>
      <c r="J17" s="76"/>
      <c r="K17" s="76">
        <v>24636</v>
      </c>
      <c r="L17" s="76">
        <v>42703.6</v>
      </c>
      <c r="M17" s="76"/>
      <c r="N17" s="76">
        <v>96.689999999999984</v>
      </c>
      <c r="O17" s="76">
        <v>2524.9</v>
      </c>
      <c r="P17" s="76"/>
      <c r="Q17" s="76">
        <v>77.970000000000013</v>
      </c>
      <c r="R17" s="76">
        <v>1314</v>
      </c>
      <c r="T17" s="68">
        <v>3029175.99</v>
      </c>
    </row>
    <row r="18" spans="2:20" x14ac:dyDescent="0.3">
      <c r="B18" s="1">
        <v>2012</v>
      </c>
      <c r="C18" s="1" t="s">
        <v>59</v>
      </c>
      <c r="D18" s="65" t="s">
        <v>62</v>
      </c>
      <c r="E18" s="65"/>
      <c r="F18" s="76">
        <f t="shared" si="0"/>
        <v>437899.29999999993</v>
      </c>
      <c r="G18" s="65"/>
      <c r="H18" s="76">
        <v>67295</v>
      </c>
      <c r="I18" s="76">
        <v>140006.39999999999</v>
      </c>
      <c r="J18" s="76"/>
      <c r="K18" s="76">
        <v>184076</v>
      </c>
      <c r="L18" s="76">
        <v>255214.8</v>
      </c>
      <c r="M18" s="76"/>
      <c r="N18" s="76">
        <v>1240.6099999999997</v>
      </c>
      <c r="O18" s="76">
        <v>41119.1</v>
      </c>
      <c r="P18" s="76"/>
      <c r="Q18" s="76">
        <v>79.98</v>
      </c>
      <c r="R18" s="76">
        <v>1559</v>
      </c>
      <c r="T18" s="68">
        <v>13270788.059999997</v>
      </c>
    </row>
    <row r="19" spans="2:20" x14ac:dyDescent="0.3">
      <c r="B19" s="1">
        <v>2013</v>
      </c>
      <c r="C19" s="1" t="s">
        <v>59</v>
      </c>
      <c r="D19" s="65" t="s">
        <v>57</v>
      </c>
      <c r="E19" s="65"/>
      <c r="F19" s="76">
        <f t="shared" si="0"/>
        <v>53371.3</v>
      </c>
      <c r="G19" s="65"/>
      <c r="H19" s="76">
        <v>15850</v>
      </c>
      <c r="I19" s="76">
        <v>15286.8</v>
      </c>
      <c r="J19" s="76"/>
      <c r="K19" s="76">
        <v>18998</v>
      </c>
      <c r="L19" s="76">
        <v>31983.5</v>
      </c>
      <c r="M19" s="76"/>
      <c r="N19" s="76">
        <v>88.61</v>
      </c>
      <c r="O19" s="76">
        <v>6101</v>
      </c>
      <c r="P19" s="76"/>
      <c r="Q19" s="76">
        <v>0</v>
      </c>
      <c r="R19" s="76">
        <v>0</v>
      </c>
      <c r="T19" s="68">
        <v>1634450.24</v>
      </c>
    </row>
    <row r="20" spans="2:20" x14ac:dyDescent="0.3">
      <c r="B20" s="1">
        <v>2013</v>
      </c>
      <c r="C20" s="1" t="s">
        <v>59</v>
      </c>
      <c r="D20" s="65" t="s">
        <v>58</v>
      </c>
      <c r="E20" s="65"/>
      <c r="F20" s="76">
        <f t="shared" si="0"/>
        <v>130668.5</v>
      </c>
      <c r="G20" s="65"/>
      <c r="H20" s="76">
        <v>21136</v>
      </c>
      <c r="I20" s="76">
        <v>38852</v>
      </c>
      <c r="J20" s="76"/>
      <c r="K20" s="76">
        <v>74871</v>
      </c>
      <c r="L20" s="76">
        <v>76915.5</v>
      </c>
      <c r="M20" s="76"/>
      <c r="N20" s="76">
        <v>824.79</v>
      </c>
      <c r="O20" s="76">
        <v>14680</v>
      </c>
      <c r="P20" s="76"/>
      <c r="Q20" s="76">
        <v>31.65</v>
      </c>
      <c r="R20" s="76">
        <v>221</v>
      </c>
      <c r="T20" s="68">
        <v>4072123.4600000004</v>
      </c>
    </row>
    <row r="21" spans="2:20" x14ac:dyDescent="0.3">
      <c r="B21" s="1">
        <v>2013</v>
      </c>
      <c r="C21" s="1" t="s">
        <v>59</v>
      </c>
      <c r="D21" s="65" t="s">
        <v>60</v>
      </c>
      <c r="E21" s="65"/>
      <c r="F21" s="76">
        <f t="shared" si="0"/>
        <v>130844.5</v>
      </c>
      <c r="G21" s="65"/>
      <c r="H21" s="76">
        <v>15021</v>
      </c>
      <c r="I21" s="76">
        <v>28008.5</v>
      </c>
      <c r="J21" s="76"/>
      <c r="K21" s="76">
        <v>49022</v>
      </c>
      <c r="L21" s="76">
        <v>92493</v>
      </c>
      <c r="M21" s="76"/>
      <c r="N21" s="76">
        <v>253.14000000000021</v>
      </c>
      <c r="O21" s="76">
        <v>10042</v>
      </c>
      <c r="P21" s="76"/>
      <c r="Q21" s="76">
        <v>27.56</v>
      </c>
      <c r="R21" s="76">
        <v>301</v>
      </c>
      <c r="T21" s="68">
        <v>3810320.58</v>
      </c>
    </row>
    <row r="22" spans="2:20" x14ac:dyDescent="0.3">
      <c r="B22" s="1">
        <v>2013</v>
      </c>
      <c r="C22" s="1" t="s">
        <v>59</v>
      </c>
      <c r="D22" s="65" t="s">
        <v>61</v>
      </c>
      <c r="E22" s="65"/>
      <c r="F22" s="76">
        <f t="shared" si="0"/>
        <v>114318.39999999999</v>
      </c>
      <c r="G22" s="65"/>
      <c r="H22" s="76">
        <v>21937</v>
      </c>
      <c r="I22" s="76">
        <v>56991.7</v>
      </c>
      <c r="J22" s="76"/>
      <c r="K22" s="76">
        <v>31518</v>
      </c>
      <c r="L22" s="76">
        <v>54444.2</v>
      </c>
      <c r="M22" s="76"/>
      <c r="N22" s="76">
        <v>61.84999999999998</v>
      </c>
      <c r="O22" s="76">
        <v>2735.5</v>
      </c>
      <c r="P22" s="76"/>
      <c r="Q22" s="76">
        <v>5.4</v>
      </c>
      <c r="R22" s="76">
        <v>147</v>
      </c>
      <c r="T22" s="68">
        <v>3562197.3400000008</v>
      </c>
    </row>
    <row r="23" spans="2:20" x14ac:dyDescent="0.3">
      <c r="B23" s="1">
        <v>2013</v>
      </c>
      <c r="C23" s="1" t="s">
        <v>59</v>
      </c>
      <c r="D23" s="65" t="s">
        <v>62</v>
      </c>
      <c r="E23" s="65"/>
      <c r="F23" s="76">
        <f t="shared" si="0"/>
        <v>429202.7</v>
      </c>
      <c r="G23" s="65"/>
      <c r="H23" s="76">
        <v>73944</v>
      </c>
      <c r="I23" s="76">
        <v>139139</v>
      </c>
      <c r="J23" s="76"/>
      <c r="K23" s="76">
        <v>174409</v>
      </c>
      <c r="L23" s="76">
        <v>255836.2</v>
      </c>
      <c r="M23" s="76"/>
      <c r="N23" s="76">
        <v>1228.3900000000003</v>
      </c>
      <c r="O23" s="76">
        <v>33558.5</v>
      </c>
      <c r="P23" s="76"/>
      <c r="Q23" s="76">
        <v>64.610000000000014</v>
      </c>
      <c r="R23" s="76">
        <v>669</v>
      </c>
      <c r="T23" s="68">
        <v>13079091.620000001</v>
      </c>
    </row>
    <row r="24" spans="2:20" x14ac:dyDescent="0.3">
      <c r="B24" s="1">
        <v>2014</v>
      </c>
      <c r="C24" s="1" t="s">
        <v>59</v>
      </c>
      <c r="D24" s="65" t="s">
        <v>58</v>
      </c>
      <c r="E24" s="65"/>
      <c r="F24" s="76">
        <f t="shared" si="0"/>
        <v>128381.5</v>
      </c>
      <c r="G24" s="65"/>
      <c r="H24" s="76">
        <v>20153</v>
      </c>
      <c r="I24" s="76">
        <v>36310</v>
      </c>
      <c r="J24" s="76"/>
      <c r="K24" s="76">
        <v>71879</v>
      </c>
      <c r="L24" s="76">
        <v>70162.5</v>
      </c>
      <c r="M24" s="76"/>
      <c r="N24" s="76">
        <v>918.83000000000015</v>
      </c>
      <c r="O24" s="76">
        <v>21889</v>
      </c>
      <c r="P24" s="76"/>
      <c r="Q24" s="76">
        <v>1.1299999999999999</v>
      </c>
      <c r="R24" s="76">
        <v>20</v>
      </c>
      <c r="T24" s="68">
        <v>4219582.1899999995</v>
      </c>
    </row>
    <row r="25" spans="2:20" x14ac:dyDescent="0.3">
      <c r="B25" s="1">
        <v>2014</v>
      </c>
      <c r="C25" s="1" t="s">
        <v>59</v>
      </c>
      <c r="D25" s="65" t="s">
        <v>60</v>
      </c>
      <c r="E25" s="65"/>
      <c r="F25" s="76">
        <f t="shared" si="0"/>
        <v>196314.5</v>
      </c>
      <c r="G25" s="65"/>
      <c r="H25" s="76">
        <v>16594</v>
      </c>
      <c r="I25" s="76">
        <v>49260</v>
      </c>
      <c r="J25" s="76"/>
      <c r="K25" s="76">
        <v>85532</v>
      </c>
      <c r="L25" s="76">
        <v>125824.5</v>
      </c>
      <c r="M25" s="76"/>
      <c r="N25" s="76">
        <v>581.37000000000012</v>
      </c>
      <c r="O25" s="76">
        <v>21042</v>
      </c>
      <c r="P25" s="76"/>
      <c r="Q25" s="76">
        <v>7.84</v>
      </c>
      <c r="R25" s="76">
        <v>188</v>
      </c>
      <c r="T25" s="68">
        <v>5935570.0999999996</v>
      </c>
    </row>
    <row r="26" spans="2:20" x14ac:dyDescent="0.3">
      <c r="B26" s="1">
        <v>2014</v>
      </c>
      <c r="C26" s="1" t="s">
        <v>59</v>
      </c>
      <c r="D26" s="65" t="s">
        <v>61</v>
      </c>
      <c r="E26" s="65"/>
      <c r="F26" s="76">
        <f t="shared" si="0"/>
        <v>115846</v>
      </c>
      <c r="G26" s="65"/>
      <c r="H26" s="76">
        <v>20083</v>
      </c>
      <c r="I26" s="76">
        <v>53882.5</v>
      </c>
      <c r="J26" s="76"/>
      <c r="K26" s="76">
        <v>36729</v>
      </c>
      <c r="L26" s="76">
        <v>58013.5</v>
      </c>
      <c r="M26" s="76"/>
      <c r="N26" s="76">
        <v>136.79000000000008</v>
      </c>
      <c r="O26" s="76">
        <v>3947</v>
      </c>
      <c r="P26" s="76"/>
      <c r="Q26" s="76">
        <v>0.7400000000000001</v>
      </c>
      <c r="R26" s="76">
        <v>3</v>
      </c>
      <c r="T26" s="68">
        <v>3875219.12</v>
      </c>
    </row>
    <row r="27" spans="2:20" x14ac:dyDescent="0.3">
      <c r="B27" s="1">
        <v>2014</v>
      </c>
      <c r="C27" s="1" t="s">
        <v>59</v>
      </c>
      <c r="D27" s="65" t="s">
        <v>62</v>
      </c>
      <c r="E27" s="65"/>
      <c r="F27" s="76">
        <f t="shared" si="0"/>
        <v>440542</v>
      </c>
      <c r="G27" s="65"/>
      <c r="H27" s="76">
        <v>56830</v>
      </c>
      <c r="I27" s="76">
        <v>139452.5</v>
      </c>
      <c r="J27" s="76"/>
      <c r="K27" s="76">
        <v>194140</v>
      </c>
      <c r="L27" s="76">
        <v>254000.5</v>
      </c>
      <c r="M27" s="76"/>
      <c r="N27" s="76">
        <v>1636.9900000000002</v>
      </c>
      <c r="O27" s="76">
        <v>46878</v>
      </c>
      <c r="P27" s="76"/>
      <c r="Q27" s="76">
        <v>9.7100000000000009</v>
      </c>
      <c r="R27" s="76">
        <v>211</v>
      </c>
      <c r="T27" s="68">
        <v>14030371.41</v>
      </c>
    </row>
    <row r="28" spans="2:20" x14ac:dyDescent="0.3">
      <c r="B28" s="1">
        <v>2015</v>
      </c>
      <c r="C28" s="1" t="s">
        <v>59</v>
      </c>
      <c r="D28" s="65" t="s">
        <v>57</v>
      </c>
      <c r="E28" s="65"/>
      <c r="F28" s="76">
        <f t="shared" si="0"/>
        <v>2408</v>
      </c>
      <c r="G28" s="65"/>
      <c r="H28" s="76">
        <v>146</v>
      </c>
      <c r="I28" s="76">
        <v>254</v>
      </c>
      <c r="J28" s="76"/>
      <c r="K28" s="76">
        <v>2364</v>
      </c>
      <c r="L28" s="76">
        <v>2154</v>
      </c>
      <c r="M28" s="76"/>
      <c r="N28" s="76" t="s">
        <v>64</v>
      </c>
      <c r="O28" s="76" t="s">
        <v>64</v>
      </c>
      <c r="P28" s="76"/>
      <c r="Q28" s="76" t="s">
        <v>64</v>
      </c>
      <c r="R28" s="76" t="s">
        <v>64</v>
      </c>
      <c r="T28" s="68">
        <v>101086.55999999998</v>
      </c>
    </row>
    <row r="29" spans="2:20" x14ac:dyDescent="0.3">
      <c r="B29" s="1">
        <v>2015</v>
      </c>
      <c r="C29" s="1" t="s">
        <v>59</v>
      </c>
      <c r="D29" s="65" t="s">
        <v>58</v>
      </c>
      <c r="E29" s="65"/>
      <c r="F29" s="76">
        <f t="shared" si="0"/>
        <v>76297</v>
      </c>
      <c r="G29" s="65"/>
      <c r="H29" s="76">
        <v>12391</v>
      </c>
      <c r="I29" s="76">
        <v>21827.5</v>
      </c>
      <c r="J29" s="76"/>
      <c r="K29" s="76">
        <v>47211</v>
      </c>
      <c r="L29" s="76">
        <v>44247</v>
      </c>
      <c r="M29" s="76"/>
      <c r="N29" s="76">
        <v>365.83000000000004</v>
      </c>
      <c r="O29" s="76">
        <v>10176.5</v>
      </c>
      <c r="P29" s="76"/>
      <c r="Q29" s="76">
        <v>1.02</v>
      </c>
      <c r="R29" s="76">
        <v>46</v>
      </c>
      <c r="T29" s="68">
        <v>2516037.19</v>
      </c>
    </row>
    <row r="30" spans="2:20" x14ac:dyDescent="0.3">
      <c r="B30" s="1">
        <v>2015</v>
      </c>
      <c r="C30" s="1" t="s">
        <v>59</v>
      </c>
      <c r="D30" s="65" t="s">
        <v>60</v>
      </c>
      <c r="E30" s="65"/>
      <c r="F30" s="76">
        <f t="shared" si="0"/>
        <v>233758</v>
      </c>
      <c r="G30" s="65"/>
      <c r="H30" s="76">
        <v>23585</v>
      </c>
      <c r="I30" s="76">
        <v>62139</v>
      </c>
      <c r="J30" s="76"/>
      <c r="K30" s="76">
        <v>109411</v>
      </c>
      <c r="L30" s="76">
        <v>142673.5</v>
      </c>
      <c r="M30" s="76"/>
      <c r="N30" s="76">
        <v>779.83</v>
      </c>
      <c r="O30" s="76">
        <v>28930.5</v>
      </c>
      <c r="P30" s="76"/>
      <c r="Q30" s="76">
        <v>1.03</v>
      </c>
      <c r="R30" s="76">
        <v>15</v>
      </c>
      <c r="T30" s="68">
        <v>7758556.4800000014</v>
      </c>
    </row>
    <row r="31" spans="2:20" x14ac:dyDescent="0.3">
      <c r="B31" s="1">
        <v>2015</v>
      </c>
      <c r="C31" s="1" t="s">
        <v>59</v>
      </c>
      <c r="D31" s="65" t="s">
        <v>61</v>
      </c>
      <c r="E31" s="65"/>
      <c r="F31" s="76">
        <f t="shared" si="0"/>
        <v>147849</v>
      </c>
      <c r="G31" s="65"/>
      <c r="H31" s="76">
        <v>26431</v>
      </c>
      <c r="I31" s="76">
        <v>70752.5</v>
      </c>
      <c r="J31" s="76"/>
      <c r="K31" s="76">
        <v>51852</v>
      </c>
      <c r="L31" s="76">
        <v>74028.5</v>
      </c>
      <c r="M31" s="76"/>
      <c r="N31" s="76">
        <v>210.49000000000007</v>
      </c>
      <c r="O31" s="76">
        <v>3068</v>
      </c>
      <c r="P31" s="76"/>
      <c r="Q31" s="76">
        <v>0</v>
      </c>
      <c r="R31" s="76">
        <v>0</v>
      </c>
      <c r="T31" s="68">
        <v>4587612.43</v>
      </c>
    </row>
    <row r="32" spans="2:20" x14ac:dyDescent="0.3">
      <c r="B32" s="1">
        <v>2015</v>
      </c>
      <c r="C32" s="1" t="s">
        <v>59</v>
      </c>
      <c r="D32" s="65" t="s">
        <v>62</v>
      </c>
      <c r="E32" s="65"/>
      <c r="F32" s="76">
        <f t="shared" si="0"/>
        <v>460312</v>
      </c>
      <c r="G32" s="65"/>
      <c r="H32" s="76">
        <v>62553</v>
      </c>
      <c r="I32" s="76">
        <v>154973</v>
      </c>
      <c r="J32" s="76"/>
      <c r="K32" s="76">
        <v>210838</v>
      </c>
      <c r="L32" s="76">
        <v>263103</v>
      </c>
      <c r="M32" s="76"/>
      <c r="N32" s="76">
        <v>1356.1500000000005</v>
      </c>
      <c r="O32" s="76">
        <v>42175</v>
      </c>
      <c r="P32" s="76"/>
      <c r="Q32" s="76">
        <v>2.0499999999999998</v>
      </c>
      <c r="R32" s="76">
        <v>61</v>
      </c>
      <c r="T32" s="68">
        <v>14963292.660000002</v>
      </c>
    </row>
    <row r="33" spans="2:20" x14ac:dyDescent="0.3">
      <c r="B33" s="1">
        <v>2016</v>
      </c>
      <c r="C33" s="1" t="s">
        <v>59</v>
      </c>
      <c r="D33" s="65" t="s">
        <v>57</v>
      </c>
      <c r="E33" s="65"/>
      <c r="F33" s="76">
        <f t="shared" si="0"/>
        <v>24648.5</v>
      </c>
      <c r="G33" s="65"/>
      <c r="H33" s="76">
        <v>2794</v>
      </c>
      <c r="I33" s="76">
        <v>7190</v>
      </c>
      <c r="J33" s="76"/>
      <c r="K33" s="76">
        <v>13954</v>
      </c>
      <c r="L33" s="76">
        <v>17458.5</v>
      </c>
      <c r="M33" s="76"/>
      <c r="N33" s="76" t="s">
        <v>64</v>
      </c>
      <c r="O33" s="76" t="s">
        <v>64</v>
      </c>
      <c r="P33" s="76"/>
      <c r="Q33" s="76" t="s">
        <v>64</v>
      </c>
      <c r="R33" s="76" t="s">
        <v>64</v>
      </c>
      <c r="T33" s="68">
        <v>795845.14000000013</v>
      </c>
    </row>
    <row r="34" spans="2:20" x14ac:dyDescent="0.3">
      <c r="B34" s="1">
        <v>2016</v>
      </c>
      <c r="C34" s="1" t="s">
        <v>59</v>
      </c>
      <c r="D34" s="65" t="s">
        <v>58</v>
      </c>
      <c r="E34" s="65"/>
      <c r="F34" s="76">
        <f t="shared" si="0"/>
        <v>58972.5</v>
      </c>
      <c r="G34" s="65"/>
      <c r="H34" s="76">
        <v>7725</v>
      </c>
      <c r="I34" s="76">
        <v>15584.5</v>
      </c>
      <c r="J34" s="76"/>
      <c r="K34" s="76">
        <v>48079</v>
      </c>
      <c r="L34" s="76">
        <v>43338</v>
      </c>
      <c r="M34" s="76"/>
      <c r="N34" s="76">
        <v>5.87</v>
      </c>
      <c r="O34" s="76">
        <v>50</v>
      </c>
      <c r="P34" s="76"/>
      <c r="Q34" s="76" t="s">
        <v>64</v>
      </c>
      <c r="R34" s="76" t="s">
        <v>64</v>
      </c>
      <c r="T34" s="68">
        <v>2094466.63</v>
      </c>
    </row>
    <row r="35" spans="2:20" x14ac:dyDescent="0.3">
      <c r="B35" s="1">
        <v>2016</v>
      </c>
      <c r="C35" s="1" t="s">
        <v>59</v>
      </c>
      <c r="D35" s="65" t="s">
        <v>60</v>
      </c>
      <c r="E35" s="65"/>
      <c r="F35" s="76">
        <f t="shared" si="0"/>
        <v>197780.5</v>
      </c>
      <c r="G35" s="65"/>
      <c r="H35" s="76">
        <v>24623</v>
      </c>
      <c r="I35" s="76">
        <v>61546</v>
      </c>
      <c r="J35" s="76"/>
      <c r="K35" s="76">
        <v>107522</v>
      </c>
      <c r="L35" s="76">
        <v>130545.5</v>
      </c>
      <c r="M35" s="76"/>
      <c r="N35" s="76">
        <v>357.2</v>
      </c>
      <c r="O35" s="76">
        <v>5689</v>
      </c>
      <c r="P35" s="76"/>
      <c r="Q35" s="76" t="s">
        <v>64</v>
      </c>
      <c r="R35" s="76" t="s">
        <v>64</v>
      </c>
      <c r="T35" s="68">
        <v>7136642.919999999</v>
      </c>
    </row>
    <row r="36" spans="2:20" x14ac:dyDescent="0.3">
      <c r="B36" s="1">
        <v>2016</v>
      </c>
      <c r="C36" s="1" t="s">
        <v>59</v>
      </c>
      <c r="D36" s="65" t="s">
        <v>61</v>
      </c>
      <c r="E36" s="65"/>
      <c r="F36" s="76">
        <f t="shared" si="0"/>
        <v>111932.5</v>
      </c>
      <c r="G36" s="65"/>
      <c r="H36" s="76">
        <v>16452</v>
      </c>
      <c r="I36" s="76">
        <v>49001.5</v>
      </c>
      <c r="J36" s="76"/>
      <c r="K36" s="76">
        <v>41034</v>
      </c>
      <c r="L36" s="76">
        <v>62849</v>
      </c>
      <c r="M36" s="76"/>
      <c r="N36" s="76">
        <v>15.14</v>
      </c>
      <c r="O36" s="76">
        <v>82</v>
      </c>
      <c r="P36" s="76"/>
      <c r="Q36" s="76">
        <v>0</v>
      </c>
      <c r="R36" s="76">
        <v>0</v>
      </c>
      <c r="T36" s="68">
        <v>4130975.4099999997</v>
      </c>
    </row>
    <row r="37" spans="2:20" x14ac:dyDescent="0.3">
      <c r="B37" s="1">
        <v>2016</v>
      </c>
      <c r="C37" s="1" t="s">
        <v>59</v>
      </c>
      <c r="D37" s="65" t="s">
        <v>62</v>
      </c>
      <c r="E37" s="65"/>
      <c r="F37" s="76">
        <f t="shared" si="0"/>
        <v>393334</v>
      </c>
      <c r="G37" s="65"/>
      <c r="H37" s="76">
        <v>51594</v>
      </c>
      <c r="I37" s="76">
        <v>133322</v>
      </c>
      <c r="J37" s="76"/>
      <c r="K37" s="76">
        <v>210589</v>
      </c>
      <c r="L37" s="76">
        <v>254191</v>
      </c>
      <c r="M37" s="76"/>
      <c r="N37" s="76">
        <v>378.21</v>
      </c>
      <c r="O37" s="76">
        <v>5821</v>
      </c>
      <c r="P37" s="76"/>
      <c r="Q37" s="76">
        <v>0</v>
      </c>
      <c r="R37" s="76">
        <v>0</v>
      </c>
      <c r="T37" s="68">
        <v>14157930.100000001</v>
      </c>
    </row>
    <row r="38" spans="2:20" x14ac:dyDescent="0.3">
      <c r="B38" s="1">
        <v>2017</v>
      </c>
      <c r="C38" s="1" t="s">
        <v>59</v>
      </c>
      <c r="D38" s="65" t="s">
        <v>58</v>
      </c>
      <c r="E38" s="65"/>
      <c r="F38" s="76">
        <f t="shared" si="0"/>
        <v>103745.5</v>
      </c>
      <c r="G38" s="65"/>
      <c r="H38" s="76">
        <v>14631</v>
      </c>
      <c r="I38" s="76">
        <v>23409.25</v>
      </c>
      <c r="J38" s="76"/>
      <c r="K38" s="76">
        <v>76205</v>
      </c>
      <c r="L38" s="76">
        <v>72680.5</v>
      </c>
      <c r="M38" s="76"/>
      <c r="N38" s="76">
        <v>357.81000000000034</v>
      </c>
      <c r="O38" s="76">
        <v>7655.75</v>
      </c>
      <c r="P38" s="76"/>
      <c r="Q38" s="76" t="s">
        <v>64</v>
      </c>
      <c r="R38" s="76" t="s">
        <v>64</v>
      </c>
      <c r="T38" s="68">
        <v>3626455.1799999988</v>
      </c>
    </row>
    <row r="39" spans="2:20" x14ac:dyDescent="0.3">
      <c r="B39" s="1">
        <v>2017</v>
      </c>
      <c r="C39" s="1" t="s">
        <v>59</v>
      </c>
      <c r="D39" s="65" t="s">
        <v>60</v>
      </c>
      <c r="E39" s="65"/>
      <c r="F39" s="76">
        <f t="shared" si="0"/>
        <v>200389</v>
      </c>
      <c r="G39" s="65"/>
      <c r="H39" s="76">
        <v>21047</v>
      </c>
      <c r="I39" s="76">
        <v>54139</v>
      </c>
      <c r="J39" s="76"/>
      <c r="K39" s="76">
        <v>96927</v>
      </c>
      <c r="L39" s="76">
        <v>128640</v>
      </c>
      <c r="M39" s="76"/>
      <c r="N39" s="76">
        <v>430.44800000000009</v>
      </c>
      <c r="O39" s="76">
        <v>17608</v>
      </c>
      <c r="P39" s="76"/>
      <c r="Q39" s="76">
        <v>0.14000000000000001</v>
      </c>
      <c r="R39" s="76">
        <v>2</v>
      </c>
      <c r="T39" s="68">
        <v>7144394.379999999</v>
      </c>
    </row>
    <row r="40" spans="2:20" x14ac:dyDescent="0.3">
      <c r="B40" s="1">
        <v>2017</v>
      </c>
      <c r="C40" s="1" t="s">
        <v>59</v>
      </c>
      <c r="D40" s="65" t="s">
        <v>61</v>
      </c>
      <c r="E40" s="65"/>
      <c r="F40" s="76">
        <f t="shared" si="0"/>
        <v>224347</v>
      </c>
      <c r="G40" s="65"/>
      <c r="H40" s="76">
        <v>41108</v>
      </c>
      <c r="I40" s="76">
        <v>95217.25</v>
      </c>
      <c r="J40" s="76"/>
      <c r="K40" s="76">
        <v>88328</v>
      </c>
      <c r="L40" s="76">
        <v>124221.25</v>
      </c>
      <c r="M40" s="76"/>
      <c r="N40" s="76">
        <v>1431.3999999999992</v>
      </c>
      <c r="O40" s="76">
        <v>4907.5</v>
      </c>
      <c r="P40" s="76"/>
      <c r="Q40" s="76">
        <v>0.14000000000000001</v>
      </c>
      <c r="R40" s="76">
        <v>1</v>
      </c>
      <c r="T40" s="68">
        <v>9123127.410000002</v>
      </c>
    </row>
    <row r="41" spans="2:20" x14ac:dyDescent="0.3">
      <c r="B41" s="1">
        <v>2017</v>
      </c>
      <c r="C41" s="1" t="s">
        <v>59</v>
      </c>
      <c r="D41" s="65" t="s">
        <v>62</v>
      </c>
      <c r="E41" s="65"/>
      <c r="F41" s="76">
        <f t="shared" si="0"/>
        <v>528481.5</v>
      </c>
      <c r="G41" s="65"/>
      <c r="H41" s="76">
        <v>76786</v>
      </c>
      <c r="I41" s="76">
        <v>172765.5</v>
      </c>
      <c r="J41" s="76"/>
      <c r="K41" s="76">
        <v>261460</v>
      </c>
      <c r="L41" s="76">
        <v>325541.75</v>
      </c>
      <c r="M41" s="76"/>
      <c r="N41" s="76">
        <v>2219.6579999999994</v>
      </c>
      <c r="O41" s="76">
        <v>30171.25</v>
      </c>
      <c r="P41" s="76"/>
      <c r="Q41" s="76">
        <v>0.28000000000000003</v>
      </c>
      <c r="R41" s="76">
        <v>3</v>
      </c>
      <c r="T41" s="68">
        <v>19893976.970000006</v>
      </c>
    </row>
    <row r="42" spans="2:20" x14ac:dyDescent="0.3">
      <c r="B42" s="1">
        <v>2018</v>
      </c>
      <c r="C42" s="1" t="s">
        <v>59</v>
      </c>
      <c r="D42" s="65" t="s">
        <v>58</v>
      </c>
      <c r="E42" s="65"/>
      <c r="F42" s="76">
        <f t="shared" si="0"/>
        <v>19531.5</v>
      </c>
      <c r="G42" s="65"/>
      <c r="H42" s="76">
        <v>2200</v>
      </c>
      <c r="I42" s="76">
        <v>4254</v>
      </c>
      <c r="J42" s="76"/>
      <c r="K42" s="76">
        <v>11278</v>
      </c>
      <c r="L42" s="76">
        <v>13131.5</v>
      </c>
      <c r="M42" s="76"/>
      <c r="N42" s="76">
        <v>88.430000000000021</v>
      </c>
      <c r="O42" s="76">
        <v>2146</v>
      </c>
      <c r="P42" s="76"/>
      <c r="Q42" s="76" t="s">
        <v>64</v>
      </c>
      <c r="R42" s="76" t="s">
        <v>64</v>
      </c>
      <c r="T42" s="68">
        <v>643541.66</v>
      </c>
    </row>
    <row r="43" spans="2:20" x14ac:dyDescent="0.3">
      <c r="B43" s="1">
        <v>2018</v>
      </c>
      <c r="C43" s="1" t="s">
        <v>59</v>
      </c>
      <c r="D43" s="65" t="s">
        <v>60</v>
      </c>
      <c r="E43" s="65"/>
      <c r="F43" s="76">
        <f t="shared" si="0"/>
        <v>38107.5</v>
      </c>
      <c r="G43" s="65"/>
      <c r="H43" s="76">
        <v>4090</v>
      </c>
      <c r="I43" s="76">
        <v>10247</v>
      </c>
      <c r="J43" s="76"/>
      <c r="K43" s="76">
        <v>19040</v>
      </c>
      <c r="L43" s="76">
        <v>23116</v>
      </c>
      <c r="M43" s="76"/>
      <c r="N43" s="76">
        <v>130.99</v>
      </c>
      <c r="O43" s="76">
        <v>4724.5</v>
      </c>
      <c r="P43" s="76"/>
      <c r="Q43" s="76">
        <v>0.97</v>
      </c>
      <c r="R43" s="76">
        <v>20</v>
      </c>
      <c r="T43" s="68">
        <v>1255549.54</v>
      </c>
    </row>
    <row r="44" spans="2:20" x14ac:dyDescent="0.3">
      <c r="B44" s="1">
        <v>2018</v>
      </c>
      <c r="C44" s="1" t="s">
        <v>59</v>
      </c>
      <c r="D44" s="65" t="s">
        <v>61</v>
      </c>
      <c r="E44" s="65"/>
      <c r="F44" s="76">
        <f t="shared" si="0"/>
        <v>29719.5</v>
      </c>
      <c r="G44" s="65"/>
      <c r="H44" s="76">
        <v>5322</v>
      </c>
      <c r="I44" s="76">
        <v>12372.5</v>
      </c>
      <c r="J44" s="76"/>
      <c r="K44" s="76">
        <v>11026</v>
      </c>
      <c r="L44" s="76">
        <v>15560.5</v>
      </c>
      <c r="M44" s="76"/>
      <c r="N44" s="76">
        <v>348.16999999999996</v>
      </c>
      <c r="O44" s="76">
        <v>1786.5</v>
      </c>
      <c r="P44" s="76"/>
      <c r="Q44" s="76" t="s">
        <v>64</v>
      </c>
      <c r="R44" s="76" t="s">
        <v>64</v>
      </c>
      <c r="T44" s="68">
        <v>1155087.54</v>
      </c>
    </row>
    <row r="45" spans="2:20" x14ac:dyDescent="0.3">
      <c r="B45" s="1">
        <v>2018</v>
      </c>
      <c r="C45" s="1" t="s">
        <v>59</v>
      </c>
      <c r="D45" s="65" t="s">
        <v>62</v>
      </c>
      <c r="E45" s="65"/>
      <c r="F45" s="76">
        <f t="shared" si="0"/>
        <v>87358.5</v>
      </c>
      <c r="G45" s="65"/>
      <c r="H45" s="76">
        <v>11612</v>
      </c>
      <c r="I45" s="76">
        <v>26873.5</v>
      </c>
      <c r="J45" s="76"/>
      <c r="K45" s="76">
        <v>41344</v>
      </c>
      <c r="L45" s="76">
        <v>51808</v>
      </c>
      <c r="M45" s="76"/>
      <c r="N45" s="76">
        <v>567.58999999999992</v>
      </c>
      <c r="O45" s="76">
        <v>8657</v>
      </c>
      <c r="P45" s="76"/>
      <c r="Q45" s="76">
        <v>0.97</v>
      </c>
      <c r="R45" s="76">
        <v>20</v>
      </c>
      <c r="T45" s="68">
        <v>3054178.7400000007</v>
      </c>
    </row>
    <row r="46" spans="2:20" x14ac:dyDescent="0.3">
      <c r="B46" s="1">
        <v>2019</v>
      </c>
      <c r="C46" s="1" t="s">
        <v>59</v>
      </c>
      <c r="D46" s="72" t="s">
        <v>58</v>
      </c>
      <c r="E46" s="72"/>
      <c r="F46" s="76">
        <f t="shared" si="0"/>
        <v>129372.5</v>
      </c>
      <c r="G46" s="72"/>
      <c r="H46" s="77">
        <v>16949</v>
      </c>
      <c r="I46" s="77">
        <v>28862.5</v>
      </c>
      <c r="J46" s="78"/>
      <c r="K46" s="77">
        <v>85900</v>
      </c>
      <c r="L46" s="77">
        <v>81997</v>
      </c>
      <c r="M46" s="78"/>
      <c r="N46" s="77">
        <v>1980.0010000000002</v>
      </c>
      <c r="O46" s="77">
        <v>17321</v>
      </c>
      <c r="P46" s="78"/>
      <c r="Q46" s="77">
        <v>196.99999999999997</v>
      </c>
      <c r="R46" s="77">
        <v>1192</v>
      </c>
      <c r="T46" s="73">
        <v>5071744.2300000014</v>
      </c>
    </row>
    <row r="47" spans="2:20" x14ac:dyDescent="0.3">
      <c r="B47" s="1">
        <v>2019</v>
      </c>
      <c r="C47" s="1" t="s">
        <v>59</v>
      </c>
      <c r="D47" s="72" t="s">
        <v>60</v>
      </c>
      <c r="E47" s="72"/>
      <c r="F47" s="76">
        <f t="shared" si="0"/>
        <v>154673</v>
      </c>
      <c r="G47" s="72"/>
      <c r="H47" s="77">
        <v>13351</v>
      </c>
      <c r="I47" s="77">
        <v>34868</v>
      </c>
      <c r="J47" s="78"/>
      <c r="K47" s="77">
        <v>59812</v>
      </c>
      <c r="L47" s="77">
        <v>79620</v>
      </c>
      <c r="M47" s="78"/>
      <c r="N47" s="77">
        <v>1421.2000000000003</v>
      </c>
      <c r="O47" s="77">
        <v>40146</v>
      </c>
      <c r="P47" s="78"/>
      <c r="Q47" s="77">
        <v>0.76000000000000012</v>
      </c>
      <c r="R47" s="77">
        <v>39</v>
      </c>
      <c r="T47" s="73">
        <v>6428012.3699999992</v>
      </c>
    </row>
    <row r="48" spans="2:20" x14ac:dyDescent="0.3">
      <c r="B48" s="1">
        <v>2019</v>
      </c>
      <c r="C48" s="1" t="s">
        <v>59</v>
      </c>
      <c r="D48" s="72" t="s">
        <v>61</v>
      </c>
      <c r="E48" s="72"/>
      <c r="F48" s="76">
        <f t="shared" si="0"/>
        <v>117692</v>
      </c>
      <c r="G48" s="72"/>
      <c r="H48" s="77">
        <v>19749</v>
      </c>
      <c r="I48" s="77">
        <v>48505</v>
      </c>
      <c r="J48" s="77"/>
      <c r="K48" s="77">
        <v>34927</v>
      </c>
      <c r="L48" s="77">
        <v>51253.25</v>
      </c>
      <c r="M48" s="77"/>
      <c r="N48" s="77">
        <v>808.46199999999999</v>
      </c>
      <c r="O48" s="77">
        <v>13706.75</v>
      </c>
      <c r="P48" s="77"/>
      <c r="Q48" s="77">
        <v>680.11</v>
      </c>
      <c r="R48" s="77">
        <v>4227</v>
      </c>
      <c r="T48" s="73">
        <v>5243184.03</v>
      </c>
    </row>
    <row r="49" spans="1:20" x14ac:dyDescent="0.3">
      <c r="B49" s="1">
        <v>2019</v>
      </c>
      <c r="C49" s="1" t="s">
        <v>59</v>
      </c>
      <c r="D49" s="72" t="s">
        <v>62</v>
      </c>
      <c r="E49" s="72"/>
      <c r="F49" s="76">
        <f t="shared" si="0"/>
        <v>401737.5</v>
      </c>
      <c r="G49" s="72"/>
      <c r="H49" s="77">
        <v>50049</v>
      </c>
      <c r="I49" s="77">
        <v>112235.5</v>
      </c>
      <c r="J49" s="77"/>
      <c r="K49" s="77">
        <v>180639</v>
      </c>
      <c r="L49" s="77">
        <v>212870.25</v>
      </c>
      <c r="M49" s="77"/>
      <c r="N49" s="77">
        <v>4209.6630000000014</v>
      </c>
      <c r="O49" s="77">
        <v>71173.75</v>
      </c>
      <c r="P49" s="77"/>
      <c r="Q49" s="77">
        <v>877.86999999999978</v>
      </c>
      <c r="R49" s="77">
        <v>5458</v>
      </c>
      <c r="T49" s="73">
        <v>16742940.63000001</v>
      </c>
    </row>
    <row r="50" spans="1:20" x14ac:dyDescent="0.3">
      <c r="A50" s="1" t="s">
        <v>70</v>
      </c>
      <c r="B50" s="1" t="s">
        <v>32</v>
      </c>
      <c r="C50" s="1" t="s">
        <v>65</v>
      </c>
      <c r="D50" s="65" t="s">
        <v>57</v>
      </c>
      <c r="E50" s="65"/>
      <c r="F50" s="76">
        <f t="shared" si="0"/>
        <v>2158</v>
      </c>
      <c r="G50" s="65"/>
      <c r="H50" s="76">
        <v>0</v>
      </c>
      <c r="I50" s="76" t="s">
        <v>66</v>
      </c>
      <c r="J50" s="76"/>
      <c r="K50" s="76" t="s">
        <v>67</v>
      </c>
      <c r="L50" s="76" t="s">
        <v>66</v>
      </c>
      <c r="M50" s="76"/>
      <c r="N50" s="76">
        <v>3.4</v>
      </c>
      <c r="O50" s="76">
        <v>26</v>
      </c>
      <c r="P50" s="76"/>
      <c r="Q50" s="76">
        <v>179.8</v>
      </c>
      <c r="R50" s="76">
        <v>2132</v>
      </c>
      <c r="T50" s="68">
        <v>68468.429999999993</v>
      </c>
    </row>
    <row r="51" spans="1:20" x14ac:dyDescent="0.3">
      <c r="A51" s="1" t="s">
        <v>70</v>
      </c>
      <c r="B51" s="1" t="s">
        <v>32</v>
      </c>
      <c r="C51" s="1" t="s">
        <v>65</v>
      </c>
      <c r="D51" s="65" t="s">
        <v>58</v>
      </c>
      <c r="E51" s="65"/>
      <c r="F51" s="76">
        <f t="shared" si="0"/>
        <v>9729</v>
      </c>
      <c r="G51" s="65"/>
      <c r="H51" s="76">
        <v>0</v>
      </c>
      <c r="I51" s="76" t="s">
        <v>66</v>
      </c>
      <c r="J51" s="76"/>
      <c r="K51" s="76" t="s">
        <v>67</v>
      </c>
      <c r="L51" s="76" t="s">
        <v>66</v>
      </c>
      <c r="M51" s="76"/>
      <c r="N51" s="76">
        <v>120.98000000000002</v>
      </c>
      <c r="O51" s="76">
        <v>1578</v>
      </c>
      <c r="P51" s="76"/>
      <c r="Q51" s="76">
        <v>624.79999999999995</v>
      </c>
      <c r="R51" s="76">
        <v>8151</v>
      </c>
      <c r="T51" s="68">
        <v>355437.58</v>
      </c>
    </row>
    <row r="52" spans="1:20" x14ac:dyDescent="0.3">
      <c r="A52" s="1" t="s">
        <v>70</v>
      </c>
      <c r="B52" s="1" t="s">
        <v>32</v>
      </c>
      <c r="C52" s="1" t="s">
        <v>65</v>
      </c>
      <c r="D52" s="65" t="s">
        <v>60</v>
      </c>
      <c r="E52" s="65"/>
      <c r="F52" s="76">
        <f t="shared" si="0"/>
        <v>4455</v>
      </c>
      <c r="G52" s="65"/>
      <c r="H52" s="76">
        <v>12</v>
      </c>
      <c r="I52" s="76">
        <v>45</v>
      </c>
      <c r="J52" s="76"/>
      <c r="K52" s="76">
        <v>42</v>
      </c>
      <c r="L52" s="76">
        <v>88</v>
      </c>
      <c r="M52" s="76"/>
      <c r="N52" s="76">
        <v>0.8</v>
      </c>
      <c r="O52" s="76">
        <v>35</v>
      </c>
      <c r="P52" s="76"/>
      <c r="Q52" s="76">
        <v>301.34000000000003</v>
      </c>
      <c r="R52" s="76">
        <v>4287</v>
      </c>
      <c r="T52" s="68">
        <v>152165.24000000002</v>
      </c>
    </row>
    <row r="53" spans="1:20" x14ac:dyDescent="0.3">
      <c r="A53" s="1" t="s">
        <v>70</v>
      </c>
      <c r="B53" s="1" t="s">
        <v>32</v>
      </c>
      <c r="C53" s="1" t="s">
        <v>65</v>
      </c>
      <c r="D53" s="65" t="s">
        <v>61</v>
      </c>
      <c r="E53" s="65"/>
      <c r="F53" s="76">
        <f t="shared" si="0"/>
        <v>4662.5</v>
      </c>
      <c r="G53" s="65"/>
      <c r="H53" s="76">
        <v>0</v>
      </c>
      <c r="I53" s="76" t="s">
        <v>66</v>
      </c>
      <c r="J53" s="76"/>
      <c r="K53" s="76" t="s">
        <v>67</v>
      </c>
      <c r="L53" s="76" t="s">
        <v>66</v>
      </c>
      <c r="M53" s="76"/>
      <c r="N53" s="76">
        <v>14.5</v>
      </c>
      <c r="O53" s="76">
        <v>371</v>
      </c>
      <c r="P53" s="76"/>
      <c r="Q53" s="76">
        <v>214.54</v>
      </c>
      <c r="R53" s="76">
        <v>4291.5</v>
      </c>
      <c r="T53" s="68">
        <v>158747.12999999998</v>
      </c>
    </row>
    <row r="54" spans="1:20" x14ac:dyDescent="0.3">
      <c r="A54" s="1" t="s">
        <v>70</v>
      </c>
      <c r="B54" s="1" t="s">
        <v>32</v>
      </c>
      <c r="C54" s="1" t="s">
        <v>65</v>
      </c>
      <c r="D54" s="65" t="s">
        <v>62</v>
      </c>
      <c r="E54" s="65"/>
      <c r="F54" s="76">
        <f t="shared" si="0"/>
        <v>21004.5</v>
      </c>
      <c r="G54" s="65"/>
      <c r="H54" s="76">
        <v>12</v>
      </c>
      <c r="I54" s="76">
        <v>45</v>
      </c>
      <c r="J54" s="76"/>
      <c r="K54" s="76">
        <v>42</v>
      </c>
      <c r="L54" s="76">
        <v>88</v>
      </c>
      <c r="M54" s="76"/>
      <c r="N54" s="76">
        <v>139.67999999999998</v>
      </c>
      <c r="O54" s="76">
        <v>2010</v>
      </c>
      <c r="P54" s="76"/>
      <c r="Q54" s="76">
        <v>1320.48</v>
      </c>
      <c r="R54" s="76">
        <v>18861.5</v>
      </c>
      <c r="T54" s="68">
        <v>734818.38000000024</v>
      </c>
    </row>
    <row r="55" spans="1:20" x14ac:dyDescent="0.3">
      <c r="B55" s="1">
        <v>2011</v>
      </c>
      <c r="C55" s="1" t="s">
        <v>65</v>
      </c>
      <c r="D55" s="65" t="s">
        <v>57</v>
      </c>
      <c r="E55" s="65"/>
      <c r="F55" s="76">
        <f t="shared" si="0"/>
        <v>1623</v>
      </c>
      <c r="G55" s="65"/>
      <c r="H55" s="76">
        <v>0</v>
      </c>
      <c r="I55" s="76" t="s">
        <v>66</v>
      </c>
      <c r="J55" s="76"/>
      <c r="K55" s="76" t="s">
        <v>67</v>
      </c>
      <c r="L55" s="76" t="s">
        <v>66</v>
      </c>
      <c r="M55" s="76"/>
      <c r="N55" s="76" t="s">
        <v>64</v>
      </c>
      <c r="O55" s="76" t="s">
        <v>64</v>
      </c>
      <c r="P55" s="76"/>
      <c r="Q55" s="76">
        <v>86.230000000000018</v>
      </c>
      <c r="R55" s="76">
        <v>1623</v>
      </c>
      <c r="T55" s="68">
        <v>60282.469999999994</v>
      </c>
    </row>
    <row r="56" spans="1:20" x14ac:dyDescent="0.3">
      <c r="B56" s="1">
        <v>2011</v>
      </c>
      <c r="C56" s="1" t="s">
        <v>65</v>
      </c>
      <c r="D56" s="65" t="s">
        <v>58</v>
      </c>
      <c r="E56" s="65"/>
      <c r="F56" s="76">
        <f t="shared" si="0"/>
        <v>4951</v>
      </c>
      <c r="G56" s="65"/>
      <c r="H56" s="76">
        <v>0</v>
      </c>
      <c r="I56" s="76" t="s">
        <v>66</v>
      </c>
      <c r="J56" s="76"/>
      <c r="K56" s="76" t="s">
        <v>67</v>
      </c>
      <c r="L56" s="76" t="s">
        <v>66</v>
      </c>
      <c r="M56" s="76"/>
      <c r="N56" s="76">
        <v>16.37</v>
      </c>
      <c r="O56" s="76">
        <v>676</v>
      </c>
      <c r="P56" s="76"/>
      <c r="Q56" s="76">
        <v>264.72000000000003</v>
      </c>
      <c r="R56" s="76">
        <v>4275</v>
      </c>
      <c r="T56" s="68">
        <v>301458.98</v>
      </c>
    </row>
    <row r="57" spans="1:20" x14ac:dyDescent="0.3">
      <c r="B57" s="1">
        <v>2011</v>
      </c>
      <c r="C57" s="1" t="s">
        <v>65</v>
      </c>
      <c r="D57" s="65" t="s">
        <v>60</v>
      </c>
      <c r="E57" s="65"/>
      <c r="F57" s="76">
        <f t="shared" si="0"/>
        <v>5149</v>
      </c>
      <c r="G57" s="65"/>
      <c r="H57" s="76">
        <v>0</v>
      </c>
      <c r="I57" s="76">
        <v>0</v>
      </c>
      <c r="J57" s="76"/>
      <c r="K57" s="76" t="s">
        <v>67</v>
      </c>
      <c r="L57" s="76" t="s">
        <v>66</v>
      </c>
      <c r="M57" s="76"/>
      <c r="N57" s="76">
        <v>14.440000000000001</v>
      </c>
      <c r="O57" s="76">
        <v>195</v>
      </c>
      <c r="P57" s="76"/>
      <c r="Q57" s="76">
        <v>334.42</v>
      </c>
      <c r="R57" s="76">
        <v>4954</v>
      </c>
      <c r="T57" s="68">
        <v>229265.72</v>
      </c>
    </row>
    <row r="58" spans="1:20" x14ac:dyDescent="0.3">
      <c r="B58" s="1">
        <v>2011</v>
      </c>
      <c r="C58" s="1" t="s">
        <v>65</v>
      </c>
      <c r="D58" s="65" t="s">
        <v>61</v>
      </c>
      <c r="E58" s="65"/>
      <c r="F58" s="76">
        <f t="shared" si="0"/>
        <v>11524</v>
      </c>
      <c r="G58" s="65"/>
      <c r="H58" s="76">
        <v>0</v>
      </c>
      <c r="I58" s="76" t="s">
        <v>66</v>
      </c>
      <c r="J58" s="76"/>
      <c r="K58" s="76">
        <v>21</v>
      </c>
      <c r="L58" s="76">
        <v>20</v>
      </c>
      <c r="M58" s="76"/>
      <c r="N58" s="76">
        <v>26.380000000000003</v>
      </c>
      <c r="O58" s="76">
        <v>420</v>
      </c>
      <c r="P58" s="76"/>
      <c r="Q58" s="76">
        <v>895.28</v>
      </c>
      <c r="R58" s="76">
        <v>11084</v>
      </c>
      <c r="T58" s="68">
        <v>503880.31000000011</v>
      </c>
    </row>
    <row r="59" spans="1:20" x14ac:dyDescent="0.3">
      <c r="B59" s="1">
        <v>2011</v>
      </c>
      <c r="C59" s="1" t="s">
        <v>65</v>
      </c>
      <c r="D59" s="65" t="s">
        <v>62</v>
      </c>
      <c r="E59" s="65"/>
      <c r="F59" s="76">
        <f t="shared" si="0"/>
        <v>23247</v>
      </c>
      <c r="G59" s="65"/>
      <c r="H59" s="76">
        <v>0</v>
      </c>
      <c r="I59" s="76">
        <v>0</v>
      </c>
      <c r="J59" s="76"/>
      <c r="K59" s="76">
        <v>21</v>
      </c>
      <c r="L59" s="76">
        <v>20</v>
      </c>
      <c r="M59" s="76"/>
      <c r="N59" s="76">
        <v>57.19</v>
      </c>
      <c r="O59" s="76">
        <v>1291</v>
      </c>
      <c r="P59" s="76"/>
      <c r="Q59" s="76">
        <v>1580.65</v>
      </c>
      <c r="R59" s="76">
        <v>21936</v>
      </c>
      <c r="T59" s="68">
        <v>1094887.4800000002</v>
      </c>
    </row>
    <row r="60" spans="1:20" x14ac:dyDescent="0.3">
      <c r="B60" s="1">
        <v>2012</v>
      </c>
      <c r="C60" s="1" t="s">
        <v>65</v>
      </c>
      <c r="D60" s="65" t="s">
        <v>57</v>
      </c>
      <c r="E60" s="65"/>
      <c r="F60" s="76">
        <f t="shared" si="0"/>
        <v>2245</v>
      </c>
      <c r="G60" s="65"/>
      <c r="H60" s="76">
        <v>0</v>
      </c>
      <c r="I60" s="76">
        <v>30</v>
      </c>
      <c r="J60" s="76"/>
      <c r="K60" s="76" t="s">
        <v>67</v>
      </c>
      <c r="L60" s="76" t="s">
        <v>66</v>
      </c>
      <c r="M60" s="76"/>
      <c r="N60" s="76">
        <v>17.7</v>
      </c>
      <c r="O60" s="76">
        <v>320</v>
      </c>
      <c r="P60" s="76"/>
      <c r="Q60" s="76">
        <v>105.9</v>
      </c>
      <c r="R60" s="76">
        <v>1895</v>
      </c>
      <c r="T60" s="68">
        <v>92496.04</v>
      </c>
    </row>
    <row r="61" spans="1:20" x14ac:dyDescent="0.3">
      <c r="B61" s="1">
        <v>2012</v>
      </c>
      <c r="C61" s="1" t="s">
        <v>65</v>
      </c>
      <c r="D61" s="65" t="s">
        <v>58</v>
      </c>
      <c r="E61" s="65"/>
      <c r="F61" s="76">
        <f t="shared" si="0"/>
        <v>8130.5</v>
      </c>
      <c r="G61" s="65"/>
      <c r="H61" s="76">
        <v>21</v>
      </c>
      <c r="I61" s="76">
        <v>34</v>
      </c>
      <c r="J61" s="76"/>
      <c r="K61" s="76">
        <v>137</v>
      </c>
      <c r="L61" s="76">
        <v>141</v>
      </c>
      <c r="M61" s="76"/>
      <c r="N61" s="76">
        <v>18.579999999999998</v>
      </c>
      <c r="O61" s="76">
        <v>208</v>
      </c>
      <c r="P61" s="76"/>
      <c r="Q61" s="76">
        <v>639.99999999999977</v>
      </c>
      <c r="R61" s="76">
        <v>7747.5</v>
      </c>
      <c r="T61" s="68">
        <v>320276.03999999998</v>
      </c>
    </row>
    <row r="62" spans="1:20" x14ac:dyDescent="0.3">
      <c r="B62" s="1">
        <v>2012</v>
      </c>
      <c r="C62" s="1" t="s">
        <v>65</v>
      </c>
      <c r="D62" s="65" t="s">
        <v>60</v>
      </c>
      <c r="E62" s="65"/>
      <c r="F62" s="76">
        <f t="shared" si="0"/>
        <v>6546</v>
      </c>
      <c r="G62" s="65"/>
      <c r="H62" s="76">
        <v>0</v>
      </c>
      <c r="I62" s="76">
        <v>0</v>
      </c>
      <c r="J62" s="76"/>
      <c r="K62" s="76" t="s">
        <v>67</v>
      </c>
      <c r="L62" s="76" t="s">
        <v>66</v>
      </c>
      <c r="M62" s="76"/>
      <c r="N62" s="76">
        <v>12.97</v>
      </c>
      <c r="O62" s="76">
        <v>310</v>
      </c>
      <c r="P62" s="76"/>
      <c r="Q62" s="76">
        <v>307.98</v>
      </c>
      <c r="R62" s="76">
        <v>6236</v>
      </c>
      <c r="T62" s="68">
        <v>243275.85</v>
      </c>
    </row>
    <row r="63" spans="1:20" x14ac:dyDescent="0.3">
      <c r="B63" s="1">
        <v>2012</v>
      </c>
      <c r="C63" s="1" t="s">
        <v>65</v>
      </c>
      <c r="D63" s="65" t="s">
        <v>61</v>
      </c>
      <c r="E63" s="65"/>
      <c r="F63" s="76">
        <f t="shared" si="0"/>
        <v>11282</v>
      </c>
      <c r="G63" s="65"/>
      <c r="H63" s="76">
        <v>0</v>
      </c>
      <c r="I63" s="76">
        <v>0</v>
      </c>
      <c r="J63" s="76"/>
      <c r="K63" s="76" t="s">
        <v>67</v>
      </c>
      <c r="L63" s="76" t="s">
        <v>66</v>
      </c>
      <c r="M63" s="76"/>
      <c r="N63" s="76">
        <v>13.110000000000003</v>
      </c>
      <c r="O63" s="76">
        <v>304</v>
      </c>
      <c r="P63" s="76"/>
      <c r="Q63" s="76">
        <v>681.99</v>
      </c>
      <c r="R63" s="76">
        <v>10978</v>
      </c>
      <c r="T63" s="68">
        <v>478797.19000000006</v>
      </c>
    </row>
    <row r="64" spans="1:20" x14ac:dyDescent="0.3">
      <c r="B64" s="1">
        <v>2012</v>
      </c>
      <c r="C64" s="1" t="s">
        <v>65</v>
      </c>
      <c r="D64" s="65" t="s">
        <v>62</v>
      </c>
      <c r="E64" s="65"/>
      <c r="F64" s="76">
        <f t="shared" si="0"/>
        <v>28203.5</v>
      </c>
      <c r="G64" s="65"/>
      <c r="H64" s="76">
        <v>21</v>
      </c>
      <c r="I64" s="76">
        <v>64</v>
      </c>
      <c r="J64" s="76"/>
      <c r="K64" s="76">
        <v>137</v>
      </c>
      <c r="L64" s="76">
        <v>141</v>
      </c>
      <c r="M64" s="76"/>
      <c r="N64" s="76">
        <v>62.36</v>
      </c>
      <c r="O64" s="76">
        <v>1142</v>
      </c>
      <c r="P64" s="76"/>
      <c r="Q64" s="76">
        <v>1735.8699999999994</v>
      </c>
      <c r="R64" s="76">
        <v>26856.5</v>
      </c>
      <c r="T64" s="68">
        <v>1134845.1199999999</v>
      </c>
    </row>
    <row r="65" spans="2:20" x14ac:dyDescent="0.3">
      <c r="B65" s="1">
        <v>2013</v>
      </c>
      <c r="C65" s="1" t="s">
        <v>65</v>
      </c>
      <c r="D65" s="65" t="s">
        <v>57</v>
      </c>
      <c r="E65" s="65"/>
      <c r="F65" s="76">
        <f t="shared" si="0"/>
        <v>2686</v>
      </c>
      <c r="G65" s="65"/>
      <c r="H65" s="76">
        <v>0</v>
      </c>
      <c r="I65" s="76" t="s">
        <v>66</v>
      </c>
      <c r="J65" s="76"/>
      <c r="K65" s="76" t="s">
        <v>67</v>
      </c>
      <c r="L65" s="76" t="s">
        <v>66</v>
      </c>
      <c r="M65" s="76"/>
      <c r="N65" s="76">
        <v>1.1300000000000001</v>
      </c>
      <c r="O65" s="76">
        <v>126</v>
      </c>
      <c r="P65" s="76"/>
      <c r="Q65" s="76">
        <v>100.67000000000002</v>
      </c>
      <c r="R65" s="76">
        <v>2560</v>
      </c>
      <c r="T65" s="68">
        <v>115130.89999999998</v>
      </c>
    </row>
    <row r="66" spans="2:20" x14ac:dyDescent="0.3">
      <c r="B66" s="1">
        <v>2013</v>
      </c>
      <c r="C66" s="1" t="s">
        <v>65</v>
      </c>
      <c r="D66" s="65" t="s">
        <v>58</v>
      </c>
      <c r="E66" s="65"/>
      <c r="F66" s="76">
        <f t="shared" si="0"/>
        <v>13075</v>
      </c>
      <c r="G66" s="65"/>
      <c r="H66" s="76">
        <v>43</v>
      </c>
      <c r="I66" s="76">
        <v>56</v>
      </c>
      <c r="J66" s="76"/>
      <c r="K66" s="76">
        <v>115</v>
      </c>
      <c r="L66" s="76">
        <v>179</v>
      </c>
      <c r="M66" s="76"/>
      <c r="N66" s="76">
        <v>32.81</v>
      </c>
      <c r="O66" s="76">
        <v>354</v>
      </c>
      <c r="P66" s="76"/>
      <c r="Q66" s="76">
        <v>1249.9599999999998</v>
      </c>
      <c r="R66" s="76">
        <v>12486</v>
      </c>
      <c r="T66" s="68">
        <v>545527.11999999976</v>
      </c>
    </row>
    <row r="67" spans="2:20" x14ac:dyDescent="0.3">
      <c r="B67" s="1">
        <v>2013</v>
      </c>
      <c r="C67" s="1" t="s">
        <v>65</v>
      </c>
      <c r="D67" s="65" t="s">
        <v>60</v>
      </c>
      <c r="E67" s="65"/>
      <c r="F67" s="76">
        <f t="shared" si="0"/>
        <v>10694.5</v>
      </c>
      <c r="G67" s="65"/>
      <c r="H67" s="76">
        <v>8</v>
      </c>
      <c r="I67" s="76">
        <v>17</v>
      </c>
      <c r="J67" s="76"/>
      <c r="K67" s="76">
        <v>92</v>
      </c>
      <c r="L67" s="76">
        <v>172</v>
      </c>
      <c r="M67" s="76"/>
      <c r="N67" s="76">
        <v>4.72</v>
      </c>
      <c r="O67" s="76">
        <v>208</v>
      </c>
      <c r="P67" s="76"/>
      <c r="Q67" s="76">
        <v>488.49</v>
      </c>
      <c r="R67" s="76">
        <v>10297.5</v>
      </c>
      <c r="T67" s="68">
        <v>409723.82</v>
      </c>
    </row>
    <row r="68" spans="2:20" x14ac:dyDescent="0.3">
      <c r="B68" s="1">
        <v>2013</v>
      </c>
      <c r="C68" s="1" t="s">
        <v>65</v>
      </c>
      <c r="D68" s="65" t="s">
        <v>61</v>
      </c>
      <c r="E68" s="65"/>
      <c r="F68" s="76">
        <f t="shared" si="0"/>
        <v>9048</v>
      </c>
      <c r="G68" s="65"/>
      <c r="H68" s="76">
        <v>0</v>
      </c>
      <c r="I68" s="76" t="s">
        <v>66</v>
      </c>
      <c r="J68" s="76"/>
      <c r="K68" s="76" t="s">
        <v>67</v>
      </c>
      <c r="L68" s="76" t="s">
        <v>66</v>
      </c>
      <c r="M68" s="76"/>
      <c r="N68" s="76">
        <v>14.8</v>
      </c>
      <c r="O68" s="76">
        <v>139</v>
      </c>
      <c r="P68" s="76"/>
      <c r="Q68" s="76">
        <v>495.71000000000021</v>
      </c>
      <c r="R68" s="76">
        <v>8909</v>
      </c>
      <c r="T68" s="68">
        <v>335515.92999999993</v>
      </c>
    </row>
    <row r="69" spans="2:20" x14ac:dyDescent="0.3">
      <c r="B69" s="1">
        <v>2013</v>
      </c>
      <c r="C69" s="1" t="s">
        <v>65</v>
      </c>
      <c r="D69" s="65" t="s">
        <v>62</v>
      </c>
      <c r="E69" s="65"/>
      <c r="F69" s="76">
        <f t="shared" ref="F69:F130" si="1">SUM(I69,L69,O69,R69)</f>
        <v>35503.5</v>
      </c>
      <c r="G69" s="65"/>
      <c r="H69" s="76">
        <v>51</v>
      </c>
      <c r="I69" s="76">
        <v>73</v>
      </c>
      <c r="J69" s="76"/>
      <c r="K69" s="76">
        <v>207</v>
      </c>
      <c r="L69" s="76">
        <v>351</v>
      </c>
      <c r="M69" s="76"/>
      <c r="N69" s="76">
        <v>53.460000000000008</v>
      </c>
      <c r="O69" s="76">
        <v>827</v>
      </c>
      <c r="P69" s="76"/>
      <c r="Q69" s="76">
        <v>2334.83</v>
      </c>
      <c r="R69" s="76">
        <v>34252.5</v>
      </c>
      <c r="T69" s="68">
        <v>1405897.77</v>
      </c>
    </row>
    <row r="70" spans="2:20" x14ac:dyDescent="0.3">
      <c r="B70" s="1">
        <v>2014</v>
      </c>
      <c r="C70" s="1" t="s">
        <v>65</v>
      </c>
      <c r="D70" s="65" t="s">
        <v>58</v>
      </c>
      <c r="E70" s="65"/>
      <c r="F70" s="76">
        <f t="shared" si="1"/>
        <v>7894.5</v>
      </c>
      <c r="G70" s="65"/>
      <c r="H70" s="76">
        <v>0</v>
      </c>
      <c r="I70" s="76" t="s">
        <v>66</v>
      </c>
      <c r="J70" s="76"/>
      <c r="K70" s="76" t="s">
        <v>67</v>
      </c>
      <c r="L70" s="76" t="s">
        <v>66</v>
      </c>
      <c r="M70" s="76"/>
      <c r="N70" s="76" t="s">
        <v>64</v>
      </c>
      <c r="O70" s="76" t="s">
        <v>64</v>
      </c>
      <c r="P70" s="76"/>
      <c r="Q70" s="76">
        <v>916.13</v>
      </c>
      <c r="R70" s="76">
        <v>7894.5</v>
      </c>
      <c r="T70" s="68">
        <v>388162.49999999988</v>
      </c>
    </row>
    <row r="71" spans="2:20" x14ac:dyDescent="0.3">
      <c r="B71" s="1">
        <v>2014</v>
      </c>
      <c r="C71" s="1" t="s">
        <v>65</v>
      </c>
      <c r="D71" s="65" t="s">
        <v>60</v>
      </c>
      <c r="E71" s="65"/>
      <c r="F71" s="76">
        <f t="shared" si="1"/>
        <v>19286</v>
      </c>
      <c r="G71" s="65"/>
      <c r="H71" s="76">
        <v>2</v>
      </c>
      <c r="I71" s="76">
        <v>10</v>
      </c>
      <c r="J71" s="76"/>
      <c r="K71" s="76">
        <v>52</v>
      </c>
      <c r="L71" s="76">
        <v>35</v>
      </c>
      <c r="M71" s="76"/>
      <c r="N71" s="76">
        <v>3.42</v>
      </c>
      <c r="O71" s="76">
        <v>135</v>
      </c>
      <c r="P71" s="76"/>
      <c r="Q71" s="76">
        <v>849.8599999999999</v>
      </c>
      <c r="R71" s="76">
        <v>19106</v>
      </c>
      <c r="T71" s="68">
        <v>811782.50000000023</v>
      </c>
    </row>
    <row r="72" spans="2:20" x14ac:dyDescent="0.3">
      <c r="B72" s="1">
        <v>2014</v>
      </c>
      <c r="C72" s="1" t="s">
        <v>65</v>
      </c>
      <c r="D72" s="65" t="s">
        <v>61</v>
      </c>
      <c r="E72" s="65"/>
      <c r="F72" s="76">
        <f t="shared" si="1"/>
        <v>8929</v>
      </c>
      <c r="G72" s="65"/>
      <c r="H72" s="76">
        <v>0</v>
      </c>
      <c r="I72" s="76">
        <v>0</v>
      </c>
      <c r="J72" s="76"/>
      <c r="K72" s="76">
        <v>32</v>
      </c>
      <c r="L72" s="76">
        <v>47</v>
      </c>
      <c r="M72" s="76"/>
      <c r="N72" s="76">
        <v>22.37</v>
      </c>
      <c r="O72" s="76">
        <v>305</v>
      </c>
      <c r="P72" s="76"/>
      <c r="Q72" s="76">
        <v>500.47</v>
      </c>
      <c r="R72" s="76">
        <v>8577</v>
      </c>
      <c r="T72" s="68">
        <v>364777.25999999995</v>
      </c>
    </row>
    <row r="73" spans="2:20" x14ac:dyDescent="0.3">
      <c r="B73" s="1">
        <v>2014</v>
      </c>
      <c r="C73" s="1" t="s">
        <v>65</v>
      </c>
      <c r="D73" s="65" t="s">
        <v>62</v>
      </c>
      <c r="E73" s="65"/>
      <c r="F73" s="76">
        <f t="shared" si="1"/>
        <v>36109.5</v>
      </c>
      <c r="G73" s="65"/>
      <c r="H73" s="76">
        <v>2</v>
      </c>
      <c r="I73" s="76">
        <v>10</v>
      </c>
      <c r="J73" s="76"/>
      <c r="K73" s="76">
        <v>84</v>
      </c>
      <c r="L73" s="76">
        <v>82</v>
      </c>
      <c r="M73" s="76"/>
      <c r="N73" s="76">
        <v>25.790000000000003</v>
      </c>
      <c r="O73" s="76">
        <v>440</v>
      </c>
      <c r="P73" s="76"/>
      <c r="Q73" s="76">
        <v>2266.46</v>
      </c>
      <c r="R73" s="76">
        <v>35577.5</v>
      </c>
      <c r="T73" s="68">
        <v>1564722.2600000002</v>
      </c>
    </row>
    <row r="74" spans="2:20" x14ac:dyDescent="0.3">
      <c r="B74" s="1">
        <v>2015</v>
      </c>
      <c r="C74" s="1" t="s">
        <v>65</v>
      </c>
      <c r="D74" s="65" t="s">
        <v>57</v>
      </c>
      <c r="E74" s="65"/>
      <c r="F74" s="76">
        <f t="shared" si="1"/>
        <v>0</v>
      </c>
      <c r="G74" s="65"/>
      <c r="H74" s="76" t="s">
        <v>67</v>
      </c>
      <c r="I74" s="76" t="s">
        <v>66</v>
      </c>
      <c r="J74" s="76"/>
      <c r="K74" s="76" t="s">
        <v>67</v>
      </c>
      <c r="L74" s="76" t="s">
        <v>66</v>
      </c>
      <c r="M74" s="76"/>
      <c r="N74" s="76" t="s">
        <v>64</v>
      </c>
      <c r="O74" s="76" t="s">
        <v>64</v>
      </c>
      <c r="P74" s="76"/>
      <c r="Q74" s="76" t="s">
        <v>64</v>
      </c>
      <c r="R74" s="76" t="s">
        <v>64</v>
      </c>
      <c r="T74" s="68">
        <v>229.01</v>
      </c>
    </row>
    <row r="75" spans="2:20" x14ac:dyDescent="0.3">
      <c r="B75" s="1">
        <v>2015</v>
      </c>
      <c r="C75" s="1" t="s">
        <v>65</v>
      </c>
      <c r="D75" s="65" t="s">
        <v>58</v>
      </c>
      <c r="E75" s="65"/>
      <c r="F75" s="76">
        <f t="shared" si="1"/>
        <v>8929</v>
      </c>
      <c r="G75" s="65"/>
      <c r="H75" s="76">
        <v>0</v>
      </c>
      <c r="I75" s="76" t="s">
        <v>66</v>
      </c>
      <c r="J75" s="76"/>
      <c r="K75" s="76" t="s">
        <v>67</v>
      </c>
      <c r="L75" s="76" t="s">
        <v>66</v>
      </c>
      <c r="M75" s="76"/>
      <c r="N75" s="76">
        <v>6.23</v>
      </c>
      <c r="O75" s="76">
        <v>60</v>
      </c>
      <c r="P75" s="76"/>
      <c r="Q75" s="76">
        <v>680.78000000000009</v>
      </c>
      <c r="R75" s="76">
        <v>8869</v>
      </c>
      <c r="T75" s="68">
        <v>461739.11</v>
      </c>
    </row>
    <row r="76" spans="2:20" x14ac:dyDescent="0.3">
      <c r="B76" s="1">
        <v>2015</v>
      </c>
      <c r="C76" s="1" t="s">
        <v>65</v>
      </c>
      <c r="D76" s="65" t="s">
        <v>60</v>
      </c>
      <c r="E76" s="65"/>
      <c r="F76" s="76">
        <f t="shared" si="1"/>
        <v>16019</v>
      </c>
      <c r="G76" s="65"/>
      <c r="H76" s="76">
        <v>0</v>
      </c>
      <c r="I76" s="76" t="s">
        <v>66</v>
      </c>
      <c r="J76" s="76"/>
      <c r="K76" s="76" t="s">
        <v>67</v>
      </c>
      <c r="L76" s="76" t="s">
        <v>66</v>
      </c>
      <c r="M76" s="76"/>
      <c r="N76" s="76">
        <v>1.1100000000000001</v>
      </c>
      <c r="O76" s="76">
        <v>20</v>
      </c>
      <c r="P76" s="76"/>
      <c r="Q76" s="76">
        <v>661.27999999999986</v>
      </c>
      <c r="R76" s="76">
        <v>15999</v>
      </c>
      <c r="T76" s="68">
        <v>708901</v>
      </c>
    </row>
    <row r="77" spans="2:20" x14ac:dyDescent="0.3">
      <c r="B77" s="1">
        <v>2015</v>
      </c>
      <c r="C77" s="1" t="s">
        <v>65</v>
      </c>
      <c r="D77" s="65" t="s">
        <v>61</v>
      </c>
      <c r="E77" s="65"/>
      <c r="F77" s="76">
        <f t="shared" si="1"/>
        <v>6575</v>
      </c>
      <c r="G77" s="65"/>
      <c r="H77" s="76">
        <v>0</v>
      </c>
      <c r="I77" s="76" t="s">
        <v>66</v>
      </c>
      <c r="J77" s="76"/>
      <c r="K77" s="76" t="s">
        <v>67</v>
      </c>
      <c r="L77" s="76" t="s">
        <v>66</v>
      </c>
      <c r="M77" s="76"/>
      <c r="N77" s="76">
        <v>4.2699999999999996</v>
      </c>
      <c r="O77" s="76">
        <v>86</v>
      </c>
      <c r="P77" s="76"/>
      <c r="Q77" s="76">
        <v>624.06000000000006</v>
      </c>
      <c r="R77" s="76">
        <v>6489</v>
      </c>
      <c r="T77" s="68">
        <v>243876.35000000003</v>
      </c>
    </row>
    <row r="78" spans="2:20" x14ac:dyDescent="0.3">
      <c r="B78" s="1">
        <v>2015</v>
      </c>
      <c r="C78" s="1" t="s">
        <v>65</v>
      </c>
      <c r="D78" s="65" t="s">
        <v>62</v>
      </c>
      <c r="E78" s="65"/>
      <c r="F78" s="76">
        <f t="shared" si="1"/>
        <v>31523</v>
      </c>
      <c r="G78" s="65"/>
      <c r="H78" s="76">
        <v>0</v>
      </c>
      <c r="I78" s="76" t="s">
        <v>66</v>
      </c>
      <c r="J78" s="76"/>
      <c r="K78" s="76" t="s">
        <v>67</v>
      </c>
      <c r="L78" s="76" t="s">
        <v>66</v>
      </c>
      <c r="M78" s="76"/>
      <c r="N78" s="76">
        <v>11.610000000000001</v>
      </c>
      <c r="O78" s="76">
        <v>166</v>
      </c>
      <c r="P78" s="76"/>
      <c r="Q78" s="76">
        <v>1966.12</v>
      </c>
      <c r="R78" s="76">
        <v>31357</v>
      </c>
      <c r="T78" s="68">
        <v>1414745.4699999997</v>
      </c>
    </row>
    <row r="79" spans="2:20" x14ac:dyDescent="0.3">
      <c r="B79" s="1">
        <v>2016</v>
      </c>
      <c r="C79" s="1" t="s">
        <v>65</v>
      </c>
      <c r="D79" s="70" t="s">
        <v>58</v>
      </c>
      <c r="E79" s="70"/>
      <c r="F79" s="76">
        <f t="shared" si="1"/>
        <v>12277.5</v>
      </c>
      <c r="G79" s="70"/>
      <c r="H79" s="79">
        <v>0</v>
      </c>
      <c r="I79" s="79">
        <v>0</v>
      </c>
      <c r="J79" s="79"/>
      <c r="K79" s="79">
        <v>0</v>
      </c>
      <c r="L79" s="79">
        <v>0</v>
      </c>
      <c r="M79" s="79"/>
      <c r="N79" s="79">
        <v>0</v>
      </c>
      <c r="O79" s="79">
        <v>0</v>
      </c>
      <c r="P79" s="79"/>
      <c r="Q79" s="79">
        <v>1101.8100000000002</v>
      </c>
      <c r="R79" s="79">
        <v>12277.5</v>
      </c>
      <c r="T79" s="75">
        <v>510634.93999999989</v>
      </c>
    </row>
    <row r="80" spans="2:20" x14ac:dyDescent="0.3">
      <c r="B80" s="1">
        <v>2016</v>
      </c>
      <c r="C80" s="1" t="s">
        <v>65</v>
      </c>
      <c r="D80" s="70" t="s">
        <v>60</v>
      </c>
      <c r="E80" s="70"/>
      <c r="F80" s="76">
        <f t="shared" si="1"/>
        <v>21210</v>
      </c>
      <c r="G80" s="70"/>
      <c r="H80" s="79">
        <v>0</v>
      </c>
      <c r="I80" s="79">
        <v>0</v>
      </c>
      <c r="J80" s="79"/>
      <c r="K80" s="79">
        <v>0</v>
      </c>
      <c r="L80" s="79">
        <v>0</v>
      </c>
      <c r="M80" s="79"/>
      <c r="N80" s="79">
        <v>3.88</v>
      </c>
      <c r="O80" s="79">
        <v>40</v>
      </c>
      <c r="P80" s="79"/>
      <c r="Q80" s="79">
        <v>1402.3200000000002</v>
      </c>
      <c r="R80" s="79">
        <v>21170</v>
      </c>
      <c r="T80" s="75">
        <v>898322.27000000014</v>
      </c>
    </row>
    <row r="81" spans="2:20" x14ac:dyDescent="0.3">
      <c r="B81" s="1">
        <v>2016</v>
      </c>
      <c r="C81" s="1" t="s">
        <v>65</v>
      </c>
      <c r="D81" s="70" t="s">
        <v>61</v>
      </c>
      <c r="E81" s="70"/>
      <c r="F81" s="76">
        <f t="shared" si="1"/>
        <v>6520.5</v>
      </c>
      <c r="G81" s="70"/>
      <c r="H81" s="79">
        <v>0</v>
      </c>
      <c r="I81" s="79">
        <v>0</v>
      </c>
      <c r="J81" s="79"/>
      <c r="K81" s="79">
        <v>0</v>
      </c>
      <c r="L81" s="79">
        <v>0</v>
      </c>
      <c r="M81" s="79"/>
      <c r="N81" s="79">
        <v>0</v>
      </c>
      <c r="O81" s="79">
        <v>0</v>
      </c>
      <c r="P81" s="79"/>
      <c r="Q81" s="79">
        <v>504.09</v>
      </c>
      <c r="R81" s="79">
        <v>6520.5</v>
      </c>
      <c r="T81" s="75">
        <v>258883.56000000003</v>
      </c>
    </row>
    <row r="82" spans="2:20" x14ac:dyDescent="0.3">
      <c r="B82" s="1">
        <v>2016</v>
      </c>
      <c r="C82" s="1" t="s">
        <v>65</v>
      </c>
      <c r="D82" s="65" t="s">
        <v>62</v>
      </c>
      <c r="E82" s="65"/>
      <c r="F82" s="76">
        <f t="shared" si="1"/>
        <v>40008</v>
      </c>
      <c r="G82" s="65"/>
      <c r="H82" s="79">
        <v>0</v>
      </c>
      <c r="I82" s="79">
        <v>0</v>
      </c>
      <c r="J82" s="79"/>
      <c r="K82" s="79">
        <v>0</v>
      </c>
      <c r="L82" s="79">
        <v>0</v>
      </c>
      <c r="M82" s="78"/>
      <c r="N82" s="78">
        <v>3.88</v>
      </c>
      <c r="O82" s="78">
        <v>40</v>
      </c>
      <c r="P82" s="78"/>
      <c r="Q82" s="78">
        <v>3008.2200000000003</v>
      </c>
      <c r="R82" s="78">
        <v>39968</v>
      </c>
      <c r="T82" s="71">
        <v>1667840.77</v>
      </c>
    </row>
    <row r="83" spans="2:20" x14ac:dyDescent="0.3">
      <c r="B83" s="1">
        <v>2017</v>
      </c>
      <c r="C83" s="1" t="s">
        <v>65</v>
      </c>
      <c r="D83" s="65" t="s">
        <v>58</v>
      </c>
      <c r="E83" s="65"/>
      <c r="F83" s="76">
        <f t="shared" si="1"/>
        <v>7945</v>
      </c>
      <c r="G83" s="65"/>
      <c r="H83" s="76">
        <v>0</v>
      </c>
      <c r="I83" s="76" t="s">
        <v>66</v>
      </c>
      <c r="J83" s="76"/>
      <c r="K83" s="76" t="s">
        <v>67</v>
      </c>
      <c r="L83" s="76" t="s">
        <v>66</v>
      </c>
      <c r="M83" s="76"/>
      <c r="N83" s="76" t="s">
        <v>64</v>
      </c>
      <c r="O83" s="76" t="s">
        <v>64</v>
      </c>
      <c r="P83" s="76"/>
      <c r="Q83" s="76">
        <v>863.71</v>
      </c>
      <c r="R83" s="76">
        <v>7945</v>
      </c>
      <c r="T83" s="68">
        <v>338346.94999999995</v>
      </c>
    </row>
    <row r="84" spans="2:20" x14ac:dyDescent="0.3">
      <c r="B84" s="1">
        <v>2017</v>
      </c>
      <c r="C84" s="1" t="s">
        <v>65</v>
      </c>
      <c r="D84" s="65" t="s">
        <v>60</v>
      </c>
      <c r="E84" s="65"/>
      <c r="F84" s="76">
        <f t="shared" si="1"/>
        <v>15443</v>
      </c>
      <c r="G84" s="65"/>
      <c r="H84" s="76">
        <v>0</v>
      </c>
      <c r="I84" s="76" t="s">
        <v>66</v>
      </c>
      <c r="J84" s="76"/>
      <c r="K84" s="76" t="s">
        <v>67</v>
      </c>
      <c r="L84" s="76" t="s">
        <v>66</v>
      </c>
      <c r="M84" s="76"/>
      <c r="N84" s="76">
        <v>7.68</v>
      </c>
      <c r="O84" s="76">
        <v>180</v>
      </c>
      <c r="P84" s="76"/>
      <c r="Q84" s="76">
        <v>1026.69</v>
      </c>
      <c r="R84" s="76">
        <v>15263</v>
      </c>
      <c r="T84" s="68">
        <v>838718.80999999982</v>
      </c>
    </row>
    <row r="85" spans="2:20" x14ac:dyDescent="0.3">
      <c r="B85" s="1">
        <v>2017</v>
      </c>
      <c r="C85" s="1" t="s">
        <v>65</v>
      </c>
      <c r="D85" s="65" t="s">
        <v>61</v>
      </c>
      <c r="E85" s="65"/>
      <c r="F85" s="76">
        <f t="shared" si="1"/>
        <v>1157</v>
      </c>
      <c r="G85" s="65"/>
      <c r="H85" s="76">
        <v>1</v>
      </c>
      <c r="I85" s="76">
        <v>2</v>
      </c>
      <c r="J85" s="76"/>
      <c r="K85" s="76" t="s">
        <v>67</v>
      </c>
      <c r="L85" s="76" t="s">
        <v>66</v>
      </c>
      <c r="M85" s="76"/>
      <c r="N85" s="76" t="s">
        <v>64</v>
      </c>
      <c r="O85" s="76" t="s">
        <v>64</v>
      </c>
      <c r="P85" s="76"/>
      <c r="Q85" s="76">
        <v>58.420000000000009</v>
      </c>
      <c r="R85" s="76">
        <v>1155</v>
      </c>
      <c r="T85" s="68">
        <v>65189.67</v>
      </c>
    </row>
    <row r="86" spans="2:20" x14ac:dyDescent="0.3">
      <c r="B86" s="1">
        <v>2017</v>
      </c>
      <c r="C86" s="1" t="s">
        <v>65</v>
      </c>
      <c r="D86" s="65" t="s">
        <v>62</v>
      </c>
      <c r="E86" s="65"/>
      <c r="F86" s="76">
        <f t="shared" si="1"/>
        <v>24545</v>
      </c>
      <c r="G86" s="65"/>
      <c r="H86" s="76">
        <v>1</v>
      </c>
      <c r="I86" s="76">
        <v>2</v>
      </c>
      <c r="J86" s="76"/>
      <c r="K86" s="76" t="s">
        <v>67</v>
      </c>
      <c r="L86" s="76" t="s">
        <v>66</v>
      </c>
      <c r="M86" s="76"/>
      <c r="N86" s="76">
        <v>7.68</v>
      </c>
      <c r="O86" s="76">
        <v>180</v>
      </c>
      <c r="P86" s="76"/>
      <c r="Q86" s="76">
        <v>1948.8199999999997</v>
      </c>
      <c r="R86" s="76">
        <v>24363</v>
      </c>
      <c r="T86" s="68">
        <v>1242255.4300000002</v>
      </c>
    </row>
    <row r="87" spans="2:20" x14ac:dyDescent="0.3">
      <c r="B87" s="1">
        <v>2018</v>
      </c>
      <c r="C87" s="1" t="s">
        <v>65</v>
      </c>
      <c r="D87" s="65" t="s">
        <v>58</v>
      </c>
      <c r="E87" s="65"/>
      <c r="F87" s="76">
        <f t="shared" si="1"/>
        <v>3327</v>
      </c>
      <c r="G87" s="65"/>
      <c r="H87" s="76">
        <v>0</v>
      </c>
      <c r="I87" s="76" t="s">
        <v>66</v>
      </c>
      <c r="J87" s="76"/>
      <c r="K87" s="76" t="s">
        <v>67</v>
      </c>
      <c r="L87" s="76" t="s">
        <v>66</v>
      </c>
      <c r="M87" s="76"/>
      <c r="N87" s="76" t="s">
        <v>64</v>
      </c>
      <c r="O87" s="76" t="s">
        <v>64</v>
      </c>
      <c r="P87" s="76"/>
      <c r="Q87" s="76">
        <v>400.83000000000004</v>
      </c>
      <c r="R87" s="76">
        <v>3327</v>
      </c>
      <c r="T87" s="68">
        <v>147879.63</v>
      </c>
    </row>
    <row r="88" spans="2:20" x14ac:dyDescent="0.3">
      <c r="B88" s="1">
        <v>2018</v>
      </c>
      <c r="C88" s="1" t="s">
        <v>65</v>
      </c>
      <c r="D88" s="65" t="s">
        <v>60</v>
      </c>
      <c r="E88" s="65"/>
      <c r="F88" s="76">
        <f t="shared" si="1"/>
        <v>19532</v>
      </c>
      <c r="G88" s="65"/>
      <c r="H88" s="76">
        <v>0</v>
      </c>
      <c r="I88" s="76" t="s">
        <v>66</v>
      </c>
      <c r="J88" s="76"/>
      <c r="K88" s="76">
        <v>64</v>
      </c>
      <c r="L88" s="76">
        <v>64</v>
      </c>
      <c r="M88" s="76"/>
      <c r="N88" s="76">
        <v>7.24</v>
      </c>
      <c r="O88" s="76">
        <v>118</v>
      </c>
      <c r="P88" s="76"/>
      <c r="Q88" s="76">
        <v>1257.3599999999999</v>
      </c>
      <c r="R88" s="76">
        <v>19350</v>
      </c>
      <c r="T88" s="68">
        <v>884431.02999999991</v>
      </c>
    </row>
    <row r="89" spans="2:20" x14ac:dyDescent="0.3">
      <c r="B89" s="1">
        <v>2018</v>
      </c>
      <c r="C89" s="1" t="s">
        <v>65</v>
      </c>
      <c r="D89" s="65" t="s">
        <v>61</v>
      </c>
      <c r="E89" s="65"/>
      <c r="F89" s="76">
        <f t="shared" si="1"/>
        <v>7404</v>
      </c>
      <c r="G89" s="65"/>
      <c r="H89" s="76">
        <v>0</v>
      </c>
      <c r="I89" s="76" t="s">
        <v>66</v>
      </c>
      <c r="J89" s="76"/>
      <c r="K89" s="76" t="s">
        <v>67</v>
      </c>
      <c r="L89" s="76" t="s">
        <v>66</v>
      </c>
      <c r="M89" s="76"/>
      <c r="N89" s="76" t="s">
        <v>64</v>
      </c>
      <c r="O89" s="76" t="s">
        <v>64</v>
      </c>
      <c r="P89" s="76"/>
      <c r="Q89" s="76">
        <v>574.10000000000014</v>
      </c>
      <c r="R89" s="76">
        <v>7404</v>
      </c>
      <c r="T89" s="68">
        <v>339085.64000000007</v>
      </c>
    </row>
    <row r="90" spans="2:20" x14ac:dyDescent="0.3">
      <c r="B90" s="1">
        <v>2018</v>
      </c>
      <c r="C90" s="1" t="s">
        <v>65</v>
      </c>
      <c r="D90" s="65" t="s">
        <v>62</v>
      </c>
      <c r="E90" s="65"/>
      <c r="F90" s="76">
        <f t="shared" si="1"/>
        <v>30263</v>
      </c>
      <c r="G90" s="65"/>
      <c r="H90" s="76">
        <v>0</v>
      </c>
      <c r="I90" s="76" t="s">
        <v>66</v>
      </c>
      <c r="J90" s="76"/>
      <c r="K90" s="76">
        <v>64</v>
      </c>
      <c r="L90" s="76">
        <v>64</v>
      </c>
      <c r="M90" s="76"/>
      <c r="N90" s="76">
        <v>7.24</v>
      </c>
      <c r="O90" s="76">
        <v>118</v>
      </c>
      <c r="P90" s="76"/>
      <c r="Q90" s="76">
        <v>2232.29</v>
      </c>
      <c r="R90" s="76">
        <v>30081</v>
      </c>
      <c r="T90" s="68">
        <v>1371396.3</v>
      </c>
    </row>
    <row r="91" spans="2:20" x14ac:dyDescent="0.3">
      <c r="B91" s="1">
        <v>2019</v>
      </c>
      <c r="C91" s="1" t="s">
        <v>65</v>
      </c>
      <c r="D91" s="72" t="s">
        <v>58</v>
      </c>
      <c r="E91" s="72"/>
      <c r="F91" s="76">
        <f t="shared" si="1"/>
        <v>8639</v>
      </c>
      <c r="G91" s="72"/>
      <c r="H91" s="77">
        <v>0</v>
      </c>
      <c r="I91" s="77" t="s">
        <v>66</v>
      </c>
      <c r="J91" s="77"/>
      <c r="K91" s="77" t="s">
        <v>67</v>
      </c>
      <c r="L91" s="77" t="s">
        <v>66</v>
      </c>
      <c r="M91" s="77"/>
      <c r="N91" s="77" t="s">
        <v>64</v>
      </c>
      <c r="O91" s="77" t="s">
        <v>64</v>
      </c>
      <c r="P91" s="77"/>
      <c r="Q91" s="77">
        <v>1220.0900000000001</v>
      </c>
      <c r="R91" s="77">
        <v>8639</v>
      </c>
      <c r="T91" s="73">
        <v>422585.5300000002</v>
      </c>
    </row>
    <row r="92" spans="2:20" x14ac:dyDescent="0.3">
      <c r="B92" s="1">
        <v>2019</v>
      </c>
      <c r="C92" s="1" t="s">
        <v>65</v>
      </c>
      <c r="D92" s="72" t="s">
        <v>60</v>
      </c>
      <c r="E92" s="72"/>
      <c r="F92" s="76">
        <f t="shared" si="1"/>
        <v>32858</v>
      </c>
      <c r="G92" s="72"/>
      <c r="H92" s="77">
        <v>0</v>
      </c>
      <c r="I92" s="77" t="s">
        <v>66</v>
      </c>
      <c r="J92" s="77"/>
      <c r="K92" s="77" t="s">
        <v>67</v>
      </c>
      <c r="L92" s="77" t="s">
        <v>66</v>
      </c>
      <c r="M92" s="77"/>
      <c r="N92" s="77">
        <v>11.64</v>
      </c>
      <c r="O92" s="77">
        <v>180</v>
      </c>
      <c r="P92" s="77"/>
      <c r="Q92" s="77">
        <v>1998.63</v>
      </c>
      <c r="R92" s="77">
        <v>32678</v>
      </c>
      <c r="T92" s="73">
        <v>1573988.1800000002</v>
      </c>
    </row>
    <row r="93" spans="2:20" x14ac:dyDescent="0.3">
      <c r="B93" s="1">
        <v>2019</v>
      </c>
      <c r="C93" s="1" t="s">
        <v>65</v>
      </c>
      <c r="D93" s="72" t="s">
        <v>61</v>
      </c>
      <c r="E93" s="72"/>
      <c r="F93" s="76">
        <f t="shared" si="1"/>
        <v>8720.5</v>
      </c>
      <c r="G93" s="72"/>
      <c r="H93" s="77">
        <v>0</v>
      </c>
      <c r="I93" s="77" t="s">
        <v>66</v>
      </c>
      <c r="J93" s="77"/>
      <c r="K93" s="77" t="s">
        <v>67</v>
      </c>
      <c r="L93" s="77" t="s">
        <v>66</v>
      </c>
      <c r="M93" s="77"/>
      <c r="N93" s="77" t="s">
        <v>64</v>
      </c>
      <c r="O93" s="77" t="s">
        <v>64</v>
      </c>
      <c r="P93" s="77"/>
      <c r="Q93" s="77">
        <v>907.4799999999999</v>
      </c>
      <c r="R93" s="77">
        <v>8720.5</v>
      </c>
      <c r="T93" s="73">
        <v>452711.87999999995</v>
      </c>
    </row>
    <row r="94" spans="2:20" x14ac:dyDescent="0.3">
      <c r="B94" s="1">
        <v>2019</v>
      </c>
      <c r="C94" s="1" t="s">
        <v>65</v>
      </c>
      <c r="D94" s="72" t="s">
        <v>62</v>
      </c>
      <c r="E94" s="72"/>
      <c r="F94" s="76">
        <f t="shared" si="1"/>
        <v>50217.5</v>
      </c>
      <c r="G94" s="72"/>
      <c r="H94" s="77">
        <v>0</v>
      </c>
      <c r="I94" s="77" t="s">
        <v>66</v>
      </c>
      <c r="J94" s="77"/>
      <c r="K94" s="77" t="s">
        <v>67</v>
      </c>
      <c r="L94" s="77" t="s">
        <v>66</v>
      </c>
      <c r="M94" s="77"/>
      <c r="N94" s="77">
        <v>11.64</v>
      </c>
      <c r="O94" s="77">
        <v>180</v>
      </c>
      <c r="P94" s="77"/>
      <c r="Q94" s="77">
        <v>3813.51</v>
      </c>
      <c r="R94" s="77">
        <v>50037.5</v>
      </c>
      <c r="T94" s="73">
        <v>2449285.5900000008</v>
      </c>
    </row>
    <row r="95" spans="2:20" x14ac:dyDescent="0.3">
      <c r="B95" s="1">
        <v>2015</v>
      </c>
      <c r="C95" s="1" t="s">
        <v>68</v>
      </c>
      <c r="D95" s="65" t="s">
        <v>57</v>
      </c>
      <c r="E95" s="65"/>
      <c r="F95" s="76">
        <f t="shared" si="1"/>
        <v>1559</v>
      </c>
      <c r="G95" s="65"/>
      <c r="H95" s="76">
        <v>246</v>
      </c>
      <c r="I95" s="76">
        <v>531</v>
      </c>
      <c r="J95" s="76"/>
      <c r="K95" s="76">
        <v>1258</v>
      </c>
      <c r="L95" s="76">
        <v>663</v>
      </c>
      <c r="M95" s="76"/>
      <c r="N95" s="76">
        <v>2.67</v>
      </c>
      <c r="O95" s="76">
        <v>365</v>
      </c>
      <c r="P95" s="76"/>
      <c r="Q95" s="76" t="s">
        <v>64</v>
      </c>
      <c r="R95" s="76" t="s">
        <v>64</v>
      </c>
      <c r="T95" s="68">
        <v>96102.580000000016</v>
      </c>
    </row>
    <row r="96" spans="2:20" x14ac:dyDescent="0.3">
      <c r="B96" s="1">
        <v>2015</v>
      </c>
      <c r="C96" s="1" t="s">
        <v>68</v>
      </c>
      <c r="D96" s="65" t="s">
        <v>58</v>
      </c>
      <c r="E96" s="65"/>
      <c r="F96" s="76">
        <f t="shared" si="1"/>
        <v>29633.5</v>
      </c>
      <c r="G96" s="65"/>
      <c r="H96" s="76">
        <v>5519</v>
      </c>
      <c r="I96" s="76">
        <v>10977</v>
      </c>
      <c r="J96" s="76"/>
      <c r="K96" s="76">
        <v>15828</v>
      </c>
      <c r="L96" s="76">
        <v>16403.5</v>
      </c>
      <c r="M96" s="76"/>
      <c r="N96" s="76">
        <v>30.820000000000004</v>
      </c>
      <c r="O96" s="76">
        <v>2253</v>
      </c>
      <c r="P96" s="76"/>
      <c r="Q96" s="76" t="s">
        <v>64</v>
      </c>
      <c r="R96" s="76" t="s">
        <v>64</v>
      </c>
      <c r="T96" s="68">
        <v>1165880.1100000001</v>
      </c>
    </row>
    <row r="97" spans="2:20" x14ac:dyDescent="0.3">
      <c r="B97" s="1">
        <v>2015</v>
      </c>
      <c r="C97" s="1" t="s">
        <v>68</v>
      </c>
      <c r="D97" s="65" t="s">
        <v>60</v>
      </c>
      <c r="E97" s="65"/>
      <c r="F97" s="76">
        <f t="shared" si="1"/>
        <v>42000</v>
      </c>
      <c r="G97" s="65"/>
      <c r="H97" s="76">
        <v>5782</v>
      </c>
      <c r="I97" s="76">
        <v>15925</v>
      </c>
      <c r="J97" s="76"/>
      <c r="K97" s="76">
        <v>11720</v>
      </c>
      <c r="L97" s="76">
        <v>16905.5</v>
      </c>
      <c r="M97" s="76"/>
      <c r="N97" s="76">
        <v>122.1600000000001</v>
      </c>
      <c r="O97" s="76">
        <v>9079.5</v>
      </c>
      <c r="P97" s="76"/>
      <c r="Q97" s="76">
        <v>4.25</v>
      </c>
      <c r="R97" s="76">
        <v>90</v>
      </c>
      <c r="T97" s="68">
        <v>1852411.39</v>
      </c>
    </row>
    <row r="98" spans="2:20" x14ac:dyDescent="0.3">
      <c r="B98" s="1">
        <v>2015</v>
      </c>
      <c r="C98" s="1" t="s">
        <v>68</v>
      </c>
      <c r="D98" s="65" t="s">
        <v>61</v>
      </c>
      <c r="E98" s="65"/>
      <c r="F98" s="76">
        <f t="shared" si="1"/>
        <v>16179.5</v>
      </c>
      <c r="G98" s="65"/>
      <c r="H98" s="76">
        <v>2718</v>
      </c>
      <c r="I98" s="76">
        <v>8854</v>
      </c>
      <c r="J98" s="76"/>
      <c r="K98" s="76">
        <v>3028</v>
      </c>
      <c r="L98" s="76">
        <v>6333</v>
      </c>
      <c r="M98" s="76"/>
      <c r="N98" s="76">
        <v>12.25</v>
      </c>
      <c r="O98" s="76">
        <v>992.5</v>
      </c>
      <c r="P98" s="76"/>
      <c r="Q98" s="76" t="s">
        <v>64</v>
      </c>
      <c r="R98" s="76" t="s">
        <v>64</v>
      </c>
      <c r="T98" s="68">
        <v>612168.32000000007</v>
      </c>
    </row>
    <row r="99" spans="2:20" x14ac:dyDescent="0.3">
      <c r="B99" s="1">
        <v>2015</v>
      </c>
      <c r="C99" s="1" t="s">
        <v>68</v>
      </c>
      <c r="D99" s="65" t="s">
        <v>62</v>
      </c>
      <c r="E99" s="65"/>
      <c r="F99" s="76">
        <f t="shared" si="1"/>
        <v>89372</v>
      </c>
      <c r="G99" s="65"/>
      <c r="H99" s="76">
        <v>14265</v>
      </c>
      <c r="I99" s="76">
        <v>36287</v>
      </c>
      <c r="J99" s="76"/>
      <c r="K99" s="76">
        <v>31834</v>
      </c>
      <c r="L99" s="76">
        <v>40305</v>
      </c>
      <c r="M99" s="76"/>
      <c r="N99" s="76">
        <v>167.90000000000012</v>
      </c>
      <c r="O99" s="76">
        <v>12690</v>
      </c>
      <c r="P99" s="76"/>
      <c r="Q99" s="76">
        <v>4.25</v>
      </c>
      <c r="R99" s="76">
        <v>90</v>
      </c>
      <c r="T99" s="68">
        <v>3726562.3999999994</v>
      </c>
    </row>
    <row r="100" spans="2:20" x14ac:dyDescent="0.3">
      <c r="B100" s="1">
        <v>2016</v>
      </c>
      <c r="C100" s="1" t="s">
        <v>68</v>
      </c>
      <c r="D100" s="65" t="s">
        <v>57</v>
      </c>
      <c r="E100" s="65"/>
      <c r="F100" s="76">
        <f t="shared" si="1"/>
        <v>4375.5</v>
      </c>
      <c r="G100" s="65"/>
      <c r="H100" s="76">
        <v>560</v>
      </c>
      <c r="I100" s="76">
        <v>1826.5</v>
      </c>
      <c r="J100" s="76"/>
      <c r="K100" s="76">
        <v>1210</v>
      </c>
      <c r="L100" s="76">
        <v>2549</v>
      </c>
      <c r="M100" s="76"/>
      <c r="N100" s="76" t="s">
        <v>64</v>
      </c>
      <c r="O100" s="76" t="s">
        <v>64</v>
      </c>
      <c r="P100" s="76"/>
      <c r="Q100" s="76" t="s">
        <v>64</v>
      </c>
      <c r="R100" s="76" t="s">
        <v>64</v>
      </c>
      <c r="T100" s="68">
        <v>144260.33000000002</v>
      </c>
    </row>
    <row r="101" spans="2:20" x14ac:dyDescent="0.3">
      <c r="B101" s="1">
        <v>2016</v>
      </c>
      <c r="C101" s="1" t="s">
        <v>68</v>
      </c>
      <c r="D101" s="65" t="s">
        <v>58</v>
      </c>
      <c r="E101" s="65"/>
      <c r="F101" s="76">
        <f t="shared" si="1"/>
        <v>44919.25</v>
      </c>
      <c r="G101" s="65"/>
      <c r="H101" s="76">
        <v>7752</v>
      </c>
      <c r="I101" s="76">
        <v>14681.5</v>
      </c>
      <c r="J101" s="76"/>
      <c r="K101" s="76">
        <v>24550</v>
      </c>
      <c r="L101" s="76">
        <v>30225.75</v>
      </c>
      <c r="M101" s="76"/>
      <c r="N101" s="76">
        <v>1.18</v>
      </c>
      <c r="O101" s="76">
        <v>12</v>
      </c>
      <c r="P101" s="76"/>
      <c r="Q101" s="76" t="s">
        <v>64</v>
      </c>
      <c r="R101" s="76" t="s">
        <v>64</v>
      </c>
      <c r="T101" s="68">
        <v>1760446.82</v>
      </c>
    </row>
    <row r="102" spans="2:20" x14ac:dyDescent="0.3">
      <c r="B102" s="1">
        <v>2016</v>
      </c>
      <c r="C102" s="1" t="s">
        <v>68</v>
      </c>
      <c r="D102" s="65" t="s">
        <v>60</v>
      </c>
      <c r="E102" s="65"/>
      <c r="F102" s="76">
        <f t="shared" si="1"/>
        <v>77187</v>
      </c>
      <c r="G102" s="65"/>
      <c r="H102" s="76">
        <v>13847</v>
      </c>
      <c r="I102" s="76">
        <v>29344</v>
      </c>
      <c r="J102" s="76"/>
      <c r="K102" s="76">
        <v>47024</v>
      </c>
      <c r="L102" s="76">
        <v>29893</v>
      </c>
      <c r="M102" s="76"/>
      <c r="N102" s="76">
        <v>152.24</v>
      </c>
      <c r="O102" s="76">
        <v>17950</v>
      </c>
      <c r="P102" s="76"/>
      <c r="Q102" s="76" t="s">
        <v>64</v>
      </c>
      <c r="R102" s="76" t="s">
        <v>64</v>
      </c>
      <c r="T102" s="68">
        <v>3335352.5400000005</v>
      </c>
    </row>
    <row r="103" spans="2:20" x14ac:dyDescent="0.3">
      <c r="B103" s="1">
        <v>2016</v>
      </c>
      <c r="C103" s="1" t="s">
        <v>68</v>
      </c>
      <c r="D103" s="65" t="s">
        <v>61</v>
      </c>
      <c r="E103" s="65"/>
      <c r="F103" s="76">
        <f t="shared" si="1"/>
        <v>84798</v>
      </c>
      <c r="G103" s="65"/>
      <c r="H103" s="76">
        <v>23463</v>
      </c>
      <c r="I103" s="76">
        <v>45858</v>
      </c>
      <c r="J103" s="76"/>
      <c r="K103" s="76">
        <v>14643</v>
      </c>
      <c r="L103" s="76">
        <v>18982.5</v>
      </c>
      <c r="M103" s="76"/>
      <c r="N103" s="76">
        <v>159.26900000000001</v>
      </c>
      <c r="O103" s="76">
        <v>19957.5</v>
      </c>
      <c r="P103" s="76"/>
      <c r="Q103" s="76" t="s">
        <v>64</v>
      </c>
      <c r="R103" s="76" t="s">
        <v>64</v>
      </c>
      <c r="T103" s="68">
        <v>4040245.5799999996</v>
      </c>
    </row>
    <row r="104" spans="2:20" x14ac:dyDescent="0.3">
      <c r="B104" s="1">
        <v>2016</v>
      </c>
      <c r="C104" s="1" t="s">
        <v>68</v>
      </c>
      <c r="D104" s="65" t="s">
        <v>62</v>
      </c>
      <c r="E104" s="65"/>
      <c r="F104" s="76">
        <f t="shared" si="1"/>
        <v>211279.75</v>
      </c>
      <c r="G104" s="65"/>
      <c r="H104" s="76">
        <v>45622</v>
      </c>
      <c r="I104" s="76">
        <v>91710</v>
      </c>
      <c r="J104" s="76"/>
      <c r="K104" s="76">
        <v>87427</v>
      </c>
      <c r="L104" s="76">
        <v>81650.25</v>
      </c>
      <c r="M104" s="76"/>
      <c r="N104" s="76">
        <v>312.68899999999996</v>
      </c>
      <c r="O104" s="76">
        <v>37919.5</v>
      </c>
      <c r="P104" s="76"/>
      <c r="Q104" s="76" t="s">
        <v>64</v>
      </c>
      <c r="R104" s="76" t="s">
        <v>64</v>
      </c>
      <c r="T104" s="68">
        <v>9280305.2699999996</v>
      </c>
    </row>
    <row r="105" spans="2:20" x14ac:dyDescent="0.3">
      <c r="B105" s="1">
        <v>2017</v>
      </c>
      <c r="C105" s="1" t="s">
        <v>68</v>
      </c>
      <c r="D105" s="65" t="s">
        <v>58</v>
      </c>
      <c r="E105" s="65"/>
      <c r="F105" s="76">
        <f t="shared" si="1"/>
        <v>53585</v>
      </c>
      <c r="G105" s="65"/>
      <c r="H105" s="76">
        <v>9926</v>
      </c>
      <c r="I105" s="76">
        <v>18314.5</v>
      </c>
      <c r="J105" s="76"/>
      <c r="K105" s="76">
        <v>25249</v>
      </c>
      <c r="L105" s="76">
        <v>33516.5</v>
      </c>
      <c r="M105" s="76"/>
      <c r="N105" s="76">
        <v>96.140000000000015</v>
      </c>
      <c r="O105" s="76">
        <v>1754</v>
      </c>
      <c r="P105" s="76"/>
      <c r="Q105" s="76" t="s">
        <v>64</v>
      </c>
      <c r="R105" s="76" t="s">
        <v>64</v>
      </c>
      <c r="T105" s="68">
        <v>2571570.5300000003</v>
      </c>
    </row>
    <row r="106" spans="2:20" x14ac:dyDescent="0.3">
      <c r="B106" s="1">
        <v>2017</v>
      </c>
      <c r="C106" s="1" t="s">
        <v>68</v>
      </c>
      <c r="D106" s="65" t="s">
        <v>60</v>
      </c>
      <c r="E106" s="65"/>
      <c r="F106" s="76">
        <f t="shared" si="1"/>
        <v>12074</v>
      </c>
      <c r="G106" s="65"/>
      <c r="H106" s="76">
        <v>2755</v>
      </c>
      <c r="I106" s="76">
        <v>4462</v>
      </c>
      <c r="J106" s="76"/>
      <c r="K106" s="76">
        <v>2935</v>
      </c>
      <c r="L106" s="76">
        <v>3949</v>
      </c>
      <c r="M106" s="76"/>
      <c r="N106" s="76">
        <v>7.0000000000000007E-2</v>
      </c>
      <c r="O106" s="76">
        <v>3663</v>
      </c>
      <c r="P106" s="76"/>
      <c r="Q106" s="76" t="s">
        <v>64</v>
      </c>
      <c r="R106" s="76" t="s">
        <v>64</v>
      </c>
      <c r="T106" s="68">
        <v>585319.64</v>
      </c>
    </row>
    <row r="107" spans="2:20" x14ac:dyDescent="0.3">
      <c r="B107" s="1">
        <v>2017</v>
      </c>
      <c r="C107" s="1" t="s">
        <v>68</v>
      </c>
      <c r="D107" s="65" t="s">
        <v>61</v>
      </c>
      <c r="E107" s="65"/>
      <c r="F107" s="76">
        <f t="shared" si="1"/>
        <v>23985.5</v>
      </c>
      <c r="G107" s="65"/>
      <c r="H107" s="76">
        <v>7739</v>
      </c>
      <c r="I107" s="76">
        <v>14326</v>
      </c>
      <c r="J107" s="76"/>
      <c r="K107" s="76">
        <v>3187</v>
      </c>
      <c r="L107" s="76">
        <v>5421.5</v>
      </c>
      <c r="M107" s="76"/>
      <c r="N107" s="76">
        <v>22.729999999999997</v>
      </c>
      <c r="O107" s="76">
        <v>4238</v>
      </c>
      <c r="P107" s="76"/>
      <c r="Q107" s="76" t="s">
        <v>64</v>
      </c>
      <c r="R107" s="76" t="s">
        <v>64</v>
      </c>
      <c r="T107" s="68">
        <v>1275730.5599999998</v>
      </c>
    </row>
    <row r="108" spans="2:20" x14ac:dyDescent="0.3">
      <c r="B108" s="1">
        <v>2017</v>
      </c>
      <c r="C108" s="1" t="s">
        <v>68</v>
      </c>
      <c r="D108" s="65" t="s">
        <v>62</v>
      </c>
      <c r="E108" s="65"/>
      <c r="F108" s="76">
        <f t="shared" si="1"/>
        <v>89644.5</v>
      </c>
      <c r="G108" s="65"/>
      <c r="H108" s="76">
        <v>20420</v>
      </c>
      <c r="I108" s="76">
        <v>37102.5</v>
      </c>
      <c r="J108" s="76"/>
      <c r="K108" s="76">
        <v>31371</v>
      </c>
      <c r="L108" s="76">
        <v>42887</v>
      </c>
      <c r="M108" s="76"/>
      <c r="N108" s="76">
        <v>118.94000000000001</v>
      </c>
      <c r="O108" s="76">
        <v>9655</v>
      </c>
      <c r="P108" s="76"/>
      <c r="Q108" s="76" t="s">
        <v>64</v>
      </c>
      <c r="R108" s="76" t="s">
        <v>64</v>
      </c>
      <c r="T108" s="68">
        <v>4432620.7300000004</v>
      </c>
    </row>
    <row r="109" spans="2:20" x14ac:dyDescent="0.3">
      <c r="B109" s="1">
        <v>2018</v>
      </c>
      <c r="C109" s="1" t="s">
        <v>68</v>
      </c>
      <c r="D109" s="65" t="s">
        <v>58</v>
      </c>
      <c r="E109" s="65"/>
      <c r="F109" s="76">
        <f t="shared" si="1"/>
        <v>156950</v>
      </c>
      <c r="G109" s="65"/>
      <c r="H109" s="76">
        <v>21047</v>
      </c>
      <c r="I109" s="76">
        <v>39166</v>
      </c>
      <c r="J109" s="76"/>
      <c r="K109" s="76">
        <v>91966</v>
      </c>
      <c r="L109" s="76">
        <v>97611.5</v>
      </c>
      <c r="M109" s="76"/>
      <c r="N109" s="76">
        <v>1117.8790000000001</v>
      </c>
      <c r="O109" s="76">
        <v>20064.5</v>
      </c>
      <c r="P109" s="76"/>
      <c r="Q109" s="76">
        <v>8.91</v>
      </c>
      <c r="R109" s="76">
        <v>108</v>
      </c>
      <c r="T109" s="68">
        <v>6311976.6300000018</v>
      </c>
    </row>
    <row r="110" spans="2:20" x14ac:dyDescent="0.3">
      <c r="B110" s="1">
        <v>2018</v>
      </c>
      <c r="C110" s="1" t="s">
        <v>68</v>
      </c>
      <c r="D110" s="65" t="s">
        <v>60</v>
      </c>
      <c r="E110" s="65"/>
      <c r="F110" s="76">
        <f t="shared" si="1"/>
        <v>130336</v>
      </c>
      <c r="G110" s="65"/>
      <c r="H110" s="76">
        <v>13779</v>
      </c>
      <c r="I110" s="76">
        <v>30545.5</v>
      </c>
      <c r="J110" s="76"/>
      <c r="K110" s="76">
        <v>55711</v>
      </c>
      <c r="L110" s="76">
        <v>69377.5</v>
      </c>
      <c r="M110" s="76"/>
      <c r="N110" s="76">
        <v>1099.7399999999998</v>
      </c>
      <c r="O110" s="76">
        <v>30394</v>
      </c>
      <c r="P110" s="76"/>
      <c r="Q110" s="76">
        <v>0.54</v>
      </c>
      <c r="R110" s="76">
        <v>19</v>
      </c>
      <c r="T110" s="68">
        <v>5025469.8000000007</v>
      </c>
    </row>
    <row r="111" spans="2:20" x14ac:dyDescent="0.3">
      <c r="B111" s="1">
        <v>2018</v>
      </c>
      <c r="C111" s="1" t="s">
        <v>68</v>
      </c>
      <c r="D111" s="65" t="s">
        <v>61</v>
      </c>
      <c r="E111" s="65"/>
      <c r="F111" s="76">
        <f t="shared" si="1"/>
        <v>101953</v>
      </c>
      <c r="G111" s="65"/>
      <c r="H111" s="76">
        <v>18542</v>
      </c>
      <c r="I111" s="76">
        <v>45987.5</v>
      </c>
      <c r="J111" s="76"/>
      <c r="K111" s="76">
        <v>29776</v>
      </c>
      <c r="L111" s="76">
        <v>43245.25</v>
      </c>
      <c r="M111" s="76"/>
      <c r="N111" s="76">
        <v>581.29999999999995</v>
      </c>
      <c r="O111" s="76">
        <v>12706.25</v>
      </c>
      <c r="P111" s="76"/>
      <c r="Q111" s="76">
        <v>0.96</v>
      </c>
      <c r="R111" s="76">
        <v>14</v>
      </c>
      <c r="T111" s="68">
        <v>4154937.81</v>
      </c>
    </row>
    <row r="112" spans="2:20" x14ac:dyDescent="0.3">
      <c r="B112" s="1">
        <v>2018</v>
      </c>
      <c r="C112" s="1" t="s">
        <v>68</v>
      </c>
      <c r="D112" s="65" t="s">
        <v>62</v>
      </c>
      <c r="E112" s="65"/>
      <c r="F112" s="76">
        <f t="shared" si="1"/>
        <v>389239</v>
      </c>
      <c r="G112" s="65"/>
      <c r="H112" s="76">
        <v>53368</v>
      </c>
      <c r="I112" s="76">
        <v>115699</v>
      </c>
      <c r="J112" s="76"/>
      <c r="K112" s="76">
        <v>177453</v>
      </c>
      <c r="L112" s="76">
        <v>210234.25</v>
      </c>
      <c r="M112" s="76"/>
      <c r="N112" s="76">
        <v>2798.918999999999</v>
      </c>
      <c r="O112" s="76">
        <v>63164.75</v>
      </c>
      <c r="P112" s="76"/>
      <c r="Q112" s="76">
        <v>10.41</v>
      </c>
      <c r="R112" s="76">
        <v>141</v>
      </c>
      <c r="T112" s="68">
        <v>15492384.240000004</v>
      </c>
    </row>
    <row r="113" spans="2:20" x14ac:dyDescent="0.3">
      <c r="B113" s="1">
        <v>2015</v>
      </c>
      <c r="C113" s="1" t="s">
        <v>69</v>
      </c>
      <c r="D113" s="65" t="s">
        <v>58</v>
      </c>
      <c r="E113" s="65"/>
      <c r="F113" s="76">
        <f t="shared" si="1"/>
        <v>110</v>
      </c>
      <c r="G113" s="65"/>
      <c r="H113" s="76">
        <v>0</v>
      </c>
      <c r="I113" s="76" t="s">
        <v>66</v>
      </c>
      <c r="J113" s="76"/>
      <c r="K113" s="76" t="s">
        <v>67</v>
      </c>
      <c r="L113" s="76" t="s">
        <v>66</v>
      </c>
      <c r="M113" s="76"/>
      <c r="N113" s="76" t="s">
        <v>64</v>
      </c>
      <c r="O113" s="76" t="s">
        <v>64</v>
      </c>
      <c r="P113" s="76"/>
      <c r="Q113" s="76">
        <v>6</v>
      </c>
      <c r="R113" s="76">
        <v>110</v>
      </c>
      <c r="T113" s="68">
        <v>7670.51</v>
      </c>
    </row>
    <row r="114" spans="2:20" x14ac:dyDescent="0.3">
      <c r="B114" s="1">
        <v>2015</v>
      </c>
      <c r="C114" s="1" t="s">
        <v>69</v>
      </c>
      <c r="D114" s="65" t="s">
        <v>60</v>
      </c>
      <c r="E114" s="65"/>
      <c r="F114" s="76">
        <f t="shared" si="1"/>
        <v>150</v>
      </c>
      <c r="G114" s="65"/>
      <c r="H114" s="76">
        <v>0</v>
      </c>
      <c r="I114" s="76" t="s">
        <v>66</v>
      </c>
      <c r="J114" s="76"/>
      <c r="K114" s="76" t="s">
        <v>67</v>
      </c>
      <c r="L114" s="76" t="s">
        <v>66</v>
      </c>
      <c r="M114" s="76"/>
      <c r="N114" s="76" t="s">
        <v>64</v>
      </c>
      <c r="O114" s="76" t="s">
        <v>64</v>
      </c>
      <c r="P114" s="76"/>
      <c r="Q114" s="76">
        <v>5.58</v>
      </c>
      <c r="R114" s="76">
        <v>150</v>
      </c>
      <c r="T114" s="68">
        <v>4796.8</v>
      </c>
    </row>
    <row r="115" spans="2:20" x14ac:dyDescent="0.3">
      <c r="B115" s="1">
        <v>2015</v>
      </c>
      <c r="C115" s="1" t="s">
        <v>69</v>
      </c>
      <c r="D115" s="65" t="s">
        <v>61</v>
      </c>
      <c r="E115" s="65"/>
      <c r="F115" s="76">
        <f t="shared" si="1"/>
        <v>723</v>
      </c>
      <c r="G115" s="65"/>
      <c r="H115" s="76">
        <v>0</v>
      </c>
      <c r="I115" s="76" t="s">
        <v>66</v>
      </c>
      <c r="J115" s="76"/>
      <c r="K115" s="76" t="s">
        <v>67</v>
      </c>
      <c r="L115" s="76" t="s">
        <v>66</v>
      </c>
      <c r="M115" s="76"/>
      <c r="N115" s="76" t="s">
        <v>64</v>
      </c>
      <c r="O115" s="76" t="s">
        <v>64</v>
      </c>
      <c r="P115" s="76"/>
      <c r="Q115" s="76">
        <v>73.080000000000027</v>
      </c>
      <c r="R115" s="76">
        <v>723</v>
      </c>
      <c r="T115" s="68">
        <v>70634.030000000013</v>
      </c>
    </row>
    <row r="116" spans="2:20" x14ac:dyDescent="0.3">
      <c r="B116" s="1">
        <v>2015</v>
      </c>
      <c r="C116" s="1" t="s">
        <v>69</v>
      </c>
      <c r="D116" s="65" t="s">
        <v>62</v>
      </c>
      <c r="E116" s="65"/>
      <c r="F116" s="76">
        <f t="shared" si="1"/>
        <v>983</v>
      </c>
      <c r="G116" s="65"/>
      <c r="H116" s="76">
        <v>0</v>
      </c>
      <c r="I116" s="76" t="s">
        <v>66</v>
      </c>
      <c r="J116" s="76"/>
      <c r="K116" s="76" t="s">
        <v>67</v>
      </c>
      <c r="L116" s="76" t="s">
        <v>66</v>
      </c>
      <c r="M116" s="76"/>
      <c r="N116" s="76" t="s">
        <v>64</v>
      </c>
      <c r="O116" s="76" t="s">
        <v>64</v>
      </c>
      <c r="P116" s="76"/>
      <c r="Q116" s="76">
        <v>84.660000000000025</v>
      </c>
      <c r="R116" s="76">
        <v>983</v>
      </c>
      <c r="T116" s="68">
        <v>83101.340000000011</v>
      </c>
    </row>
    <row r="117" spans="2:20" x14ac:dyDescent="0.3">
      <c r="B117" s="1">
        <v>2016</v>
      </c>
      <c r="C117" s="1" t="s">
        <v>69</v>
      </c>
      <c r="D117" s="65" t="s">
        <v>57</v>
      </c>
      <c r="E117" s="65"/>
      <c r="F117" s="76">
        <f t="shared" si="1"/>
        <v>0</v>
      </c>
      <c r="G117" s="65"/>
      <c r="H117" s="76">
        <v>0</v>
      </c>
      <c r="I117" s="76" t="s">
        <v>66</v>
      </c>
      <c r="J117" s="76"/>
      <c r="K117" s="76" t="s">
        <v>67</v>
      </c>
      <c r="L117" s="76" t="s">
        <v>66</v>
      </c>
      <c r="M117" s="76"/>
      <c r="N117" s="76" t="s">
        <v>64</v>
      </c>
      <c r="O117" s="76" t="s">
        <v>64</v>
      </c>
      <c r="P117" s="76"/>
      <c r="Q117" s="76"/>
      <c r="R117" s="76"/>
    </row>
    <row r="118" spans="2:20" x14ac:dyDescent="0.3">
      <c r="B118" s="1">
        <v>2016</v>
      </c>
      <c r="C118" s="1" t="s">
        <v>69</v>
      </c>
      <c r="D118" s="65" t="s">
        <v>58</v>
      </c>
      <c r="E118" s="65"/>
      <c r="F118" s="76">
        <f t="shared" si="1"/>
        <v>1237</v>
      </c>
      <c r="G118" s="65"/>
      <c r="H118" s="76">
        <v>0</v>
      </c>
      <c r="I118" s="76" t="s">
        <v>66</v>
      </c>
      <c r="J118" s="76"/>
      <c r="K118" s="76" t="s">
        <v>67</v>
      </c>
      <c r="L118" s="76" t="s">
        <v>66</v>
      </c>
      <c r="M118" s="76"/>
      <c r="N118" s="76" t="s">
        <v>64</v>
      </c>
      <c r="O118" s="76" t="s">
        <v>64</v>
      </c>
      <c r="P118" s="79"/>
      <c r="Q118" s="79">
        <v>109.19000000000001</v>
      </c>
      <c r="R118" s="79">
        <v>1237</v>
      </c>
      <c r="T118" s="75">
        <v>64973.700000000012</v>
      </c>
    </row>
    <row r="119" spans="2:20" x14ac:dyDescent="0.3">
      <c r="B119" s="1">
        <v>2016</v>
      </c>
      <c r="C119" s="1" t="s">
        <v>69</v>
      </c>
      <c r="D119" s="65" t="s">
        <v>60</v>
      </c>
      <c r="E119" s="65"/>
      <c r="F119" s="76">
        <f t="shared" si="1"/>
        <v>6148.5</v>
      </c>
      <c r="G119" s="65"/>
      <c r="H119" s="76">
        <v>0</v>
      </c>
      <c r="I119" s="76" t="s">
        <v>66</v>
      </c>
      <c r="J119" s="76"/>
      <c r="K119" s="76" t="s">
        <v>67</v>
      </c>
      <c r="L119" s="76" t="s">
        <v>66</v>
      </c>
      <c r="M119" s="76"/>
      <c r="N119" s="76" t="s">
        <v>64</v>
      </c>
      <c r="O119" s="76" t="s">
        <v>64</v>
      </c>
      <c r="P119" s="77"/>
      <c r="Q119" s="79">
        <v>493.00000000000006</v>
      </c>
      <c r="R119" s="79">
        <v>6148.5</v>
      </c>
      <c r="T119" s="75">
        <v>289913.72000000003</v>
      </c>
    </row>
    <row r="120" spans="2:20" x14ac:dyDescent="0.3">
      <c r="B120" s="1">
        <v>2016</v>
      </c>
      <c r="C120" s="1" t="s">
        <v>69</v>
      </c>
      <c r="D120" s="65" t="s">
        <v>61</v>
      </c>
      <c r="E120" s="65"/>
      <c r="F120" s="76">
        <f t="shared" si="1"/>
        <v>1299</v>
      </c>
      <c r="G120" s="65"/>
      <c r="H120" s="76">
        <v>0</v>
      </c>
      <c r="I120" s="76" t="s">
        <v>66</v>
      </c>
      <c r="J120" s="76"/>
      <c r="K120" s="76" t="s">
        <v>67</v>
      </c>
      <c r="L120" s="76" t="s">
        <v>66</v>
      </c>
      <c r="M120" s="76"/>
      <c r="N120" s="76" t="s">
        <v>64</v>
      </c>
      <c r="O120" s="76" t="s">
        <v>64</v>
      </c>
      <c r="P120" s="77"/>
      <c r="Q120" s="77">
        <v>93.97</v>
      </c>
      <c r="R120" s="77">
        <v>1299</v>
      </c>
      <c r="T120" s="75">
        <v>49922.80000000001</v>
      </c>
    </row>
    <row r="121" spans="2:20" x14ac:dyDescent="0.3">
      <c r="B121" s="1">
        <v>2016</v>
      </c>
      <c r="C121" s="1" t="s">
        <v>69</v>
      </c>
      <c r="D121" s="65" t="s">
        <v>62</v>
      </c>
      <c r="E121" s="65"/>
      <c r="F121" s="76">
        <f t="shared" si="1"/>
        <v>8684.5</v>
      </c>
      <c r="G121" s="65"/>
      <c r="H121" s="76">
        <v>0</v>
      </c>
      <c r="I121" s="76" t="s">
        <v>66</v>
      </c>
      <c r="J121" s="76"/>
      <c r="K121" s="76" t="s">
        <v>67</v>
      </c>
      <c r="L121" s="76" t="s">
        <v>66</v>
      </c>
      <c r="M121" s="76"/>
      <c r="N121" s="76" t="s">
        <v>64</v>
      </c>
      <c r="O121" s="76" t="s">
        <v>64</v>
      </c>
      <c r="P121" s="78"/>
      <c r="Q121" s="78">
        <v>696.16000000000008</v>
      </c>
      <c r="R121" s="78">
        <v>8684.5</v>
      </c>
      <c r="T121" s="71">
        <v>404810.22000000003</v>
      </c>
    </row>
    <row r="122" spans="2:20" x14ac:dyDescent="0.3">
      <c r="B122" s="1">
        <v>2017</v>
      </c>
      <c r="C122" s="1" t="s">
        <v>69</v>
      </c>
      <c r="D122" s="65" t="s">
        <v>57</v>
      </c>
      <c r="E122" s="65"/>
      <c r="F122" s="76">
        <f t="shared" si="1"/>
        <v>0</v>
      </c>
      <c r="G122" s="65"/>
      <c r="H122" s="76">
        <v>0</v>
      </c>
      <c r="I122" s="76" t="s">
        <v>66</v>
      </c>
      <c r="J122" s="76"/>
      <c r="K122" s="76" t="s">
        <v>67</v>
      </c>
      <c r="L122" s="76" t="s">
        <v>66</v>
      </c>
      <c r="M122" s="76"/>
      <c r="N122" s="76" t="s">
        <v>64</v>
      </c>
      <c r="O122" s="76" t="s">
        <v>64</v>
      </c>
      <c r="P122" s="78"/>
      <c r="Q122" s="78"/>
      <c r="R122" s="78"/>
    </row>
    <row r="123" spans="2:20" x14ac:dyDescent="0.3">
      <c r="B123" s="1">
        <v>2017</v>
      </c>
      <c r="C123" s="1" t="s">
        <v>69</v>
      </c>
      <c r="D123" s="65" t="s">
        <v>58</v>
      </c>
      <c r="E123" s="65"/>
      <c r="F123" s="76">
        <f t="shared" si="1"/>
        <v>0</v>
      </c>
      <c r="G123" s="65"/>
      <c r="H123" s="76">
        <v>0</v>
      </c>
      <c r="I123" s="76" t="s">
        <v>66</v>
      </c>
      <c r="J123" s="76"/>
      <c r="K123" s="76" t="s">
        <v>67</v>
      </c>
      <c r="L123" s="76" t="s">
        <v>66</v>
      </c>
      <c r="M123" s="76"/>
      <c r="N123" s="76" t="s">
        <v>64</v>
      </c>
      <c r="O123" s="76" t="s">
        <v>64</v>
      </c>
      <c r="P123" s="78"/>
      <c r="Q123" s="78"/>
      <c r="R123" s="78"/>
    </row>
    <row r="124" spans="2:20" x14ac:dyDescent="0.3">
      <c r="B124" s="1">
        <v>2017</v>
      </c>
      <c r="C124" s="1" t="s">
        <v>69</v>
      </c>
      <c r="D124" s="65" t="s">
        <v>60</v>
      </c>
      <c r="E124" s="65"/>
      <c r="F124" s="76">
        <f t="shared" si="1"/>
        <v>2688</v>
      </c>
      <c r="G124" s="65"/>
      <c r="H124" s="76">
        <v>0</v>
      </c>
      <c r="I124" s="76" t="s">
        <v>66</v>
      </c>
      <c r="J124" s="76"/>
      <c r="K124" s="76" t="s">
        <v>67</v>
      </c>
      <c r="L124" s="76" t="s">
        <v>66</v>
      </c>
      <c r="M124" s="76"/>
      <c r="N124" s="76" t="s">
        <v>64</v>
      </c>
      <c r="O124" s="76" t="s">
        <v>64</v>
      </c>
      <c r="P124" s="78"/>
      <c r="Q124" s="77">
        <v>153.17000000000002</v>
      </c>
      <c r="R124" s="77">
        <v>2688</v>
      </c>
      <c r="S124" s="74"/>
      <c r="T124" s="73">
        <v>109935.48000000001</v>
      </c>
    </row>
    <row r="125" spans="2:20" x14ac:dyDescent="0.3">
      <c r="B125" s="1">
        <v>2017</v>
      </c>
      <c r="C125" s="1" t="s">
        <v>69</v>
      </c>
      <c r="D125" s="65" t="s">
        <v>61</v>
      </c>
      <c r="E125" s="65"/>
      <c r="F125" s="76">
        <f t="shared" si="1"/>
        <v>24</v>
      </c>
      <c r="G125" s="65"/>
      <c r="H125" s="76">
        <v>0</v>
      </c>
      <c r="I125" s="76" t="s">
        <v>66</v>
      </c>
      <c r="J125" s="76"/>
      <c r="K125" s="76" t="s">
        <v>67</v>
      </c>
      <c r="L125" s="76" t="s">
        <v>66</v>
      </c>
      <c r="M125" s="76"/>
      <c r="N125" s="76" t="s">
        <v>64</v>
      </c>
      <c r="O125" s="76" t="s">
        <v>64</v>
      </c>
      <c r="P125" s="78"/>
      <c r="Q125" s="77">
        <v>1.08</v>
      </c>
      <c r="R125" s="77">
        <v>24</v>
      </c>
      <c r="S125" s="74"/>
      <c r="T125" s="73">
        <v>836.26</v>
      </c>
    </row>
    <row r="126" spans="2:20" x14ac:dyDescent="0.3">
      <c r="B126" s="1">
        <v>2017</v>
      </c>
      <c r="C126" s="1" t="s">
        <v>69</v>
      </c>
      <c r="D126" s="65" t="s">
        <v>62</v>
      </c>
      <c r="E126" s="65"/>
      <c r="F126" s="76">
        <f t="shared" si="1"/>
        <v>2712</v>
      </c>
      <c r="G126" s="65"/>
      <c r="H126" s="76">
        <v>0</v>
      </c>
      <c r="I126" s="76" t="s">
        <v>66</v>
      </c>
      <c r="J126" s="76"/>
      <c r="K126" s="76" t="s">
        <v>67</v>
      </c>
      <c r="L126" s="76" t="s">
        <v>66</v>
      </c>
      <c r="M126" s="76"/>
      <c r="N126" s="76" t="s">
        <v>64</v>
      </c>
      <c r="O126" s="76" t="s">
        <v>64</v>
      </c>
      <c r="P126" s="78"/>
      <c r="Q126" s="78">
        <v>154.25000000000003</v>
      </c>
      <c r="R126" s="78">
        <v>2712</v>
      </c>
      <c r="T126" s="71">
        <v>110771.74</v>
      </c>
    </row>
    <row r="127" spans="2:20" x14ac:dyDescent="0.3">
      <c r="B127" s="1">
        <v>2018</v>
      </c>
      <c r="C127" s="1" t="s">
        <v>69</v>
      </c>
      <c r="D127" s="65" t="s">
        <v>58</v>
      </c>
      <c r="E127" s="65"/>
      <c r="F127" s="76">
        <f t="shared" si="1"/>
        <v>4523</v>
      </c>
      <c r="G127" s="65"/>
      <c r="H127" s="76">
        <v>0</v>
      </c>
      <c r="I127" s="76" t="s">
        <v>66</v>
      </c>
      <c r="J127" s="76"/>
      <c r="K127" s="76" t="s">
        <v>67</v>
      </c>
      <c r="L127" s="76" t="s">
        <v>66</v>
      </c>
      <c r="M127" s="76"/>
      <c r="N127" s="76">
        <v>0</v>
      </c>
      <c r="O127" s="76">
        <v>0</v>
      </c>
      <c r="P127" s="76"/>
      <c r="Q127" s="76">
        <v>468.25999999999993</v>
      </c>
      <c r="R127" s="76">
        <v>4523</v>
      </c>
      <c r="T127" s="68">
        <v>201908.72</v>
      </c>
    </row>
    <row r="128" spans="2:20" x14ac:dyDescent="0.3">
      <c r="B128" s="1">
        <v>2018</v>
      </c>
      <c r="C128" s="1" t="s">
        <v>69</v>
      </c>
      <c r="D128" s="65" t="s">
        <v>60</v>
      </c>
      <c r="E128" s="65"/>
      <c r="F128" s="76">
        <f t="shared" si="1"/>
        <v>6243</v>
      </c>
      <c r="G128" s="65"/>
      <c r="H128" s="76">
        <v>0</v>
      </c>
      <c r="I128" s="76" t="s">
        <v>66</v>
      </c>
      <c r="J128" s="76"/>
      <c r="K128" s="76" t="s">
        <v>67</v>
      </c>
      <c r="L128" s="76" t="s">
        <v>66</v>
      </c>
      <c r="M128" s="76"/>
      <c r="N128" s="76" t="s">
        <v>64</v>
      </c>
      <c r="O128" s="76" t="s">
        <v>64</v>
      </c>
      <c r="P128" s="76"/>
      <c r="Q128" s="76">
        <v>395.60999999999996</v>
      </c>
      <c r="R128" s="76">
        <v>6243</v>
      </c>
      <c r="T128" s="68">
        <v>296490.89</v>
      </c>
    </row>
    <row r="129" spans="2:20" x14ac:dyDescent="0.3">
      <c r="B129" s="1">
        <v>2018</v>
      </c>
      <c r="C129" s="1" t="s">
        <v>69</v>
      </c>
      <c r="D129" s="65" t="s">
        <v>61</v>
      </c>
      <c r="E129" s="65"/>
      <c r="F129" s="76">
        <f t="shared" si="1"/>
        <v>780</v>
      </c>
      <c r="G129" s="65"/>
      <c r="H129" s="76">
        <v>0</v>
      </c>
      <c r="I129" s="76" t="s">
        <v>66</v>
      </c>
      <c r="J129" s="76"/>
      <c r="K129" s="76" t="s">
        <v>67</v>
      </c>
      <c r="L129" s="76" t="s">
        <v>66</v>
      </c>
      <c r="M129" s="76"/>
      <c r="N129" s="76" t="s">
        <v>64</v>
      </c>
      <c r="O129" s="76" t="s">
        <v>64</v>
      </c>
      <c r="P129" s="76"/>
      <c r="Q129" s="76">
        <v>69.289999999999992</v>
      </c>
      <c r="R129" s="76">
        <v>780</v>
      </c>
      <c r="T129" s="68">
        <v>62191.920000000006</v>
      </c>
    </row>
    <row r="130" spans="2:20" x14ac:dyDescent="0.3">
      <c r="B130" s="1">
        <v>2018</v>
      </c>
      <c r="C130" s="1" t="s">
        <v>69</v>
      </c>
      <c r="D130" s="65" t="s">
        <v>62</v>
      </c>
      <c r="E130" s="65"/>
      <c r="F130" s="76">
        <f t="shared" si="1"/>
        <v>11546</v>
      </c>
      <c r="G130" s="65"/>
      <c r="H130" s="76">
        <v>0</v>
      </c>
      <c r="I130" s="76" t="s">
        <v>66</v>
      </c>
      <c r="J130" s="76"/>
      <c r="K130" s="76" t="s">
        <v>67</v>
      </c>
      <c r="L130" s="76" t="s">
        <v>66</v>
      </c>
      <c r="M130" s="76"/>
      <c r="N130" s="76">
        <v>0</v>
      </c>
      <c r="O130" s="76">
        <v>0</v>
      </c>
      <c r="P130" s="76"/>
      <c r="Q130" s="76">
        <v>933.15999999999985</v>
      </c>
      <c r="R130" s="76">
        <v>11546</v>
      </c>
      <c r="T130" s="68">
        <v>560591.53</v>
      </c>
    </row>
  </sheetData>
  <autoFilter ref="A3:D13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35A8D66889804D93A541DC7FCD6740" ma:contentTypeVersion="1" ma:contentTypeDescription="Create a new document." ma:contentTypeScope="" ma:versionID="efd721c7cda02a20df6329f4e8d3d67f">
  <xsd:schema xmlns:xsd="http://www.w3.org/2001/XMLSchema" xmlns:xs="http://www.w3.org/2001/XMLSchema" xmlns:p="http://schemas.microsoft.com/office/2006/metadata/properties" xmlns:ns2="a1040523-5304-4b09-b6d4-64a124c994e2" targetNamespace="http://schemas.microsoft.com/office/2006/metadata/properties" ma:root="true" ma:fieldsID="600ce198b5c5104e6f0363384ebebfc8" ns2:_="">
    <xsd:import namespace="a1040523-5304-4b09-b6d4-64a124c994e2"/>
    <xsd:element name="properties">
      <xsd:complexType>
        <xsd:sequence>
          <xsd:element name="documentManagement">
            <xsd:complexType>
              <xsd:all>
                <xsd:element ref="ns2:Operating_x0020_Compan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ETT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rating_x0020_Company xmlns="a1040523-5304-4b09-b6d4-64a124c994e2">Kentucky Power</Operating_x0020_Company>
  </documentManagement>
</p:properties>
</file>

<file path=customXml/itemProps1.xml><?xml version="1.0" encoding="utf-8"?>
<ds:datastoreItem xmlns:ds="http://schemas.openxmlformats.org/officeDocument/2006/customXml" ds:itemID="{22B764C7-A7D9-45A5-8257-1D82042A559F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2B4C9A26-3FE2-4786-BD02-D52345EDC87D}"/>
</file>

<file path=customXml/itemProps3.xml><?xml version="1.0" encoding="utf-8"?>
<ds:datastoreItem xmlns:ds="http://schemas.openxmlformats.org/officeDocument/2006/customXml" ds:itemID="{CBB2B6A7-A68D-4FB0-BB2D-8F584A75290F}"/>
</file>

<file path=customXml/itemProps4.xml><?xml version="1.0" encoding="utf-8"?>
<ds:datastoreItem xmlns:ds="http://schemas.openxmlformats.org/officeDocument/2006/customXml" ds:itemID="{1241071A-CA09-4993-B186-AE918D953E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EXHIBIT EGP X</vt:lpstr>
      <vt:lpstr>Summary</vt:lpstr>
      <vt:lpstr>Age of Brush-need work for v4</vt:lpstr>
      <vt:lpstr>Hours</vt:lpstr>
      <vt:lpstr>Task Clearing</vt:lpstr>
      <vt:lpstr>Spray</vt:lpstr>
      <vt:lpstr>Internal</vt:lpstr>
      <vt:lpstr>Reactive</vt:lpstr>
      <vt:lpstr>Hours raw data</vt:lpstr>
      <vt:lpstr>Cost by Worktype</vt:lpstr>
      <vt:lpstr>Capital Exp</vt:lpstr>
      <vt:lpstr>One Way 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2006-09-16T00:00:00Z</dcterms:created>
  <dcterms:modified xsi:type="dcterms:W3CDTF">2020-07-25T21:01:27Z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4d14c832-d6b7-441c-af18-bd05f2553383</vt:lpwstr>
  </property>
  <property fmtid="{D5CDD505-2E9C-101B-9397-08002B2CF9AE}" pid="3" name="bjSaver">
    <vt:lpwstr>ngAsLjITgxItJqtOZPQl9/0Z/oz+oXEx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  <property fmtid="{D5CDD505-2E9C-101B-9397-08002B2CF9AE}" pid="7" name="ContentTypeId">
    <vt:lpwstr>0x0101002135A8D66889804D93A541DC7FCD6740</vt:lpwstr>
  </property>
</Properties>
</file>