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ky power 2020 174\requests for information to kyseia attachments\"/>
    </mc:Choice>
  </mc:AlternateContent>
  <xr:revisionPtr revIDLastSave="0" documentId="8_{AF7D46A0-3A52-4424-886E-CCCB9176F912}" xr6:coauthVersionLast="45" xr6:coauthVersionMax="45" xr10:uidLastSave="{00000000-0000-0000-0000-000000000000}"/>
  <bookViews>
    <workbookView xWindow="-120" yWindow="-120" windowWidth="20730" windowHeight="11160" tabRatio="500" firstSheet="9" activeTab="17" xr2:uid="{00000000-000D-0000-FFFF-FFFF00000000}"/>
  </bookViews>
  <sheets>
    <sheet name="Bill Impacts 2500" sheetId="19" r:id="rId1"/>
    <sheet name="Bill Impacts 2000" sheetId="18" r:id="rId2"/>
    <sheet name="Bill Impacts 1500" sheetId="17" r:id="rId3"/>
    <sheet name="Bill Impacts 1200" sheetId="16" r:id="rId4"/>
    <sheet name="Bill Impacts 800" sheetId="15" r:id="rId5"/>
    <sheet name="Bill Impacts 100" sheetId="14" r:id="rId6"/>
    <sheet name="Bill Impacts 200" sheetId="13" r:id="rId7"/>
    <sheet name="Bill Impacts 300" sheetId="11" r:id="rId8"/>
    <sheet name="Bill Impacts 400" sheetId="12" r:id="rId9"/>
    <sheet name="EE Effects (Nom)" sheetId="6" r:id="rId10"/>
    <sheet name="EE Effects (Eff)" sheetId="7" r:id="rId11"/>
    <sheet name="Customer Cost" sheetId="5" r:id="rId12"/>
    <sheet name="Coops" sheetId="4" r:id="rId13"/>
    <sheet name="Bill Impacts High" sheetId="9" r:id="rId14"/>
    <sheet name="Bill Impacts Avg" sheetId="8" r:id="rId15"/>
    <sheet name="Bill Impacts Low" sheetId="10" r:id="rId16"/>
    <sheet name="Bill Impacts 500" sheetId="1" r:id="rId17"/>
    <sheet name="Bill Impacts Summary" sheetId="3" r:id="rId1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5" l="1"/>
  <c r="B26" i="5"/>
  <c r="B28" i="5"/>
  <c r="B11" i="5"/>
  <c r="B12" i="5"/>
  <c r="B13" i="5"/>
  <c r="B29" i="5"/>
  <c r="B30" i="5"/>
  <c r="B33" i="5"/>
  <c r="B35" i="5"/>
  <c r="B37" i="5"/>
  <c r="B38" i="5"/>
  <c r="J82" i="9"/>
  <c r="I80" i="9"/>
  <c r="I85" i="9"/>
  <c r="I83" i="9"/>
  <c r="I21" i="9"/>
  <c r="I78" i="10"/>
  <c r="I79" i="10"/>
  <c r="I75" i="10"/>
  <c r="I74" i="10"/>
  <c r="W3" i="17"/>
  <c r="K11" i="18"/>
  <c r="K16" i="18"/>
  <c r="L11" i="18"/>
  <c r="L16" i="18"/>
  <c r="M11" i="18"/>
  <c r="M16" i="18"/>
  <c r="N11" i="18"/>
  <c r="N16" i="18"/>
  <c r="O11" i="18"/>
  <c r="O16" i="18"/>
  <c r="P11" i="18"/>
  <c r="P16" i="18"/>
  <c r="Q11" i="18"/>
  <c r="Q16" i="18"/>
  <c r="R11" i="18"/>
  <c r="R16" i="18"/>
  <c r="S14" i="18"/>
  <c r="S15" i="18"/>
  <c r="T14" i="18"/>
  <c r="T15" i="18"/>
  <c r="U14" i="18"/>
  <c r="U15" i="18"/>
  <c r="V14" i="18"/>
  <c r="V15" i="18"/>
  <c r="K64" i="18"/>
  <c r="K69" i="18"/>
  <c r="L64" i="18"/>
  <c r="L69" i="18"/>
  <c r="M64" i="18"/>
  <c r="M69" i="18"/>
  <c r="N64" i="18"/>
  <c r="N69" i="18"/>
  <c r="O64" i="18"/>
  <c r="O69" i="18"/>
  <c r="P64" i="18"/>
  <c r="P69" i="18"/>
  <c r="Q64" i="18"/>
  <c r="Q69" i="18"/>
  <c r="R64" i="18"/>
  <c r="R69" i="18"/>
  <c r="S67" i="18"/>
  <c r="S68" i="18"/>
  <c r="T67" i="18"/>
  <c r="T68" i="18"/>
  <c r="U67" i="18"/>
  <c r="U68" i="18"/>
  <c r="V67" i="18"/>
  <c r="V68" i="18"/>
  <c r="K58" i="1"/>
  <c r="K59" i="1"/>
  <c r="K67" i="1"/>
  <c r="K66" i="1"/>
  <c r="K69" i="1"/>
  <c r="L58" i="1"/>
  <c r="L59" i="1"/>
  <c r="L67" i="1"/>
  <c r="L66" i="1"/>
  <c r="L69" i="1"/>
  <c r="M58" i="1"/>
  <c r="M59" i="1"/>
  <c r="M67" i="1"/>
  <c r="M66" i="1"/>
  <c r="M69" i="1"/>
  <c r="N58" i="1"/>
  <c r="N59" i="1"/>
  <c r="N67" i="1"/>
  <c r="N66" i="1"/>
  <c r="N69" i="1"/>
  <c r="O58" i="1"/>
  <c r="O59" i="1"/>
  <c r="O67" i="1"/>
  <c r="O66" i="1"/>
  <c r="O69" i="1"/>
  <c r="P58" i="1"/>
  <c r="P59" i="1"/>
  <c r="P67" i="1"/>
  <c r="P66" i="1"/>
  <c r="P69" i="1"/>
  <c r="Q58" i="1"/>
  <c r="Q59" i="1"/>
  <c r="Q67" i="1"/>
  <c r="Q66" i="1"/>
  <c r="Q69" i="1"/>
  <c r="R58" i="1"/>
  <c r="R59" i="1"/>
  <c r="R67" i="1"/>
  <c r="R66" i="1"/>
  <c r="R69" i="1"/>
  <c r="S58" i="1"/>
  <c r="S62" i="1"/>
  <c r="S67" i="1"/>
  <c r="S65" i="1"/>
  <c r="S69" i="1"/>
  <c r="T58" i="1"/>
  <c r="T62" i="1"/>
  <c r="T67" i="1"/>
  <c r="T65" i="1"/>
  <c r="T69" i="1"/>
  <c r="U58" i="1"/>
  <c r="U62" i="1"/>
  <c r="U67" i="1"/>
  <c r="U65" i="1"/>
  <c r="U69" i="1"/>
  <c r="V58" i="1"/>
  <c r="V62" i="1"/>
  <c r="V67" i="1"/>
  <c r="V65" i="1"/>
  <c r="V69" i="1"/>
  <c r="K59" i="10"/>
  <c r="K60" i="10"/>
  <c r="K69" i="10"/>
  <c r="K68" i="10"/>
  <c r="L59" i="10"/>
  <c r="L60" i="10"/>
  <c r="L68" i="10"/>
  <c r="M59" i="10"/>
  <c r="M60" i="10"/>
  <c r="M61" i="10"/>
  <c r="M69" i="10"/>
  <c r="M68" i="10"/>
  <c r="N59" i="10"/>
  <c r="N60" i="10"/>
  <c r="N61" i="10"/>
  <c r="N68" i="10"/>
  <c r="O59" i="10"/>
  <c r="O60" i="10"/>
  <c r="O61" i="10"/>
  <c r="O69" i="10"/>
  <c r="P59" i="10"/>
  <c r="P60" i="10"/>
  <c r="P68" i="10"/>
  <c r="P69" i="10"/>
  <c r="P70" i="10"/>
  <c r="Q59" i="10"/>
  <c r="Q60" i="10"/>
  <c r="Q69" i="10"/>
  <c r="R59" i="10"/>
  <c r="R60" i="10"/>
  <c r="R68" i="10"/>
  <c r="R69" i="10"/>
  <c r="R70" i="10"/>
  <c r="S59" i="10"/>
  <c r="S63" i="10"/>
  <c r="S64" i="10"/>
  <c r="S69" i="10"/>
  <c r="T59" i="10"/>
  <c r="U59" i="10"/>
  <c r="V59" i="10"/>
  <c r="V63" i="10"/>
  <c r="V68" i="10"/>
  <c r="V69" i="10"/>
  <c r="V70" i="10"/>
  <c r="K67" i="10"/>
  <c r="L67" i="10"/>
  <c r="M67" i="10"/>
  <c r="N67" i="10"/>
  <c r="O67" i="10"/>
  <c r="P67" i="10"/>
  <c r="P71" i="10"/>
  <c r="Q67" i="10"/>
  <c r="R67" i="10"/>
  <c r="R71" i="10"/>
  <c r="S66" i="10"/>
  <c r="T63" i="10"/>
  <c r="T64" i="10"/>
  <c r="T66" i="10"/>
  <c r="U63" i="10"/>
  <c r="U64" i="10"/>
  <c r="U66" i="10"/>
  <c r="V66" i="10"/>
  <c r="K61" i="8"/>
  <c r="K62" i="8"/>
  <c r="K63" i="8"/>
  <c r="K69" i="8"/>
  <c r="K72" i="8"/>
  <c r="L61" i="8"/>
  <c r="L62" i="8"/>
  <c r="L63" i="8"/>
  <c r="L69" i="8"/>
  <c r="L70" i="8"/>
  <c r="M61" i="8"/>
  <c r="M62" i="8"/>
  <c r="M63" i="8"/>
  <c r="M64" i="8"/>
  <c r="M72" i="8"/>
  <c r="M69" i="8"/>
  <c r="N61" i="8"/>
  <c r="N62" i="8"/>
  <c r="N63" i="8"/>
  <c r="N64" i="8"/>
  <c r="N71" i="8"/>
  <c r="N69" i="8"/>
  <c r="N70" i="8"/>
  <c r="O61" i="8"/>
  <c r="O62" i="8"/>
  <c r="O63" i="8"/>
  <c r="O69" i="8"/>
  <c r="O70" i="8"/>
  <c r="P61" i="8"/>
  <c r="P62" i="8"/>
  <c r="P63" i="8"/>
  <c r="P69" i="8"/>
  <c r="Q61" i="8"/>
  <c r="Q62" i="8"/>
  <c r="Q63" i="8"/>
  <c r="Q69" i="8"/>
  <c r="Q71" i="8"/>
  <c r="Q72" i="8"/>
  <c r="R61" i="8"/>
  <c r="R62" i="8"/>
  <c r="R63" i="8"/>
  <c r="R71" i="8"/>
  <c r="R69" i="8"/>
  <c r="R70" i="8"/>
  <c r="S61" i="8"/>
  <c r="S65" i="8"/>
  <c r="S66" i="8"/>
  <c r="S67" i="8"/>
  <c r="S68" i="8"/>
  <c r="T61" i="8"/>
  <c r="T65" i="8"/>
  <c r="T66" i="8"/>
  <c r="T67" i="8"/>
  <c r="T71" i="8"/>
  <c r="T70" i="8"/>
  <c r="T68" i="8"/>
  <c r="T72" i="8"/>
  <c r="U61" i="8"/>
  <c r="U65" i="8"/>
  <c r="U66" i="8"/>
  <c r="U67" i="8"/>
  <c r="U72" i="8"/>
  <c r="U68" i="8"/>
  <c r="U70" i="8"/>
  <c r="V61" i="8"/>
  <c r="V65" i="8"/>
  <c r="V66" i="8"/>
  <c r="V67" i="8"/>
  <c r="V70" i="8"/>
  <c r="V68" i="8"/>
  <c r="V72" i="8"/>
  <c r="K62" i="9"/>
  <c r="K63" i="9"/>
  <c r="K64" i="9"/>
  <c r="K65" i="9"/>
  <c r="K71" i="9"/>
  <c r="K70" i="9"/>
  <c r="K73" i="9"/>
  <c r="L62" i="9"/>
  <c r="L63" i="9"/>
  <c r="L64" i="9"/>
  <c r="L65" i="9"/>
  <c r="L73" i="9"/>
  <c r="L70" i="9"/>
  <c r="L71" i="9"/>
  <c r="M62" i="9"/>
  <c r="M63" i="9"/>
  <c r="M64" i="9"/>
  <c r="M65" i="9"/>
  <c r="M71" i="9"/>
  <c r="M70" i="9"/>
  <c r="M73" i="9"/>
  <c r="N62" i="9"/>
  <c r="N63" i="9"/>
  <c r="N64" i="9"/>
  <c r="N65" i="9"/>
  <c r="N73" i="9"/>
  <c r="N70" i="9"/>
  <c r="N71" i="9"/>
  <c r="O62" i="9"/>
  <c r="O63" i="9"/>
  <c r="O64" i="9"/>
  <c r="O65" i="9"/>
  <c r="O71" i="9"/>
  <c r="O70" i="9"/>
  <c r="O73" i="9"/>
  <c r="P62" i="9"/>
  <c r="P63" i="9"/>
  <c r="P64" i="9"/>
  <c r="P65" i="9"/>
  <c r="P73" i="9"/>
  <c r="P70" i="9"/>
  <c r="P71" i="9"/>
  <c r="Q62" i="9"/>
  <c r="Q63" i="9"/>
  <c r="Q64" i="9"/>
  <c r="Q65" i="9"/>
  <c r="Q71" i="9"/>
  <c r="Q70" i="9"/>
  <c r="Q73" i="9"/>
  <c r="R62" i="9"/>
  <c r="R63" i="9"/>
  <c r="R64" i="9"/>
  <c r="R65" i="9"/>
  <c r="R73" i="9"/>
  <c r="R70" i="9"/>
  <c r="R71" i="9"/>
  <c r="S62" i="9"/>
  <c r="S66" i="9"/>
  <c r="S67" i="9"/>
  <c r="S68" i="9"/>
  <c r="S71" i="9"/>
  <c r="S69" i="9"/>
  <c r="S73" i="9"/>
  <c r="T62" i="9"/>
  <c r="T66" i="9"/>
  <c r="T67" i="9"/>
  <c r="T68" i="9"/>
  <c r="T73" i="9"/>
  <c r="T69" i="9"/>
  <c r="T71" i="9"/>
  <c r="U62" i="9"/>
  <c r="U66" i="9"/>
  <c r="U67" i="9"/>
  <c r="U68" i="9"/>
  <c r="U71" i="9"/>
  <c r="U69" i="9"/>
  <c r="U73" i="9"/>
  <c r="V62" i="9"/>
  <c r="V66" i="9"/>
  <c r="V67" i="9"/>
  <c r="V68" i="9"/>
  <c r="V73" i="9"/>
  <c r="V69" i="9"/>
  <c r="V71" i="9"/>
  <c r="K59" i="12"/>
  <c r="K60" i="12"/>
  <c r="K68" i="12"/>
  <c r="K67" i="12"/>
  <c r="K70" i="12"/>
  <c r="L59" i="12"/>
  <c r="L60" i="12"/>
  <c r="L68" i="12"/>
  <c r="L67" i="12"/>
  <c r="L70" i="12"/>
  <c r="M59" i="12"/>
  <c r="M60" i="12"/>
  <c r="M68" i="12"/>
  <c r="M67" i="12"/>
  <c r="M70" i="12"/>
  <c r="N59" i="12"/>
  <c r="N60" i="12"/>
  <c r="N68" i="12"/>
  <c r="N67" i="12"/>
  <c r="N70" i="12"/>
  <c r="O59" i="12"/>
  <c r="O60" i="12"/>
  <c r="O68" i="12"/>
  <c r="O67" i="12"/>
  <c r="O70" i="12"/>
  <c r="P59" i="12"/>
  <c r="P60" i="12"/>
  <c r="P68" i="12"/>
  <c r="P67" i="12"/>
  <c r="P70" i="12"/>
  <c r="Q59" i="12"/>
  <c r="Q60" i="12"/>
  <c r="Q68" i="12"/>
  <c r="Q67" i="12"/>
  <c r="Q70" i="12"/>
  <c r="R59" i="12"/>
  <c r="R60" i="12"/>
  <c r="R68" i="12"/>
  <c r="R67" i="12"/>
  <c r="R70" i="12"/>
  <c r="S59" i="12"/>
  <c r="S63" i="12"/>
  <c r="S68" i="12"/>
  <c r="S66" i="12"/>
  <c r="S70" i="12"/>
  <c r="T59" i="12"/>
  <c r="T63" i="12"/>
  <c r="T70" i="12"/>
  <c r="T66" i="12"/>
  <c r="U59" i="12"/>
  <c r="U63" i="12"/>
  <c r="U70" i="12"/>
  <c r="U66" i="12"/>
  <c r="V59" i="12"/>
  <c r="V63" i="12"/>
  <c r="V70" i="12"/>
  <c r="V66" i="12"/>
  <c r="K59" i="11"/>
  <c r="K60" i="11"/>
  <c r="K70" i="11"/>
  <c r="K67" i="11"/>
  <c r="K68" i="11"/>
  <c r="K69" i="11"/>
  <c r="L59" i="11"/>
  <c r="L60" i="11"/>
  <c r="L70" i="11"/>
  <c r="L67" i="11"/>
  <c r="L68" i="11"/>
  <c r="L69" i="11"/>
  <c r="M59" i="11"/>
  <c r="M60" i="11"/>
  <c r="M70" i="11"/>
  <c r="M67" i="11"/>
  <c r="M68" i="11"/>
  <c r="M69" i="11"/>
  <c r="N59" i="11"/>
  <c r="N60" i="11"/>
  <c r="N70" i="11"/>
  <c r="N67" i="11"/>
  <c r="N68" i="11"/>
  <c r="N69" i="11"/>
  <c r="O59" i="11"/>
  <c r="O60" i="11"/>
  <c r="O70" i="11"/>
  <c r="O67" i="11"/>
  <c r="O68" i="11"/>
  <c r="O69" i="11"/>
  <c r="P59" i="11"/>
  <c r="P60" i="11"/>
  <c r="P70" i="11"/>
  <c r="P67" i="11"/>
  <c r="P68" i="11"/>
  <c r="P69" i="11"/>
  <c r="Q59" i="11"/>
  <c r="Q60" i="11"/>
  <c r="Q67" i="11"/>
  <c r="Q68" i="11"/>
  <c r="Q69" i="11"/>
  <c r="R59" i="11"/>
  <c r="R60" i="11"/>
  <c r="R67" i="11"/>
  <c r="R69" i="11"/>
  <c r="S59" i="11"/>
  <c r="S63" i="11"/>
  <c r="S66" i="11"/>
  <c r="S68" i="11"/>
  <c r="S69" i="11"/>
  <c r="T59" i="11"/>
  <c r="T63" i="11"/>
  <c r="T66" i="11"/>
  <c r="T69" i="11"/>
  <c r="U59" i="11"/>
  <c r="U63" i="11"/>
  <c r="U66" i="11"/>
  <c r="U68" i="11"/>
  <c r="U69" i="11"/>
  <c r="V59" i="11"/>
  <c r="V63" i="11"/>
  <c r="V66" i="11"/>
  <c r="V69" i="11"/>
  <c r="K59" i="13"/>
  <c r="K60" i="13"/>
  <c r="K67" i="13"/>
  <c r="K70" i="13"/>
  <c r="L59" i="13"/>
  <c r="L60" i="13"/>
  <c r="L67" i="13"/>
  <c r="M59" i="13"/>
  <c r="M60" i="13"/>
  <c r="M70" i="13"/>
  <c r="M67" i="13"/>
  <c r="N59" i="13"/>
  <c r="N60" i="13"/>
  <c r="N67" i="13"/>
  <c r="N70" i="13"/>
  <c r="O59" i="13"/>
  <c r="O60" i="13"/>
  <c r="O67" i="13"/>
  <c r="O70" i="13"/>
  <c r="P59" i="13"/>
  <c r="P60" i="13"/>
  <c r="P67" i="13"/>
  <c r="Q59" i="13"/>
  <c r="Q60" i="13"/>
  <c r="Q70" i="13"/>
  <c r="Q67" i="13"/>
  <c r="R59" i="13"/>
  <c r="R60" i="13"/>
  <c r="R67" i="13"/>
  <c r="R70" i="13"/>
  <c r="S59" i="13"/>
  <c r="S63" i="13"/>
  <c r="S66" i="13"/>
  <c r="S70" i="13"/>
  <c r="T59" i="13"/>
  <c r="T63" i="13"/>
  <c r="T66" i="13"/>
  <c r="U59" i="13"/>
  <c r="U63" i="13"/>
  <c r="U70" i="13"/>
  <c r="U66" i="13"/>
  <c r="V59" i="13"/>
  <c r="V63" i="13"/>
  <c r="V66" i="13"/>
  <c r="V70" i="13"/>
  <c r="K59" i="14"/>
  <c r="K60" i="14"/>
  <c r="K68" i="14"/>
  <c r="L59" i="14"/>
  <c r="M59" i="14"/>
  <c r="M60" i="14"/>
  <c r="M68" i="14"/>
  <c r="N59" i="14"/>
  <c r="O59" i="14"/>
  <c r="P59" i="14"/>
  <c r="Q59" i="14"/>
  <c r="Q60" i="14"/>
  <c r="Q68" i="14"/>
  <c r="R59" i="14"/>
  <c r="S59" i="14"/>
  <c r="S63" i="14"/>
  <c r="S68" i="14"/>
  <c r="T59" i="14"/>
  <c r="U59" i="14"/>
  <c r="U63" i="14"/>
  <c r="U68" i="14"/>
  <c r="V59" i="14"/>
  <c r="K67" i="14"/>
  <c r="L60" i="14"/>
  <c r="L67" i="14"/>
  <c r="M67" i="14"/>
  <c r="N60" i="14"/>
  <c r="N67" i="14"/>
  <c r="O60" i="14"/>
  <c r="O67" i="14"/>
  <c r="P60" i="14"/>
  <c r="P67" i="14"/>
  <c r="Q67" i="14"/>
  <c r="R60" i="14"/>
  <c r="R67" i="14"/>
  <c r="S66" i="14"/>
  <c r="T63" i="14"/>
  <c r="T66" i="14"/>
  <c r="U66" i="14"/>
  <c r="V63" i="14"/>
  <c r="V66" i="14"/>
  <c r="K64" i="15"/>
  <c r="K65" i="15"/>
  <c r="K66" i="15"/>
  <c r="K75" i="15"/>
  <c r="K72" i="15"/>
  <c r="L64" i="15"/>
  <c r="L65" i="15"/>
  <c r="L72" i="15"/>
  <c r="L75" i="15"/>
  <c r="M64" i="15"/>
  <c r="M65" i="15"/>
  <c r="M66" i="15"/>
  <c r="M74" i="15"/>
  <c r="M72" i="15"/>
  <c r="M73" i="15"/>
  <c r="N64" i="15"/>
  <c r="N65" i="15"/>
  <c r="N66" i="15"/>
  <c r="N73" i="15"/>
  <c r="N72" i="15"/>
  <c r="N75" i="15"/>
  <c r="O64" i="15"/>
  <c r="O65" i="15"/>
  <c r="O66" i="15"/>
  <c r="O75" i="15"/>
  <c r="O72" i="15"/>
  <c r="O74" i="15"/>
  <c r="P64" i="15"/>
  <c r="P65" i="15"/>
  <c r="P66" i="15"/>
  <c r="P74" i="15"/>
  <c r="P72" i="15"/>
  <c r="P73" i="15"/>
  <c r="Q64" i="15"/>
  <c r="Q65" i="15"/>
  <c r="Q75" i="15"/>
  <c r="Q72" i="15"/>
  <c r="Q73" i="15"/>
  <c r="Q74" i="15"/>
  <c r="R64" i="15"/>
  <c r="R65" i="15"/>
  <c r="R66" i="15"/>
  <c r="R74" i="15"/>
  <c r="R72" i="15"/>
  <c r="R73" i="15"/>
  <c r="S64" i="15"/>
  <c r="S68" i="15"/>
  <c r="S69" i="15"/>
  <c r="S73" i="15"/>
  <c r="S71" i="15"/>
  <c r="S75" i="15"/>
  <c r="T64" i="15"/>
  <c r="T68" i="15"/>
  <c r="T69" i="15"/>
  <c r="T70" i="15"/>
  <c r="T75" i="15"/>
  <c r="T74" i="15"/>
  <c r="T71" i="15"/>
  <c r="T73" i="15"/>
  <c r="U64" i="15"/>
  <c r="U68" i="15"/>
  <c r="U69" i="15"/>
  <c r="U70" i="15"/>
  <c r="U73" i="15"/>
  <c r="U71" i="15"/>
  <c r="U75" i="15"/>
  <c r="V64" i="15"/>
  <c r="V68" i="15"/>
  <c r="V69" i="15"/>
  <c r="V75" i="15"/>
  <c r="V71" i="15"/>
  <c r="V74" i="15"/>
  <c r="K63" i="16"/>
  <c r="K64" i="16"/>
  <c r="K65" i="16"/>
  <c r="K74" i="16"/>
  <c r="K71" i="16"/>
  <c r="L63" i="16"/>
  <c r="L64" i="16"/>
  <c r="L65" i="16"/>
  <c r="L73" i="16"/>
  <c r="L71" i="16"/>
  <c r="L74" i="16"/>
  <c r="M63" i="16"/>
  <c r="M64" i="16"/>
  <c r="M65" i="16"/>
  <c r="M66" i="16"/>
  <c r="M71" i="16"/>
  <c r="M72" i="16"/>
  <c r="N63" i="16"/>
  <c r="N64" i="16"/>
  <c r="N65" i="16"/>
  <c r="N66" i="16"/>
  <c r="N74" i="16"/>
  <c r="N71" i="16"/>
  <c r="O63" i="16"/>
  <c r="O64" i="16"/>
  <c r="O65" i="16"/>
  <c r="O66" i="16"/>
  <c r="O72" i="16"/>
  <c r="O71" i="16"/>
  <c r="P63" i="16"/>
  <c r="P64" i="16"/>
  <c r="P65" i="16"/>
  <c r="P66" i="16"/>
  <c r="P74" i="16"/>
  <c r="P71" i="16"/>
  <c r="Q63" i="16"/>
  <c r="Q64" i="16"/>
  <c r="Q65" i="16"/>
  <c r="Q72" i="16"/>
  <c r="Q71" i="16"/>
  <c r="Q73" i="16"/>
  <c r="R63" i="16"/>
  <c r="R64" i="16"/>
  <c r="R65" i="16"/>
  <c r="R66" i="16"/>
  <c r="R71" i="16"/>
  <c r="R74" i="16"/>
  <c r="S63" i="16"/>
  <c r="S67" i="16"/>
  <c r="S68" i="16"/>
  <c r="S69" i="16"/>
  <c r="S72" i="16"/>
  <c r="S70" i="16"/>
  <c r="S73" i="16"/>
  <c r="T63" i="16"/>
  <c r="T67" i="16"/>
  <c r="T68" i="16"/>
  <c r="T69" i="16"/>
  <c r="T74" i="16"/>
  <c r="T70" i="16"/>
  <c r="U63" i="16"/>
  <c r="U67" i="16"/>
  <c r="U68" i="16"/>
  <c r="U69" i="16"/>
  <c r="U72" i="16"/>
  <c r="U70" i="16"/>
  <c r="U73" i="16"/>
  <c r="V63" i="16"/>
  <c r="V67" i="16"/>
  <c r="V68" i="16"/>
  <c r="V69" i="16"/>
  <c r="V74" i="16"/>
  <c r="V70" i="16"/>
  <c r="K63" i="17"/>
  <c r="K64" i="17"/>
  <c r="K65" i="17"/>
  <c r="K66" i="17"/>
  <c r="K71" i="17"/>
  <c r="K72" i="17"/>
  <c r="L63" i="17"/>
  <c r="L64" i="17"/>
  <c r="L65" i="17"/>
  <c r="L66" i="17"/>
  <c r="L74" i="17"/>
  <c r="L71" i="17"/>
  <c r="L73" i="17"/>
  <c r="M63" i="17"/>
  <c r="M64" i="17"/>
  <c r="M65" i="17"/>
  <c r="M66" i="17"/>
  <c r="M71" i="17"/>
  <c r="M72" i="17"/>
  <c r="N63" i="17"/>
  <c r="N64" i="17"/>
  <c r="N65" i="17"/>
  <c r="N66" i="17"/>
  <c r="N73" i="17"/>
  <c r="N71" i="17"/>
  <c r="N74" i="17"/>
  <c r="O63" i="17"/>
  <c r="O64" i="17"/>
  <c r="O65" i="17"/>
  <c r="O66" i="17"/>
  <c r="O71" i="17"/>
  <c r="O72" i="17"/>
  <c r="P63" i="17"/>
  <c r="P64" i="17"/>
  <c r="P65" i="17"/>
  <c r="P66" i="17"/>
  <c r="P74" i="17"/>
  <c r="P71" i="17"/>
  <c r="Q63" i="17"/>
  <c r="Q64" i="17"/>
  <c r="Q65" i="17"/>
  <c r="Q66" i="17"/>
  <c r="Q72" i="17"/>
  <c r="Q71" i="17"/>
  <c r="R63" i="17"/>
  <c r="R64" i="17"/>
  <c r="R65" i="17"/>
  <c r="R66" i="17"/>
  <c r="R74" i="17"/>
  <c r="R71" i="17"/>
  <c r="S63" i="17"/>
  <c r="S67" i="17"/>
  <c r="S68" i="17"/>
  <c r="S69" i="17"/>
  <c r="S70" i="17"/>
  <c r="S72" i="17"/>
  <c r="T63" i="17"/>
  <c r="T67" i="17"/>
  <c r="T68" i="17"/>
  <c r="T69" i="17"/>
  <c r="T74" i="17"/>
  <c r="T70" i="17"/>
  <c r="T73" i="17"/>
  <c r="U63" i="17"/>
  <c r="U67" i="17"/>
  <c r="U68" i="17"/>
  <c r="U69" i="17"/>
  <c r="U70" i="17"/>
  <c r="U72" i="17"/>
  <c r="V63" i="17"/>
  <c r="V67" i="17"/>
  <c r="V68" i="17"/>
  <c r="V69" i="17"/>
  <c r="V73" i="17"/>
  <c r="V70" i="17"/>
  <c r="V74" i="17"/>
  <c r="K61" i="18"/>
  <c r="K62" i="18"/>
  <c r="K63" i="18"/>
  <c r="L61" i="18"/>
  <c r="L62" i="18"/>
  <c r="L63" i="18"/>
  <c r="M61" i="18"/>
  <c r="M62" i="18"/>
  <c r="M63" i="18"/>
  <c r="N61" i="18"/>
  <c r="N62" i="18"/>
  <c r="N63" i="18"/>
  <c r="O61" i="18"/>
  <c r="O62" i="18"/>
  <c r="O63" i="18"/>
  <c r="P61" i="18"/>
  <c r="P62" i="18"/>
  <c r="P63" i="18"/>
  <c r="Q61" i="18"/>
  <c r="Q62" i="18"/>
  <c r="Q63" i="18"/>
  <c r="R61" i="18"/>
  <c r="R62" i="18"/>
  <c r="R63" i="18"/>
  <c r="S61" i="18"/>
  <c r="S65" i="18"/>
  <c r="S66" i="18"/>
  <c r="T61" i="18"/>
  <c r="T65" i="18"/>
  <c r="T66" i="18"/>
  <c r="U61" i="18"/>
  <c r="U65" i="18"/>
  <c r="U66" i="18"/>
  <c r="V61" i="18"/>
  <c r="V65" i="18"/>
  <c r="V66" i="18"/>
  <c r="K46" i="18"/>
  <c r="K51" i="18"/>
  <c r="L46" i="18"/>
  <c r="L51" i="18"/>
  <c r="M46" i="18"/>
  <c r="M51" i="18"/>
  <c r="N46" i="18"/>
  <c r="N51" i="18"/>
  <c r="O46" i="18"/>
  <c r="O51" i="18"/>
  <c r="P46" i="18"/>
  <c r="P51" i="18"/>
  <c r="Q46" i="18"/>
  <c r="Q51" i="18"/>
  <c r="R46" i="18"/>
  <c r="R51" i="18"/>
  <c r="S49" i="18"/>
  <c r="S50" i="18"/>
  <c r="T49" i="18"/>
  <c r="T50" i="18"/>
  <c r="U49" i="18"/>
  <c r="U50" i="18"/>
  <c r="V49" i="18"/>
  <c r="V50" i="18"/>
  <c r="E74" i="19"/>
  <c r="E75" i="19"/>
  <c r="E79" i="19"/>
  <c r="M61" i="19"/>
  <c r="N61" i="19"/>
  <c r="N62" i="19"/>
  <c r="N63" i="19"/>
  <c r="N64" i="19"/>
  <c r="N72" i="19"/>
  <c r="O61" i="19"/>
  <c r="O62" i="19"/>
  <c r="O63" i="19"/>
  <c r="O64" i="19"/>
  <c r="O71" i="19"/>
  <c r="P61" i="19"/>
  <c r="Q61" i="19"/>
  <c r="R61" i="19"/>
  <c r="R62" i="19"/>
  <c r="R63" i="19"/>
  <c r="R64" i="19"/>
  <c r="R72" i="19"/>
  <c r="S61" i="19"/>
  <c r="S62" i="19"/>
  <c r="S63" i="19"/>
  <c r="S64" i="19"/>
  <c r="S71" i="19"/>
  <c r="T61" i="19"/>
  <c r="U61" i="19"/>
  <c r="V61" i="19"/>
  <c r="V65" i="19"/>
  <c r="V66" i="19"/>
  <c r="V67" i="19"/>
  <c r="V72" i="19"/>
  <c r="W61" i="19"/>
  <c r="W65" i="19"/>
  <c r="W66" i="19"/>
  <c r="W67" i="19"/>
  <c r="W71" i="19"/>
  <c r="L62" i="19"/>
  <c r="L63" i="19"/>
  <c r="L64" i="19"/>
  <c r="L70" i="19"/>
  <c r="L69" i="19"/>
  <c r="L72" i="19"/>
  <c r="M62" i="19"/>
  <c r="M63" i="19"/>
  <c r="M64" i="19"/>
  <c r="M71" i="19"/>
  <c r="M69" i="19"/>
  <c r="M72" i="19"/>
  <c r="N70" i="19"/>
  <c r="N69" i="19"/>
  <c r="N71" i="19"/>
  <c r="O69" i="19"/>
  <c r="O70" i="19"/>
  <c r="P62" i="19"/>
  <c r="P63" i="19"/>
  <c r="P64" i="19"/>
  <c r="P71" i="19"/>
  <c r="P70" i="19"/>
  <c r="P69" i="19"/>
  <c r="P72" i="19"/>
  <c r="Q62" i="19"/>
  <c r="Q63" i="19"/>
  <c r="Q64" i="19"/>
  <c r="Q71" i="19"/>
  <c r="Q69" i="19"/>
  <c r="Q72" i="19"/>
  <c r="R70" i="19"/>
  <c r="R69" i="19"/>
  <c r="R71" i="19"/>
  <c r="S69" i="19"/>
  <c r="S70" i="19"/>
  <c r="T65" i="19"/>
  <c r="T66" i="19"/>
  <c r="T67" i="19"/>
  <c r="T71" i="19"/>
  <c r="T70" i="19"/>
  <c r="T68" i="19"/>
  <c r="T72" i="19"/>
  <c r="U65" i="19"/>
  <c r="U66" i="19"/>
  <c r="U67" i="19"/>
  <c r="U71" i="19"/>
  <c r="U68" i="19"/>
  <c r="U72" i="19"/>
  <c r="V70" i="19"/>
  <c r="V68" i="19"/>
  <c r="V71" i="19"/>
  <c r="W68" i="19"/>
  <c r="W70" i="19"/>
  <c r="B5" i="6"/>
  <c r="B6" i="6"/>
  <c r="B10" i="6"/>
  <c r="B5" i="7"/>
  <c r="B6" i="7"/>
  <c r="B10" i="7"/>
  <c r="I81" i="10"/>
  <c r="I82" i="10"/>
  <c r="I84" i="10"/>
  <c r="K48" i="17"/>
  <c r="K53" i="17"/>
  <c r="L48" i="17"/>
  <c r="L53" i="17"/>
  <c r="M48" i="17"/>
  <c r="M53" i="17"/>
  <c r="N48" i="17"/>
  <c r="N53" i="17"/>
  <c r="O48" i="17"/>
  <c r="O53" i="17"/>
  <c r="P48" i="17"/>
  <c r="P53" i="17"/>
  <c r="Q48" i="17"/>
  <c r="Q53" i="17"/>
  <c r="R48" i="17"/>
  <c r="R53" i="17"/>
  <c r="S51" i="17"/>
  <c r="S52" i="17"/>
  <c r="T51" i="17"/>
  <c r="T52" i="17"/>
  <c r="U51" i="17"/>
  <c r="U52" i="17"/>
  <c r="V51" i="17"/>
  <c r="V52" i="17"/>
  <c r="L43" i="19"/>
  <c r="L44" i="19"/>
  <c r="L45" i="19"/>
  <c r="L46" i="19"/>
  <c r="L51" i="19"/>
  <c r="M43" i="19"/>
  <c r="M44" i="19"/>
  <c r="M45" i="19"/>
  <c r="M46" i="19"/>
  <c r="M52" i="19"/>
  <c r="M53" i="19"/>
  <c r="M51" i="19"/>
  <c r="N43" i="19"/>
  <c r="N44" i="19"/>
  <c r="N45" i="19"/>
  <c r="N46" i="19"/>
  <c r="N51" i="19"/>
  <c r="N54" i="19"/>
  <c r="O43" i="19"/>
  <c r="O44" i="19"/>
  <c r="O45" i="19"/>
  <c r="O46" i="19"/>
  <c r="O52" i="19"/>
  <c r="O53" i="19"/>
  <c r="O51" i="19"/>
  <c r="P43" i="19"/>
  <c r="P44" i="19"/>
  <c r="P45" i="19"/>
  <c r="P46" i="19"/>
  <c r="P54" i="19"/>
  <c r="P52" i="19"/>
  <c r="P53" i="19"/>
  <c r="P51" i="19"/>
  <c r="Q43" i="19"/>
  <c r="Q44" i="19"/>
  <c r="Q45" i="19"/>
  <c r="Q46" i="19"/>
  <c r="Q53" i="19"/>
  <c r="Q52" i="19"/>
  <c r="Q51" i="19"/>
  <c r="Q54" i="19"/>
  <c r="R43" i="19"/>
  <c r="R44" i="19"/>
  <c r="R45" i="19"/>
  <c r="R46" i="19"/>
  <c r="R54" i="19"/>
  <c r="R52" i="19"/>
  <c r="R53" i="19"/>
  <c r="R51" i="19"/>
  <c r="S43" i="19"/>
  <c r="S44" i="19"/>
  <c r="S45" i="19"/>
  <c r="S46" i="19"/>
  <c r="S53" i="19"/>
  <c r="S52" i="19"/>
  <c r="S51" i="19"/>
  <c r="S54" i="19"/>
  <c r="T43" i="19"/>
  <c r="T47" i="19"/>
  <c r="T48" i="19"/>
  <c r="T49" i="19"/>
  <c r="T54" i="19"/>
  <c r="T52" i="19"/>
  <c r="T53" i="19"/>
  <c r="T50" i="19"/>
  <c r="U43" i="19"/>
  <c r="U47" i="19"/>
  <c r="U48" i="19"/>
  <c r="U49" i="19"/>
  <c r="U53" i="19"/>
  <c r="U52" i="19"/>
  <c r="U50" i="19"/>
  <c r="U54" i="19"/>
  <c r="V43" i="19"/>
  <c r="V47" i="19"/>
  <c r="V48" i="19"/>
  <c r="V49" i="19"/>
  <c r="V54" i="19"/>
  <c r="V52" i="19"/>
  <c r="V53" i="19"/>
  <c r="V50" i="19"/>
  <c r="W43" i="19"/>
  <c r="W47" i="19"/>
  <c r="W48" i="19"/>
  <c r="W49" i="19"/>
  <c r="W53" i="19"/>
  <c r="W52" i="19"/>
  <c r="W50" i="19"/>
  <c r="W54" i="19"/>
  <c r="L8" i="19"/>
  <c r="L9" i="19"/>
  <c r="L10" i="19"/>
  <c r="M8" i="19"/>
  <c r="M9" i="19"/>
  <c r="M10" i="19"/>
  <c r="N8" i="19"/>
  <c r="N9" i="19"/>
  <c r="N10" i="19"/>
  <c r="O8" i="19"/>
  <c r="O9" i="19"/>
  <c r="O10" i="19"/>
  <c r="P8" i="19"/>
  <c r="P9" i="19"/>
  <c r="P10" i="19"/>
  <c r="Q8" i="19"/>
  <c r="Q9" i="19"/>
  <c r="Q10" i="19"/>
  <c r="R8" i="19"/>
  <c r="R9" i="19"/>
  <c r="R10" i="19"/>
  <c r="S8" i="19"/>
  <c r="S9" i="19"/>
  <c r="S10" i="19"/>
  <c r="T8" i="19"/>
  <c r="T12" i="19"/>
  <c r="T13" i="19"/>
  <c r="U8" i="19"/>
  <c r="U12" i="19"/>
  <c r="U13" i="19"/>
  <c r="V8" i="19"/>
  <c r="V12" i="19"/>
  <c r="V13" i="19"/>
  <c r="W8" i="19"/>
  <c r="W12" i="19"/>
  <c r="W13" i="19"/>
  <c r="K44" i="18"/>
  <c r="K45" i="18"/>
  <c r="L44" i="18"/>
  <c r="L45" i="18"/>
  <c r="M44" i="18"/>
  <c r="M45" i="18"/>
  <c r="N44" i="18"/>
  <c r="N45" i="18"/>
  <c r="O44" i="18"/>
  <c r="O45" i="18"/>
  <c r="P44" i="18"/>
  <c r="P45" i="18"/>
  <c r="Q44" i="18"/>
  <c r="Q45" i="18"/>
  <c r="R44" i="18"/>
  <c r="R45" i="18"/>
  <c r="S47" i="18"/>
  <c r="S48" i="18"/>
  <c r="T47" i="18"/>
  <c r="T48" i="18"/>
  <c r="U47" i="18"/>
  <c r="U48" i="18"/>
  <c r="V47" i="18"/>
  <c r="V48" i="18"/>
  <c r="X25" i="10"/>
  <c r="K15" i="10"/>
  <c r="W25" i="19"/>
  <c r="W29" i="19"/>
  <c r="W30" i="19"/>
  <c r="W31" i="19"/>
  <c r="W35" i="19"/>
  <c r="W32" i="19"/>
  <c r="W34" i="19"/>
  <c r="V25" i="19"/>
  <c r="V29" i="19"/>
  <c r="V30" i="19"/>
  <c r="V31" i="19"/>
  <c r="V34" i="19"/>
  <c r="V32" i="19"/>
  <c r="V36" i="19"/>
  <c r="U25" i="19"/>
  <c r="U29" i="19"/>
  <c r="U30" i="19"/>
  <c r="U31" i="19"/>
  <c r="U36" i="19"/>
  <c r="U32" i="19"/>
  <c r="U35" i="19"/>
  <c r="T25" i="19"/>
  <c r="T29" i="19"/>
  <c r="T30" i="19"/>
  <c r="T31" i="19"/>
  <c r="T35" i="19"/>
  <c r="T32" i="19"/>
  <c r="T34" i="19"/>
  <c r="S25" i="19"/>
  <c r="S26" i="19"/>
  <c r="S27" i="19"/>
  <c r="S28" i="19"/>
  <c r="S35" i="19"/>
  <c r="S33" i="19"/>
  <c r="S34" i="19"/>
  <c r="R25" i="19"/>
  <c r="R26" i="19"/>
  <c r="R27" i="19"/>
  <c r="R28" i="19"/>
  <c r="R34" i="19"/>
  <c r="R33" i="19"/>
  <c r="R36" i="19"/>
  <c r="Q25" i="19"/>
  <c r="Q26" i="19"/>
  <c r="Q27" i="19"/>
  <c r="Q28" i="19"/>
  <c r="Q36" i="19"/>
  <c r="Q33" i="19"/>
  <c r="Q35" i="19"/>
  <c r="P25" i="19"/>
  <c r="P26" i="19"/>
  <c r="P27" i="19"/>
  <c r="P28" i="19"/>
  <c r="P35" i="19"/>
  <c r="P33" i="19"/>
  <c r="P34" i="19"/>
  <c r="O25" i="19"/>
  <c r="O26" i="19"/>
  <c r="O27" i="19"/>
  <c r="O28" i="19"/>
  <c r="O35" i="19"/>
  <c r="O33" i="19"/>
  <c r="O34" i="19"/>
  <c r="N25" i="19"/>
  <c r="N26" i="19"/>
  <c r="N27" i="19"/>
  <c r="N28" i="19"/>
  <c r="N34" i="19"/>
  <c r="N33" i="19"/>
  <c r="N36" i="19"/>
  <c r="M25" i="19"/>
  <c r="M26" i="19"/>
  <c r="M27" i="19"/>
  <c r="M28" i="19"/>
  <c r="M36" i="19"/>
  <c r="M33" i="19"/>
  <c r="M35" i="19"/>
  <c r="L25" i="19"/>
  <c r="L26" i="19"/>
  <c r="L27" i="19"/>
  <c r="L28" i="19"/>
  <c r="L35" i="19"/>
  <c r="L33" i="19"/>
  <c r="L34" i="19"/>
  <c r="X3" i="19"/>
  <c r="X2" i="19"/>
  <c r="U3" i="19"/>
  <c r="F21" i="19"/>
  <c r="E21" i="19"/>
  <c r="F19" i="19"/>
  <c r="E19" i="19"/>
  <c r="F18" i="19"/>
  <c r="E18" i="19"/>
  <c r="F16" i="19"/>
  <c r="F15" i="19"/>
  <c r="F14" i="19"/>
  <c r="W3" i="19"/>
  <c r="V3" i="19"/>
  <c r="S3" i="19"/>
  <c r="R3" i="19"/>
  <c r="O3" i="19"/>
  <c r="N3" i="19"/>
  <c r="V43" i="18"/>
  <c r="U43" i="18"/>
  <c r="T43" i="18"/>
  <c r="S43" i="18"/>
  <c r="R43" i="18"/>
  <c r="Q43" i="18"/>
  <c r="P43" i="18"/>
  <c r="O43" i="18"/>
  <c r="N43" i="18"/>
  <c r="M43" i="18"/>
  <c r="L43" i="18"/>
  <c r="K43" i="18"/>
  <c r="V25" i="18"/>
  <c r="V29" i="18"/>
  <c r="V30" i="18"/>
  <c r="V31" i="18"/>
  <c r="V35" i="18"/>
  <c r="V32" i="18"/>
  <c r="V34" i="18"/>
  <c r="U25" i="18"/>
  <c r="U29" i="18"/>
  <c r="U30" i="18"/>
  <c r="U31" i="18"/>
  <c r="U34" i="18"/>
  <c r="U32" i="18"/>
  <c r="U36" i="18"/>
  <c r="T25" i="18"/>
  <c r="T29" i="18"/>
  <c r="T30" i="18"/>
  <c r="T31" i="18"/>
  <c r="T34" i="18"/>
  <c r="T32" i="18"/>
  <c r="T35" i="18"/>
  <c r="T36" i="18"/>
  <c r="S25" i="18"/>
  <c r="S29" i="18"/>
  <c r="S30" i="18"/>
  <c r="S31" i="18"/>
  <c r="S35" i="18"/>
  <c r="S32" i="18"/>
  <c r="S34" i="18"/>
  <c r="R25" i="18"/>
  <c r="R26" i="18"/>
  <c r="R27" i="18"/>
  <c r="R28" i="18"/>
  <c r="R35" i="18"/>
  <c r="R33" i="18"/>
  <c r="R34" i="18"/>
  <c r="Q25" i="18"/>
  <c r="Q26" i="18"/>
  <c r="Q27" i="18"/>
  <c r="Q28" i="18"/>
  <c r="Q34" i="18"/>
  <c r="Q33" i="18"/>
  <c r="Q36" i="18"/>
  <c r="P25" i="18"/>
  <c r="P26" i="18"/>
  <c r="P27" i="18"/>
  <c r="P28" i="18"/>
  <c r="P36" i="18"/>
  <c r="P33" i="18"/>
  <c r="P35" i="18"/>
  <c r="O25" i="18"/>
  <c r="O26" i="18"/>
  <c r="O27" i="18"/>
  <c r="O28" i="18"/>
  <c r="O35" i="18"/>
  <c r="O33" i="18"/>
  <c r="O34" i="18"/>
  <c r="N25" i="18"/>
  <c r="N26" i="18"/>
  <c r="N27" i="18"/>
  <c r="N28" i="18"/>
  <c r="N35" i="18"/>
  <c r="N33" i="18"/>
  <c r="N34" i="18"/>
  <c r="M25" i="18"/>
  <c r="M26" i="18"/>
  <c r="M27" i="18"/>
  <c r="M28" i="18"/>
  <c r="M34" i="18"/>
  <c r="M33" i="18"/>
  <c r="M36" i="18"/>
  <c r="L25" i="18"/>
  <c r="L26" i="18"/>
  <c r="L27" i="18"/>
  <c r="L28" i="18"/>
  <c r="L36" i="18"/>
  <c r="L33" i="18"/>
  <c r="L35" i="18"/>
  <c r="K25" i="18"/>
  <c r="K26" i="18"/>
  <c r="K27" i="18"/>
  <c r="K28" i="18"/>
  <c r="K35" i="18"/>
  <c r="K33" i="18"/>
  <c r="K34" i="18"/>
  <c r="W3" i="18"/>
  <c r="W2" i="18"/>
  <c r="V3" i="18"/>
  <c r="T3" i="18"/>
  <c r="S3" i="18"/>
  <c r="P3" i="18"/>
  <c r="O3" i="18"/>
  <c r="L3" i="18"/>
  <c r="K3" i="18"/>
  <c r="K8" i="18"/>
  <c r="K9" i="18"/>
  <c r="K10" i="18"/>
  <c r="L8" i="18"/>
  <c r="L9" i="18"/>
  <c r="L10" i="18"/>
  <c r="M8" i="18"/>
  <c r="M9" i="18"/>
  <c r="M10" i="18"/>
  <c r="N8" i="18"/>
  <c r="N9" i="18"/>
  <c r="N10" i="18"/>
  <c r="O8" i="18"/>
  <c r="O9" i="18"/>
  <c r="O10" i="18"/>
  <c r="P8" i="18"/>
  <c r="P9" i="18"/>
  <c r="P10" i="18"/>
  <c r="Q8" i="18"/>
  <c r="Q9" i="18"/>
  <c r="Q10" i="18"/>
  <c r="R8" i="18"/>
  <c r="R9" i="18"/>
  <c r="R10" i="18"/>
  <c r="S8" i="18"/>
  <c r="S12" i="18"/>
  <c r="S13" i="18"/>
  <c r="T8" i="18"/>
  <c r="T12" i="18"/>
  <c r="T13" i="18"/>
  <c r="U8" i="18"/>
  <c r="U12" i="18"/>
  <c r="U13" i="18"/>
  <c r="V8" i="18"/>
  <c r="V12" i="18"/>
  <c r="V13" i="18"/>
  <c r="F21" i="18"/>
  <c r="E21" i="18"/>
  <c r="F19" i="18"/>
  <c r="E19" i="18"/>
  <c r="F18" i="18"/>
  <c r="E18" i="18"/>
  <c r="F16" i="18"/>
  <c r="F15" i="18"/>
  <c r="F14" i="18"/>
  <c r="W6" i="18"/>
  <c r="V45" i="17"/>
  <c r="V49" i="17"/>
  <c r="V50" i="17"/>
  <c r="U45" i="17"/>
  <c r="U49" i="17"/>
  <c r="U50" i="17"/>
  <c r="T45" i="17"/>
  <c r="T49" i="17"/>
  <c r="T50" i="17"/>
  <c r="S45" i="17"/>
  <c r="S49" i="17"/>
  <c r="S50" i="17"/>
  <c r="R45" i="17"/>
  <c r="R46" i="17"/>
  <c r="R47" i="17"/>
  <c r="Q45" i="17"/>
  <c r="Q46" i="17"/>
  <c r="Q47" i="17"/>
  <c r="P45" i="17"/>
  <c r="P46" i="17"/>
  <c r="P47" i="17"/>
  <c r="O45" i="17"/>
  <c r="O46" i="17"/>
  <c r="O47" i="17"/>
  <c r="N45" i="17"/>
  <c r="N46" i="17"/>
  <c r="N47" i="17"/>
  <c r="M45" i="17"/>
  <c r="M46" i="17"/>
  <c r="M47" i="17"/>
  <c r="L45" i="17"/>
  <c r="L46" i="17"/>
  <c r="L47" i="17"/>
  <c r="K45" i="17"/>
  <c r="K46" i="17"/>
  <c r="K47" i="17"/>
  <c r="V25" i="17"/>
  <c r="V29" i="17"/>
  <c r="V30" i="17"/>
  <c r="V31" i="17"/>
  <c r="V35" i="17"/>
  <c r="V32" i="17"/>
  <c r="V34" i="17"/>
  <c r="U25" i="17"/>
  <c r="U29" i="17"/>
  <c r="U30" i="17"/>
  <c r="U31" i="17"/>
  <c r="U34" i="17"/>
  <c r="U32" i="17"/>
  <c r="U36" i="17"/>
  <c r="T25" i="17"/>
  <c r="T29" i="17"/>
  <c r="T30" i="17"/>
  <c r="T31" i="17"/>
  <c r="T32" i="17"/>
  <c r="T35" i="17"/>
  <c r="T36" i="17"/>
  <c r="S25" i="17"/>
  <c r="S29" i="17"/>
  <c r="S30" i="17"/>
  <c r="S31" i="17"/>
  <c r="S36" i="17"/>
  <c r="S32" i="17"/>
  <c r="S34" i="17"/>
  <c r="S35" i="17"/>
  <c r="R25" i="17"/>
  <c r="R26" i="17"/>
  <c r="R27" i="17"/>
  <c r="R28" i="17"/>
  <c r="R35" i="17"/>
  <c r="R33" i="17"/>
  <c r="R34" i="17"/>
  <c r="Q25" i="17"/>
  <c r="Q26" i="17"/>
  <c r="Q27" i="17"/>
  <c r="Q28" i="17"/>
  <c r="Q34" i="17"/>
  <c r="Q33" i="17"/>
  <c r="Q36" i="17"/>
  <c r="P25" i="17"/>
  <c r="P26" i="17"/>
  <c r="P27" i="17"/>
  <c r="P28" i="17"/>
  <c r="P36" i="17"/>
  <c r="P33" i="17"/>
  <c r="P35" i="17"/>
  <c r="O25" i="17"/>
  <c r="O26" i="17"/>
  <c r="O27" i="17"/>
  <c r="O28" i="17"/>
  <c r="O35" i="17"/>
  <c r="O33" i="17"/>
  <c r="O34" i="17"/>
  <c r="N25" i="17"/>
  <c r="N26" i="17"/>
  <c r="N27" i="17"/>
  <c r="N28" i="17"/>
  <c r="N35" i="17"/>
  <c r="N33" i="17"/>
  <c r="N34" i="17"/>
  <c r="M25" i="17"/>
  <c r="M26" i="17"/>
  <c r="M27" i="17"/>
  <c r="M28" i="17"/>
  <c r="M34" i="17"/>
  <c r="M33" i="17"/>
  <c r="M36" i="17"/>
  <c r="L25" i="17"/>
  <c r="L26" i="17"/>
  <c r="L27" i="17"/>
  <c r="L28" i="17"/>
  <c r="L36" i="17"/>
  <c r="L33" i="17"/>
  <c r="L35" i="17"/>
  <c r="K25" i="17"/>
  <c r="K26" i="17"/>
  <c r="K27" i="17"/>
  <c r="K28" i="17"/>
  <c r="K35" i="17"/>
  <c r="K33" i="17"/>
  <c r="K34" i="17"/>
  <c r="N10" i="17"/>
  <c r="O10" i="17"/>
  <c r="P10" i="17"/>
  <c r="Q10" i="17"/>
  <c r="R10" i="17"/>
  <c r="K10" i="17"/>
  <c r="L10" i="17"/>
  <c r="K8" i="17"/>
  <c r="K9" i="17"/>
  <c r="L8" i="17"/>
  <c r="L9" i="17"/>
  <c r="M8" i="17"/>
  <c r="M9" i="17"/>
  <c r="M10" i="17"/>
  <c r="N8" i="17"/>
  <c r="N9" i="17"/>
  <c r="O8" i="17"/>
  <c r="O9" i="17"/>
  <c r="P8" i="17"/>
  <c r="P9" i="17"/>
  <c r="Q8" i="17"/>
  <c r="Q9" i="17"/>
  <c r="R8" i="17"/>
  <c r="R9" i="17"/>
  <c r="S8" i="17"/>
  <c r="S12" i="17"/>
  <c r="S13" i="17"/>
  <c r="T8" i="17"/>
  <c r="T12" i="17"/>
  <c r="T13" i="17"/>
  <c r="U8" i="17"/>
  <c r="U12" i="17"/>
  <c r="U13" i="17"/>
  <c r="V8" i="17"/>
  <c r="V12" i="17"/>
  <c r="V13" i="17"/>
  <c r="F21" i="17"/>
  <c r="E21" i="17"/>
  <c r="F19" i="17"/>
  <c r="E19" i="17"/>
  <c r="F18" i="17"/>
  <c r="E18" i="17"/>
  <c r="F16" i="17"/>
  <c r="F15" i="17"/>
  <c r="F14" i="17"/>
  <c r="W2" i="17"/>
  <c r="V3" i="17"/>
  <c r="U3" i="17"/>
  <c r="T3" i="17"/>
  <c r="S3" i="17"/>
  <c r="R3" i="17"/>
  <c r="Q3" i="17"/>
  <c r="P3" i="17"/>
  <c r="O3" i="17"/>
  <c r="N3" i="17"/>
  <c r="M3" i="17"/>
  <c r="L3" i="17"/>
  <c r="K3" i="17"/>
  <c r="V45" i="16"/>
  <c r="V49" i="16"/>
  <c r="V50" i="16"/>
  <c r="V51" i="16"/>
  <c r="V52" i="16"/>
  <c r="V56" i="16"/>
  <c r="U45" i="16"/>
  <c r="U49" i="16"/>
  <c r="U50" i="16"/>
  <c r="U51" i="16"/>
  <c r="U52" i="16"/>
  <c r="T45" i="16"/>
  <c r="T49" i="16"/>
  <c r="T50" i="16"/>
  <c r="T51" i="16"/>
  <c r="T56" i="16"/>
  <c r="T52" i="16"/>
  <c r="S45" i="16"/>
  <c r="S49" i="16"/>
  <c r="S50" i="16"/>
  <c r="S51" i="16"/>
  <c r="S52" i="16"/>
  <c r="R45" i="16"/>
  <c r="R46" i="16"/>
  <c r="R47" i="16"/>
  <c r="R48" i="16"/>
  <c r="R53" i="16"/>
  <c r="R56" i="16"/>
  <c r="Q45" i="16"/>
  <c r="Q46" i="16"/>
  <c r="Q47" i="16"/>
  <c r="Q53" i="16"/>
  <c r="Q56" i="16"/>
  <c r="P45" i="16"/>
  <c r="P46" i="16"/>
  <c r="P47" i="16"/>
  <c r="P48" i="16"/>
  <c r="P56" i="16"/>
  <c r="P53" i="16"/>
  <c r="O45" i="16"/>
  <c r="O46" i="16"/>
  <c r="O47" i="16"/>
  <c r="O48" i="16"/>
  <c r="O53" i="16"/>
  <c r="O56" i="16"/>
  <c r="N45" i="16"/>
  <c r="N46" i="16"/>
  <c r="N47" i="16"/>
  <c r="N48" i="16"/>
  <c r="N53" i="16"/>
  <c r="M45" i="16"/>
  <c r="M46" i="16"/>
  <c r="M47" i="16"/>
  <c r="M48" i="16"/>
  <c r="M53" i="16"/>
  <c r="M56" i="16"/>
  <c r="L45" i="16"/>
  <c r="L46" i="16"/>
  <c r="L47" i="16"/>
  <c r="L56" i="16"/>
  <c r="L53" i="16"/>
  <c r="K45" i="16"/>
  <c r="K46" i="16"/>
  <c r="K47" i="16"/>
  <c r="K56" i="16"/>
  <c r="K53" i="16"/>
  <c r="V25" i="16"/>
  <c r="V29" i="16"/>
  <c r="V30" i="16"/>
  <c r="V31" i="16"/>
  <c r="V32" i="16"/>
  <c r="U25" i="16"/>
  <c r="U29" i="16"/>
  <c r="U30" i="16"/>
  <c r="U31" i="16"/>
  <c r="U32" i="16"/>
  <c r="U36" i="16"/>
  <c r="T25" i="16"/>
  <c r="T29" i="16"/>
  <c r="T30" i="16"/>
  <c r="T31" i="16"/>
  <c r="T32" i="16"/>
  <c r="T36" i="16"/>
  <c r="S25" i="16"/>
  <c r="S29" i="16"/>
  <c r="S30" i="16"/>
  <c r="S31" i="16"/>
  <c r="S32" i="16"/>
  <c r="S35" i="16"/>
  <c r="R25" i="16"/>
  <c r="R26" i="16"/>
  <c r="R27" i="16"/>
  <c r="R28" i="16"/>
  <c r="R33" i="16"/>
  <c r="Q25" i="16"/>
  <c r="Q26" i="16"/>
  <c r="Q27" i="16"/>
  <c r="Q33" i="16"/>
  <c r="Q34" i="16"/>
  <c r="P25" i="16"/>
  <c r="P26" i="16"/>
  <c r="P27" i="16"/>
  <c r="P28" i="16"/>
  <c r="P36" i="16"/>
  <c r="P33" i="16"/>
  <c r="O25" i="16"/>
  <c r="O26" i="16"/>
  <c r="O27" i="16"/>
  <c r="O28" i="16"/>
  <c r="O33" i="16"/>
  <c r="N25" i="16"/>
  <c r="N26" i="16"/>
  <c r="N27" i="16"/>
  <c r="N28" i="16"/>
  <c r="N33" i="16"/>
  <c r="N34" i="16"/>
  <c r="M25" i="16"/>
  <c r="M26" i="16"/>
  <c r="M27" i="16"/>
  <c r="M28" i="16"/>
  <c r="M33" i="16"/>
  <c r="M34" i="16"/>
  <c r="L25" i="16"/>
  <c r="L26" i="16"/>
  <c r="L27" i="16"/>
  <c r="L33" i="16"/>
  <c r="L34" i="16"/>
  <c r="K25" i="16"/>
  <c r="K26" i="16"/>
  <c r="K27" i="16"/>
  <c r="K33" i="16"/>
  <c r="K34" i="16"/>
  <c r="U14" i="16"/>
  <c r="V14" i="16"/>
  <c r="S14" i="16"/>
  <c r="T13" i="16"/>
  <c r="U13" i="16"/>
  <c r="V13" i="16"/>
  <c r="S13" i="16"/>
  <c r="R11" i="16"/>
  <c r="R8" i="16"/>
  <c r="R9" i="16"/>
  <c r="R10" i="16"/>
  <c r="R17" i="16"/>
  <c r="N11" i="16"/>
  <c r="N8" i="16"/>
  <c r="N9" i="16"/>
  <c r="N10" i="16"/>
  <c r="N18" i="16"/>
  <c r="O11" i="16"/>
  <c r="P11" i="16"/>
  <c r="M11" i="16"/>
  <c r="M8" i="16"/>
  <c r="M9" i="16"/>
  <c r="M10" i="16"/>
  <c r="M19" i="16"/>
  <c r="Q10" i="16"/>
  <c r="O10" i="16"/>
  <c r="O8" i="16"/>
  <c r="O9" i="16"/>
  <c r="O17" i="16"/>
  <c r="P10" i="16"/>
  <c r="L10" i="16"/>
  <c r="L9" i="16"/>
  <c r="P9" i="16"/>
  <c r="Q9" i="16"/>
  <c r="K8" i="16"/>
  <c r="L8" i="16"/>
  <c r="M17" i="16"/>
  <c r="P8" i="16"/>
  <c r="P17" i="16"/>
  <c r="Q8" i="16"/>
  <c r="S8" i="16"/>
  <c r="T8" i="16"/>
  <c r="T12" i="16"/>
  <c r="T14" i="16"/>
  <c r="T17" i="16"/>
  <c r="U8" i="16"/>
  <c r="U12" i="16"/>
  <c r="U17" i="16"/>
  <c r="V8" i="16"/>
  <c r="K9" i="16"/>
  <c r="K10" i="16"/>
  <c r="S12" i="16"/>
  <c r="S17" i="16"/>
  <c r="V12" i="16"/>
  <c r="S15" i="16"/>
  <c r="T15" i="16"/>
  <c r="U15" i="16"/>
  <c r="U18" i="16"/>
  <c r="U19" i="16"/>
  <c r="U20" i="16"/>
  <c r="V15" i="16"/>
  <c r="K16" i="16"/>
  <c r="L16" i="16"/>
  <c r="M16" i="16"/>
  <c r="N16" i="16"/>
  <c r="N17" i="16"/>
  <c r="N19" i="16"/>
  <c r="N20" i="16"/>
  <c r="N21" i="16"/>
  <c r="O16" i="16"/>
  <c r="P16" i="16"/>
  <c r="Q16" i="16"/>
  <c r="Q17" i="16"/>
  <c r="Q18" i="16"/>
  <c r="Q19" i="16"/>
  <c r="Q20" i="16"/>
  <c r="R16" i="16"/>
  <c r="W3" i="16"/>
  <c r="O18" i="16"/>
  <c r="O19" i="16"/>
  <c r="P19" i="16"/>
  <c r="R18" i="16"/>
  <c r="R19" i="16"/>
  <c r="S18" i="16"/>
  <c r="S19" i="16"/>
  <c r="S20" i="16"/>
  <c r="T18" i="16"/>
  <c r="T19" i="16"/>
  <c r="V18" i="16"/>
  <c r="V19" i="16"/>
  <c r="F21" i="16"/>
  <c r="E21" i="16"/>
  <c r="F19" i="16"/>
  <c r="E19" i="16"/>
  <c r="F18" i="16"/>
  <c r="E18" i="16"/>
  <c r="F16" i="16"/>
  <c r="F15" i="16"/>
  <c r="F14" i="16"/>
  <c r="W6" i="16"/>
  <c r="W2" i="16"/>
  <c r="V3" i="16"/>
  <c r="U3" i="16"/>
  <c r="T3" i="16"/>
  <c r="S3" i="16"/>
  <c r="R3" i="16"/>
  <c r="Q3" i="16"/>
  <c r="P3" i="16"/>
  <c r="O3" i="16"/>
  <c r="N3" i="16"/>
  <c r="M3" i="16"/>
  <c r="L3" i="16"/>
  <c r="K3" i="16"/>
  <c r="V45" i="15"/>
  <c r="V49" i="15"/>
  <c r="V50" i="15"/>
  <c r="V56" i="15"/>
  <c r="V52" i="15"/>
  <c r="U45" i="15"/>
  <c r="U49" i="15"/>
  <c r="U50" i="15"/>
  <c r="U51" i="15"/>
  <c r="U52" i="15"/>
  <c r="T45" i="15"/>
  <c r="T49" i="15"/>
  <c r="T50" i="15"/>
  <c r="T51" i="15"/>
  <c r="T56" i="15"/>
  <c r="T52" i="15"/>
  <c r="S45" i="15"/>
  <c r="S49" i="15"/>
  <c r="S50" i="15"/>
  <c r="S52" i="15"/>
  <c r="S56" i="15"/>
  <c r="R45" i="15"/>
  <c r="R46" i="15"/>
  <c r="R47" i="15"/>
  <c r="R56" i="15"/>
  <c r="R53" i="15"/>
  <c r="Q45" i="15"/>
  <c r="Q46" i="15"/>
  <c r="Q56" i="15"/>
  <c r="Q53" i="15"/>
  <c r="P45" i="15"/>
  <c r="P46" i="15"/>
  <c r="P47" i="15"/>
  <c r="P56" i="15"/>
  <c r="P53" i="15"/>
  <c r="O45" i="15"/>
  <c r="O46" i="15"/>
  <c r="O47" i="15"/>
  <c r="O56" i="15"/>
  <c r="O53" i="15"/>
  <c r="N45" i="15"/>
  <c r="N46" i="15"/>
  <c r="N47" i="15"/>
  <c r="N53" i="15"/>
  <c r="N56" i="15"/>
  <c r="M45" i="15"/>
  <c r="M46" i="15"/>
  <c r="M47" i="15"/>
  <c r="M56" i="15"/>
  <c r="M53" i="15"/>
  <c r="L45" i="15"/>
  <c r="L46" i="15"/>
  <c r="L56" i="15"/>
  <c r="L53" i="15"/>
  <c r="K45" i="15"/>
  <c r="K46" i="15"/>
  <c r="K47" i="15"/>
  <c r="K56" i="15"/>
  <c r="K53" i="15"/>
  <c r="V25" i="15"/>
  <c r="V29" i="15"/>
  <c r="V30" i="15"/>
  <c r="V36" i="15"/>
  <c r="V34" i="15"/>
  <c r="V32" i="15"/>
  <c r="V35" i="15"/>
  <c r="U25" i="15"/>
  <c r="U29" i="15"/>
  <c r="U30" i="15"/>
  <c r="U31" i="15"/>
  <c r="U35" i="15"/>
  <c r="U32" i="15"/>
  <c r="U34" i="15"/>
  <c r="T25" i="15"/>
  <c r="T29" i="15"/>
  <c r="T30" i="15"/>
  <c r="T31" i="15"/>
  <c r="T34" i="15"/>
  <c r="T32" i="15"/>
  <c r="S25" i="15"/>
  <c r="S29" i="15"/>
  <c r="S30" i="15"/>
  <c r="S35" i="15"/>
  <c r="S34" i="15"/>
  <c r="S32" i="15"/>
  <c r="S36" i="15"/>
  <c r="S37" i="15"/>
  <c r="R25" i="15"/>
  <c r="R26" i="15"/>
  <c r="R27" i="15"/>
  <c r="R35" i="15"/>
  <c r="R34" i="15"/>
  <c r="R33" i="15"/>
  <c r="R36" i="15"/>
  <c r="Q25" i="15"/>
  <c r="Q26" i="15"/>
  <c r="Q36" i="15"/>
  <c r="Q33" i="15"/>
  <c r="Q34" i="15"/>
  <c r="Q35" i="15"/>
  <c r="P25" i="15"/>
  <c r="P26" i="15"/>
  <c r="P27" i="15"/>
  <c r="P35" i="15"/>
  <c r="P33" i="15"/>
  <c r="P34" i="15"/>
  <c r="O25" i="15"/>
  <c r="O26" i="15"/>
  <c r="O27" i="15"/>
  <c r="O35" i="15"/>
  <c r="O33" i="15"/>
  <c r="O34" i="15"/>
  <c r="N25" i="15"/>
  <c r="N26" i="15"/>
  <c r="N27" i="15"/>
  <c r="N35" i="15"/>
  <c r="N33" i="15"/>
  <c r="N34" i="15"/>
  <c r="M25" i="15"/>
  <c r="M26" i="15"/>
  <c r="M27" i="15"/>
  <c r="M35" i="15"/>
  <c r="M33" i="15"/>
  <c r="M34" i="15"/>
  <c r="L25" i="15"/>
  <c r="L26" i="15"/>
  <c r="L36" i="15"/>
  <c r="L33" i="15"/>
  <c r="L35" i="15"/>
  <c r="K25" i="15"/>
  <c r="K26" i="15"/>
  <c r="K27" i="15"/>
  <c r="K36" i="15"/>
  <c r="K34" i="15"/>
  <c r="K33" i="15"/>
  <c r="K35" i="15"/>
  <c r="T14" i="15"/>
  <c r="V13" i="15"/>
  <c r="V8" i="15"/>
  <c r="V12" i="15"/>
  <c r="V18" i="15"/>
  <c r="S13" i="15"/>
  <c r="L9" i="15"/>
  <c r="Q9" i="15"/>
  <c r="Q8" i="15"/>
  <c r="Q18" i="15"/>
  <c r="M10" i="15"/>
  <c r="N10" i="15"/>
  <c r="O10" i="15"/>
  <c r="P10" i="15"/>
  <c r="W3" i="15"/>
  <c r="W2" i="15"/>
  <c r="S3" i="15"/>
  <c r="T3" i="15"/>
  <c r="Q3" i="15"/>
  <c r="P3" i="15"/>
  <c r="M3" i="15"/>
  <c r="L3" i="15"/>
  <c r="K8" i="15"/>
  <c r="K9" i="15"/>
  <c r="K10" i="15"/>
  <c r="K18" i="15"/>
  <c r="K16" i="15"/>
  <c r="K19" i="15"/>
  <c r="L8" i="15"/>
  <c r="L17" i="15"/>
  <c r="L16" i="15"/>
  <c r="L19" i="15"/>
  <c r="M8" i="15"/>
  <c r="M9" i="15"/>
  <c r="M17" i="15"/>
  <c r="M16" i="15"/>
  <c r="M19" i="15"/>
  <c r="N8" i="15"/>
  <c r="N9" i="15"/>
  <c r="N17" i="15"/>
  <c r="N16" i="15"/>
  <c r="N19" i="15"/>
  <c r="O8" i="15"/>
  <c r="O9" i="15"/>
  <c r="O17" i="15"/>
  <c r="O16" i="15"/>
  <c r="O19" i="15"/>
  <c r="P8" i="15"/>
  <c r="P9" i="15"/>
  <c r="P17" i="15"/>
  <c r="P16" i="15"/>
  <c r="P19" i="15"/>
  <c r="Q16" i="15"/>
  <c r="Q17" i="15"/>
  <c r="R8" i="15"/>
  <c r="R9" i="15"/>
  <c r="R10" i="15"/>
  <c r="R18" i="15"/>
  <c r="R17" i="15"/>
  <c r="R16" i="15"/>
  <c r="R19" i="15"/>
  <c r="S8" i="15"/>
  <c r="S12" i="15"/>
  <c r="S17" i="15"/>
  <c r="S15" i="15"/>
  <c r="S19" i="15"/>
  <c r="T8" i="15"/>
  <c r="T12" i="15"/>
  <c r="T13" i="15"/>
  <c r="T18" i="15"/>
  <c r="T15" i="15"/>
  <c r="T19" i="15"/>
  <c r="U8" i="15"/>
  <c r="U12" i="15"/>
  <c r="U13" i="15"/>
  <c r="U14" i="15"/>
  <c r="U18" i="15"/>
  <c r="U15" i="15"/>
  <c r="U17" i="15"/>
  <c r="V19" i="15"/>
  <c r="V15" i="15"/>
  <c r="V17" i="15"/>
  <c r="V20" i="15"/>
  <c r="F21" i="15"/>
  <c r="E21" i="15"/>
  <c r="F19" i="15"/>
  <c r="E19" i="15"/>
  <c r="F18" i="15"/>
  <c r="E18" i="15"/>
  <c r="F16" i="15"/>
  <c r="F15" i="15"/>
  <c r="F14" i="15"/>
  <c r="W6" i="15"/>
  <c r="V41" i="14"/>
  <c r="V45" i="14"/>
  <c r="V48" i="14"/>
  <c r="U41" i="14"/>
  <c r="U45" i="14"/>
  <c r="U48" i="14"/>
  <c r="T41" i="14"/>
  <c r="T45" i="14"/>
  <c r="T48" i="14"/>
  <c r="S41" i="14"/>
  <c r="S45" i="14"/>
  <c r="S48" i="14"/>
  <c r="R41" i="14"/>
  <c r="R42" i="14"/>
  <c r="R49" i="14"/>
  <c r="Q41" i="14"/>
  <c r="Q42" i="14"/>
  <c r="Q49" i="14"/>
  <c r="P41" i="14"/>
  <c r="P42" i="14"/>
  <c r="P49" i="14"/>
  <c r="O41" i="14"/>
  <c r="O42" i="14"/>
  <c r="O49" i="14"/>
  <c r="O52" i="14"/>
  <c r="N41" i="14"/>
  <c r="N42" i="14"/>
  <c r="N49" i="14"/>
  <c r="N52" i="14"/>
  <c r="M41" i="14"/>
  <c r="M42" i="14"/>
  <c r="M49" i="14"/>
  <c r="M52" i="14"/>
  <c r="L41" i="14"/>
  <c r="L42" i="14"/>
  <c r="L49" i="14"/>
  <c r="L52" i="14"/>
  <c r="K41" i="14"/>
  <c r="K42" i="14"/>
  <c r="K49" i="14"/>
  <c r="K52" i="14"/>
  <c r="V24" i="14"/>
  <c r="V28" i="14"/>
  <c r="V35" i="14"/>
  <c r="V31" i="14"/>
  <c r="V33" i="14"/>
  <c r="V34" i="14"/>
  <c r="U24" i="14"/>
  <c r="U28" i="14"/>
  <c r="U31" i="14"/>
  <c r="U34" i="14"/>
  <c r="T24" i="14"/>
  <c r="T28" i="14"/>
  <c r="T33" i="14"/>
  <c r="T31" i="14"/>
  <c r="T35" i="14"/>
  <c r="S24" i="14"/>
  <c r="S28" i="14"/>
  <c r="S31" i="14"/>
  <c r="S33" i="14"/>
  <c r="S34" i="14"/>
  <c r="S35" i="14"/>
  <c r="S36" i="14"/>
  <c r="R24" i="14"/>
  <c r="R25" i="14"/>
  <c r="R35" i="14"/>
  <c r="R32" i="14"/>
  <c r="R33" i="14"/>
  <c r="R34" i="14"/>
  <c r="Q24" i="14"/>
  <c r="Q25" i="14"/>
  <c r="Q32" i="14"/>
  <c r="Q34" i="14"/>
  <c r="P24" i="14"/>
  <c r="P25" i="14"/>
  <c r="P33" i="14"/>
  <c r="P32" i="14"/>
  <c r="P35" i="14"/>
  <c r="O24" i="14"/>
  <c r="O25" i="14"/>
  <c r="O32" i="14"/>
  <c r="O33" i="14"/>
  <c r="O34" i="14"/>
  <c r="O35" i="14"/>
  <c r="O36" i="14"/>
  <c r="N24" i="14"/>
  <c r="N25" i="14"/>
  <c r="N35" i="14"/>
  <c r="N32" i="14"/>
  <c r="N33" i="14"/>
  <c r="N34" i="14"/>
  <c r="M24" i="14"/>
  <c r="M25" i="14"/>
  <c r="M32" i="14"/>
  <c r="M34" i="14"/>
  <c r="L24" i="14"/>
  <c r="L25" i="14"/>
  <c r="L33" i="14"/>
  <c r="L32" i="14"/>
  <c r="L35" i="14"/>
  <c r="K24" i="14"/>
  <c r="K25" i="14"/>
  <c r="K32" i="14"/>
  <c r="K33" i="14"/>
  <c r="K34" i="14"/>
  <c r="K35" i="14"/>
  <c r="K36" i="14"/>
  <c r="S11" i="14"/>
  <c r="T11" i="14"/>
  <c r="U11" i="14"/>
  <c r="L8" i="14"/>
  <c r="M8" i="14"/>
  <c r="N8" i="14"/>
  <c r="O8" i="14"/>
  <c r="P8" i="14"/>
  <c r="Q8" i="14"/>
  <c r="R8" i="14"/>
  <c r="V41" i="13"/>
  <c r="V45" i="13"/>
  <c r="V52" i="13"/>
  <c r="V48" i="13"/>
  <c r="U41" i="13"/>
  <c r="U45" i="13"/>
  <c r="U52" i="13"/>
  <c r="U48" i="13"/>
  <c r="T41" i="13"/>
  <c r="T45" i="13"/>
  <c r="T52" i="13"/>
  <c r="T48" i="13"/>
  <c r="S41" i="13"/>
  <c r="S45" i="13"/>
  <c r="S52" i="13"/>
  <c r="S48" i="13"/>
  <c r="R41" i="13"/>
  <c r="R42" i="13"/>
  <c r="R52" i="13"/>
  <c r="R49" i="13"/>
  <c r="Q41" i="13"/>
  <c r="Q42" i="13"/>
  <c r="Q52" i="13"/>
  <c r="Q49" i="13"/>
  <c r="P41" i="13"/>
  <c r="P42" i="13"/>
  <c r="P52" i="13"/>
  <c r="P49" i="13"/>
  <c r="O41" i="13"/>
  <c r="O42" i="13"/>
  <c r="O52" i="13"/>
  <c r="O49" i="13"/>
  <c r="N41" i="13"/>
  <c r="N42" i="13"/>
  <c r="N52" i="13"/>
  <c r="N49" i="13"/>
  <c r="M41" i="13"/>
  <c r="M42" i="13"/>
  <c r="M52" i="13"/>
  <c r="M49" i="13"/>
  <c r="L41" i="13"/>
  <c r="L42" i="13"/>
  <c r="L52" i="13"/>
  <c r="L49" i="13"/>
  <c r="K41" i="13"/>
  <c r="K42" i="13"/>
  <c r="K52" i="13"/>
  <c r="K49" i="13"/>
  <c r="V24" i="13"/>
  <c r="V28" i="13"/>
  <c r="V33" i="13"/>
  <c r="V31" i="13"/>
  <c r="V35" i="13"/>
  <c r="U24" i="13"/>
  <c r="U28" i="13"/>
  <c r="U35" i="13"/>
  <c r="U31" i="13"/>
  <c r="U33" i="13"/>
  <c r="U34" i="13"/>
  <c r="U36" i="13"/>
  <c r="T24" i="13"/>
  <c r="T28" i="13"/>
  <c r="T35" i="13"/>
  <c r="T31" i="13"/>
  <c r="T33" i="13"/>
  <c r="T34" i="13"/>
  <c r="S24" i="13"/>
  <c r="S28" i="13"/>
  <c r="S31" i="13"/>
  <c r="S34" i="13"/>
  <c r="S35" i="13"/>
  <c r="R24" i="13"/>
  <c r="R25" i="13"/>
  <c r="R33" i="13"/>
  <c r="R32" i="13"/>
  <c r="R35" i="13"/>
  <c r="Q24" i="13"/>
  <c r="Q25" i="13"/>
  <c r="Q32" i="13"/>
  <c r="Q33" i="13"/>
  <c r="Q34" i="13"/>
  <c r="Q35" i="13"/>
  <c r="Q36" i="13"/>
  <c r="P24" i="13"/>
  <c r="P25" i="13"/>
  <c r="P35" i="13"/>
  <c r="P32" i="13"/>
  <c r="P33" i="13"/>
  <c r="P34" i="13"/>
  <c r="O24" i="13"/>
  <c r="O25" i="13"/>
  <c r="O32" i="13"/>
  <c r="O34" i="13"/>
  <c r="O35" i="13"/>
  <c r="N24" i="13"/>
  <c r="N25" i="13"/>
  <c r="N33" i="13"/>
  <c r="N32" i="13"/>
  <c r="N35" i="13"/>
  <c r="M24" i="13"/>
  <c r="M25" i="13"/>
  <c r="M32" i="13"/>
  <c r="M33" i="13"/>
  <c r="M34" i="13"/>
  <c r="M35" i="13"/>
  <c r="M36" i="13"/>
  <c r="L24" i="13"/>
  <c r="L25" i="13"/>
  <c r="L35" i="13"/>
  <c r="L32" i="13"/>
  <c r="L33" i="13"/>
  <c r="L34" i="13"/>
  <c r="K24" i="13"/>
  <c r="K25" i="13"/>
  <c r="K32" i="13"/>
  <c r="K34" i="13"/>
  <c r="K35" i="13"/>
  <c r="S11" i="13"/>
  <c r="T11" i="13"/>
  <c r="U11" i="13"/>
  <c r="L8" i="13"/>
  <c r="M8" i="13"/>
  <c r="N8" i="13"/>
  <c r="O8" i="13"/>
  <c r="P8" i="13"/>
  <c r="Q8" i="13"/>
  <c r="R8" i="13"/>
  <c r="V41" i="11"/>
  <c r="V45" i="11"/>
  <c r="V48" i="11"/>
  <c r="V52" i="11"/>
  <c r="U41" i="11"/>
  <c r="U45" i="11"/>
  <c r="U48" i="11"/>
  <c r="U52" i="11"/>
  <c r="T41" i="11"/>
  <c r="T45" i="11"/>
  <c r="T48" i="11"/>
  <c r="T52" i="11"/>
  <c r="S41" i="11"/>
  <c r="S45" i="11"/>
  <c r="S48" i="11"/>
  <c r="S52" i="11"/>
  <c r="R41" i="11"/>
  <c r="R42" i="11"/>
  <c r="R49" i="11"/>
  <c r="R52" i="11"/>
  <c r="Q41" i="11"/>
  <c r="Q42" i="11"/>
  <c r="Q49" i="11"/>
  <c r="Q52" i="11"/>
  <c r="P41" i="11"/>
  <c r="P42" i="11"/>
  <c r="P49" i="11"/>
  <c r="P52" i="11"/>
  <c r="O41" i="11"/>
  <c r="O42" i="11"/>
  <c r="O49" i="11"/>
  <c r="O52" i="11"/>
  <c r="N41" i="11"/>
  <c r="N42" i="11"/>
  <c r="N49" i="11"/>
  <c r="N52" i="11"/>
  <c r="M41" i="11"/>
  <c r="M42" i="11"/>
  <c r="M49" i="11"/>
  <c r="M52" i="11"/>
  <c r="L41" i="11"/>
  <c r="L42" i="11"/>
  <c r="L49" i="11"/>
  <c r="L52" i="11"/>
  <c r="K41" i="11"/>
  <c r="K42" i="11"/>
  <c r="K49" i="11"/>
  <c r="K52" i="11"/>
  <c r="V24" i="11"/>
  <c r="V28" i="11"/>
  <c r="V35" i="11"/>
  <c r="V31" i="11"/>
  <c r="V33" i="11"/>
  <c r="V34" i="11"/>
  <c r="U24" i="11"/>
  <c r="U28" i="11"/>
  <c r="U31" i="11"/>
  <c r="U34" i="11"/>
  <c r="T24" i="11"/>
  <c r="T28" i="11"/>
  <c r="T33" i="11"/>
  <c r="T31" i="11"/>
  <c r="T35" i="11"/>
  <c r="S24" i="11"/>
  <c r="S28" i="11"/>
  <c r="S31" i="11"/>
  <c r="S33" i="11"/>
  <c r="S34" i="11"/>
  <c r="S35" i="11"/>
  <c r="S36" i="11"/>
  <c r="R24" i="11"/>
  <c r="R25" i="11"/>
  <c r="R35" i="11"/>
  <c r="R32" i="11"/>
  <c r="R33" i="11"/>
  <c r="R34" i="11"/>
  <c r="Q24" i="11"/>
  <c r="Q25" i="11"/>
  <c r="Q32" i="11"/>
  <c r="Q34" i="11"/>
  <c r="P24" i="11"/>
  <c r="P25" i="11"/>
  <c r="P33" i="11"/>
  <c r="P32" i="11"/>
  <c r="P35" i="11"/>
  <c r="O24" i="11"/>
  <c r="O25" i="11"/>
  <c r="O32" i="11"/>
  <c r="O33" i="11"/>
  <c r="O34" i="11"/>
  <c r="O35" i="11"/>
  <c r="O36" i="11"/>
  <c r="N24" i="11"/>
  <c r="N25" i="11"/>
  <c r="N35" i="11"/>
  <c r="N32" i="11"/>
  <c r="N33" i="11"/>
  <c r="N34" i="11"/>
  <c r="M24" i="11"/>
  <c r="M25" i="11"/>
  <c r="M32" i="11"/>
  <c r="M34" i="11"/>
  <c r="L24" i="11"/>
  <c r="L25" i="11"/>
  <c r="L33" i="11"/>
  <c r="L32" i="11"/>
  <c r="L35" i="11"/>
  <c r="K24" i="11"/>
  <c r="K25" i="11"/>
  <c r="K32" i="11"/>
  <c r="K33" i="11"/>
  <c r="K34" i="11"/>
  <c r="K35" i="11"/>
  <c r="K36" i="11"/>
  <c r="S11" i="11"/>
  <c r="T11" i="11"/>
  <c r="U11" i="11"/>
  <c r="L8" i="11"/>
  <c r="M8" i="11"/>
  <c r="N8" i="11"/>
  <c r="O8" i="11"/>
  <c r="P8" i="11"/>
  <c r="Q8" i="11"/>
  <c r="R8" i="11"/>
  <c r="V41" i="12"/>
  <c r="V45" i="12"/>
  <c r="V52" i="12"/>
  <c r="V48" i="12"/>
  <c r="U41" i="12"/>
  <c r="U45" i="12"/>
  <c r="U52" i="12"/>
  <c r="U48" i="12"/>
  <c r="T41" i="12"/>
  <c r="T45" i="12"/>
  <c r="T52" i="12"/>
  <c r="T48" i="12"/>
  <c r="S41" i="12"/>
  <c r="S45" i="12"/>
  <c r="S52" i="12"/>
  <c r="S48" i="12"/>
  <c r="R41" i="12"/>
  <c r="R42" i="12"/>
  <c r="R52" i="12"/>
  <c r="R49" i="12"/>
  <c r="Q41" i="12"/>
  <c r="Q42" i="12"/>
  <c r="Q52" i="12"/>
  <c r="Q49" i="12"/>
  <c r="P41" i="12"/>
  <c r="P42" i="12"/>
  <c r="P52" i="12"/>
  <c r="P49" i="12"/>
  <c r="O41" i="12"/>
  <c r="O42" i="12"/>
  <c r="O52" i="12"/>
  <c r="O49" i="12"/>
  <c r="N41" i="12"/>
  <c r="N42" i="12"/>
  <c r="N52" i="12"/>
  <c r="N49" i="12"/>
  <c r="M41" i="12"/>
  <c r="M42" i="12"/>
  <c r="M52" i="12"/>
  <c r="M49" i="12"/>
  <c r="L41" i="12"/>
  <c r="L42" i="12"/>
  <c r="L52" i="12"/>
  <c r="L49" i="12"/>
  <c r="K41" i="12"/>
  <c r="K42" i="12"/>
  <c r="K52" i="12"/>
  <c r="K49" i="12"/>
  <c r="V24" i="12"/>
  <c r="V28" i="12"/>
  <c r="V33" i="12"/>
  <c r="V31" i="12"/>
  <c r="V35" i="12"/>
  <c r="U24" i="12"/>
  <c r="U28" i="12"/>
  <c r="U35" i="12"/>
  <c r="U31" i="12"/>
  <c r="U33" i="12"/>
  <c r="U34" i="12"/>
  <c r="U36" i="12"/>
  <c r="T24" i="12"/>
  <c r="T28" i="12"/>
  <c r="T31" i="12"/>
  <c r="T34" i="12"/>
  <c r="S24" i="12"/>
  <c r="S28" i="12"/>
  <c r="S31" i="12"/>
  <c r="S34" i="12"/>
  <c r="S35" i="12"/>
  <c r="R24" i="12"/>
  <c r="R25" i="12"/>
  <c r="R32" i="12"/>
  <c r="R35" i="12"/>
  <c r="Q24" i="12"/>
  <c r="Q25" i="12"/>
  <c r="Q32" i="12"/>
  <c r="Q33" i="12"/>
  <c r="Q34" i="12"/>
  <c r="Q35" i="12"/>
  <c r="Q36" i="12"/>
  <c r="P24" i="12"/>
  <c r="P25" i="12"/>
  <c r="P32" i="12"/>
  <c r="P33" i="12"/>
  <c r="P34" i="12"/>
  <c r="O24" i="12"/>
  <c r="O25" i="12"/>
  <c r="O35" i="12"/>
  <c r="O32" i="12"/>
  <c r="N24" i="12"/>
  <c r="N25" i="12"/>
  <c r="N32" i="12"/>
  <c r="M24" i="12"/>
  <c r="M25" i="12"/>
  <c r="M32" i="12"/>
  <c r="M33" i="12"/>
  <c r="M34" i="12"/>
  <c r="M35" i="12"/>
  <c r="M36" i="12"/>
  <c r="M37" i="12"/>
  <c r="L24" i="12"/>
  <c r="L25" i="12"/>
  <c r="L32" i="12"/>
  <c r="L34" i="12"/>
  <c r="K24" i="12"/>
  <c r="K25" i="12"/>
  <c r="K32" i="12"/>
  <c r="K34" i="12"/>
  <c r="K35" i="12"/>
  <c r="T11" i="12"/>
  <c r="U11" i="12"/>
  <c r="V11" i="12"/>
  <c r="S11" i="12"/>
  <c r="L8" i="12"/>
  <c r="M8" i="12"/>
  <c r="N8" i="12"/>
  <c r="O8" i="12"/>
  <c r="P8" i="12"/>
  <c r="Q8" i="12"/>
  <c r="R8" i="12"/>
  <c r="K8" i="12"/>
  <c r="V41" i="1"/>
  <c r="V45" i="1"/>
  <c r="V52" i="1"/>
  <c r="V48" i="1"/>
  <c r="U41" i="1"/>
  <c r="U45" i="1"/>
  <c r="U52" i="1"/>
  <c r="U48" i="1"/>
  <c r="T41" i="1"/>
  <c r="T45" i="1"/>
  <c r="T52" i="1"/>
  <c r="T48" i="1"/>
  <c r="S41" i="1"/>
  <c r="S45" i="1"/>
  <c r="S52" i="1"/>
  <c r="S48" i="1"/>
  <c r="R41" i="1"/>
  <c r="R42" i="1"/>
  <c r="R52" i="1"/>
  <c r="R49" i="1"/>
  <c r="Q41" i="1"/>
  <c r="Q42" i="1"/>
  <c r="Q52" i="1"/>
  <c r="Q49" i="1"/>
  <c r="P41" i="1"/>
  <c r="P42" i="1"/>
  <c r="P52" i="1"/>
  <c r="P49" i="1"/>
  <c r="O41" i="1"/>
  <c r="O42" i="1"/>
  <c r="O52" i="1"/>
  <c r="O49" i="1"/>
  <c r="N41" i="1"/>
  <c r="N42" i="1"/>
  <c r="N52" i="1"/>
  <c r="N49" i="1"/>
  <c r="M41" i="1"/>
  <c r="M42" i="1"/>
  <c r="M52" i="1"/>
  <c r="M49" i="1"/>
  <c r="L41" i="1"/>
  <c r="L42" i="1"/>
  <c r="L52" i="1"/>
  <c r="L49" i="1"/>
  <c r="K41" i="1"/>
  <c r="K42" i="1"/>
  <c r="K52" i="1"/>
  <c r="K49" i="1"/>
  <c r="V24" i="1"/>
  <c r="V28" i="1"/>
  <c r="V31" i="1"/>
  <c r="V35" i="1"/>
  <c r="U24" i="1"/>
  <c r="U28" i="1"/>
  <c r="U31" i="1"/>
  <c r="U33" i="1"/>
  <c r="U34" i="1"/>
  <c r="U35" i="1"/>
  <c r="U36" i="1"/>
  <c r="T24" i="1"/>
  <c r="T28" i="1"/>
  <c r="T31" i="1"/>
  <c r="T33" i="1"/>
  <c r="T34" i="1"/>
  <c r="S24" i="1"/>
  <c r="S28" i="1"/>
  <c r="S35" i="1"/>
  <c r="S31" i="1"/>
  <c r="R24" i="1"/>
  <c r="R25" i="1"/>
  <c r="R32" i="1"/>
  <c r="Q24" i="1"/>
  <c r="Q25" i="1"/>
  <c r="Q32" i="1"/>
  <c r="Q33" i="1"/>
  <c r="Q34" i="1"/>
  <c r="Q35" i="1"/>
  <c r="Q36" i="1"/>
  <c r="P24" i="1"/>
  <c r="P25" i="1"/>
  <c r="P32" i="1"/>
  <c r="P34" i="1"/>
  <c r="O24" i="1"/>
  <c r="O25" i="1"/>
  <c r="O32" i="1"/>
  <c r="O34" i="1"/>
  <c r="O35" i="1"/>
  <c r="N24" i="1"/>
  <c r="N25" i="1"/>
  <c r="N32" i="1"/>
  <c r="N35" i="1"/>
  <c r="M24" i="1"/>
  <c r="M25" i="1"/>
  <c r="M32" i="1"/>
  <c r="M33" i="1"/>
  <c r="M34" i="1"/>
  <c r="M35" i="1"/>
  <c r="M36" i="1"/>
  <c r="L24" i="1"/>
  <c r="L25" i="1"/>
  <c r="L32" i="1"/>
  <c r="L33" i="1"/>
  <c r="L34" i="1"/>
  <c r="K24" i="1"/>
  <c r="K25" i="1"/>
  <c r="K35" i="1"/>
  <c r="K32" i="1"/>
  <c r="M37" i="1"/>
  <c r="U37" i="1"/>
  <c r="T11" i="1"/>
  <c r="U11" i="1"/>
  <c r="V11" i="1"/>
  <c r="S11" i="1"/>
  <c r="R8" i="1"/>
  <c r="L8" i="1"/>
  <c r="M8" i="1"/>
  <c r="N8" i="1"/>
  <c r="O8" i="1"/>
  <c r="P8" i="1"/>
  <c r="Q8" i="1"/>
  <c r="W3" i="14"/>
  <c r="K7" i="14"/>
  <c r="K8" i="14"/>
  <c r="K15" i="14"/>
  <c r="K18" i="14"/>
  <c r="L7" i="14"/>
  <c r="L15" i="14"/>
  <c r="L16" i="14"/>
  <c r="L17" i="14"/>
  <c r="L18" i="14"/>
  <c r="L19" i="14"/>
  <c r="L20" i="14"/>
  <c r="M7" i="14"/>
  <c r="M15" i="14"/>
  <c r="M16" i="14"/>
  <c r="M17" i="14"/>
  <c r="M18" i="14"/>
  <c r="M19" i="14"/>
  <c r="N7" i="14"/>
  <c r="N15" i="14"/>
  <c r="O7" i="14"/>
  <c r="O15" i="14"/>
  <c r="P7" i="14"/>
  <c r="P15" i="14"/>
  <c r="P16" i="14"/>
  <c r="P17" i="14"/>
  <c r="P18" i="14"/>
  <c r="P19" i="14"/>
  <c r="P20" i="14"/>
  <c r="Q7" i="14"/>
  <c r="Q15" i="14"/>
  <c r="Q16" i="14"/>
  <c r="Q17" i="14"/>
  <c r="Q18" i="14"/>
  <c r="Q19" i="14"/>
  <c r="R7" i="14"/>
  <c r="R15" i="14"/>
  <c r="S7" i="14"/>
  <c r="S14" i="14"/>
  <c r="S18" i="14"/>
  <c r="T7" i="14"/>
  <c r="T16" i="14"/>
  <c r="T14" i="14"/>
  <c r="T18" i="14"/>
  <c r="U7" i="14"/>
  <c r="U17" i="14"/>
  <c r="U14" i="14"/>
  <c r="U16" i="14"/>
  <c r="U18" i="14"/>
  <c r="U19" i="14"/>
  <c r="V7" i="14"/>
  <c r="V11" i="14"/>
  <c r="V17" i="14"/>
  <c r="V14" i="14"/>
  <c r="V16" i="14"/>
  <c r="V18" i="14"/>
  <c r="V19" i="14"/>
  <c r="K37" i="14"/>
  <c r="O37" i="14"/>
  <c r="S37" i="14"/>
  <c r="F20" i="14"/>
  <c r="E20" i="14"/>
  <c r="F18" i="14"/>
  <c r="E18" i="14"/>
  <c r="F17" i="14"/>
  <c r="E17" i="14"/>
  <c r="F15" i="14"/>
  <c r="F14" i="14"/>
  <c r="F13" i="14"/>
  <c r="W5" i="14"/>
  <c r="W2" i="14"/>
  <c r="V3" i="14"/>
  <c r="S3" i="14"/>
  <c r="P3" i="14"/>
  <c r="O3" i="14"/>
  <c r="L3" i="14"/>
  <c r="K3" i="14"/>
  <c r="W3" i="13"/>
  <c r="K7" i="13"/>
  <c r="K8" i="13"/>
  <c r="K16" i="13"/>
  <c r="K17" i="13"/>
  <c r="K15" i="13"/>
  <c r="K18" i="13"/>
  <c r="L7" i="13"/>
  <c r="L17" i="13"/>
  <c r="L15" i="13"/>
  <c r="L16" i="13"/>
  <c r="L18" i="13"/>
  <c r="L19" i="13"/>
  <c r="M7" i="13"/>
  <c r="M15" i="13"/>
  <c r="M16" i="13"/>
  <c r="M17" i="13"/>
  <c r="M18" i="13"/>
  <c r="M19" i="13"/>
  <c r="N7" i="13"/>
  <c r="N15" i="13"/>
  <c r="N18" i="13"/>
  <c r="O7" i="13"/>
  <c r="O16" i="13"/>
  <c r="O15" i="13"/>
  <c r="O18" i="13"/>
  <c r="P7" i="13"/>
  <c r="P17" i="13"/>
  <c r="P15" i="13"/>
  <c r="P16" i="13"/>
  <c r="P18" i="13"/>
  <c r="P19" i="13"/>
  <c r="Q7" i="13"/>
  <c r="Q15" i="13"/>
  <c r="Q16" i="13"/>
  <c r="Q17" i="13"/>
  <c r="Q18" i="13"/>
  <c r="Q19" i="13"/>
  <c r="R7" i="13"/>
  <c r="R15" i="13"/>
  <c r="R18" i="13"/>
  <c r="S7" i="13"/>
  <c r="S16" i="13"/>
  <c r="S14" i="13"/>
  <c r="S18" i="13"/>
  <c r="T7" i="13"/>
  <c r="T17" i="13"/>
  <c r="T14" i="13"/>
  <c r="T16" i="13"/>
  <c r="T18" i="13"/>
  <c r="U7" i="13"/>
  <c r="U14" i="13"/>
  <c r="U16" i="13"/>
  <c r="U17" i="13"/>
  <c r="U18" i="13"/>
  <c r="U19" i="13"/>
  <c r="U20" i="13"/>
  <c r="V7" i="13"/>
  <c r="V11" i="13"/>
  <c r="V18" i="13"/>
  <c r="V14" i="13"/>
  <c r="V17" i="13"/>
  <c r="M37" i="13"/>
  <c r="Q37" i="13"/>
  <c r="U37" i="13"/>
  <c r="F20" i="13"/>
  <c r="E20" i="13"/>
  <c r="F18" i="13"/>
  <c r="E18" i="13"/>
  <c r="F17" i="13"/>
  <c r="E17" i="13"/>
  <c r="F15" i="13"/>
  <c r="F14" i="13"/>
  <c r="F13" i="13"/>
  <c r="W5" i="13"/>
  <c r="W2" i="13"/>
  <c r="U3" i="13"/>
  <c r="S3" i="13"/>
  <c r="R3" i="13"/>
  <c r="O3" i="13"/>
  <c r="N3" i="13"/>
  <c r="K3" i="13"/>
  <c r="W3" i="12"/>
  <c r="W2" i="12"/>
  <c r="U3" i="12"/>
  <c r="K7" i="12"/>
  <c r="L7" i="12"/>
  <c r="M7" i="12"/>
  <c r="N7" i="12"/>
  <c r="O7" i="12"/>
  <c r="P7" i="12"/>
  <c r="Q7" i="12"/>
  <c r="R7" i="12"/>
  <c r="S7" i="12"/>
  <c r="T7" i="12"/>
  <c r="U7" i="12"/>
  <c r="V7" i="12"/>
  <c r="Q37" i="12"/>
  <c r="U37" i="12"/>
  <c r="F20" i="12"/>
  <c r="E20" i="12"/>
  <c r="F18" i="12"/>
  <c r="E18" i="12"/>
  <c r="F17" i="12"/>
  <c r="E17" i="12"/>
  <c r="F15" i="12"/>
  <c r="F14" i="12"/>
  <c r="F13" i="12"/>
  <c r="V3" i="12"/>
  <c r="S3" i="12"/>
  <c r="R3" i="12"/>
  <c r="O3" i="12"/>
  <c r="N3" i="12"/>
  <c r="K3" i="12"/>
  <c r="W3" i="11"/>
  <c r="W2" i="11"/>
  <c r="T3" i="11"/>
  <c r="K7" i="11"/>
  <c r="K8" i="11"/>
  <c r="K17" i="11"/>
  <c r="K15" i="11"/>
  <c r="K16" i="11"/>
  <c r="K18" i="11"/>
  <c r="L7" i="11"/>
  <c r="L15" i="11"/>
  <c r="L16" i="11"/>
  <c r="L17" i="11"/>
  <c r="L18" i="11"/>
  <c r="L19" i="11"/>
  <c r="L20" i="11"/>
  <c r="M7" i="11"/>
  <c r="M15" i="11"/>
  <c r="M17" i="11"/>
  <c r="M18" i="11"/>
  <c r="N7" i="11"/>
  <c r="N16" i="11"/>
  <c r="N15" i="11"/>
  <c r="N18" i="11"/>
  <c r="O7" i="11"/>
  <c r="O17" i="11"/>
  <c r="O15" i="11"/>
  <c r="O16" i="11"/>
  <c r="O18" i="11"/>
  <c r="P7" i="11"/>
  <c r="P15" i="11"/>
  <c r="P16" i="11"/>
  <c r="P17" i="11"/>
  <c r="P18" i="11"/>
  <c r="P19" i="11"/>
  <c r="P20" i="11"/>
  <c r="Q7" i="11"/>
  <c r="Q15" i="11"/>
  <c r="Q17" i="11"/>
  <c r="Q18" i="11"/>
  <c r="R7" i="11"/>
  <c r="R16" i="11"/>
  <c r="R15" i="11"/>
  <c r="R18" i="11"/>
  <c r="S7" i="11"/>
  <c r="S17" i="11"/>
  <c r="S14" i="11"/>
  <c r="S16" i="11"/>
  <c r="S18" i="11"/>
  <c r="T7" i="11"/>
  <c r="T14" i="11"/>
  <c r="T16" i="11"/>
  <c r="T17" i="11"/>
  <c r="T18" i="11"/>
  <c r="T19" i="11"/>
  <c r="T20" i="11"/>
  <c r="U7" i="11"/>
  <c r="U14" i="11"/>
  <c r="U17" i="11"/>
  <c r="U18" i="11"/>
  <c r="V7" i="11"/>
  <c r="V11" i="11"/>
  <c r="V14" i="11"/>
  <c r="V17" i="11"/>
  <c r="K37" i="11"/>
  <c r="O37" i="11"/>
  <c r="S37" i="11"/>
  <c r="F20" i="11"/>
  <c r="E20" i="11"/>
  <c r="F18" i="11"/>
  <c r="E18" i="11"/>
  <c r="F17" i="11"/>
  <c r="E17" i="11"/>
  <c r="F15" i="11"/>
  <c r="F14" i="11"/>
  <c r="F13" i="11"/>
  <c r="W5" i="11"/>
  <c r="V3" i="11"/>
  <c r="U3" i="11"/>
  <c r="R3" i="11"/>
  <c r="Q3" i="11"/>
  <c r="N3" i="11"/>
  <c r="M3" i="11"/>
  <c r="K41" i="10"/>
  <c r="K42" i="10"/>
  <c r="K49" i="10"/>
  <c r="L41" i="10"/>
  <c r="L42" i="10"/>
  <c r="L49" i="10"/>
  <c r="M41" i="10"/>
  <c r="M42" i="10"/>
  <c r="M43" i="10"/>
  <c r="M49" i="10"/>
  <c r="M52" i="10"/>
  <c r="N41" i="10"/>
  <c r="N42" i="10"/>
  <c r="N43" i="10"/>
  <c r="N49" i="10"/>
  <c r="N52" i="10"/>
  <c r="O41" i="10"/>
  <c r="O42" i="10"/>
  <c r="O43" i="10"/>
  <c r="O52" i="10"/>
  <c r="O49" i="10"/>
  <c r="P41" i="10"/>
  <c r="P42" i="10"/>
  <c r="P52" i="10"/>
  <c r="P49" i="10"/>
  <c r="Q41" i="10"/>
  <c r="Q42" i="10"/>
  <c r="Q52" i="10"/>
  <c r="Q49" i="10"/>
  <c r="R41" i="10"/>
  <c r="R42" i="10"/>
  <c r="R52" i="10"/>
  <c r="R49" i="10"/>
  <c r="S41" i="10"/>
  <c r="S45" i="10"/>
  <c r="S46" i="10"/>
  <c r="S52" i="10"/>
  <c r="S48" i="10"/>
  <c r="T41" i="10"/>
  <c r="T45" i="10"/>
  <c r="T46" i="10"/>
  <c r="T48" i="10"/>
  <c r="T52" i="10"/>
  <c r="U41" i="10"/>
  <c r="U45" i="10"/>
  <c r="U46" i="10"/>
  <c r="U48" i="10"/>
  <c r="U52" i="10"/>
  <c r="V41" i="10"/>
  <c r="V45" i="10"/>
  <c r="V48" i="10"/>
  <c r="V52" i="10"/>
  <c r="K7" i="10"/>
  <c r="K8" i="10"/>
  <c r="L7" i="10"/>
  <c r="L8" i="10"/>
  <c r="L18" i="10"/>
  <c r="L15" i="10"/>
  <c r="L16" i="10"/>
  <c r="L17" i="10"/>
  <c r="M7" i="10"/>
  <c r="M8" i="10"/>
  <c r="M9" i="10"/>
  <c r="M17" i="10"/>
  <c r="M15" i="10"/>
  <c r="M16" i="10"/>
  <c r="N7" i="10"/>
  <c r="N8" i="10"/>
  <c r="N9" i="10"/>
  <c r="N16" i="10"/>
  <c r="N15" i="10"/>
  <c r="N18" i="10"/>
  <c r="O7" i="10"/>
  <c r="O8" i="10"/>
  <c r="O9" i="10"/>
  <c r="O15" i="10"/>
  <c r="O17" i="10"/>
  <c r="P7" i="10"/>
  <c r="P8" i="10"/>
  <c r="P15" i="10"/>
  <c r="P17" i="10"/>
  <c r="Q7" i="10"/>
  <c r="Q8" i="10"/>
  <c r="Q15" i="10"/>
  <c r="Q17" i="10"/>
  <c r="R7" i="10"/>
  <c r="R8" i="10"/>
  <c r="R15" i="10"/>
  <c r="R17" i="10"/>
  <c r="S7" i="10"/>
  <c r="S11" i="10"/>
  <c r="S12" i="10"/>
  <c r="S18" i="10"/>
  <c r="S14" i="10"/>
  <c r="S16" i="10"/>
  <c r="T7" i="10"/>
  <c r="T11" i="10"/>
  <c r="T12" i="10"/>
  <c r="T17" i="10"/>
  <c r="T14" i="10"/>
  <c r="T16" i="10"/>
  <c r="U7" i="10"/>
  <c r="U11" i="10"/>
  <c r="U12" i="10"/>
  <c r="U16" i="10"/>
  <c r="U14" i="10"/>
  <c r="U18" i="10"/>
  <c r="V7" i="10"/>
  <c r="V11" i="10"/>
  <c r="V16" i="10"/>
  <c r="V14" i="10"/>
  <c r="V18" i="10"/>
  <c r="K24" i="10"/>
  <c r="K25" i="10"/>
  <c r="K32" i="10"/>
  <c r="L24" i="10"/>
  <c r="L25" i="10"/>
  <c r="L35" i="10"/>
  <c r="L32" i="10"/>
  <c r="L33" i="10"/>
  <c r="L34" i="10"/>
  <c r="M24" i="10"/>
  <c r="M25" i="10"/>
  <c r="M26" i="10"/>
  <c r="M34" i="10"/>
  <c r="M32" i="10"/>
  <c r="M33" i="10"/>
  <c r="N24" i="10"/>
  <c r="N25" i="10"/>
  <c r="N26" i="10"/>
  <c r="N33" i="10"/>
  <c r="N32" i="10"/>
  <c r="N35" i="10"/>
  <c r="O24" i="10"/>
  <c r="O25" i="10"/>
  <c r="O26" i="10"/>
  <c r="O32" i="10"/>
  <c r="O34" i="10"/>
  <c r="P24" i="10"/>
  <c r="P25" i="10"/>
  <c r="P32" i="10"/>
  <c r="P34" i="10"/>
  <c r="Q24" i="10"/>
  <c r="Q25" i="10"/>
  <c r="Q32" i="10"/>
  <c r="Q34" i="10"/>
  <c r="R24" i="10"/>
  <c r="R25" i="10"/>
  <c r="R32" i="10"/>
  <c r="R34" i="10"/>
  <c r="S24" i="10"/>
  <c r="S28" i="10"/>
  <c r="S29" i="10"/>
  <c r="S35" i="10"/>
  <c r="S31" i="10"/>
  <c r="S33" i="10"/>
  <c r="T24" i="10"/>
  <c r="T28" i="10"/>
  <c r="T29" i="10"/>
  <c r="T34" i="10"/>
  <c r="T31" i="10"/>
  <c r="T33" i="10"/>
  <c r="U24" i="10"/>
  <c r="U28" i="10"/>
  <c r="U29" i="10"/>
  <c r="U33" i="10"/>
  <c r="U31" i="10"/>
  <c r="U35" i="10"/>
  <c r="V24" i="10"/>
  <c r="V28" i="10"/>
  <c r="V33" i="10"/>
  <c r="V31" i="10"/>
  <c r="V35" i="10"/>
  <c r="F20" i="10"/>
  <c r="E20" i="10"/>
  <c r="F18" i="10"/>
  <c r="E18" i="10"/>
  <c r="F17" i="10"/>
  <c r="E17" i="10"/>
  <c r="F15" i="10"/>
  <c r="F14" i="10"/>
  <c r="F13" i="10"/>
  <c r="W5" i="10"/>
  <c r="W2" i="10"/>
  <c r="U3" i="10"/>
  <c r="S3" i="10"/>
  <c r="O3" i="10"/>
  <c r="K3" i="10"/>
  <c r="W2" i="1"/>
  <c r="O3" i="1"/>
  <c r="S3" i="1"/>
  <c r="K3" i="1"/>
  <c r="M3" i="1"/>
  <c r="W5" i="9"/>
  <c r="W5" i="8"/>
  <c r="V44" i="9"/>
  <c r="V48" i="9"/>
  <c r="V49" i="9"/>
  <c r="V50" i="9"/>
  <c r="V55" i="9"/>
  <c r="V51" i="9"/>
  <c r="U44" i="9"/>
  <c r="U48" i="9"/>
  <c r="U49" i="9"/>
  <c r="U50" i="9"/>
  <c r="U55" i="9"/>
  <c r="U51" i="9"/>
  <c r="T44" i="9"/>
  <c r="T48" i="9"/>
  <c r="T49" i="9"/>
  <c r="T50" i="9"/>
  <c r="T51" i="9"/>
  <c r="T55" i="9"/>
  <c r="S44" i="9"/>
  <c r="S48" i="9"/>
  <c r="S49" i="9"/>
  <c r="S50" i="9"/>
  <c r="S55" i="9"/>
  <c r="S51" i="9"/>
  <c r="R44" i="9"/>
  <c r="R45" i="9"/>
  <c r="R46" i="9"/>
  <c r="R47" i="9"/>
  <c r="R52" i="9"/>
  <c r="R55" i="9"/>
  <c r="Q44" i="9"/>
  <c r="Q45" i="9"/>
  <c r="Q46" i="9"/>
  <c r="Q47" i="9"/>
  <c r="Q55" i="9"/>
  <c r="Q52" i="9"/>
  <c r="P44" i="9"/>
  <c r="P45" i="9"/>
  <c r="P46" i="9"/>
  <c r="P47" i="9"/>
  <c r="P52" i="9"/>
  <c r="P55" i="9"/>
  <c r="O44" i="9"/>
  <c r="O45" i="9"/>
  <c r="O46" i="9"/>
  <c r="O47" i="9"/>
  <c r="O55" i="9"/>
  <c r="O52" i="9"/>
  <c r="N44" i="9"/>
  <c r="N45" i="9"/>
  <c r="N46" i="9"/>
  <c r="N47" i="9"/>
  <c r="N52" i="9"/>
  <c r="N55" i="9"/>
  <c r="M44" i="9"/>
  <c r="M45" i="9"/>
  <c r="M46" i="9"/>
  <c r="M47" i="9"/>
  <c r="M55" i="9"/>
  <c r="M52" i="9"/>
  <c r="L44" i="9"/>
  <c r="L45" i="9"/>
  <c r="L46" i="9"/>
  <c r="L47" i="9"/>
  <c r="L52" i="9"/>
  <c r="L55" i="9"/>
  <c r="K44" i="9"/>
  <c r="K45" i="9"/>
  <c r="K46" i="9"/>
  <c r="K47" i="9"/>
  <c r="K55" i="9"/>
  <c r="K52" i="9"/>
  <c r="V24" i="9"/>
  <c r="V28" i="9"/>
  <c r="V29" i="9"/>
  <c r="V30" i="9"/>
  <c r="V31" i="9"/>
  <c r="V33" i="9"/>
  <c r="U24" i="9"/>
  <c r="U28" i="9"/>
  <c r="U29" i="9"/>
  <c r="U30" i="9"/>
  <c r="U34" i="9"/>
  <c r="U31" i="9"/>
  <c r="U33" i="9"/>
  <c r="T24" i="9"/>
  <c r="T28" i="9"/>
  <c r="T29" i="9"/>
  <c r="T30" i="9"/>
  <c r="T34" i="9"/>
  <c r="T31" i="9"/>
  <c r="T33" i="9"/>
  <c r="S24" i="9"/>
  <c r="S28" i="9"/>
  <c r="S29" i="9"/>
  <c r="S30" i="9"/>
  <c r="S31" i="9"/>
  <c r="S33" i="9"/>
  <c r="R24" i="9"/>
  <c r="R25" i="9"/>
  <c r="R26" i="9"/>
  <c r="R27" i="9"/>
  <c r="R32" i="9"/>
  <c r="R33" i="9"/>
  <c r="Q24" i="9"/>
  <c r="Q25" i="9"/>
  <c r="Q26" i="9"/>
  <c r="Q27" i="9"/>
  <c r="Q34" i="9"/>
  <c r="Q32" i="9"/>
  <c r="Q33" i="9"/>
  <c r="P24" i="9"/>
  <c r="P25" i="9"/>
  <c r="P26" i="9"/>
  <c r="P27" i="9"/>
  <c r="P34" i="9"/>
  <c r="P32" i="9"/>
  <c r="P33" i="9"/>
  <c r="O24" i="9"/>
  <c r="O25" i="9"/>
  <c r="O26" i="9"/>
  <c r="O27" i="9"/>
  <c r="O32" i="9"/>
  <c r="O33" i="9"/>
  <c r="N24" i="9"/>
  <c r="N25" i="9"/>
  <c r="N26" i="9"/>
  <c r="N27" i="9"/>
  <c r="N32" i="9"/>
  <c r="N33" i="9"/>
  <c r="M24" i="9"/>
  <c r="M25" i="9"/>
  <c r="M26" i="9"/>
  <c r="M27" i="9"/>
  <c r="M32" i="9"/>
  <c r="M33" i="9"/>
  <c r="L24" i="9"/>
  <c r="L25" i="9"/>
  <c r="L26" i="9"/>
  <c r="L27" i="9"/>
  <c r="L34" i="9"/>
  <c r="L32" i="9"/>
  <c r="L33" i="9"/>
  <c r="K24" i="9"/>
  <c r="K25" i="9"/>
  <c r="K26" i="9"/>
  <c r="K27" i="9"/>
  <c r="K34" i="9"/>
  <c r="K32" i="9"/>
  <c r="K33" i="9"/>
  <c r="N15" i="9"/>
  <c r="L9" i="9"/>
  <c r="M9" i="9"/>
  <c r="N9" i="9"/>
  <c r="O9" i="9"/>
  <c r="P9" i="9"/>
  <c r="Q9" i="9"/>
  <c r="R9" i="9"/>
  <c r="K9" i="9"/>
  <c r="N10" i="9"/>
  <c r="O10" i="9"/>
  <c r="P10" i="9"/>
  <c r="Q10" i="9"/>
  <c r="R10" i="9"/>
  <c r="K10" i="9"/>
  <c r="L10" i="9"/>
  <c r="K7" i="9"/>
  <c r="K8" i="9"/>
  <c r="K17" i="9"/>
  <c r="K15" i="9"/>
  <c r="K18" i="9"/>
  <c r="L7" i="9"/>
  <c r="L8" i="9"/>
  <c r="L17" i="9"/>
  <c r="L15" i="9"/>
  <c r="L18" i="9"/>
  <c r="M7" i="9"/>
  <c r="M8" i="9"/>
  <c r="M10" i="9"/>
  <c r="M18" i="9"/>
  <c r="M16" i="9"/>
  <c r="M15" i="9"/>
  <c r="M17" i="9"/>
  <c r="N7" i="9"/>
  <c r="N8" i="9"/>
  <c r="N18" i="9"/>
  <c r="O7" i="9"/>
  <c r="O8" i="9"/>
  <c r="O17" i="9"/>
  <c r="O15" i="9"/>
  <c r="O18" i="9"/>
  <c r="P7" i="9"/>
  <c r="P8" i="9"/>
  <c r="P17" i="9"/>
  <c r="P15" i="9"/>
  <c r="P18" i="9"/>
  <c r="Q7" i="9"/>
  <c r="Q8" i="9"/>
  <c r="Q17" i="9"/>
  <c r="Q15" i="9"/>
  <c r="Q18" i="9"/>
  <c r="R7" i="9"/>
  <c r="R8" i="9"/>
  <c r="R17" i="9"/>
  <c r="R15" i="9"/>
  <c r="R18" i="9"/>
  <c r="S7" i="9"/>
  <c r="S11" i="9"/>
  <c r="S12" i="9"/>
  <c r="S13" i="9"/>
  <c r="S17" i="9"/>
  <c r="S14" i="9"/>
  <c r="S16" i="9"/>
  <c r="T7" i="9"/>
  <c r="T11" i="9"/>
  <c r="T12" i="9"/>
  <c r="T13" i="9"/>
  <c r="T17" i="9"/>
  <c r="T14" i="9"/>
  <c r="T18" i="9"/>
  <c r="U7" i="9"/>
  <c r="U11" i="9"/>
  <c r="U12" i="9"/>
  <c r="U13" i="9"/>
  <c r="U17" i="9"/>
  <c r="U14" i="9"/>
  <c r="U16" i="9"/>
  <c r="V7" i="9"/>
  <c r="V11" i="9"/>
  <c r="V12" i="9"/>
  <c r="V13" i="9"/>
  <c r="V17" i="9"/>
  <c r="V14" i="9"/>
  <c r="V18" i="9"/>
  <c r="F20" i="9"/>
  <c r="E20" i="9"/>
  <c r="F18" i="9"/>
  <c r="E18" i="9"/>
  <c r="F17" i="9"/>
  <c r="E17" i="9"/>
  <c r="F15" i="9"/>
  <c r="F14" i="9"/>
  <c r="F13" i="9"/>
  <c r="V44" i="8"/>
  <c r="V48" i="8"/>
  <c r="V49" i="8"/>
  <c r="V50" i="8"/>
  <c r="V55" i="8"/>
  <c r="V51" i="8"/>
  <c r="U44" i="8"/>
  <c r="U48" i="8"/>
  <c r="U49" i="8"/>
  <c r="U50" i="8"/>
  <c r="U51" i="8"/>
  <c r="U55" i="8"/>
  <c r="T44" i="8"/>
  <c r="T48" i="8"/>
  <c r="T49" i="8"/>
  <c r="T50" i="8"/>
  <c r="T55" i="8"/>
  <c r="T51" i="8"/>
  <c r="S44" i="8"/>
  <c r="S48" i="8"/>
  <c r="S49" i="8"/>
  <c r="S50" i="8"/>
  <c r="S51" i="8"/>
  <c r="S55" i="8"/>
  <c r="R44" i="8"/>
  <c r="R45" i="8"/>
  <c r="R46" i="8"/>
  <c r="R55" i="8"/>
  <c r="R52" i="8"/>
  <c r="Q44" i="8"/>
  <c r="Q45" i="8"/>
  <c r="Q46" i="8"/>
  <c r="Q55" i="8"/>
  <c r="Q52" i="8"/>
  <c r="P44" i="8"/>
  <c r="P45" i="8"/>
  <c r="P46" i="8"/>
  <c r="P55" i="8"/>
  <c r="P52" i="8"/>
  <c r="O44" i="8"/>
  <c r="O45" i="8"/>
  <c r="O46" i="8"/>
  <c r="O52" i="8"/>
  <c r="O55" i="8"/>
  <c r="N44" i="8"/>
  <c r="N45" i="8"/>
  <c r="N46" i="8"/>
  <c r="N47" i="8"/>
  <c r="N55" i="8"/>
  <c r="N52" i="8"/>
  <c r="M44" i="8"/>
  <c r="M45" i="8"/>
  <c r="M46" i="8"/>
  <c r="M47" i="8"/>
  <c r="M52" i="8"/>
  <c r="M55" i="8"/>
  <c r="L44" i="8"/>
  <c r="L45" i="8"/>
  <c r="L46" i="8"/>
  <c r="L55" i="8"/>
  <c r="L52" i="8"/>
  <c r="K44" i="8"/>
  <c r="K45" i="8"/>
  <c r="K46" i="8"/>
  <c r="K55" i="8"/>
  <c r="K52" i="8"/>
  <c r="V24" i="8"/>
  <c r="V28" i="8"/>
  <c r="V29" i="8"/>
  <c r="V30" i="8"/>
  <c r="V31" i="8"/>
  <c r="V33" i="8"/>
  <c r="U24" i="8"/>
  <c r="U28" i="8"/>
  <c r="U29" i="8"/>
  <c r="U30" i="8"/>
  <c r="U34" i="8"/>
  <c r="U31" i="8"/>
  <c r="U33" i="8"/>
  <c r="T24" i="8"/>
  <c r="T28" i="8"/>
  <c r="T29" i="8"/>
  <c r="T30" i="8"/>
  <c r="T34" i="8"/>
  <c r="T31" i="8"/>
  <c r="T33" i="8"/>
  <c r="S24" i="8"/>
  <c r="S28" i="8"/>
  <c r="S29" i="8"/>
  <c r="S30" i="8"/>
  <c r="S31" i="8"/>
  <c r="S33" i="8"/>
  <c r="R24" i="8"/>
  <c r="R25" i="8"/>
  <c r="R26" i="8"/>
  <c r="R33" i="8"/>
  <c r="R32" i="8"/>
  <c r="R34" i="8"/>
  <c r="Q24" i="8"/>
  <c r="Q25" i="8"/>
  <c r="Q26" i="8"/>
  <c r="Q32" i="8"/>
  <c r="Q33" i="8"/>
  <c r="Q34" i="8"/>
  <c r="Q35" i="8"/>
  <c r="Q36" i="8"/>
  <c r="P24" i="8"/>
  <c r="P25" i="8"/>
  <c r="P26" i="8"/>
  <c r="P33" i="8"/>
  <c r="P34" i="8"/>
  <c r="P32" i="8"/>
  <c r="P35" i="8"/>
  <c r="O24" i="8"/>
  <c r="O25" i="8"/>
  <c r="O26" i="8"/>
  <c r="O32" i="8"/>
  <c r="O33" i="8"/>
  <c r="N24" i="8"/>
  <c r="N25" i="8"/>
  <c r="N26" i="8"/>
  <c r="N27" i="8"/>
  <c r="N32" i="8"/>
  <c r="N33" i="8"/>
  <c r="M24" i="8"/>
  <c r="M25" i="8"/>
  <c r="M26" i="8"/>
  <c r="M27" i="8"/>
  <c r="M34" i="8"/>
  <c r="M32" i="8"/>
  <c r="M33" i="8"/>
  <c r="L24" i="8"/>
  <c r="L25" i="8"/>
  <c r="L26" i="8"/>
  <c r="L35" i="8"/>
  <c r="L33" i="8"/>
  <c r="L32" i="8"/>
  <c r="L34" i="8"/>
  <c r="K24" i="8"/>
  <c r="K25" i="8"/>
  <c r="K26" i="8"/>
  <c r="K33" i="8"/>
  <c r="K34" i="8"/>
  <c r="K32" i="8"/>
  <c r="K35" i="8"/>
  <c r="T11" i="8"/>
  <c r="U11" i="8"/>
  <c r="V11" i="8"/>
  <c r="S11" i="8"/>
  <c r="V7" i="8"/>
  <c r="V12" i="8"/>
  <c r="V13" i="8"/>
  <c r="V18" i="8"/>
  <c r="N10" i="8"/>
  <c r="M10" i="8"/>
  <c r="M7" i="8"/>
  <c r="M8" i="8"/>
  <c r="M9" i="8"/>
  <c r="M18" i="8"/>
  <c r="N9" i="8"/>
  <c r="K9" i="8"/>
  <c r="T13" i="8"/>
  <c r="U13" i="8"/>
  <c r="S13" i="8"/>
  <c r="T12" i="8"/>
  <c r="U12" i="8"/>
  <c r="U7" i="8"/>
  <c r="U17" i="8"/>
  <c r="S12" i="8"/>
  <c r="R9" i="8"/>
  <c r="R7" i="8"/>
  <c r="R8" i="8"/>
  <c r="R18" i="8"/>
  <c r="L9" i="8"/>
  <c r="O9" i="8"/>
  <c r="P9" i="8"/>
  <c r="Q9" i="8"/>
  <c r="Q7" i="8"/>
  <c r="Q8" i="8"/>
  <c r="Q17" i="8"/>
  <c r="L8" i="8"/>
  <c r="L7" i="8"/>
  <c r="L17" i="8"/>
  <c r="N8" i="8"/>
  <c r="O8" i="8"/>
  <c r="P8" i="8"/>
  <c r="K8" i="8"/>
  <c r="N7" i="8"/>
  <c r="N18" i="8"/>
  <c r="N15" i="8"/>
  <c r="K7" i="8"/>
  <c r="K16" i="8"/>
  <c r="K15" i="8"/>
  <c r="K18" i="8"/>
  <c r="L15" i="8"/>
  <c r="L16" i="8"/>
  <c r="M15" i="8"/>
  <c r="M16" i="8"/>
  <c r="M17" i="8"/>
  <c r="N17" i="8"/>
  <c r="O7" i="8"/>
  <c r="O15" i="8"/>
  <c r="O18" i="8"/>
  <c r="P7" i="8"/>
  <c r="P16" i="8"/>
  <c r="P15" i="8"/>
  <c r="P18" i="8"/>
  <c r="Q15" i="8"/>
  <c r="Q16" i="8"/>
  <c r="R15" i="8"/>
  <c r="R16" i="8"/>
  <c r="R17" i="8"/>
  <c r="S7" i="8"/>
  <c r="S14" i="8"/>
  <c r="S18" i="8"/>
  <c r="T7" i="8"/>
  <c r="T16" i="8"/>
  <c r="T14" i="8"/>
  <c r="T18" i="8"/>
  <c r="U14" i="8"/>
  <c r="U16" i="8"/>
  <c r="V16" i="8"/>
  <c r="V14" i="8"/>
  <c r="F20" i="8"/>
  <c r="E20" i="8"/>
  <c r="F18" i="8"/>
  <c r="E18" i="8"/>
  <c r="F17" i="8"/>
  <c r="E17" i="8"/>
  <c r="F15" i="8"/>
  <c r="F14" i="8"/>
  <c r="F13" i="8"/>
  <c r="L7" i="1"/>
  <c r="M7" i="1"/>
  <c r="M18" i="1"/>
  <c r="N7" i="1"/>
  <c r="N16" i="1"/>
  <c r="O7" i="1"/>
  <c r="P7" i="1"/>
  <c r="Q7" i="1"/>
  <c r="Q18" i="1"/>
  <c r="R7" i="1"/>
  <c r="R16" i="1"/>
  <c r="S7" i="1"/>
  <c r="T7" i="1"/>
  <c r="U7" i="1"/>
  <c r="U18" i="1"/>
  <c r="V7" i="1"/>
  <c r="V16" i="1"/>
  <c r="K7" i="1"/>
  <c r="B14" i="7"/>
  <c r="B16" i="7"/>
  <c r="B18" i="7"/>
  <c r="B19" i="7"/>
  <c r="B23" i="7"/>
  <c r="B25" i="7"/>
  <c r="B14" i="6"/>
  <c r="B16" i="6"/>
  <c r="B18" i="6"/>
  <c r="B19" i="6"/>
  <c r="B23" i="6"/>
  <c r="B25" i="6"/>
  <c r="F20" i="1"/>
  <c r="E20" i="1"/>
  <c r="E18" i="1"/>
  <c r="F18" i="1"/>
  <c r="F17" i="1"/>
  <c r="E17" i="1"/>
  <c r="B2" i="4"/>
  <c r="B3" i="4"/>
  <c r="B16" i="4"/>
  <c r="B20" i="4"/>
  <c r="B22" i="4"/>
  <c r="B23" i="4"/>
  <c r="F14" i="1"/>
  <c r="F15" i="1"/>
  <c r="F13" i="1"/>
  <c r="K8" i="1"/>
  <c r="K15" i="1"/>
  <c r="K16" i="1"/>
  <c r="K17" i="1"/>
  <c r="K18" i="1"/>
  <c r="K19" i="1"/>
  <c r="K20" i="1"/>
  <c r="L15" i="1"/>
  <c r="L16" i="1"/>
  <c r="L17" i="1"/>
  <c r="L18" i="1"/>
  <c r="L19" i="1"/>
  <c r="L20" i="1"/>
  <c r="M15" i="1"/>
  <c r="M16" i="1"/>
  <c r="M17" i="1"/>
  <c r="N15" i="1"/>
  <c r="N18" i="1"/>
  <c r="O15" i="1"/>
  <c r="O16" i="1"/>
  <c r="O17" i="1"/>
  <c r="O18" i="1"/>
  <c r="O19" i="1"/>
  <c r="P15" i="1"/>
  <c r="P16" i="1"/>
  <c r="P17" i="1"/>
  <c r="P18" i="1"/>
  <c r="P19" i="1"/>
  <c r="P20" i="1"/>
  <c r="Q15" i="1"/>
  <c r="Q16" i="1"/>
  <c r="Q17" i="1"/>
  <c r="R15" i="1"/>
  <c r="R18" i="1"/>
  <c r="S14" i="1"/>
  <c r="S16" i="1"/>
  <c r="S17" i="1"/>
  <c r="S18" i="1"/>
  <c r="S19" i="1"/>
  <c r="T14" i="1"/>
  <c r="T16" i="1"/>
  <c r="T17" i="1"/>
  <c r="T18" i="1"/>
  <c r="T19" i="1"/>
  <c r="T20" i="1"/>
  <c r="U14" i="1"/>
  <c r="U16" i="1"/>
  <c r="U17" i="1"/>
  <c r="V14" i="1"/>
  <c r="V18" i="1"/>
  <c r="W5" i="1"/>
  <c r="K15" i="12"/>
  <c r="K16" i="12"/>
  <c r="K17" i="12"/>
  <c r="K18" i="12"/>
  <c r="K19" i="12"/>
  <c r="K20" i="12"/>
  <c r="L15" i="12"/>
  <c r="L16" i="12"/>
  <c r="L17" i="12"/>
  <c r="L18" i="12"/>
  <c r="L19" i="12"/>
  <c r="L20" i="12"/>
  <c r="M15" i="12"/>
  <c r="M16" i="12"/>
  <c r="M17" i="12"/>
  <c r="M18" i="12"/>
  <c r="M19" i="12"/>
  <c r="M20" i="12"/>
  <c r="N15" i="12"/>
  <c r="N16" i="12"/>
  <c r="N17" i="12"/>
  <c r="N18" i="12"/>
  <c r="N19" i="12"/>
  <c r="N20" i="12"/>
  <c r="O15" i="12"/>
  <c r="O16" i="12"/>
  <c r="O17" i="12"/>
  <c r="O18" i="12"/>
  <c r="O19" i="12"/>
  <c r="O20" i="12"/>
  <c r="P15" i="12"/>
  <c r="P16" i="12"/>
  <c r="P17" i="12"/>
  <c r="P18" i="12"/>
  <c r="P19" i="12"/>
  <c r="P20" i="12"/>
  <c r="Q15" i="12"/>
  <c r="Q16" i="12"/>
  <c r="Q17" i="12"/>
  <c r="Q18" i="12"/>
  <c r="Q19" i="12"/>
  <c r="R15" i="12"/>
  <c r="R16" i="12"/>
  <c r="R17" i="12"/>
  <c r="R18" i="12"/>
  <c r="R19" i="12"/>
  <c r="R20" i="12"/>
  <c r="S14" i="12"/>
  <c r="S16" i="12"/>
  <c r="S17" i="12"/>
  <c r="S18" i="12"/>
  <c r="S19" i="12"/>
  <c r="T14" i="12"/>
  <c r="T16" i="12"/>
  <c r="T17" i="12"/>
  <c r="T18" i="12"/>
  <c r="U14" i="12"/>
  <c r="U16" i="12"/>
  <c r="U17" i="12"/>
  <c r="U18" i="12"/>
  <c r="U19" i="12"/>
  <c r="V14" i="12"/>
  <c r="V16" i="12"/>
  <c r="V17" i="12"/>
  <c r="V18" i="12"/>
  <c r="W5" i="12"/>
  <c r="K11" i="17"/>
  <c r="K16" i="17"/>
  <c r="K19" i="17"/>
  <c r="L11" i="17"/>
  <c r="L17" i="17"/>
  <c r="L16" i="17"/>
  <c r="M11" i="17"/>
  <c r="M16" i="17"/>
  <c r="M17" i="17"/>
  <c r="M18" i="17"/>
  <c r="M19" i="17"/>
  <c r="N11" i="17"/>
  <c r="N16" i="17"/>
  <c r="N17" i="17"/>
  <c r="N18" i="17"/>
  <c r="N19" i="17"/>
  <c r="N20" i="17"/>
  <c r="O11" i="17"/>
  <c r="O16" i="17"/>
  <c r="P11" i="17"/>
  <c r="P17" i="17"/>
  <c r="P16" i="17"/>
  <c r="P19" i="17"/>
  <c r="Q11" i="17"/>
  <c r="Q18" i="17"/>
  <c r="Q16" i="17"/>
  <c r="Q17" i="17"/>
  <c r="Q19" i="17"/>
  <c r="Q20" i="17"/>
  <c r="R11" i="17"/>
  <c r="R16" i="17"/>
  <c r="R17" i="17"/>
  <c r="R18" i="17"/>
  <c r="R19" i="17"/>
  <c r="S14" i="17"/>
  <c r="S15" i="17"/>
  <c r="S19" i="17"/>
  <c r="T14" i="17"/>
  <c r="T17" i="17"/>
  <c r="T15" i="17"/>
  <c r="U14" i="17"/>
  <c r="U18" i="17"/>
  <c r="U15" i="17"/>
  <c r="U17" i="17"/>
  <c r="U19" i="17"/>
  <c r="V14" i="17"/>
  <c r="V15" i="17"/>
  <c r="V17" i="17"/>
  <c r="V18" i="17"/>
  <c r="V19" i="17"/>
  <c r="W6" i="17"/>
  <c r="L11" i="19"/>
  <c r="L16" i="19"/>
  <c r="L17" i="19"/>
  <c r="L18" i="19"/>
  <c r="L19" i="19"/>
  <c r="L20" i="19"/>
  <c r="L21" i="19"/>
  <c r="M11" i="19"/>
  <c r="M16" i="19"/>
  <c r="M17" i="19"/>
  <c r="M18" i="19"/>
  <c r="M19" i="19"/>
  <c r="M20" i="19"/>
  <c r="N11" i="19"/>
  <c r="N16" i="19"/>
  <c r="O11" i="19"/>
  <c r="O17" i="19"/>
  <c r="O16" i="19"/>
  <c r="O19" i="19"/>
  <c r="P11" i="19"/>
  <c r="P18" i="19"/>
  <c r="P16" i="19"/>
  <c r="P17" i="19"/>
  <c r="P19" i="19"/>
  <c r="Q11" i="19"/>
  <c r="Q16" i="19"/>
  <c r="Q17" i="19"/>
  <c r="Q18" i="19"/>
  <c r="Q19" i="19"/>
  <c r="Q20" i="19"/>
  <c r="Q21" i="19"/>
  <c r="R11" i="19"/>
  <c r="R16" i="19"/>
  <c r="R19" i="19"/>
  <c r="S11" i="19"/>
  <c r="S17" i="19"/>
  <c r="S16" i="19"/>
  <c r="S19" i="19"/>
  <c r="T14" i="19"/>
  <c r="T18" i="19"/>
  <c r="T15" i="19"/>
  <c r="T17" i="19"/>
  <c r="T19" i="19"/>
  <c r="U14" i="19"/>
  <c r="U15" i="19"/>
  <c r="U17" i="19"/>
  <c r="U18" i="19"/>
  <c r="U19" i="19"/>
  <c r="U20" i="19"/>
  <c r="V14" i="19"/>
  <c r="V15" i="19"/>
  <c r="V19" i="19"/>
  <c r="W14" i="19"/>
  <c r="W17" i="19"/>
  <c r="W15" i="19"/>
  <c r="W19" i="19"/>
  <c r="X6" i="19"/>
  <c r="S19" i="11"/>
  <c r="S20" i="11"/>
  <c r="O19" i="11"/>
  <c r="O20" i="11"/>
  <c r="K19" i="11"/>
  <c r="K20" i="11"/>
  <c r="Q20" i="13"/>
  <c r="U21" i="19"/>
  <c r="P20" i="19"/>
  <c r="P21" i="19"/>
  <c r="N21" i="17"/>
  <c r="S20" i="12"/>
  <c r="T19" i="13"/>
  <c r="T20" i="13"/>
  <c r="L20" i="13"/>
  <c r="K19" i="13"/>
  <c r="V20" i="14"/>
  <c r="T20" i="19"/>
  <c r="T21" i="19"/>
  <c r="M21" i="19"/>
  <c r="U20" i="17"/>
  <c r="U21" i="17"/>
  <c r="Q20" i="12"/>
  <c r="P20" i="13"/>
  <c r="M20" i="13"/>
  <c r="U20" i="14"/>
  <c r="V19" i="12"/>
  <c r="V20" i="12"/>
  <c r="K36" i="8"/>
  <c r="K37" i="8"/>
  <c r="O53" i="8"/>
  <c r="O54" i="8"/>
  <c r="O56" i="8"/>
  <c r="O57" i="8"/>
  <c r="T3" i="1"/>
  <c r="P3" i="1"/>
  <c r="L3" i="1"/>
  <c r="N3" i="10"/>
  <c r="R3" i="10"/>
  <c r="V3" i="10"/>
  <c r="S34" i="10"/>
  <c r="R35" i="10"/>
  <c r="Q35" i="10"/>
  <c r="P35" i="10"/>
  <c r="O35" i="10"/>
  <c r="K33" i="10"/>
  <c r="K34" i="10"/>
  <c r="K35" i="10"/>
  <c r="K36" i="10"/>
  <c r="S17" i="10"/>
  <c r="R18" i="10"/>
  <c r="Q18" i="10"/>
  <c r="P18" i="10"/>
  <c r="O18" i="10"/>
  <c r="U51" i="10"/>
  <c r="U50" i="10"/>
  <c r="U53" i="10"/>
  <c r="U54" i="10"/>
  <c r="N51" i="10"/>
  <c r="N50" i="10"/>
  <c r="N53" i="10"/>
  <c r="N54" i="10"/>
  <c r="V18" i="11"/>
  <c r="V3" i="13"/>
  <c r="R16" i="14"/>
  <c r="O33" i="1"/>
  <c r="R33" i="1"/>
  <c r="R34" i="1"/>
  <c r="K33" i="12"/>
  <c r="K36" i="12"/>
  <c r="N33" i="12"/>
  <c r="N34" i="12"/>
  <c r="S33" i="12"/>
  <c r="S36" i="12"/>
  <c r="R37" i="15"/>
  <c r="R38" i="15"/>
  <c r="S20" i="1"/>
  <c r="O20" i="1"/>
  <c r="S17" i="8"/>
  <c r="O17" i="8"/>
  <c r="Q37" i="8"/>
  <c r="Q39" i="8"/>
  <c r="P36" i="8"/>
  <c r="P37" i="8"/>
  <c r="P39" i="8"/>
  <c r="L36" i="8"/>
  <c r="L37" i="8"/>
  <c r="L39" i="8"/>
  <c r="M53" i="8"/>
  <c r="M54" i="8"/>
  <c r="M56" i="8"/>
  <c r="P53" i="8"/>
  <c r="P54" i="8"/>
  <c r="P56" i="8"/>
  <c r="P57" i="8"/>
  <c r="S53" i="8"/>
  <c r="S54" i="8"/>
  <c r="S56" i="8"/>
  <c r="S57" i="8"/>
  <c r="U53" i="8"/>
  <c r="U54" i="8"/>
  <c r="U56" i="8"/>
  <c r="U57" i="8"/>
  <c r="N17" i="9"/>
  <c r="L53" i="9"/>
  <c r="L54" i="9"/>
  <c r="L56" i="9"/>
  <c r="N53" i="9"/>
  <c r="N54" i="9"/>
  <c r="N56" i="9"/>
  <c r="P53" i="9"/>
  <c r="P54" i="9"/>
  <c r="P56" i="9"/>
  <c r="P57" i="9"/>
  <c r="R53" i="9"/>
  <c r="R54" i="9"/>
  <c r="R56" i="9"/>
  <c r="R57" i="9"/>
  <c r="T53" i="9"/>
  <c r="T54" i="9"/>
  <c r="T56" i="9"/>
  <c r="T57" i="9"/>
  <c r="V53" i="9"/>
  <c r="V54" i="9"/>
  <c r="V56" i="9"/>
  <c r="V57" i="9"/>
  <c r="T51" i="10"/>
  <c r="T50" i="10"/>
  <c r="T53" i="10"/>
  <c r="M51" i="10"/>
  <c r="M50" i="10"/>
  <c r="M53" i="10"/>
  <c r="L51" i="10"/>
  <c r="L50" i="10"/>
  <c r="L52" i="10"/>
  <c r="L53" i="10"/>
  <c r="K51" i="10"/>
  <c r="K50" i="10"/>
  <c r="K52" i="10"/>
  <c r="K53" i="10"/>
  <c r="V16" i="13"/>
  <c r="R17" i="13"/>
  <c r="N17" i="13"/>
  <c r="T3" i="14"/>
  <c r="S17" i="14"/>
  <c r="R18" i="14"/>
  <c r="Q20" i="14"/>
  <c r="O16" i="14"/>
  <c r="O17" i="14"/>
  <c r="N16" i="14"/>
  <c r="N17" i="14"/>
  <c r="N18" i="14"/>
  <c r="N19" i="14"/>
  <c r="P35" i="1"/>
  <c r="L35" i="12"/>
  <c r="T35" i="12"/>
  <c r="N19" i="19"/>
  <c r="Q21" i="17"/>
  <c r="O19" i="17"/>
  <c r="V18" i="19"/>
  <c r="R18" i="19"/>
  <c r="N18" i="19"/>
  <c r="S18" i="17"/>
  <c r="O18" i="17"/>
  <c r="M20" i="17"/>
  <c r="M21" i="17"/>
  <c r="K18" i="17"/>
  <c r="U20" i="12"/>
  <c r="W18" i="19"/>
  <c r="W20" i="19"/>
  <c r="W21" i="19"/>
  <c r="V17" i="19"/>
  <c r="S18" i="19"/>
  <c r="S20" i="19"/>
  <c r="S21" i="19"/>
  <c r="R17" i="19"/>
  <c r="O18" i="19"/>
  <c r="O20" i="19"/>
  <c r="O21" i="19"/>
  <c r="N17" i="19"/>
  <c r="N20" i="19"/>
  <c r="N21" i="19"/>
  <c r="V20" i="17"/>
  <c r="V21" i="17"/>
  <c r="T18" i="17"/>
  <c r="T19" i="17"/>
  <c r="T20" i="17"/>
  <c r="T21" i="17"/>
  <c r="S17" i="17"/>
  <c r="S20" i="17"/>
  <c r="S21" i="17"/>
  <c r="R20" i="17"/>
  <c r="R21" i="17"/>
  <c r="P18" i="17"/>
  <c r="P20" i="17"/>
  <c r="P21" i="17"/>
  <c r="O17" i="17"/>
  <c r="O20" i="17"/>
  <c r="O21" i="17"/>
  <c r="L18" i="17"/>
  <c r="L19" i="17"/>
  <c r="L20" i="17"/>
  <c r="K17" i="17"/>
  <c r="K20" i="17"/>
  <c r="V17" i="1"/>
  <c r="V19" i="1"/>
  <c r="V20" i="1"/>
  <c r="U19" i="1"/>
  <c r="U20" i="1"/>
  <c r="R17" i="1"/>
  <c r="R19" i="1"/>
  <c r="R20" i="1"/>
  <c r="Q19" i="1"/>
  <c r="Q20" i="1"/>
  <c r="N17" i="1"/>
  <c r="N19" i="1"/>
  <c r="N20" i="1"/>
  <c r="M19" i="1"/>
  <c r="M20" i="1"/>
  <c r="U18" i="8"/>
  <c r="T17" i="8"/>
  <c r="T19" i="8"/>
  <c r="T20" i="8"/>
  <c r="S16" i="8"/>
  <c r="R19" i="8"/>
  <c r="R20" i="8"/>
  <c r="Q18" i="8"/>
  <c r="Q19" i="8"/>
  <c r="P17" i="8"/>
  <c r="P19" i="8"/>
  <c r="P20" i="8"/>
  <c r="O16" i="8"/>
  <c r="O19" i="8"/>
  <c r="M19" i="8"/>
  <c r="M20" i="8"/>
  <c r="L18" i="8"/>
  <c r="L19" i="8"/>
  <c r="K17" i="8"/>
  <c r="K19" i="8"/>
  <c r="K20" i="8"/>
  <c r="N16" i="8"/>
  <c r="V17" i="8"/>
  <c r="V19" i="8"/>
  <c r="V20" i="8"/>
  <c r="M35" i="8"/>
  <c r="M36" i="8"/>
  <c r="M37" i="8"/>
  <c r="M39" i="8"/>
  <c r="N35" i="8"/>
  <c r="O35" i="8"/>
  <c r="S35" i="8"/>
  <c r="T35" i="8"/>
  <c r="U35" i="8"/>
  <c r="V35" i="8"/>
  <c r="K53" i="8"/>
  <c r="K54" i="8"/>
  <c r="K56" i="8"/>
  <c r="K57" i="8"/>
  <c r="Q53" i="8"/>
  <c r="Q54" i="8"/>
  <c r="Q56" i="8"/>
  <c r="Q57" i="8"/>
  <c r="V16" i="9"/>
  <c r="V19" i="9"/>
  <c r="U18" i="9"/>
  <c r="U19" i="9"/>
  <c r="T16" i="9"/>
  <c r="T19" i="9"/>
  <c r="S18" i="9"/>
  <c r="R16" i="9"/>
  <c r="R19" i="9"/>
  <c r="R20" i="9"/>
  <c r="Q16" i="9"/>
  <c r="P16" i="9"/>
  <c r="P19" i="9"/>
  <c r="P20" i="9"/>
  <c r="O16" i="9"/>
  <c r="O19" i="9"/>
  <c r="N16" i="9"/>
  <c r="N19" i="9"/>
  <c r="N20" i="9"/>
  <c r="M19" i="9"/>
  <c r="M20" i="9"/>
  <c r="L16" i="9"/>
  <c r="L19" i="9"/>
  <c r="K16" i="9"/>
  <c r="K35" i="9"/>
  <c r="L35" i="9"/>
  <c r="L36" i="9"/>
  <c r="L37" i="9"/>
  <c r="L39" i="9"/>
  <c r="M35" i="9"/>
  <c r="N35" i="9"/>
  <c r="O35" i="9"/>
  <c r="P35" i="9"/>
  <c r="Q35" i="9"/>
  <c r="Q36" i="9"/>
  <c r="Q37" i="9"/>
  <c r="Q39" i="9"/>
  <c r="R35" i="9"/>
  <c r="S35" i="9"/>
  <c r="T35" i="9"/>
  <c r="U35" i="9"/>
  <c r="U36" i="9"/>
  <c r="U37" i="9"/>
  <c r="U39" i="9"/>
  <c r="V35" i="9"/>
  <c r="V3" i="1"/>
  <c r="R3" i="1"/>
  <c r="N3" i="1"/>
  <c r="L3" i="10"/>
  <c r="P3" i="10"/>
  <c r="T3" i="10"/>
  <c r="V34" i="10"/>
  <c r="V36" i="10"/>
  <c r="V37" i="10"/>
  <c r="U34" i="10"/>
  <c r="U36" i="10"/>
  <c r="U37" i="10"/>
  <c r="T35" i="10"/>
  <c r="S36" i="10"/>
  <c r="R33" i="10"/>
  <c r="R36" i="10"/>
  <c r="Q33" i="10"/>
  <c r="Q36" i="10"/>
  <c r="P33" i="10"/>
  <c r="P36" i="10"/>
  <c r="O33" i="10"/>
  <c r="N34" i="10"/>
  <c r="N36" i="10"/>
  <c r="N37" i="10"/>
  <c r="M35" i="10"/>
  <c r="L36" i="10"/>
  <c r="L37" i="10"/>
  <c r="V17" i="10"/>
  <c r="V19" i="10"/>
  <c r="V20" i="10"/>
  <c r="U17" i="10"/>
  <c r="U19" i="10"/>
  <c r="U20" i="10"/>
  <c r="T18" i="10"/>
  <c r="S19" i="10"/>
  <c r="R16" i="10"/>
  <c r="R19" i="10"/>
  <c r="Q16" i="10"/>
  <c r="Q19" i="10"/>
  <c r="Q20" i="10"/>
  <c r="P16" i="10"/>
  <c r="O16" i="10"/>
  <c r="O19" i="10"/>
  <c r="O20" i="10"/>
  <c r="N17" i="10"/>
  <c r="N19" i="10"/>
  <c r="N20" i="10"/>
  <c r="M18" i="10"/>
  <c r="M19" i="10"/>
  <c r="L19" i="10"/>
  <c r="L20" i="10"/>
  <c r="S51" i="10"/>
  <c r="S50" i="10"/>
  <c r="S53" i="10"/>
  <c r="R51" i="10"/>
  <c r="R50" i="10"/>
  <c r="R53" i="10"/>
  <c r="Q51" i="10"/>
  <c r="Q50" i="10"/>
  <c r="Q53" i="10"/>
  <c r="Q54" i="10"/>
  <c r="P51" i="10"/>
  <c r="P50" i="10"/>
  <c r="P53" i="10"/>
  <c r="P54" i="10"/>
  <c r="K3" i="11"/>
  <c r="O3" i="11"/>
  <c r="S3" i="11"/>
  <c r="V16" i="11"/>
  <c r="V19" i="11"/>
  <c r="U16" i="11"/>
  <c r="U19" i="11"/>
  <c r="U20" i="11"/>
  <c r="R17" i="11"/>
  <c r="R19" i="11"/>
  <c r="R20" i="11"/>
  <c r="Q16" i="11"/>
  <c r="Q19" i="11"/>
  <c r="N17" i="11"/>
  <c r="N19" i="11"/>
  <c r="N20" i="11"/>
  <c r="M16" i="11"/>
  <c r="M19" i="11"/>
  <c r="L3" i="12"/>
  <c r="P3" i="12"/>
  <c r="T3" i="12"/>
  <c r="L3" i="13"/>
  <c r="P3" i="13"/>
  <c r="T3" i="13"/>
  <c r="V19" i="13"/>
  <c r="S17" i="13"/>
  <c r="S19" i="13"/>
  <c r="S20" i="13"/>
  <c r="R16" i="13"/>
  <c r="R19" i="13"/>
  <c r="R20" i="13"/>
  <c r="O17" i="13"/>
  <c r="O19" i="13"/>
  <c r="O20" i="13"/>
  <c r="N16" i="13"/>
  <c r="N19" i="13"/>
  <c r="M3" i="14"/>
  <c r="Q3" i="14"/>
  <c r="U3" i="14"/>
  <c r="T17" i="14"/>
  <c r="T19" i="14"/>
  <c r="T20" i="14"/>
  <c r="S16" i="14"/>
  <c r="R17" i="14"/>
  <c r="R19" i="14"/>
  <c r="M20" i="14"/>
  <c r="K16" i="14"/>
  <c r="K17" i="14"/>
  <c r="Q37" i="1"/>
  <c r="K33" i="1"/>
  <c r="N33" i="1"/>
  <c r="N34" i="1"/>
  <c r="N36" i="1"/>
  <c r="N37" i="1"/>
  <c r="P33" i="1"/>
  <c r="P36" i="1"/>
  <c r="P37" i="1"/>
  <c r="R35" i="1"/>
  <c r="R36" i="1"/>
  <c r="S33" i="1"/>
  <c r="V33" i="1"/>
  <c r="V34" i="1"/>
  <c r="V36" i="1"/>
  <c r="V37" i="1"/>
  <c r="L33" i="12"/>
  <c r="N35" i="12"/>
  <c r="N36" i="12"/>
  <c r="O33" i="12"/>
  <c r="O34" i="12"/>
  <c r="O36" i="12"/>
  <c r="R33" i="12"/>
  <c r="R34" i="12"/>
  <c r="T33" i="12"/>
  <c r="R20" i="15"/>
  <c r="V21" i="15"/>
  <c r="Q37" i="15"/>
  <c r="Q38" i="15"/>
  <c r="T19" i="12"/>
  <c r="T20" i="12"/>
  <c r="L21" i="17"/>
  <c r="N34" i="8"/>
  <c r="N36" i="8"/>
  <c r="O34" i="8"/>
  <c r="R35" i="8"/>
  <c r="R36" i="8"/>
  <c r="S34" i="8"/>
  <c r="S36" i="8"/>
  <c r="V34" i="8"/>
  <c r="V36" i="8"/>
  <c r="L53" i="8"/>
  <c r="L54" i="8"/>
  <c r="L56" i="8"/>
  <c r="N53" i="8"/>
  <c r="N54" i="8"/>
  <c r="N56" i="8"/>
  <c r="R53" i="8"/>
  <c r="R54" i="8"/>
  <c r="R56" i="8"/>
  <c r="T53" i="8"/>
  <c r="T54" i="8"/>
  <c r="T56" i="8"/>
  <c r="V53" i="8"/>
  <c r="V54" i="8"/>
  <c r="V56" i="8"/>
  <c r="M34" i="9"/>
  <c r="M36" i="9"/>
  <c r="N34" i="9"/>
  <c r="O34" i="9"/>
  <c r="O36" i="9"/>
  <c r="R34" i="9"/>
  <c r="R36" i="9"/>
  <c r="S34" i="9"/>
  <c r="V34" i="9"/>
  <c r="V36" i="9"/>
  <c r="K53" i="9"/>
  <c r="K54" i="9"/>
  <c r="K56" i="9"/>
  <c r="K57" i="9"/>
  <c r="M53" i="9"/>
  <c r="M54" i="9"/>
  <c r="M56" i="9"/>
  <c r="M57" i="9"/>
  <c r="O53" i="9"/>
  <c r="O54" i="9"/>
  <c r="O56" i="9"/>
  <c r="O57" i="9"/>
  <c r="Q53" i="9"/>
  <c r="Q54" i="9"/>
  <c r="Q56" i="9"/>
  <c r="Q57" i="9"/>
  <c r="S53" i="9"/>
  <c r="S54" i="9"/>
  <c r="S56" i="9"/>
  <c r="S57" i="9"/>
  <c r="U53" i="9"/>
  <c r="U54" i="9"/>
  <c r="U56" i="9"/>
  <c r="U57" i="9"/>
  <c r="U3" i="1"/>
  <c r="Q3" i="1"/>
  <c r="M3" i="10"/>
  <c r="Q3" i="10"/>
  <c r="K17" i="10"/>
  <c r="K18" i="10"/>
  <c r="K16" i="10"/>
  <c r="V51" i="10"/>
  <c r="V50" i="10"/>
  <c r="V53" i="10"/>
  <c r="V54" i="10"/>
  <c r="O51" i="10"/>
  <c r="O50" i="10"/>
  <c r="O53" i="10"/>
  <c r="O54" i="10"/>
  <c r="L3" i="11"/>
  <c r="P3" i="11"/>
  <c r="M3" i="12"/>
  <c r="Q3" i="12"/>
  <c r="M3" i="13"/>
  <c r="Q3" i="13"/>
  <c r="K20" i="13"/>
  <c r="N3" i="14"/>
  <c r="R3" i="14"/>
  <c r="O18" i="14"/>
  <c r="N20" i="14"/>
  <c r="K19" i="14"/>
  <c r="K20" i="14"/>
  <c r="K34" i="1"/>
  <c r="L35" i="1"/>
  <c r="L36" i="1"/>
  <c r="L37" i="1"/>
  <c r="S34" i="1"/>
  <c r="T35" i="1"/>
  <c r="T36" i="1"/>
  <c r="P35" i="12"/>
  <c r="P36" i="12"/>
  <c r="R36" i="12"/>
  <c r="M35" i="11"/>
  <c r="Q35" i="11"/>
  <c r="U35" i="11"/>
  <c r="K50" i="11"/>
  <c r="K51" i="11"/>
  <c r="K53" i="11"/>
  <c r="L50" i="11"/>
  <c r="L51" i="11"/>
  <c r="L53" i="11"/>
  <c r="M50" i="11"/>
  <c r="M51" i="11"/>
  <c r="M53" i="11"/>
  <c r="N50" i="11"/>
  <c r="N51" i="11"/>
  <c r="N53" i="11"/>
  <c r="O50" i="11"/>
  <c r="O51" i="11"/>
  <c r="O53" i="11"/>
  <c r="P50" i="11"/>
  <c r="P51" i="11"/>
  <c r="P53" i="11"/>
  <c r="Q50" i="11"/>
  <c r="Q51" i="11"/>
  <c r="Q53" i="11"/>
  <c r="R50" i="11"/>
  <c r="R51" i="11"/>
  <c r="R53" i="11"/>
  <c r="S50" i="11"/>
  <c r="S51" i="11"/>
  <c r="S53" i="11"/>
  <c r="T50" i="11"/>
  <c r="T51" i="11"/>
  <c r="T53" i="11"/>
  <c r="U50" i="11"/>
  <c r="U51" i="11"/>
  <c r="U53" i="11"/>
  <c r="V50" i="11"/>
  <c r="V51" i="11"/>
  <c r="V53" i="11"/>
  <c r="M35" i="14"/>
  <c r="Q35" i="14"/>
  <c r="U35" i="14"/>
  <c r="K51" i="14"/>
  <c r="K50" i="14"/>
  <c r="K53" i="14"/>
  <c r="L51" i="14"/>
  <c r="L50" i="14"/>
  <c r="L53" i="14"/>
  <c r="M51" i="14"/>
  <c r="M50" i="14"/>
  <c r="M53" i="14"/>
  <c r="N51" i="14"/>
  <c r="N50" i="14"/>
  <c r="N53" i="14"/>
  <c r="O51" i="14"/>
  <c r="O50" i="14"/>
  <c r="O53" i="14"/>
  <c r="P51" i="14"/>
  <c r="P50" i="14"/>
  <c r="P52" i="14"/>
  <c r="P53" i="14"/>
  <c r="Q51" i="14"/>
  <c r="Q50" i="14"/>
  <c r="Q52" i="14"/>
  <c r="Q53" i="14"/>
  <c r="R51" i="14"/>
  <c r="R50" i="14"/>
  <c r="R52" i="14"/>
  <c r="R53" i="14"/>
  <c r="S51" i="14"/>
  <c r="S50" i="14"/>
  <c r="S52" i="14"/>
  <c r="S53" i="14"/>
  <c r="T51" i="14"/>
  <c r="T50" i="14"/>
  <c r="T52" i="14"/>
  <c r="T53" i="14"/>
  <c r="U51" i="14"/>
  <c r="U50" i="14"/>
  <c r="U52" i="14"/>
  <c r="U53" i="14"/>
  <c r="V51" i="14"/>
  <c r="V50" i="14"/>
  <c r="V52" i="14"/>
  <c r="V53" i="14"/>
  <c r="N54" i="15"/>
  <c r="N55" i="15"/>
  <c r="N57" i="15"/>
  <c r="S54" i="15"/>
  <c r="S55" i="15"/>
  <c r="S57" i="15"/>
  <c r="S58" i="15"/>
  <c r="U54" i="15"/>
  <c r="U55" i="15"/>
  <c r="K17" i="16"/>
  <c r="K18" i="16"/>
  <c r="L17" i="16"/>
  <c r="L18" i="16"/>
  <c r="N36" i="16"/>
  <c r="R35" i="16"/>
  <c r="R36" i="16"/>
  <c r="T34" i="16"/>
  <c r="T35" i="16"/>
  <c r="T37" i="16"/>
  <c r="T38" i="16"/>
  <c r="V35" i="16"/>
  <c r="V36" i="16"/>
  <c r="U3" i="15"/>
  <c r="L34" i="15"/>
  <c r="T36" i="15"/>
  <c r="O54" i="15"/>
  <c r="O55" i="15"/>
  <c r="O57" i="15"/>
  <c r="O58" i="15"/>
  <c r="V54" i="15"/>
  <c r="V55" i="15"/>
  <c r="V57" i="15"/>
  <c r="V58" i="15"/>
  <c r="P18" i="16"/>
  <c r="L19" i="16"/>
  <c r="V17" i="16"/>
  <c r="V20" i="16"/>
  <c r="V21" i="16"/>
  <c r="K35" i="16"/>
  <c r="K36" i="16"/>
  <c r="K37" i="16"/>
  <c r="Q35" i="16"/>
  <c r="Q36" i="16"/>
  <c r="U34" i="16"/>
  <c r="U35" i="16"/>
  <c r="N56" i="16"/>
  <c r="O54" i="16"/>
  <c r="O55" i="16"/>
  <c r="O57" i="16"/>
  <c r="O58" i="16"/>
  <c r="U54" i="16"/>
  <c r="U55" i="16"/>
  <c r="U56" i="16"/>
  <c r="U57" i="16"/>
  <c r="U58" i="16"/>
  <c r="K50" i="1"/>
  <c r="K51" i="1"/>
  <c r="K53" i="1"/>
  <c r="L50" i="1"/>
  <c r="L51" i="1"/>
  <c r="L53" i="1"/>
  <c r="L54" i="1"/>
  <c r="M50" i="1"/>
  <c r="M51" i="1"/>
  <c r="M53" i="1"/>
  <c r="M54" i="1"/>
  <c r="N50" i="1"/>
  <c r="N51" i="1"/>
  <c r="N53" i="1"/>
  <c r="N54" i="1"/>
  <c r="O50" i="1"/>
  <c r="O51" i="1"/>
  <c r="O53" i="1"/>
  <c r="O54" i="1"/>
  <c r="P50" i="1"/>
  <c r="P51" i="1"/>
  <c r="P53" i="1"/>
  <c r="P54" i="1"/>
  <c r="Q50" i="1"/>
  <c r="Q51" i="1"/>
  <c r="Q53" i="1"/>
  <c r="Q54" i="1"/>
  <c r="R50" i="1"/>
  <c r="R51" i="1"/>
  <c r="R53" i="1"/>
  <c r="R54" i="1"/>
  <c r="S50" i="1"/>
  <c r="S51" i="1"/>
  <c r="S53" i="1"/>
  <c r="S54" i="1"/>
  <c r="T50" i="1"/>
  <c r="T51" i="1"/>
  <c r="T53" i="1"/>
  <c r="T54" i="1"/>
  <c r="U50" i="1"/>
  <c r="U51" i="1"/>
  <c r="U53" i="1"/>
  <c r="U54" i="1"/>
  <c r="V50" i="1"/>
  <c r="V51" i="1"/>
  <c r="V53" i="1"/>
  <c r="V54" i="1"/>
  <c r="V34" i="12"/>
  <c r="K50" i="12"/>
  <c r="K51" i="12"/>
  <c r="K53" i="12"/>
  <c r="K54" i="12"/>
  <c r="L50" i="12"/>
  <c r="L51" i="12"/>
  <c r="L53" i="12"/>
  <c r="L54" i="12"/>
  <c r="M50" i="12"/>
  <c r="M51" i="12"/>
  <c r="M53" i="12"/>
  <c r="M54" i="12"/>
  <c r="N50" i="12"/>
  <c r="N51" i="12"/>
  <c r="N53" i="12"/>
  <c r="N54" i="12"/>
  <c r="O50" i="12"/>
  <c r="O51" i="12"/>
  <c r="O53" i="12"/>
  <c r="O54" i="12"/>
  <c r="P50" i="12"/>
  <c r="P51" i="12"/>
  <c r="P53" i="12"/>
  <c r="P54" i="12"/>
  <c r="Q50" i="12"/>
  <c r="Q51" i="12"/>
  <c r="Q53" i="12"/>
  <c r="Q54" i="12"/>
  <c r="R50" i="12"/>
  <c r="R51" i="12"/>
  <c r="R53" i="12"/>
  <c r="R54" i="12"/>
  <c r="S50" i="12"/>
  <c r="S51" i="12"/>
  <c r="S53" i="12"/>
  <c r="S54" i="12"/>
  <c r="T50" i="12"/>
  <c r="T51" i="12"/>
  <c r="T53" i="12"/>
  <c r="T54" i="12"/>
  <c r="U50" i="12"/>
  <c r="U51" i="12"/>
  <c r="U53" i="12"/>
  <c r="U54" i="12"/>
  <c r="V50" i="12"/>
  <c r="V51" i="12"/>
  <c r="V53" i="12"/>
  <c r="V54" i="12"/>
  <c r="L34" i="11"/>
  <c r="M33" i="11"/>
  <c r="M36" i="11"/>
  <c r="N36" i="11"/>
  <c r="N37" i="11"/>
  <c r="P34" i="11"/>
  <c r="P36" i="11"/>
  <c r="Q33" i="11"/>
  <c r="R36" i="11"/>
  <c r="R37" i="11"/>
  <c r="T34" i="11"/>
  <c r="U33" i="11"/>
  <c r="V36" i="11"/>
  <c r="V37" i="11"/>
  <c r="K33" i="13"/>
  <c r="K36" i="13"/>
  <c r="L36" i="13"/>
  <c r="L37" i="13"/>
  <c r="N34" i="13"/>
  <c r="O33" i="13"/>
  <c r="P36" i="13"/>
  <c r="P37" i="13"/>
  <c r="R34" i="13"/>
  <c r="R36" i="13"/>
  <c r="S33" i="13"/>
  <c r="T36" i="13"/>
  <c r="T37" i="13"/>
  <c r="V34" i="13"/>
  <c r="V36" i="13"/>
  <c r="K51" i="13"/>
  <c r="K50" i="13"/>
  <c r="K53" i="13"/>
  <c r="K54" i="13"/>
  <c r="L51" i="13"/>
  <c r="L50" i="13"/>
  <c r="M51" i="13"/>
  <c r="M50" i="13"/>
  <c r="M53" i="13"/>
  <c r="M54" i="13"/>
  <c r="N51" i="13"/>
  <c r="N50" i="13"/>
  <c r="O51" i="13"/>
  <c r="O50" i="13"/>
  <c r="O53" i="13"/>
  <c r="O54" i="13"/>
  <c r="P51" i="13"/>
  <c r="P50" i="13"/>
  <c r="Q51" i="13"/>
  <c r="Q50" i="13"/>
  <c r="Q53" i="13"/>
  <c r="Q54" i="13"/>
  <c r="R51" i="13"/>
  <c r="R50" i="13"/>
  <c r="S51" i="13"/>
  <c r="S50" i="13"/>
  <c r="S53" i="13"/>
  <c r="S54" i="13"/>
  <c r="T51" i="13"/>
  <c r="T50" i="13"/>
  <c r="U51" i="13"/>
  <c r="U50" i="13"/>
  <c r="U53" i="13"/>
  <c r="U54" i="13"/>
  <c r="V51" i="13"/>
  <c r="V50" i="13"/>
  <c r="L34" i="14"/>
  <c r="L36" i="14"/>
  <c r="M33" i="14"/>
  <c r="N36" i="14"/>
  <c r="N37" i="14"/>
  <c r="P34" i="14"/>
  <c r="P36" i="14"/>
  <c r="Q33" i="14"/>
  <c r="Q36" i="14"/>
  <c r="R36" i="14"/>
  <c r="R37" i="14"/>
  <c r="T34" i="14"/>
  <c r="U33" i="14"/>
  <c r="V36" i="14"/>
  <c r="V37" i="14"/>
  <c r="S38" i="15"/>
  <c r="U19" i="15"/>
  <c r="T17" i="15"/>
  <c r="S18" i="15"/>
  <c r="S20" i="15"/>
  <c r="S21" i="15"/>
  <c r="Q19" i="15"/>
  <c r="Q20" i="15"/>
  <c r="P18" i="15"/>
  <c r="P20" i="15"/>
  <c r="P21" i="15"/>
  <c r="O18" i="15"/>
  <c r="O20" i="15"/>
  <c r="O21" i="15"/>
  <c r="N18" i="15"/>
  <c r="N20" i="15"/>
  <c r="N21" i="15"/>
  <c r="M18" i="15"/>
  <c r="M20" i="15"/>
  <c r="M21" i="15"/>
  <c r="L18" i="15"/>
  <c r="L20" i="15"/>
  <c r="L21" i="15"/>
  <c r="K17" i="15"/>
  <c r="K20" i="15"/>
  <c r="K21" i="15"/>
  <c r="N3" i="15"/>
  <c r="R3" i="15"/>
  <c r="V3" i="15"/>
  <c r="K37" i="15"/>
  <c r="K38" i="15"/>
  <c r="L37" i="15"/>
  <c r="M36" i="15"/>
  <c r="N36" i="15"/>
  <c r="N37" i="15"/>
  <c r="O36" i="15"/>
  <c r="O37" i="15"/>
  <c r="P36" i="15"/>
  <c r="P37" i="15"/>
  <c r="P38" i="15"/>
  <c r="T35" i="15"/>
  <c r="T37" i="15"/>
  <c r="T38" i="15"/>
  <c r="U36" i="15"/>
  <c r="U37" i="15"/>
  <c r="V37" i="15"/>
  <c r="V38" i="15"/>
  <c r="K54" i="15"/>
  <c r="K55" i="15"/>
  <c r="K57" i="15"/>
  <c r="L54" i="15"/>
  <c r="L55" i="15"/>
  <c r="L57" i="15"/>
  <c r="P54" i="15"/>
  <c r="P55" i="15"/>
  <c r="P57" i="15"/>
  <c r="Q54" i="15"/>
  <c r="Q55" i="15"/>
  <c r="Q57" i="15"/>
  <c r="Q58" i="15"/>
  <c r="T54" i="15"/>
  <c r="T55" i="15"/>
  <c r="T57" i="15"/>
  <c r="U21" i="16"/>
  <c r="S21" i="16"/>
  <c r="Q21" i="16"/>
  <c r="M35" i="16"/>
  <c r="M36" i="16"/>
  <c r="O36" i="16"/>
  <c r="O34" i="16"/>
  <c r="S34" i="16"/>
  <c r="S36" i="16"/>
  <c r="M54" i="16"/>
  <c r="M55" i="16"/>
  <c r="M57" i="16"/>
  <c r="M58" i="16"/>
  <c r="S54" i="16"/>
  <c r="S55" i="16"/>
  <c r="S56" i="16"/>
  <c r="S57" i="16"/>
  <c r="S58" i="16"/>
  <c r="L38" i="15"/>
  <c r="R21" i="15"/>
  <c r="K3" i="15"/>
  <c r="O3" i="15"/>
  <c r="M54" i="15"/>
  <c r="M55" i="15"/>
  <c r="M57" i="15"/>
  <c r="M58" i="15"/>
  <c r="R54" i="15"/>
  <c r="R55" i="15"/>
  <c r="U56" i="15"/>
  <c r="U57" i="15"/>
  <c r="K38" i="16"/>
  <c r="T20" i="16"/>
  <c r="T21" i="16"/>
  <c r="R20" i="16"/>
  <c r="R21" i="16"/>
  <c r="P20" i="16"/>
  <c r="P21" i="16"/>
  <c r="O20" i="16"/>
  <c r="O21" i="16"/>
  <c r="K19" i="16"/>
  <c r="K20" i="16"/>
  <c r="M18" i="16"/>
  <c r="L35" i="16"/>
  <c r="L36" i="16"/>
  <c r="L37" i="16"/>
  <c r="N35" i="16"/>
  <c r="O35" i="16"/>
  <c r="P34" i="16"/>
  <c r="P35" i="16"/>
  <c r="P37" i="16"/>
  <c r="R34" i="16"/>
  <c r="U37" i="16"/>
  <c r="V34" i="16"/>
  <c r="V37" i="16"/>
  <c r="Q54" i="16"/>
  <c r="Q55" i="16"/>
  <c r="Q57" i="16"/>
  <c r="Q35" i="17"/>
  <c r="Q37" i="17"/>
  <c r="Q35" i="18"/>
  <c r="Q37" i="18"/>
  <c r="T37" i="18"/>
  <c r="T38" i="18"/>
  <c r="R55" i="19"/>
  <c r="R56" i="19"/>
  <c r="P55" i="19"/>
  <c r="P56" i="19"/>
  <c r="N56" i="17"/>
  <c r="N54" i="17"/>
  <c r="N55" i="17"/>
  <c r="N57" i="17"/>
  <c r="N58" i="17"/>
  <c r="R56" i="17"/>
  <c r="R54" i="17"/>
  <c r="R55" i="17"/>
  <c r="V56" i="17"/>
  <c r="V54" i="17"/>
  <c r="V55" i="17"/>
  <c r="V57" i="17"/>
  <c r="V58" i="17"/>
  <c r="U19" i="18"/>
  <c r="U17" i="18"/>
  <c r="U18" i="18"/>
  <c r="U20" i="18"/>
  <c r="U21" i="18"/>
  <c r="Q19" i="18"/>
  <c r="Q17" i="18"/>
  <c r="Q18" i="18"/>
  <c r="Q20" i="18"/>
  <c r="M19" i="18"/>
  <c r="M17" i="18"/>
  <c r="M18" i="18"/>
  <c r="M20" i="18"/>
  <c r="M21" i="18"/>
  <c r="N54" i="18"/>
  <c r="N52" i="18"/>
  <c r="N53" i="18"/>
  <c r="N55" i="18"/>
  <c r="N56" i="18"/>
  <c r="R54" i="18"/>
  <c r="R53" i="18"/>
  <c r="R52" i="18"/>
  <c r="R55" i="18"/>
  <c r="R56" i="18"/>
  <c r="V52" i="18"/>
  <c r="V53" i="18"/>
  <c r="V54" i="18"/>
  <c r="V55" i="18"/>
  <c r="F67" i="19"/>
  <c r="F62" i="19"/>
  <c r="F64" i="19"/>
  <c r="F65" i="19"/>
  <c r="F66" i="19"/>
  <c r="F63" i="19"/>
  <c r="K54" i="16"/>
  <c r="K55" i="16"/>
  <c r="K57" i="16"/>
  <c r="K58" i="16"/>
  <c r="R54" i="16"/>
  <c r="R55" i="16"/>
  <c r="R57" i="16"/>
  <c r="R58" i="16"/>
  <c r="T54" i="16"/>
  <c r="T55" i="16"/>
  <c r="T57" i="16"/>
  <c r="T58" i="16"/>
  <c r="V54" i="16"/>
  <c r="V55" i="16"/>
  <c r="V57" i="16"/>
  <c r="V58" i="16"/>
  <c r="V36" i="17"/>
  <c r="V37" i="17"/>
  <c r="V38" i="17"/>
  <c r="K36" i="17"/>
  <c r="K37" i="17"/>
  <c r="L34" i="17"/>
  <c r="M35" i="17"/>
  <c r="M37" i="17"/>
  <c r="M38" i="17"/>
  <c r="N36" i="17"/>
  <c r="N37" i="17"/>
  <c r="P34" i="17"/>
  <c r="R36" i="17"/>
  <c r="R37" i="17"/>
  <c r="R38" i="17"/>
  <c r="S37" i="17"/>
  <c r="S38" i="17"/>
  <c r="T34" i="17"/>
  <c r="U35" i="17"/>
  <c r="U37" i="17"/>
  <c r="M55" i="17"/>
  <c r="M54" i="17"/>
  <c r="M56" i="17"/>
  <c r="M57" i="17"/>
  <c r="M58" i="17"/>
  <c r="Q55" i="17"/>
  <c r="Q56" i="17"/>
  <c r="Q54" i="17"/>
  <c r="U55" i="17"/>
  <c r="U56" i="17"/>
  <c r="U54" i="17"/>
  <c r="U57" i="17"/>
  <c r="R36" i="18"/>
  <c r="R37" i="18"/>
  <c r="R38" i="18"/>
  <c r="V36" i="18"/>
  <c r="V37" i="18"/>
  <c r="V38" i="18"/>
  <c r="V17" i="18"/>
  <c r="V18" i="18"/>
  <c r="V19" i="18"/>
  <c r="V20" i="18"/>
  <c r="V21" i="18"/>
  <c r="R17" i="18"/>
  <c r="R18" i="18"/>
  <c r="R19" i="18"/>
  <c r="R20" i="18"/>
  <c r="N17" i="18"/>
  <c r="N18" i="18"/>
  <c r="N19" i="18"/>
  <c r="N20" i="18"/>
  <c r="M3" i="18"/>
  <c r="Q3" i="18"/>
  <c r="U3" i="18"/>
  <c r="L34" i="18"/>
  <c r="M35" i="18"/>
  <c r="N36" i="18"/>
  <c r="N37" i="18"/>
  <c r="O36" i="18"/>
  <c r="O37" i="18"/>
  <c r="P34" i="18"/>
  <c r="U35" i="18"/>
  <c r="U37" i="18"/>
  <c r="K52" i="18"/>
  <c r="K53" i="18"/>
  <c r="K54" i="18"/>
  <c r="K55" i="18"/>
  <c r="O52" i="18"/>
  <c r="O53" i="18"/>
  <c r="O54" i="18"/>
  <c r="O55" i="18"/>
  <c r="O56" i="18"/>
  <c r="S52" i="18"/>
  <c r="S53" i="18"/>
  <c r="S54" i="18"/>
  <c r="S55" i="18"/>
  <c r="S56" i="18"/>
  <c r="L3" i="19"/>
  <c r="P3" i="19"/>
  <c r="T3" i="19"/>
  <c r="V35" i="19"/>
  <c r="V37" i="19"/>
  <c r="V38" i="19"/>
  <c r="L36" i="19"/>
  <c r="L37" i="19"/>
  <c r="M34" i="19"/>
  <c r="M37" i="19"/>
  <c r="M38" i="19"/>
  <c r="N35" i="19"/>
  <c r="N37" i="19"/>
  <c r="O36" i="19"/>
  <c r="Q34" i="19"/>
  <c r="R35" i="19"/>
  <c r="R37" i="19"/>
  <c r="S36" i="19"/>
  <c r="T36" i="19"/>
  <c r="T37" i="19"/>
  <c r="U34" i="19"/>
  <c r="W36" i="19"/>
  <c r="V55" i="19"/>
  <c r="V56" i="19"/>
  <c r="T55" i="19"/>
  <c r="T56" i="19"/>
  <c r="M54" i="19"/>
  <c r="M55" i="19"/>
  <c r="M56" i="19"/>
  <c r="L52" i="19"/>
  <c r="L53" i="19"/>
  <c r="L54" i="19"/>
  <c r="L55" i="19"/>
  <c r="L56" i="19"/>
  <c r="R73" i="19"/>
  <c r="R74" i="19"/>
  <c r="N73" i="19"/>
  <c r="N74" i="19"/>
  <c r="L54" i="16"/>
  <c r="L55" i="16"/>
  <c r="L57" i="16"/>
  <c r="N54" i="16"/>
  <c r="N55" i="16"/>
  <c r="N57" i="16"/>
  <c r="P54" i="16"/>
  <c r="P55" i="16"/>
  <c r="P57" i="16"/>
  <c r="U38" i="17"/>
  <c r="Q38" i="17"/>
  <c r="O36" i="17"/>
  <c r="P37" i="17"/>
  <c r="L54" i="17"/>
  <c r="L55" i="17"/>
  <c r="L56" i="17"/>
  <c r="L57" i="17"/>
  <c r="L58" i="17"/>
  <c r="P54" i="17"/>
  <c r="P55" i="17"/>
  <c r="P56" i="17"/>
  <c r="P57" i="17"/>
  <c r="P58" i="17"/>
  <c r="T54" i="17"/>
  <c r="T55" i="17"/>
  <c r="T56" i="17"/>
  <c r="S17" i="18"/>
  <c r="S18" i="18"/>
  <c r="S19" i="18"/>
  <c r="S20" i="18"/>
  <c r="S21" i="18"/>
  <c r="O17" i="18"/>
  <c r="O18" i="18"/>
  <c r="O19" i="18"/>
  <c r="O20" i="18"/>
  <c r="O21" i="18"/>
  <c r="K17" i="18"/>
  <c r="K18" i="18"/>
  <c r="K19" i="18"/>
  <c r="K20" i="18"/>
  <c r="N3" i="18"/>
  <c r="R3" i="18"/>
  <c r="K36" i="18"/>
  <c r="K37" i="18"/>
  <c r="O38" i="18"/>
  <c r="P37" i="18"/>
  <c r="S36" i="18"/>
  <c r="L52" i="18"/>
  <c r="L53" i="18"/>
  <c r="L54" i="18"/>
  <c r="L55" i="18"/>
  <c r="L56" i="18"/>
  <c r="P52" i="18"/>
  <c r="P53" i="18"/>
  <c r="P54" i="18"/>
  <c r="P55" i="18"/>
  <c r="P56" i="18"/>
  <c r="T54" i="18"/>
  <c r="T52" i="18"/>
  <c r="T53" i="18"/>
  <c r="T55" i="18"/>
  <c r="M3" i="19"/>
  <c r="Q3" i="19"/>
  <c r="Q37" i="19"/>
  <c r="Q38" i="19"/>
  <c r="P36" i="19"/>
  <c r="T38" i="19"/>
  <c r="O54" i="19"/>
  <c r="O55" i="19"/>
  <c r="O56" i="19"/>
  <c r="N52" i="19"/>
  <c r="N53" i="19"/>
  <c r="N55" i="19"/>
  <c r="N56" i="19"/>
  <c r="T73" i="19"/>
  <c r="T74" i="19"/>
  <c r="P73" i="19"/>
  <c r="K56" i="17"/>
  <c r="K54" i="17"/>
  <c r="K55" i="17"/>
  <c r="O56" i="17"/>
  <c r="O54" i="17"/>
  <c r="O55" i="17"/>
  <c r="O57" i="17"/>
  <c r="O58" i="17"/>
  <c r="S56" i="17"/>
  <c r="S54" i="17"/>
  <c r="S55" i="17"/>
  <c r="S57" i="17"/>
  <c r="S58" i="17"/>
  <c r="T18" i="18"/>
  <c r="T19" i="18"/>
  <c r="T17" i="18"/>
  <c r="T20" i="18"/>
  <c r="T21" i="18"/>
  <c r="P18" i="18"/>
  <c r="P19" i="18"/>
  <c r="P17" i="18"/>
  <c r="P20" i="18"/>
  <c r="P21" i="18"/>
  <c r="L18" i="18"/>
  <c r="L17" i="18"/>
  <c r="L19" i="18"/>
  <c r="L20" i="18"/>
  <c r="L21" i="18"/>
  <c r="M53" i="18"/>
  <c r="M54" i="18"/>
  <c r="M52" i="18"/>
  <c r="M55" i="18"/>
  <c r="M56" i="18"/>
  <c r="Q53" i="18"/>
  <c r="Q54" i="18"/>
  <c r="Q52" i="18"/>
  <c r="Q55" i="18"/>
  <c r="Q56" i="18"/>
  <c r="U52" i="18"/>
  <c r="U53" i="18"/>
  <c r="U54" i="18"/>
  <c r="U55" i="18"/>
  <c r="W55" i="19"/>
  <c r="W56" i="19"/>
  <c r="U55" i="19"/>
  <c r="U56" i="19"/>
  <c r="S55" i="19"/>
  <c r="S56" i="19"/>
  <c r="Q55" i="19"/>
  <c r="Q56" i="19"/>
  <c r="V72" i="17"/>
  <c r="V75" i="17"/>
  <c r="V76" i="17"/>
  <c r="S73" i="17"/>
  <c r="S74" i="17"/>
  <c r="P72" i="17"/>
  <c r="K73" i="17"/>
  <c r="K74" i="17"/>
  <c r="Q74" i="16"/>
  <c r="Q75" i="16"/>
  <c r="N72" i="16"/>
  <c r="W72" i="19"/>
  <c r="V73" i="19"/>
  <c r="V74" i="19"/>
  <c r="U70" i="19"/>
  <c r="S72" i="19"/>
  <c r="S73" i="19"/>
  <c r="Q70" i="19"/>
  <c r="Q73" i="19"/>
  <c r="O72" i="19"/>
  <c r="O73" i="19"/>
  <c r="M70" i="19"/>
  <c r="L71" i="19"/>
  <c r="L73" i="19"/>
  <c r="L74" i="19"/>
  <c r="S70" i="18"/>
  <c r="S71" i="18"/>
  <c r="S72" i="18"/>
  <c r="S73" i="18"/>
  <c r="S74" i="18"/>
  <c r="O70" i="18"/>
  <c r="O71" i="18"/>
  <c r="O72" i="18"/>
  <c r="O73" i="18"/>
  <c r="K70" i="18"/>
  <c r="K71" i="18"/>
  <c r="K72" i="18"/>
  <c r="K73" i="18"/>
  <c r="U73" i="17"/>
  <c r="U74" i="17"/>
  <c r="U75" i="17"/>
  <c r="R72" i="17"/>
  <c r="P73" i="17"/>
  <c r="P75" i="17"/>
  <c r="M73" i="17"/>
  <c r="M74" i="17"/>
  <c r="M75" i="17"/>
  <c r="S74" i="16"/>
  <c r="R72" i="16"/>
  <c r="R73" i="16"/>
  <c r="P72" i="16"/>
  <c r="N73" i="16"/>
  <c r="N75" i="16"/>
  <c r="P74" i="19"/>
  <c r="T70" i="18"/>
  <c r="T71" i="18"/>
  <c r="T72" i="18"/>
  <c r="T73" i="18"/>
  <c r="T74" i="18"/>
  <c r="P70" i="18"/>
  <c r="P71" i="18"/>
  <c r="P72" i="18"/>
  <c r="P73" i="18"/>
  <c r="L70" i="18"/>
  <c r="L71" i="18"/>
  <c r="L72" i="18"/>
  <c r="L73" i="18"/>
  <c r="L74" i="18"/>
  <c r="U76" i="17"/>
  <c r="T72" i="17"/>
  <c r="T75" i="17"/>
  <c r="T76" i="17"/>
  <c r="S75" i="17"/>
  <c r="S76" i="17"/>
  <c r="R73" i="17"/>
  <c r="R75" i="17"/>
  <c r="O73" i="17"/>
  <c r="O74" i="17"/>
  <c r="L72" i="17"/>
  <c r="L75" i="17"/>
  <c r="L76" i="17"/>
  <c r="U74" i="16"/>
  <c r="T72" i="16"/>
  <c r="T73" i="16"/>
  <c r="T75" i="16"/>
  <c r="Q76" i="16"/>
  <c r="P73" i="16"/>
  <c r="P75" i="16"/>
  <c r="P76" i="16"/>
  <c r="M73" i="16"/>
  <c r="M74" i="16"/>
  <c r="Q73" i="17"/>
  <c r="Q74" i="17"/>
  <c r="Q75" i="17"/>
  <c r="N72" i="17"/>
  <c r="N75" i="17"/>
  <c r="V72" i="16"/>
  <c r="V73" i="16"/>
  <c r="O73" i="16"/>
  <c r="O74" i="16"/>
  <c r="O75" i="16"/>
  <c r="L72" i="16"/>
  <c r="L75" i="16"/>
  <c r="K72" i="16"/>
  <c r="K73" i="16"/>
  <c r="K75" i="16"/>
  <c r="K76" i="16"/>
  <c r="L73" i="15"/>
  <c r="V68" i="14"/>
  <c r="T68" i="14"/>
  <c r="T69" i="14"/>
  <c r="T70" i="14"/>
  <c r="T71" i="14"/>
  <c r="R68" i="14"/>
  <c r="R69" i="14"/>
  <c r="R70" i="14"/>
  <c r="R71" i="14"/>
  <c r="P68" i="14"/>
  <c r="O69" i="14"/>
  <c r="O70" i="14"/>
  <c r="L70" i="14"/>
  <c r="T68" i="13"/>
  <c r="T69" i="13"/>
  <c r="P68" i="13"/>
  <c r="P69" i="13"/>
  <c r="L68" i="13"/>
  <c r="L69" i="13"/>
  <c r="U71" i="18"/>
  <c r="U72" i="18"/>
  <c r="U70" i="18"/>
  <c r="U73" i="18"/>
  <c r="Q71" i="18"/>
  <c r="Q72" i="18"/>
  <c r="Q70" i="18"/>
  <c r="Q73" i="18"/>
  <c r="Q74" i="18"/>
  <c r="M71" i="18"/>
  <c r="M72" i="18"/>
  <c r="M70" i="18"/>
  <c r="V73" i="15"/>
  <c r="U74" i="15"/>
  <c r="U76" i="15"/>
  <c r="U77" i="15"/>
  <c r="T76" i="15"/>
  <c r="T77" i="15"/>
  <c r="S74" i="15"/>
  <c r="R75" i="15"/>
  <c r="R76" i="15"/>
  <c r="Q76" i="15"/>
  <c r="Q77" i="15"/>
  <c r="O73" i="15"/>
  <c r="O76" i="15"/>
  <c r="O77" i="15"/>
  <c r="N74" i="15"/>
  <c r="N76" i="15"/>
  <c r="N77" i="15"/>
  <c r="M75" i="15"/>
  <c r="M76" i="15"/>
  <c r="M77" i="15"/>
  <c r="L74" i="15"/>
  <c r="K73" i="15"/>
  <c r="V70" i="14"/>
  <c r="V69" i="14"/>
  <c r="V71" i="14"/>
  <c r="U69" i="14"/>
  <c r="U70" i="14"/>
  <c r="U71" i="14"/>
  <c r="Q69" i="14"/>
  <c r="Q70" i="14"/>
  <c r="N70" i="14"/>
  <c r="L69" i="14"/>
  <c r="T70" i="13"/>
  <c r="T71" i="13"/>
  <c r="T72" i="13"/>
  <c r="S68" i="13"/>
  <c r="S69" i="13"/>
  <c r="S71" i="13"/>
  <c r="S72" i="13"/>
  <c r="O68" i="13"/>
  <c r="O69" i="13"/>
  <c r="O71" i="13"/>
  <c r="O72" i="13"/>
  <c r="K68" i="13"/>
  <c r="K69" i="13"/>
  <c r="K71" i="13"/>
  <c r="V70" i="11"/>
  <c r="T70" i="11"/>
  <c r="R70" i="11"/>
  <c r="S72" i="9"/>
  <c r="S74" i="9"/>
  <c r="K72" i="9"/>
  <c r="K74" i="9"/>
  <c r="V72" i="18"/>
  <c r="V70" i="18"/>
  <c r="V71" i="18"/>
  <c r="V73" i="18"/>
  <c r="V74" i="18"/>
  <c r="R72" i="18"/>
  <c r="R70" i="18"/>
  <c r="R71" i="18"/>
  <c r="R73" i="18"/>
  <c r="N72" i="18"/>
  <c r="N70" i="18"/>
  <c r="N71" i="18"/>
  <c r="N73" i="18"/>
  <c r="N74" i="18"/>
  <c r="V76" i="15"/>
  <c r="V77" i="15"/>
  <c r="P75" i="15"/>
  <c r="K74" i="15"/>
  <c r="S69" i="14"/>
  <c r="S70" i="14"/>
  <c r="P70" i="14"/>
  <c r="N69" i="14"/>
  <c r="N68" i="14"/>
  <c r="N71" i="14"/>
  <c r="N72" i="14"/>
  <c r="L68" i="14"/>
  <c r="L71" i="14"/>
  <c r="L72" i="14"/>
  <c r="K69" i="14"/>
  <c r="K70" i="14"/>
  <c r="V68" i="13"/>
  <c r="V69" i="13"/>
  <c r="V71" i="13"/>
  <c r="R68" i="13"/>
  <c r="R69" i="13"/>
  <c r="R71" i="13"/>
  <c r="P70" i="13"/>
  <c r="N68" i="13"/>
  <c r="N69" i="13"/>
  <c r="L70" i="13"/>
  <c r="L71" i="13"/>
  <c r="V68" i="11"/>
  <c r="T68" i="11"/>
  <c r="R68" i="11"/>
  <c r="U72" i="14"/>
  <c r="P69" i="14"/>
  <c r="P71" i="14"/>
  <c r="O68" i="14"/>
  <c r="O71" i="14"/>
  <c r="M69" i="14"/>
  <c r="M70" i="14"/>
  <c r="M71" i="14"/>
  <c r="U68" i="13"/>
  <c r="U69" i="13"/>
  <c r="Q68" i="13"/>
  <c r="Q69" i="13"/>
  <c r="Q71" i="13"/>
  <c r="M68" i="13"/>
  <c r="M69" i="13"/>
  <c r="M71" i="13"/>
  <c r="U70" i="11"/>
  <c r="U71" i="11"/>
  <c r="U72" i="11"/>
  <c r="S70" i="11"/>
  <c r="Q70" i="11"/>
  <c r="Q71" i="11"/>
  <c r="Q72" i="11"/>
  <c r="V68" i="12"/>
  <c r="V69" i="12"/>
  <c r="V71" i="12"/>
  <c r="V72" i="12"/>
  <c r="U68" i="12"/>
  <c r="U69" i="12"/>
  <c r="U71" i="12"/>
  <c r="U72" i="12"/>
  <c r="T68" i="12"/>
  <c r="T69" i="12"/>
  <c r="T71" i="12"/>
  <c r="T72" i="12"/>
  <c r="P69" i="12"/>
  <c r="P71" i="12"/>
  <c r="P72" i="12"/>
  <c r="L69" i="12"/>
  <c r="L71" i="12"/>
  <c r="L72" i="12"/>
  <c r="V72" i="9"/>
  <c r="T72" i="9"/>
  <c r="R72" i="9"/>
  <c r="P72" i="9"/>
  <c r="N72" i="9"/>
  <c r="L72" i="9"/>
  <c r="U71" i="8"/>
  <c r="T73" i="8"/>
  <c r="S70" i="8"/>
  <c r="S71" i="8"/>
  <c r="S72" i="8"/>
  <c r="S73" i="8"/>
  <c r="Q70" i="8"/>
  <c r="Q73" i="8"/>
  <c r="Q74" i="8"/>
  <c r="L72" i="8"/>
  <c r="L71" i="8"/>
  <c r="L73" i="8"/>
  <c r="U68" i="10"/>
  <c r="U69" i="10"/>
  <c r="U70" i="10"/>
  <c r="U71" i="10"/>
  <c r="T69" i="10"/>
  <c r="T70" i="10"/>
  <c r="M70" i="10"/>
  <c r="M71" i="10"/>
  <c r="P70" i="8"/>
  <c r="P71" i="8"/>
  <c r="P72" i="8"/>
  <c r="P73" i="8"/>
  <c r="N72" i="8"/>
  <c r="N73" i="8"/>
  <c r="M70" i="8"/>
  <c r="M71" i="8"/>
  <c r="K70" i="8"/>
  <c r="K71" i="8"/>
  <c r="K73" i="8"/>
  <c r="K74" i="8"/>
  <c r="U68" i="1"/>
  <c r="U70" i="1"/>
  <c r="U71" i="1"/>
  <c r="Q68" i="1"/>
  <c r="Q70" i="1"/>
  <c r="Q71" i="1"/>
  <c r="M68" i="1"/>
  <c r="M70" i="1"/>
  <c r="M71" i="1"/>
  <c r="P71" i="11"/>
  <c r="P72" i="11"/>
  <c r="O71" i="11"/>
  <c r="O72" i="11"/>
  <c r="N71" i="11"/>
  <c r="N72" i="11"/>
  <c r="M71" i="11"/>
  <c r="M72" i="11"/>
  <c r="L71" i="11"/>
  <c r="L72" i="11"/>
  <c r="K71" i="11"/>
  <c r="K72" i="11"/>
  <c r="S69" i="12"/>
  <c r="S71" i="12"/>
  <c r="S72" i="12"/>
  <c r="R69" i="12"/>
  <c r="R71" i="12"/>
  <c r="R72" i="12"/>
  <c r="Q69" i="12"/>
  <c r="Q71" i="12"/>
  <c r="Q72" i="12"/>
  <c r="O69" i="12"/>
  <c r="O71" i="12"/>
  <c r="O72" i="12"/>
  <c r="N69" i="12"/>
  <c r="N71" i="12"/>
  <c r="N72" i="12"/>
  <c r="M69" i="12"/>
  <c r="M71" i="12"/>
  <c r="M72" i="12"/>
  <c r="K69" i="12"/>
  <c r="K71" i="12"/>
  <c r="K72" i="12"/>
  <c r="W72" i="12"/>
  <c r="V74" i="9"/>
  <c r="U72" i="9"/>
  <c r="R74" i="9"/>
  <c r="Q72" i="9"/>
  <c r="P74" i="9"/>
  <c r="O72" i="9"/>
  <c r="O74" i="9"/>
  <c r="O75" i="9"/>
  <c r="N74" i="9"/>
  <c r="M72" i="9"/>
  <c r="M74" i="9"/>
  <c r="V71" i="8"/>
  <c r="U73" i="8"/>
  <c r="O71" i="8"/>
  <c r="O72" i="8"/>
  <c r="V71" i="10"/>
  <c r="V72" i="10"/>
  <c r="S75" i="9"/>
  <c r="K75" i="9"/>
  <c r="T74" i="8"/>
  <c r="R72" i="8"/>
  <c r="R73" i="8"/>
  <c r="N74" i="8"/>
  <c r="M73" i="8"/>
  <c r="M74" i="8"/>
  <c r="L74" i="8"/>
  <c r="S68" i="10"/>
  <c r="S70" i="10"/>
  <c r="S71" i="10"/>
  <c r="Q68" i="10"/>
  <c r="Q70" i="10"/>
  <c r="Q71" i="10"/>
  <c r="Q72" i="10"/>
  <c r="N69" i="10"/>
  <c r="N70" i="10"/>
  <c r="N71" i="10"/>
  <c r="N72" i="10"/>
  <c r="T68" i="10"/>
  <c r="T71" i="10"/>
  <c r="T72" i="10"/>
  <c r="O68" i="10"/>
  <c r="L70" i="10"/>
  <c r="L69" i="10"/>
  <c r="L71" i="10"/>
  <c r="R72" i="10"/>
  <c r="P72" i="10"/>
  <c r="O70" i="10"/>
  <c r="O71" i="10"/>
  <c r="M72" i="10"/>
  <c r="K70" i="10"/>
  <c r="K71" i="10"/>
  <c r="V68" i="1"/>
  <c r="V70" i="1"/>
  <c r="V71" i="1"/>
  <c r="T68" i="1"/>
  <c r="T70" i="1"/>
  <c r="T71" i="1"/>
  <c r="S68" i="1"/>
  <c r="S70" i="1"/>
  <c r="S71" i="1"/>
  <c r="R68" i="1"/>
  <c r="R70" i="1"/>
  <c r="R71" i="1"/>
  <c r="P68" i="1"/>
  <c r="P70" i="1"/>
  <c r="P71" i="1"/>
  <c r="O68" i="1"/>
  <c r="O70" i="1"/>
  <c r="O71" i="1"/>
  <c r="N68" i="1"/>
  <c r="N70" i="1"/>
  <c r="N71" i="1"/>
  <c r="L68" i="1"/>
  <c r="L70" i="1"/>
  <c r="L71" i="1"/>
  <c r="K68" i="1"/>
  <c r="K70" i="1"/>
  <c r="K71" i="1"/>
  <c r="K75" i="17"/>
  <c r="K76" i="17"/>
  <c r="X56" i="19"/>
  <c r="P72" i="14"/>
  <c r="V56" i="18"/>
  <c r="L72" i="13"/>
  <c r="T56" i="18"/>
  <c r="K21" i="18"/>
  <c r="R72" i="14"/>
  <c r="P71" i="13"/>
  <c r="P72" i="13"/>
  <c r="V72" i="14"/>
  <c r="R76" i="17"/>
  <c r="N21" i="18"/>
  <c r="O72" i="14"/>
  <c r="W71" i="1"/>
  <c r="N71" i="13"/>
  <c r="N72" i="13"/>
  <c r="P74" i="18"/>
  <c r="P76" i="17"/>
  <c r="S72" i="10"/>
  <c r="U72" i="10"/>
  <c r="Q74" i="9"/>
  <c r="Q75" i="9"/>
  <c r="U75" i="16"/>
  <c r="U76" i="16"/>
  <c r="K74" i="18"/>
  <c r="W73" i="19"/>
  <c r="W74" i="19"/>
  <c r="U74" i="8"/>
  <c r="R75" i="9"/>
  <c r="V73" i="8"/>
  <c r="V74" i="8"/>
  <c r="M72" i="13"/>
  <c r="V72" i="13"/>
  <c r="R74" i="18"/>
  <c r="K76" i="15"/>
  <c r="K77" i="15"/>
  <c r="M73" i="18"/>
  <c r="M74" i="18"/>
  <c r="U74" i="18"/>
  <c r="T72" i="14"/>
  <c r="L76" i="15"/>
  <c r="L77" i="15"/>
  <c r="L76" i="16"/>
  <c r="M75" i="16"/>
  <c r="M76" i="16"/>
  <c r="N76" i="16"/>
  <c r="O76" i="16"/>
  <c r="R75" i="16"/>
  <c r="R76" i="16"/>
  <c r="S75" i="16"/>
  <c r="S76" i="16"/>
  <c r="T76" i="16"/>
  <c r="V75" i="16"/>
  <c r="V76" i="16"/>
  <c r="W76" i="16"/>
  <c r="N76" i="17"/>
  <c r="O75" i="17"/>
  <c r="O76" i="17"/>
  <c r="R77" i="15"/>
  <c r="O74" i="18"/>
  <c r="U56" i="18"/>
  <c r="K57" i="17"/>
  <c r="K58" i="17"/>
  <c r="K38" i="18"/>
  <c r="T57" i="17"/>
  <c r="T58" i="17"/>
  <c r="O74" i="19"/>
  <c r="K56" i="18"/>
  <c r="P38" i="18"/>
  <c r="L37" i="18"/>
  <c r="L38" i="18"/>
  <c r="R21" i="18"/>
  <c r="Q57" i="17"/>
  <c r="Q58" i="17"/>
  <c r="T37" i="17"/>
  <c r="T38" i="17"/>
  <c r="P38" i="17"/>
  <c r="Q21" i="18"/>
  <c r="R57" i="17"/>
  <c r="R58" i="17"/>
  <c r="W54" i="12"/>
  <c r="S36" i="1"/>
  <c r="S37" i="1"/>
  <c r="Q19" i="9"/>
  <c r="Q20" i="9"/>
  <c r="W20" i="1"/>
  <c r="R37" i="1"/>
  <c r="K39" i="8"/>
  <c r="L72" i="10"/>
  <c r="M75" i="9"/>
  <c r="T74" i="9"/>
  <c r="T75" i="9"/>
  <c r="T71" i="11"/>
  <c r="T72" i="11"/>
  <c r="R74" i="8"/>
  <c r="M72" i="14"/>
  <c r="S76" i="15"/>
  <c r="S77" i="15"/>
  <c r="Q76" i="17"/>
  <c r="M73" i="19"/>
  <c r="M74" i="19"/>
  <c r="Q74" i="19"/>
  <c r="S74" i="19"/>
  <c r="U73" i="19"/>
  <c r="U74" i="19"/>
  <c r="X74" i="19"/>
  <c r="P37" i="19"/>
  <c r="P38" i="19"/>
  <c r="S37" i="18"/>
  <c r="S38" i="18"/>
  <c r="O37" i="17"/>
  <c r="O38" i="17"/>
  <c r="R37" i="16"/>
  <c r="R38" i="16"/>
  <c r="N37" i="16"/>
  <c r="N38" i="16"/>
  <c r="R57" i="15"/>
  <c r="R58" i="15"/>
  <c r="S37" i="16"/>
  <c r="S38" i="16"/>
  <c r="K21" i="16"/>
  <c r="W20" i="12"/>
  <c r="Y72" i="12"/>
  <c r="O72" i="10"/>
  <c r="O73" i="8"/>
  <c r="O74" i="8"/>
  <c r="P74" i="8"/>
  <c r="S74" i="8"/>
  <c r="W74" i="8"/>
  <c r="N75" i="9"/>
  <c r="V75" i="9"/>
  <c r="S71" i="14"/>
  <c r="S72" i="14"/>
  <c r="U74" i="9"/>
  <c r="U75" i="9"/>
  <c r="K72" i="13"/>
  <c r="Q71" i="14"/>
  <c r="Q72" i="14"/>
  <c r="P76" i="15"/>
  <c r="P77" i="15"/>
  <c r="M76" i="17"/>
  <c r="U37" i="19"/>
  <c r="U38" i="19"/>
  <c r="L37" i="17"/>
  <c r="L38" i="17"/>
  <c r="P58" i="16"/>
  <c r="N58" i="16"/>
  <c r="L58" i="16"/>
  <c r="Q58" i="16"/>
  <c r="W58" i="16"/>
  <c r="W37" i="19"/>
  <c r="W38" i="19"/>
  <c r="S37" i="19"/>
  <c r="S38" i="19"/>
  <c r="O37" i="19"/>
  <c r="O38" i="19"/>
  <c r="N38" i="19"/>
  <c r="N38" i="18"/>
  <c r="U58" i="17"/>
  <c r="N38" i="17"/>
  <c r="U38" i="18"/>
  <c r="O37" i="16"/>
  <c r="O38" i="16"/>
  <c r="T58" i="15"/>
  <c r="P58" i="15"/>
  <c r="K19" i="9"/>
  <c r="K20" i="9"/>
  <c r="S19" i="9"/>
  <c r="S20" i="9"/>
  <c r="R20" i="14"/>
  <c r="K72" i="10"/>
  <c r="W72" i="10"/>
  <c r="L74" i="9"/>
  <c r="L75" i="9"/>
  <c r="P75" i="9"/>
  <c r="W75" i="9"/>
  <c r="S71" i="11"/>
  <c r="S72" i="11"/>
  <c r="Q72" i="13"/>
  <c r="U71" i="13"/>
  <c r="U72" i="13"/>
  <c r="R72" i="13"/>
  <c r="K71" i="14"/>
  <c r="K72" i="14"/>
  <c r="R71" i="11"/>
  <c r="R72" i="11"/>
  <c r="V71" i="11"/>
  <c r="V72" i="11"/>
  <c r="L38" i="19"/>
  <c r="K38" i="17"/>
  <c r="R38" i="19"/>
  <c r="Q38" i="18"/>
  <c r="M37" i="18"/>
  <c r="M38" i="18"/>
  <c r="T53" i="13"/>
  <c r="T54" i="13"/>
  <c r="L53" i="13"/>
  <c r="L54" i="13"/>
  <c r="U58" i="15"/>
  <c r="T19" i="10"/>
  <c r="T20" i="10"/>
  <c r="L38" i="16"/>
  <c r="O38" i="15"/>
  <c r="Q36" i="11"/>
  <c r="Q37" i="11"/>
  <c r="K54" i="1"/>
  <c r="W54" i="1"/>
  <c r="M37" i="15"/>
  <c r="M38" i="15"/>
  <c r="N38" i="15"/>
  <c r="U38" i="15"/>
  <c r="W38" i="15"/>
  <c r="T36" i="14"/>
  <c r="T37" i="14"/>
  <c r="Q21" i="15"/>
  <c r="T20" i="15"/>
  <c r="T21" i="15"/>
  <c r="K36" i="1"/>
  <c r="K37" i="1"/>
  <c r="N20" i="13"/>
  <c r="Q20" i="11"/>
  <c r="M20" i="11"/>
  <c r="V20" i="11"/>
  <c r="W20" i="11"/>
  <c r="R54" i="10"/>
  <c r="S54" i="10"/>
  <c r="P37" i="10"/>
  <c r="R37" i="10"/>
  <c r="M37" i="9"/>
  <c r="M39" i="9"/>
  <c r="V37" i="9"/>
  <c r="V39" i="9"/>
  <c r="L20" i="9"/>
  <c r="R37" i="8"/>
  <c r="R39" i="8"/>
  <c r="K21" i="17"/>
  <c r="W21" i="17"/>
  <c r="U20" i="15"/>
  <c r="U21" i="15"/>
  <c r="K36" i="9"/>
  <c r="K37" i="9"/>
  <c r="T36" i="9"/>
  <c r="T37" i="9"/>
  <c r="T39" i="9"/>
  <c r="M57" i="8"/>
  <c r="T36" i="8"/>
  <c r="T37" i="8"/>
  <c r="T39" i="8"/>
  <c r="S20" i="10"/>
  <c r="S37" i="10"/>
  <c r="S36" i="9"/>
  <c r="S37" i="9"/>
  <c r="S39" i="9"/>
  <c r="O36" i="8"/>
  <c r="O37" i="8"/>
  <c r="O39" i="8"/>
  <c r="T36" i="10"/>
  <c r="T37" i="10"/>
  <c r="S37" i="8"/>
  <c r="S39" i="8"/>
  <c r="R20" i="19"/>
  <c r="R21" i="19"/>
  <c r="V20" i="19"/>
  <c r="V21" i="19"/>
  <c r="X21" i="19"/>
  <c r="P19" i="10"/>
  <c r="P20" i="10"/>
  <c r="Q20" i="8"/>
  <c r="O36" i="10"/>
  <c r="O37" i="10"/>
  <c r="U20" i="9"/>
  <c r="V38" i="16"/>
  <c r="M37" i="16"/>
  <c r="M38" i="16"/>
  <c r="P38" i="16"/>
  <c r="L58" i="15"/>
  <c r="K58" i="15"/>
  <c r="M36" i="14"/>
  <c r="M37" i="14"/>
  <c r="V53" i="13"/>
  <c r="V54" i="13"/>
  <c r="R53" i="13"/>
  <c r="R54" i="13"/>
  <c r="P53" i="13"/>
  <c r="P54" i="13"/>
  <c r="N53" i="13"/>
  <c r="N54" i="13"/>
  <c r="N36" i="13"/>
  <c r="N37" i="13"/>
  <c r="U36" i="11"/>
  <c r="U37" i="11"/>
  <c r="P37" i="11"/>
  <c r="Q37" i="16"/>
  <c r="Q38" i="16"/>
  <c r="N58" i="15"/>
  <c r="V54" i="14"/>
  <c r="U54" i="14"/>
  <c r="T54" i="14"/>
  <c r="S54" i="14"/>
  <c r="R54" i="14"/>
  <c r="Q54" i="14"/>
  <c r="P54" i="14"/>
  <c r="O54" i="14"/>
  <c r="N54" i="14"/>
  <c r="M54" i="14"/>
  <c r="L54" i="14"/>
  <c r="K54" i="14"/>
  <c r="V54" i="11"/>
  <c r="U54" i="11"/>
  <c r="T54" i="11"/>
  <c r="S54" i="11"/>
  <c r="R54" i="11"/>
  <c r="Q54" i="11"/>
  <c r="P54" i="11"/>
  <c r="O54" i="11"/>
  <c r="N54" i="11"/>
  <c r="M54" i="11"/>
  <c r="L54" i="11"/>
  <c r="K54" i="11"/>
  <c r="P37" i="12"/>
  <c r="T37" i="1"/>
  <c r="V57" i="8"/>
  <c r="T57" i="8"/>
  <c r="R57" i="8"/>
  <c r="N57" i="8"/>
  <c r="L57" i="8"/>
  <c r="W57" i="8"/>
  <c r="R20" i="10"/>
  <c r="O20" i="9"/>
  <c r="V20" i="9"/>
  <c r="U36" i="8"/>
  <c r="U37" i="8"/>
  <c r="U39" i="8"/>
  <c r="O20" i="8"/>
  <c r="S36" i="13"/>
  <c r="S37" i="13"/>
  <c r="K54" i="10"/>
  <c r="L54" i="10"/>
  <c r="M54" i="10"/>
  <c r="T54" i="10"/>
  <c r="N37" i="12"/>
  <c r="O36" i="1"/>
  <c r="O37" i="1"/>
  <c r="L20" i="8"/>
  <c r="O37" i="9"/>
  <c r="O39" i="9"/>
  <c r="S19" i="8"/>
  <c r="S20" i="8"/>
  <c r="S19" i="14"/>
  <c r="S20" i="14"/>
  <c r="Q37" i="14"/>
  <c r="L37" i="14"/>
  <c r="R37" i="13"/>
  <c r="U38" i="16"/>
  <c r="L20" i="16"/>
  <c r="L21" i="16"/>
  <c r="T36" i="11"/>
  <c r="T37" i="11"/>
  <c r="L36" i="11"/>
  <c r="L37" i="11"/>
  <c r="M37" i="11"/>
  <c r="W37" i="11"/>
  <c r="V20" i="13"/>
  <c r="W20" i="13"/>
  <c r="K19" i="10"/>
  <c r="K20" i="10"/>
  <c r="R37" i="12"/>
  <c r="L36" i="12"/>
  <c r="L37" i="12"/>
  <c r="Q37" i="10"/>
  <c r="R37" i="9"/>
  <c r="R39" i="9"/>
  <c r="T20" i="9"/>
  <c r="V37" i="8"/>
  <c r="V39" i="8"/>
  <c r="O36" i="13"/>
  <c r="O37" i="13"/>
  <c r="P36" i="9"/>
  <c r="P37" i="9"/>
  <c r="P39" i="9"/>
  <c r="N57" i="9"/>
  <c r="L57" i="9"/>
  <c r="W57" i="9"/>
  <c r="S37" i="12"/>
  <c r="K37" i="12"/>
  <c r="K37" i="10"/>
  <c r="N36" i="9"/>
  <c r="N37" i="9"/>
  <c r="N39" i="9"/>
  <c r="M20" i="10"/>
  <c r="U19" i="8"/>
  <c r="U20" i="8"/>
  <c r="M20" i="16"/>
  <c r="M21" i="16"/>
  <c r="P37" i="14"/>
  <c r="V37" i="13"/>
  <c r="K37" i="13"/>
  <c r="V36" i="12"/>
  <c r="V37" i="12"/>
  <c r="O37" i="12"/>
  <c r="O19" i="14"/>
  <c r="O20" i="14"/>
  <c r="N37" i="8"/>
  <c r="N39" i="8"/>
  <c r="N19" i="8"/>
  <c r="N20" i="8"/>
  <c r="W20" i="8"/>
  <c r="T36" i="12"/>
  <c r="T37" i="12"/>
  <c r="U36" i="14"/>
  <c r="U37" i="14"/>
  <c r="M36" i="10"/>
  <c r="M37" i="10"/>
  <c r="K39" i="9"/>
  <c r="W37" i="9"/>
  <c r="X74" i="8"/>
  <c r="F15" i="3"/>
  <c r="Y74" i="8"/>
  <c r="Z74" i="19"/>
  <c r="Y74" i="19"/>
  <c r="F20" i="3"/>
  <c r="W58" i="17"/>
  <c r="W72" i="11"/>
  <c r="W77" i="15"/>
  <c r="W20" i="10"/>
  <c r="W54" i="13"/>
  <c r="X57" i="8"/>
  <c r="C15" i="3"/>
  <c r="Y57" i="8"/>
  <c r="Y37" i="11"/>
  <c r="X37" i="11"/>
  <c r="W37" i="1"/>
  <c r="W21" i="15"/>
  <c r="W20" i="14"/>
  <c r="X38" i="15"/>
  <c r="Y38" i="15"/>
  <c r="W38" i="16"/>
  <c r="W20" i="9"/>
  <c r="Y75" i="9"/>
  <c r="W37" i="14"/>
  <c r="X75" i="9"/>
  <c r="F18" i="3"/>
  <c r="W21" i="16"/>
  <c r="X76" i="16"/>
  <c r="F16" i="3"/>
  <c r="W37" i="10"/>
  <c r="W38" i="17"/>
  <c r="W37" i="12"/>
  <c r="W54" i="10"/>
  <c r="W58" i="15"/>
  <c r="X54" i="1"/>
  <c r="C12" i="3"/>
  <c r="Y54" i="1"/>
  <c r="X54" i="12"/>
  <c r="C11" i="3"/>
  <c r="Y54" i="12"/>
  <c r="W38" i="18"/>
  <c r="Y71" i="1"/>
  <c r="X71" i="1"/>
  <c r="F12" i="3"/>
  <c r="W21" i="18"/>
  <c r="Y56" i="19"/>
  <c r="C20" i="3"/>
  <c r="Z56" i="19"/>
  <c r="X72" i="10"/>
  <c r="F13" i="3"/>
  <c r="Y72" i="10"/>
  <c r="W54" i="11"/>
  <c r="W54" i="14"/>
  <c r="X38" i="19"/>
  <c r="W72" i="13"/>
  <c r="W56" i="18"/>
  <c r="W74" i="18"/>
  <c r="X72" i="12"/>
  <c r="F11" i="3"/>
  <c r="W37" i="13"/>
  <c r="W72" i="14"/>
  <c r="W37" i="8"/>
  <c r="W76" i="17"/>
  <c r="X76" i="17"/>
  <c r="F17" i="3"/>
  <c r="Y76" i="17"/>
  <c r="X54" i="10"/>
  <c r="C13" i="3"/>
  <c r="Y54" i="10"/>
  <c r="X37" i="1"/>
  <c r="Y37" i="1"/>
  <c r="Y76" i="16"/>
  <c r="Y72" i="11"/>
  <c r="X72" i="11"/>
  <c r="F10" i="3"/>
  <c r="Z38" i="19"/>
  <c r="Y38" i="19"/>
  <c r="Y37" i="8"/>
  <c r="X37" i="8"/>
  <c r="X74" i="18"/>
  <c r="F19" i="3"/>
  <c r="Y74" i="18"/>
  <c r="X54" i="14"/>
  <c r="C8" i="3"/>
  <c r="Y54" i="14"/>
  <c r="Y37" i="12"/>
  <c r="X37" i="12"/>
  <c r="Y38" i="16"/>
  <c r="X38" i="16"/>
  <c r="Y58" i="16"/>
  <c r="Y57" i="9"/>
  <c r="Y58" i="17"/>
  <c r="X58" i="17"/>
  <c r="C17" i="3"/>
  <c r="X56" i="18"/>
  <c r="C19" i="3"/>
  <c r="Y56" i="18"/>
  <c r="X54" i="11"/>
  <c r="C10" i="3"/>
  <c r="Y54" i="11"/>
  <c r="X38" i="18"/>
  <c r="Y38" i="18"/>
  <c r="X38" i="17"/>
  <c r="Y38" i="17"/>
  <c r="X37" i="14"/>
  <c r="Y37" i="14"/>
  <c r="X58" i="16"/>
  <c r="C16" i="3"/>
  <c r="X57" i="9"/>
  <c r="C18" i="3"/>
  <c r="Y37" i="9"/>
  <c r="X37" i="9"/>
  <c r="Y72" i="14"/>
  <c r="X72" i="14"/>
  <c r="F8" i="3"/>
  <c r="Y37" i="13"/>
  <c r="X37" i="13"/>
  <c r="X72" i="13"/>
  <c r="F9" i="3"/>
  <c r="Y72" i="13"/>
  <c r="X58" i="15"/>
  <c r="C14" i="3"/>
  <c r="Y58" i="15"/>
  <c r="Y37" i="10"/>
  <c r="X37" i="10"/>
  <c r="X54" i="13"/>
  <c r="C9" i="3"/>
  <c r="Y54" i="13"/>
  <c r="Y77" i="15"/>
  <c r="X77" i="15"/>
  <c r="F14" i="3"/>
</calcChain>
</file>

<file path=xl/sharedStrings.xml><?xml version="1.0" encoding="utf-8"?>
<sst xmlns="http://schemas.openxmlformats.org/spreadsheetml/2006/main" count="1949" uniqueCount="166">
  <si>
    <t>Bill</t>
  </si>
  <si>
    <t>Average</t>
  </si>
  <si>
    <t>Monthly</t>
  </si>
  <si>
    <t>Usage</t>
  </si>
  <si>
    <t>(kWh)</t>
  </si>
  <si>
    <t>Current</t>
  </si>
  <si>
    <t>Alternate</t>
  </si>
  <si>
    <t>Rate</t>
  </si>
  <si>
    <t>Plan</t>
  </si>
  <si>
    <t>Proposed</t>
  </si>
  <si>
    <t>Impact</t>
  </si>
  <si>
    <t>Low</t>
  </si>
  <si>
    <t>Typical</t>
  </si>
  <si>
    <t>High</t>
  </si>
  <si>
    <t># Customers</t>
  </si>
  <si>
    <t>https://www.yorkelectric.net/download/residential-service-rate-code-2/</t>
  </si>
  <si>
    <t>0.74 per day</t>
  </si>
  <si>
    <t>York Electric Coop Inc</t>
  </si>
  <si>
    <t>Tri-County Electric Coop, Inc</t>
  </si>
  <si>
    <t>http://www.santee.org/about-santee-electric/rate-schedules/residential.aspx</t>
  </si>
  <si>
    <t>Santee Electric Coop, Inc</t>
  </si>
  <si>
    <t>Pee Dee Electric Coop, Inc</t>
  </si>
  <si>
    <t>https://www.palmetto.coop/rate-card/</t>
  </si>
  <si>
    <t>Palmetto Electric Coop Inc</t>
  </si>
  <si>
    <t>Newberry Electric Coop, Inc</t>
  </si>
  <si>
    <t>http://www.mcecoop.com/content/rate-structure</t>
  </si>
  <si>
    <t>0.95 per day</t>
  </si>
  <si>
    <t>Mid-Carolina Electric Coop Inc</t>
  </si>
  <si>
    <t>Marlboro Electric Coop, Inc</t>
  </si>
  <si>
    <t>Lynches River Elec Coop, Inc</t>
  </si>
  <si>
    <t>https://www.lreci.coop/content/rates-schedule</t>
  </si>
  <si>
    <t>Little River Electric Coop Inc</t>
  </si>
  <si>
    <t>Laurens Electric Coop, Inc</t>
  </si>
  <si>
    <t>Horry Electric Coop Inc</t>
  </si>
  <si>
    <t>https://www.haywoodemc.com/rate-schedules</t>
  </si>
  <si>
    <t>Haywood Electric Member Corp</t>
  </si>
  <si>
    <t>Fairfield Electric Coop, Inc</t>
  </si>
  <si>
    <t>Edisto Electric Coop, Inc</t>
  </si>
  <si>
    <t>Coastal Electric Coop, Inc</t>
  </si>
  <si>
    <t>https://www.broadriverelectric.com/residential/rates/</t>
  </si>
  <si>
    <t>Broad River Electric Coop, Inc</t>
  </si>
  <si>
    <t>Blue Ridge Electric Coop Inc - (SC)</t>
  </si>
  <si>
    <t>http://blackriver.coop/wp-content/uploads/2015/06/Rate_increase_Aug2013_web_detail-1.pdf</t>
  </si>
  <si>
    <t>Black River Electric Coop, Inc - (SC)</t>
  </si>
  <si>
    <t>https://www.berkeleyelectric.coop/content/residential-rate-summary-0</t>
  </si>
  <si>
    <t>0.99 per day</t>
  </si>
  <si>
    <t>Berkeley Electric Coop Inc</t>
  </si>
  <si>
    <t>http://www.aikenco-op.org/RetailRates/scheduleA.html</t>
  </si>
  <si>
    <t>0.90 per day</t>
  </si>
  <si>
    <t>Aiken Electric Coop Inc</t>
  </si>
  <si>
    <t xml:space="preserve">Reference </t>
  </si>
  <si>
    <t>Monthly Residential Fixed Charge</t>
  </si>
  <si>
    <t>Utility</t>
  </si>
  <si>
    <t>Actual Stated Rate</t>
  </si>
  <si>
    <t>Personal Communication</t>
  </si>
  <si>
    <t>Left VM</t>
  </si>
  <si>
    <t>Left VM w/ John Powell</t>
  </si>
  <si>
    <t>Left VM w/ Ext. Box 233</t>
  </si>
  <si>
    <t>Does not have a fixed charge? Stated that bill was entirely based on customer's usage?? $12.50 from OpenEI</t>
  </si>
  <si>
    <t>Total</t>
  </si>
  <si>
    <t>Low Inc</t>
  </si>
  <si>
    <t>LIHEAP</t>
  </si>
  <si>
    <t>Meters</t>
  </si>
  <si>
    <t>Services</t>
  </si>
  <si>
    <t>Depreciation Reserve</t>
  </si>
  <si>
    <t>Net Plant</t>
  </si>
  <si>
    <t>O&amp;M Expenses</t>
  </si>
  <si>
    <t>Meter Operations</t>
  </si>
  <si>
    <t>Customer Installations</t>
  </si>
  <si>
    <t>Meter Maintenance</t>
  </si>
  <si>
    <t>Meter Reading</t>
  </si>
  <si>
    <t>Customer Accounts &amp; Collections</t>
  </si>
  <si>
    <t>Depreciation Expense</t>
  </si>
  <si>
    <t>Total Expenses</t>
  </si>
  <si>
    <t>Effective Tax Rate</t>
  </si>
  <si>
    <t>WACC</t>
  </si>
  <si>
    <t>Income Taxes</t>
  </si>
  <si>
    <t>GPC Return on Net Plant</t>
  </si>
  <si>
    <t>Uncollectables</t>
  </si>
  <si>
    <t>Total Revenue Requirement</t>
  </si>
  <si>
    <t># Annual Bills</t>
  </si>
  <si>
    <t>Monthly Customer Cost</t>
  </si>
  <si>
    <t>TOTAL DEPRECIATION EXPENSE</t>
  </si>
  <si>
    <t>TOTAL O&amp;M EXPENSES</t>
  </si>
  <si>
    <t>Gross Plant</t>
  </si>
  <si>
    <t>Schedule R/RM</t>
  </si>
  <si>
    <t>With 6.9% Adder</t>
  </si>
  <si>
    <t>Fixed Charge Inc</t>
  </si>
  <si>
    <t>Retail Sales</t>
  </si>
  <si>
    <t>Rate Reduction</t>
  </si>
  <si>
    <t>Current Eff Fixed</t>
  </si>
  <si>
    <t>1000 kWh</t>
  </si>
  <si>
    <t>Customer Bill</t>
  </si>
  <si>
    <t>Volumetric Bill</t>
  </si>
  <si>
    <t>Consumption</t>
  </si>
  <si>
    <t xml:space="preserve">Avg. Rate </t>
  </si>
  <si>
    <t>Alt. Avg. Rate</t>
  </si>
  <si>
    <t>% Reduction</t>
  </si>
  <si>
    <t>Elasticity</t>
  </si>
  <si>
    <t>Fixed Revenue Increase</t>
  </si>
  <si>
    <t>Sales Inc. (%)</t>
  </si>
  <si>
    <t>Sales Increase (MWh)</t>
  </si>
  <si>
    <t>Month Consumption</t>
  </si>
  <si>
    <t>Customer Monthly Bill</t>
  </si>
  <si>
    <t>2018 Savings (MWh)</t>
  </si>
  <si>
    <t>2018 Target (MWh)</t>
  </si>
  <si>
    <t xml:space="preserve">Georgia Power. Certified Demand-Side Management Program, Fourth Quarter 2018 Programs Status Report, Dkt. 40162, at 7 (Feb. 15, 2019), available at http://www.psc.state.ga.us/factsv2/Document.aspx?documentNumber=175745. </t>
  </si>
  <si>
    <t>Nominal Charge Increase</t>
  </si>
  <si>
    <t>Effective Charge Increase</t>
  </si>
  <si>
    <t>Customer Type</t>
  </si>
  <si>
    <t>Monthly Use (kWh)</t>
  </si>
  <si>
    <t>% Bill Inc.</t>
  </si>
  <si>
    <t>FCR-24</t>
  </si>
  <si>
    <t>DSM-R-8 (per LTL-4)</t>
  </si>
  <si>
    <t>ECCR-7 (per LTL-4)</t>
  </si>
  <si>
    <t>NCCR-8</t>
  </si>
  <si>
    <t>MFF-6*</t>
  </si>
  <si>
    <t>Current  Rates</t>
  </si>
  <si>
    <t>Fixed Charge</t>
  </si>
  <si>
    <t>Winter First 650 kWh</t>
  </si>
  <si>
    <t>Winter Next 350 kWh</t>
  </si>
  <si>
    <t>Winter Over 1,000 kWh</t>
  </si>
  <si>
    <t>Summer First 650 kWh</t>
  </si>
  <si>
    <t>Summer Next 350 kWh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</si>
  <si>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</si>
  <si>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</si>
  <si>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</si>
  <si>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</si>
  <si>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</si>
  <si>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</si>
  <si>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</si>
  <si>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</si>
  <si>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</si>
  <si>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</si>
  <si>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</si>
  <si>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</si>
  <si>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</t>
  </si>
  <si>
    <t>ARP Year 1  Rates</t>
  </si>
  <si>
    <t>Test Year  Rates</t>
  </si>
  <si>
    <t>Reference Monthly</t>
  </si>
  <si>
    <t>500 kWh Monthly</t>
  </si>
  <si>
    <t>Avg. Month Usage (kWh)</t>
  </si>
  <si>
    <t>Bill Impact (%)</t>
  </si>
  <si>
    <t xml:space="preserve">Table 5 </t>
  </si>
  <si>
    <t>DSM-R-7</t>
  </si>
  <si>
    <t>ECCR-6</t>
  </si>
  <si>
    <t>MFF</t>
  </si>
  <si>
    <t>DSM</t>
  </si>
  <si>
    <t>ECCR</t>
  </si>
  <si>
    <t>Grossed Up BSC</t>
  </si>
  <si>
    <t>Total Current Riders</t>
  </si>
  <si>
    <t>Test Year $10 Fixed Charge</t>
  </si>
  <si>
    <t>Rev. Neutral Vol. Rate</t>
  </si>
  <si>
    <t xml:space="preserve">Adjusted </t>
  </si>
  <si>
    <t xml:space="preserve">Test Year $10 Fixed Charge </t>
  </si>
  <si>
    <t>$10 Fixed Charge</t>
  </si>
  <si>
    <t>Summer Over 1,000 kWh</t>
  </si>
  <si>
    <t>Reference Profile</t>
  </si>
  <si>
    <t>Low Use</t>
  </si>
  <si>
    <t>Average Use</t>
  </si>
  <si>
    <t>kWh Monthly</t>
  </si>
  <si>
    <t xml:space="preserve"> kWh Monthly</t>
  </si>
  <si>
    <t>High Use</t>
  </si>
  <si>
    <t>ARP Y1 ECCR Adder</t>
  </si>
  <si>
    <t>Test Period ECCR Adder</t>
  </si>
  <si>
    <t>Total Test Period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</si>
</sst>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&quot;$&quot;#,##0.00000"/>
    <numFmt numFmtId="168" formatCode="&quot;$&quot;#,##0.000000"/>
    <numFmt numFmtId="169" formatCode="0.00000%"/>
    <numFmt numFmtId="170" formatCode="0.000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8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164" fontId="0" fillId="0" borderId="0" xfId="0" applyNumberFormat="1"/>
    <xf numFmtId="0" fontId="3" fillId="0" borderId="0" xfId="0" applyFont="1"/>
    <xf numFmtId="0" fontId="0" fillId="0" borderId="0" xfId="0" applyFont="1"/>
    <xf numFmtId="165" fontId="0" fillId="0" borderId="0" xfId="0" applyNumberFormat="1"/>
    <xf numFmtId="42" fontId="0" fillId="0" borderId="0" xfId="0" applyNumberFormat="1"/>
    <xf numFmtId="167" fontId="0" fillId="0" borderId="0" xfId="0" applyNumberFormat="1"/>
    <xf numFmtId="166" fontId="7" fillId="0" borderId="0" xfId="25" applyNumberFormat="1" applyFont="1" applyFill="1" applyProtection="1">
      <protection locked="0"/>
    </xf>
    <xf numFmtId="41" fontId="0" fillId="0" borderId="0" xfId="0" applyNumberFormat="1"/>
    <xf numFmtId="0" fontId="5" fillId="0" borderId="0" xfId="32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vertical="center"/>
    </xf>
    <xf numFmtId="168" fontId="0" fillId="0" borderId="4" xfId="0" applyNumberFormat="1" applyBorder="1" applyAlignment="1">
      <alignment horizontal="center" vertical="center"/>
    </xf>
    <xf numFmtId="169" fontId="0" fillId="0" borderId="5" xfId="0" applyNumberFormat="1" applyBorder="1" applyAlignment="1">
      <alignment vertical="center"/>
    </xf>
    <xf numFmtId="170" fontId="0" fillId="0" borderId="4" xfId="34" applyNumberFormat="1" applyFont="1" applyBorder="1" applyAlignment="1">
      <alignment horizontal="center" vertical="center"/>
    </xf>
    <xf numFmtId="170" fontId="0" fillId="0" borderId="5" xfId="34" applyNumberFormat="1" applyFont="1" applyBorder="1" applyAlignment="1">
      <alignment vertic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/>
    <xf numFmtId="170" fontId="0" fillId="0" borderId="5" xfId="0" applyNumberFormat="1" applyBorder="1" applyAlignment="1">
      <alignment vertical="center"/>
    </xf>
    <xf numFmtId="164" fontId="0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Fill="1"/>
    <xf numFmtId="44" fontId="0" fillId="0" borderId="0" xfId="0" applyNumberFormat="1"/>
    <xf numFmtId="170" fontId="0" fillId="0" borderId="0" xfId="0" applyNumberFormat="1"/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wrapText="1"/>
    </xf>
    <xf numFmtId="10" fontId="0" fillId="0" borderId="5" xfId="0" applyNumberFormat="1" applyBorder="1" applyAlignment="1">
      <alignment horizontal="center" wrapText="1"/>
    </xf>
    <xf numFmtId="10" fontId="0" fillId="0" borderId="8" xfId="0" applyNumberFormat="1" applyBorder="1" applyAlignment="1">
      <alignment horizontal="center" wrapText="1"/>
    </xf>
    <xf numFmtId="10" fontId="0" fillId="0" borderId="11" xfId="0" applyNumberFormat="1" applyFont="1" applyBorder="1" applyAlignment="1">
      <alignment horizontal="center" wrapText="1"/>
    </xf>
    <xf numFmtId="170" fontId="0" fillId="0" borderId="0" xfId="34" applyNumberFormat="1" applyFont="1" applyFill="1" applyBorder="1" applyAlignment="1">
      <alignment horizontal="center" vertical="center"/>
    </xf>
    <xf numFmtId="169" fontId="0" fillId="0" borderId="0" xfId="0" applyNumberFormat="1"/>
    <xf numFmtId="164" fontId="0" fillId="0" borderId="4" xfId="0" applyNumberFormat="1" applyBorder="1" applyAlignment="1">
      <alignment horizontal="left"/>
    </xf>
    <xf numFmtId="168" fontId="0" fillId="0" borderId="5" xfId="0" applyNumberForma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2" fontId="3" fillId="0" borderId="0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 vertical="center"/>
    </xf>
  </cellXfs>
  <cellStyles count="179">
    <cellStyle name="Comma" xfId="25" builtinId="3"/>
    <cellStyle name="Currency 2 2" xfId="51" xr:uid="{00000000-0005-0000-0000-000001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/>
    <cellStyle name="Normal" xfId="0" builtinId="0"/>
    <cellStyle name="Percent" xfId="3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sc.state.ga.us/factsv2/Document.aspx?documentNumber=175745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sc.state.ga.us/factsv2/Document.aspx?documentNumber=175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9"/>
  <sheetViews>
    <sheetView topLeftCell="E1" workbookViewId="0">
      <selection activeCell="F68" sqref="F68"/>
    </sheetView>
  </sheetViews>
  <sheetFormatPr defaultColWidth="11" defaultRowHeight="15.75" x14ac:dyDescent="0.25"/>
  <cols>
    <col min="1" max="1" width="14.875" customWidth="1"/>
    <col min="2" max="2" width="18.375" customWidth="1"/>
    <col min="3" max="3" width="17.375" customWidth="1"/>
    <col min="4" max="4" width="21.5" customWidth="1"/>
    <col min="5" max="5" width="16.625" customWidth="1"/>
    <col min="9" max="9" width="22.875" customWidth="1"/>
    <col min="11" max="11" width="16.5" customWidth="1"/>
  </cols>
  <sheetData>
    <row r="1" spans="1:24" x14ac:dyDescent="0.25">
      <c r="K1" s="61" t="s">
        <v>157</v>
      </c>
      <c r="L1" s="62" t="s">
        <v>162</v>
      </c>
    </row>
    <row r="2" spans="1:24" x14ac:dyDescent="0.25">
      <c r="K2" s="12" t="s">
        <v>139</v>
      </c>
      <c r="L2" s="39">
        <v>1394.0654356041343</v>
      </c>
      <c r="M2" s="40">
        <v>1410.4533202632863</v>
      </c>
      <c r="N2" s="40">
        <v>1702.1438344441153</v>
      </c>
      <c r="O2" s="40">
        <v>1832.1838630115997</v>
      </c>
      <c r="P2" s="40">
        <v>1490.426203749834</v>
      </c>
      <c r="Q2" s="40">
        <v>1418.3403290732858</v>
      </c>
      <c r="R2" s="40">
        <v>1399.3870188079236</v>
      </c>
      <c r="S2" s="40">
        <v>1853.110967795159</v>
      </c>
      <c r="T2" s="40">
        <v>2411.4689778696211</v>
      </c>
      <c r="U2" s="40">
        <v>2686.5222603297152</v>
      </c>
      <c r="V2" s="40">
        <v>2530.6988352112639</v>
      </c>
      <c r="W2" s="40">
        <v>1912.9185575978295</v>
      </c>
      <c r="X2" s="40">
        <f>SUM(L2:W2)</f>
        <v>22041.719603757767</v>
      </c>
    </row>
    <row r="3" spans="1:24" x14ac:dyDescent="0.25">
      <c r="A3" t="s">
        <v>1</v>
      </c>
      <c r="B3" t="s">
        <v>2</v>
      </c>
      <c r="K3" s="12" t="s">
        <v>160</v>
      </c>
      <c r="L3" s="39">
        <f>L2*($X3/$X2)</f>
        <v>1897.4001947195645</v>
      </c>
      <c r="M3" s="39">
        <f t="shared" ref="M3:W3" si="0">M2*($X3/$X2)</f>
        <v>1919.7050125202022</v>
      </c>
      <c r="N3" s="39">
        <f t="shared" si="0"/>
        <v>2316.7119422305777</v>
      </c>
      <c r="O3" s="39">
        <f t="shared" si="0"/>
        <v>2493.7036165262366</v>
      </c>
      <c r="P3" s="39">
        <f t="shared" si="0"/>
        <v>2028.55253202986</v>
      </c>
      <c r="Q3" s="39">
        <f t="shared" si="0"/>
        <v>1930.4396679170363</v>
      </c>
      <c r="R3" s="39">
        <f t="shared" si="0"/>
        <v>1904.6431639154189</v>
      </c>
      <c r="S3" s="39">
        <f t="shared" si="0"/>
        <v>2522.1865640817327</v>
      </c>
      <c r="T3" s="39">
        <f t="shared" si="0"/>
        <v>3282.1427110321783</v>
      </c>
      <c r="U3" s="39">
        <f t="shared" si="0"/>
        <v>3656.505447794153</v>
      </c>
      <c r="V3" s="39">
        <f t="shared" si="0"/>
        <v>3444.4211441377101</v>
      </c>
      <c r="W3" s="39">
        <f t="shared" si="0"/>
        <v>2603.5880030953304</v>
      </c>
      <c r="X3">
        <f>2500*12</f>
        <v>30000</v>
      </c>
    </row>
    <row r="4" spans="1:24" x14ac:dyDescent="0.25">
      <c r="A4" t="s">
        <v>3</v>
      </c>
      <c r="B4" t="s">
        <v>4</v>
      </c>
    </row>
    <row r="5" spans="1:24" x14ac:dyDescent="0.25">
      <c r="A5" t="s">
        <v>5</v>
      </c>
      <c r="B5" t="s">
        <v>1</v>
      </c>
      <c r="C5" t="s">
        <v>2</v>
      </c>
    </row>
    <row r="6" spans="1:24" x14ac:dyDescent="0.25">
      <c r="A6" t="s">
        <v>0</v>
      </c>
      <c r="K6" s="12" t="s">
        <v>3</v>
      </c>
      <c r="L6" s="39">
        <v>1897.4001947195645</v>
      </c>
      <c r="M6" s="40">
        <v>1919.7050125202022</v>
      </c>
      <c r="N6" s="40">
        <v>2316.7119422305777</v>
      </c>
      <c r="O6" s="40">
        <v>2493.7036165262366</v>
      </c>
      <c r="P6" s="40">
        <v>2028.55253202986</v>
      </c>
      <c r="Q6" s="40">
        <v>1930.4396679170363</v>
      </c>
      <c r="R6" s="40">
        <v>1904.6431639154189</v>
      </c>
      <c r="S6" s="40">
        <v>2522.1865640817327</v>
      </c>
      <c r="T6" s="40">
        <v>3282.1427110321783</v>
      </c>
      <c r="U6" s="40">
        <v>3656.505447794153</v>
      </c>
      <c r="V6" s="40">
        <v>3444.4211441377101</v>
      </c>
      <c r="W6" s="40">
        <v>2603.5880030953304</v>
      </c>
      <c r="X6" s="40">
        <f>SUM(L6:W6)</f>
        <v>30000.000000000004</v>
      </c>
    </row>
    <row r="7" spans="1:24" ht="16.5" thickBot="1" x14ac:dyDescent="0.3">
      <c r="A7" t="s">
        <v>6</v>
      </c>
      <c r="B7" t="s">
        <v>7</v>
      </c>
      <c r="C7" t="s">
        <v>8</v>
      </c>
      <c r="I7" s="63" t="s">
        <v>117</v>
      </c>
      <c r="J7" s="63"/>
      <c r="K7" s="12" t="s">
        <v>136</v>
      </c>
      <c r="L7" s="37" t="s">
        <v>124</v>
      </c>
      <c r="M7" s="37" t="s">
        <v>125</v>
      </c>
      <c r="N7" s="37" t="s">
        <v>126</v>
      </c>
      <c r="O7" s="37" t="s">
        <v>127</v>
      </c>
      <c r="P7" s="37" t="s">
        <v>128</v>
      </c>
      <c r="Q7" s="37" t="s">
        <v>129</v>
      </c>
      <c r="R7" s="37" t="s">
        <v>130</v>
      </c>
      <c r="S7" s="37" t="s">
        <v>131</v>
      </c>
      <c r="T7" s="37" t="s">
        <v>132</v>
      </c>
      <c r="U7" s="37" t="s">
        <v>133</v>
      </c>
      <c r="V7" s="37" t="s">
        <v>134</v>
      </c>
      <c r="W7" s="37" t="s">
        <v>135</v>
      </c>
    </row>
    <row r="8" spans="1:24" x14ac:dyDescent="0.25">
      <c r="A8" t="s">
        <v>9</v>
      </c>
      <c r="B8" t="s">
        <v>1</v>
      </c>
      <c r="I8" s="32" t="s">
        <v>118</v>
      </c>
      <c r="J8" s="33">
        <v>10</v>
      </c>
      <c r="L8" s="11">
        <f>$J8</f>
        <v>10</v>
      </c>
      <c r="M8" s="11">
        <f t="shared" ref="M8:W8" si="1">$J8</f>
        <v>10</v>
      </c>
      <c r="N8" s="11">
        <f t="shared" si="1"/>
        <v>10</v>
      </c>
      <c r="O8" s="11">
        <f t="shared" si="1"/>
        <v>10</v>
      </c>
      <c r="P8" s="11">
        <f t="shared" si="1"/>
        <v>10</v>
      </c>
      <c r="Q8" s="11">
        <f t="shared" si="1"/>
        <v>10</v>
      </c>
      <c r="R8" s="11">
        <f t="shared" si="1"/>
        <v>10</v>
      </c>
      <c r="S8" s="11">
        <f t="shared" si="1"/>
        <v>10</v>
      </c>
      <c r="T8" s="11">
        <f t="shared" si="1"/>
        <v>10</v>
      </c>
      <c r="U8" s="11">
        <f t="shared" si="1"/>
        <v>10</v>
      </c>
      <c r="V8" s="11">
        <f t="shared" si="1"/>
        <v>10</v>
      </c>
      <c r="W8" s="11">
        <f t="shared" si="1"/>
        <v>10</v>
      </c>
    </row>
    <row r="9" spans="1:24" x14ac:dyDescent="0.25">
      <c r="A9" t="s">
        <v>2</v>
      </c>
      <c r="B9" t="s">
        <v>0</v>
      </c>
      <c r="I9" s="26" t="s">
        <v>119</v>
      </c>
      <c r="J9" s="27">
        <v>5.6582E-2</v>
      </c>
      <c r="L9" s="11">
        <f>650*$J9</f>
        <v>36.778300000000002</v>
      </c>
      <c r="M9" s="11">
        <f t="shared" ref="M9:S9" si="2">650*$J9</f>
        <v>36.778300000000002</v>
      </c>
      <c r="N9" s="11">
        <f t="shared" si="2"/>
        <v>36.778300000000002</v>
      </c>
      <c r="O9" s="11">
        <f t="shared" si="2"/>
        <v>36.778300000000002</v>
      </c>
      <c r="P9" s="11">
        <f t="shared" si="2"/>
        <v>36.778300000000002</v>
      </c>
      <c r="Q9" s="11">
        <f t="shared" si="2"/>
        <v>36.778300000000002</v>
      </c>
      <c r="R9" s="11">
        <f t="shared" si="2"/>
        <v>36.778300000000002</v>
      </c>
      <c r="S9" s="11">
        <f t="shared" si="2"/>
        <v>36.778300000000002</v>
      </c>
      <c r="T9" s="11">
        <v>0</v>
      </c>
      <c r="U9" s="11">
        <v>0</v>
      </c>
      <c r="V9" s="11">
        <v>0</v>
      </c>
      <c r="W9" s="11">
        <v>0</v>
      </c>
    </row>
    <row r="10" spans="1:24" x14ac:dyDescent="0.25">
      <c r="A10" t="s">
        <v>1</v>
      </c>
      <c r="B10" t="s">
        <v>2</v>
      </c>
      <c r="I10" s="26" t="s">
        <v>120</v>
      </c>
      <c r="J10" s="27">
        <v>4.8533E-2</v>
      </c>
      <c r="L10" s="11">
        <f>350*$J10</f>
        <v>16.986550000000001</v>
      </c>
      <c r="M10" s="11">
        <f t="shared" ref="M10:S10" si="3">350*$J10</f>
        <v>16.986550000000001</v>
      </c>
      <c r="N10" s="11">
        <f t="shared" si="3"/>
        <v>16.986550000000001</v>
      </c>
      <c r="O10" s="11">
        <f t="shared" si="3"/>
        <v>16.986550000000001</v>
      </c>
      <c r="P10" s="11">
        <f t="shared" si="3"/>
        <v>16.986550000000001</v>
      </c>
      <c r="Q10" s="11">
        <f t="shared" si="3"/>
        <v>16.986550000000001</v>
      </c>
      <c r="R10" s="11">
        <f t="shared" si="3"/>
        <v>16.986550000000001</v>
      </c>
      <c r="S10" s="11">
        <f t="shared" si="3"/>
        <v>16.986550000000001</v>
      </c>
      <c r="T10" s="11">
        <v>0</v>
      </c>
      <c r="U10" s="11">
        <v>0</v>
      </c>
      <c r="V10" s="11">
        <v>0</v>
      </c>
      <c r="W10" s="11">
        <v>0</v>
      </c>
    </row>
    <row r="11" spans="1:24" x14ac:dyDescent="0.25">
      <c r="A11" t="s">
        <v>0</v>
      </c>
      <c r="B11" t="s">
        <v>10</v>
      </c>
      <c r="I11" s="35" t="s">
        <v>121</v>
      </c>
      <c r="J11" s="27">
        <v>4.7641000000000003E-2</v>
      </c>
      <c r="L11" s="11">
        <f t="shared" ref="L11:S11" si="4">(L6-1000)*$J11</f>
        <v>42.753042676634777</v>
      </c>
      <c r="M11" s="11">
        <f t="shared" si="4"/>
        <v>43.815666501474958</v>
      </c>
      <c r="N11" s="11">
        <f>(N6-1000)*$J11</f>
        <v>62.729473639806955</v>
      </c>
      <c r="O11" s="11">
        <f t="shared" si="4"/>
        <v>71.161533994926444</v>
      </c>
      <c r="P11" s="11">
        <f t="shared" si="4"/>
        <v>49.001271178434564</v>
      </c>
      <c r="Q11" s="11">
        <f t="shared" si="4"/>
        <v>44.327076219235529</v>
      </c>
      <c r="R11" s="11">
        <f t="shared" si="4"/>
        <v>43.098104972094475</v>
      </c>
      <c r="S11" s="11">
        <f t="shared" si="4"/>
        <v>72.518490099417832</v>
      </c>
      <c r="T11" s="11">
        <v>0</v>
      </c>
      <c r="U11" s="11">
        <v>0</v>
      </c>
      <c r="V11" s="11">
        <v>0</v>
      </c>
      <c r="W11" s="11">
        <v>0</v>
      </c>
    </row>
    <row r="12" spans="1:24" x14ac:dyDescent="0.25">
      <c r="I12" s="26" t="s">
        <v>122</v>
      </c>
      <c r="J12" s="27">
        <v>5.6582E-2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f>650*$J12</f>
        <v>36.778300000000002</v>
      </c>
      <c r="U12" s="11">
        <f t="shared" ref="U12:W12" si="5">650*$J12</f>
        <v>36.778300000000002</v>
      </c>
      <c r="V12" s="11">
        <f t="shared" si="5"/>
        <v>36.778300000000002</v>
      </c>
      <c r="W12" s="11">
        <f t="shared" si="5"/>
        <v>36.778300000000002</v>
      </c>
    </row>
    <row r="13" spans="1:24" x14ac:dyDescent="0.25">
      <c r="A13" s="21" t="s">
        <v>109</v>
      </c>
      <c r="B13" s="21" t="s">
        <v>110</v>
      </c>
      <c r="C13" s="22"/>
      <c r="D13" s="22"/>
      <c r="E13" s="22"/>
      <c r="F13" s="21" t="s">
        <v>111</v>
      </c>
      <c r="G13" s="59"/>
      <c r="I13" s="26" t="s">
        <v>123</v>
      </c>
      <c r="J13" s="27">
        <v>9.3982999999999997E-2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f>350*$J13</f>
        <v>32.89405</v>
      </c>
      <c r="U13" s="11">
        <f t="shared" ref="U13:W13" si="6">350*$J13</f>
        <v>32.89405</v>
      </c>
      <c r="V13" s="11">
        <f t="shared" si="6"/>
        <v>32.89405</v>
      </c>
      <c r="W13" s="11">
        <f t="shared" si="6"/>
        <v>32.89405</v>
      </c>
    </row>
    <row r="14" spans="1:24" x14ac:dyDescent="0.25">
      <c r="A14" s="22" t="s">
        <v>11</v>
      </c>
      <c r="B14" s="22">
        <v>673</v>
      </c>
      <c r="C14" s="23">
        <v>83.88</v>
      </c>
      <c r="D14" s="23">
        <v>92.33</v>
      </c>
      <c r="E14" s="23">
        <v>8.4499999999999993</v>
      </c>
      <c r="F14" s="24">
        <f>D14/C14-1</f>
        <v>0.10073915116833576</v>
      </c>
      <c r="G14" s="60"/>
      <c r="I14" s="35" t="s">
        <v>156</v>
      </c>
      <c r="J14" s="27">
        <v>9.7272999999999998E-2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f>(T6-1000)*$J14</f>
        <v>221.99086793023309</v>
      </c>
      <c r="U14" s="11">
        <f t="shared" ref="U14:W14" si="7">(U6-1000)*$J14</f>
        <v>258.40625442328064</v>
      </c>
      <c r="V14" s="11">
        <f t="shared" si="7"/>
        <v>237.77617795370747</v>
      </c>
      <c r="W14" s="11">
        <f t="shared" si="7"/>
        <v>155.98581582509206</v>
      </c>
    </row>
    <row r="15" spans="1:24" x14ac:dyDescent="0.25">
      <c r="A15" s="22" t="s">
        <v>12</v>
      </c>
      <c r="B15" s="25">
        <v>1000</v>
      </c>
      <c r="C15" s="23">
        <v>123.31</v>
      </c>
      <c r="D15" s="23">
        <v>133.09</v>
      </c>
      <c r="E15" s="23">
        <v>9.7799999999999994</v>
      </c>
      <c r="F15" s="24">
        <f t="shared" ref="F15:F16" si="8">D15/C15-1</f>
        <v>7.9312302327467332E-2</v>
      </c>
      <c r="G15" s="60"/>
      <c r="I15" s="64" t="s">
        <v>112</v>
      </c>
      <c r="J15" s="27">
        <v>3.1718000000000003E-2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f>T6*$J15</f>
        <v>104.10300250851864</v>
      </c>
      <c r="U15" s="11">
        <f>U6*$J15</f>
        <v>115.97703979313496</v>
      </c>
      <c r="V15" s="11">
        <f>V6*$J15</f>
        <v>109.25014984975991</v>
      </c>
      <c r="W15" s="11">
        <f>W6*$J15</f>
        <v>82.580604282177703</v>
      </c>
    </row>
    <row r="16" spans="1:24" x14ac:dyDescent="0.25">
      <c r="A16" s="22" t="s">
        <v>13</v>
      </c>
      <c r="B16" s="25">
        <v>1837</v>
      </c>
      <c r="C16" s="23">
        <v>225.4</v>
      </c>
      <c r="D16" s="23">
        <v>238.64</v>
      </c>
      <c r="E16" s="23">
        <v>13.24</v>
      </c>
      <c r="F16" s="24">
        <f t="shared" si="8"/>
        <v>5.8740017746228945E-2</v>
      </c>
      <c r="G16" s="60"/>
      <c r="I16" s="64"/>
      <c r="J16" s="27">
        <v>2.8812999999999998E-2</v>
      </c>
      <c r="L16" s="11">
        <f t="shared" ref="L16:S16" si="9">L6*$J16</f>
        <v>54.669791810454811</v>
      </c>
      <c r="M16" s="11">
        <f t="shared" si="9"/>
        <v>55.312460525744584</v>
      </c>
      <c r="N16" s="11">
        <f t="shared" si="9"/>
        <v>66.751421191489626</v>
      </c>
      <c r="O16" s="11">
        <f t="shared" si="9"/>
        <v>71.851082302970454</v>
      </c>
      <c r="P16" s="11">
        <f t="shared" si="9"/>
        <v>58.448684105376351</v>
      </c>
      <c r="Q16" s="11">
        <f t="shared" si="9"/>
        <v>55.621758151693562</v>
      </c>
      <c r="R16" s="11">
        <f t="shared" si="9"/>
        <v>54.878483481894961</v>
      </c>
      <c r="S16" s="11">
        <f t="shared" si="9"/>
        <v>72.671761470886963</v>
      </c>
      <c r="T16" s="11">
        <v>0</v>
      </c>
      <c r="U16" s="11">
        <v>0</v>
      </c>
      <c r="V16" s="11">
        <v>0</v>
      </c>
      <c r="W16" s="11">
        <v>0</v>
      </c>
    </row>
    <row r="17" spans="1:25" x14ac:dyDescent="0.25">
      <c r="F17" s="3"/>
      <c r="G17" s="3"/>
      <c r="I17" s="28" t="s">
        <v>113</v>
      </c>
      <c r="J17" s="29">
        <v>1.6721E-2</v>
      </c>
      <c r="L17" s="11">
        <f t="shared" ref="L17:W17" si="10">SUM(L8:L14)*$J17</f>
        <v>1.78108568344601</v>
      </c>
      <c r="M17" s="11">
        <f t="shared" si="10"/>
        <v>1.7988538164211627</v>
      </c>
      <c r="N17" s="11">
        <f t="shared" si="10"/>
        <v>2.1151115855812122</v>
      </c>
      <c r="O17" s="11">
        <f t="shared" si="10"/>
        <v>2.2561040667791654</v>
      </c>
      <c r="P17" s="11">
        <f t="shared" si="10"/>
        <v>1.8855623122246044</v>
      </c>
      <c r="Q17" s="11">
        <f t="shared" si="10"/>
        <v>1.8074050983118373</v>
      </c>
      <c r="R17" s="11">
        <f t="shared" si="10"/>
        <v>1.7868554700883919</v>
      </c>
      <c r="S17" s="11">
        <f t="shared" si="10"/>
        <v>2.2787937298023655</v>
      </c>
      <c r="T17" s="11">
        <f t="shared" si="10"/>
        <v>5.0441106670114273</v>
      </c>
      <c r="U17" s="11">
        <f t="shared" si="10"/>
        <v>5.6530123445616756</v>
      </c>
      <c r="V17" s="11">
        <f t="shared" si="10"/>
        <v>5.3080568359139422</v>
      </c>
      <c r="W17" s="11">
        <f t="shared" si="10"/>
        <v>3.9404401907613642</v>
      </c>
    </row>
    <row r="18" spans="1:25" x14ac:dyDescent="0.25">
      <c r="A18" t="s">
        <v>60</v>
      </c>
      <c r="B18">
        <v>1014</v>
      </c>
      <c r="C18" s="1">
        <v>122.26</v>
      </c>
      <c r="D18" s="1">
        <v>131.97999999999999</v>
      </c>
      <c r="E18" s="1">
        <f>D18-C18</f>
        <v>9.7199999999999847</v>
      </c>
      <c r="F18" s="3">
        <f>D18/C18-1</f>
        <v>7.9502699165712398E-2</v>
      </c>
      <c r="G18" s="3"/>
      <c r="I18" s="30" t="s">
        <v>114</v>
      </c>
      <c r="J18" s="31">
        <v>0.12767999999999999</v>
      </c>
      <c r="L18" s="11">
        <f t="shared" ref="L18:W18" si="11">SUM(L8:L14)*$J18</f>
        <v>13.600204536952727</v>
      </c>
      <c r="M18" s="11">
        <f t="shared" si="11"/>
        <v>13.735880346908322</v>
      </c>
      <c r="N18" s="11">
        <f t="shared" si="11"/>
        <v>16.150795242330553</v>
      </c>
      <c r="O18" s="11">
        <f t="shared" si="11"/>
        <v>17.227400708472207</v>
      </c>
      <c r="P18" s="11">
        <f t="shared" si="11"/>
        <v>14.397978352062523</v>
      </c>
      <c r="Q18" s="11">
        <f t="shared" si="11"/>
        <v>13.801177139671992</v>
      </c>
      <c r="R18" s="11">
        <f t="shared" si="11"/>
        <v>13.644262090837023</v>
      </c>
      <c r="S18" s="11">
        <f t="shared" si="11"/>
        <v>17.400656863893669</v>
      </c>
      <c r="T18" s="11">
        <f t="shared" si="11"/>
        <v>38.51635966533216</v>
      </c>
      <c r="U18" s="11">
        <f t="shared" si="11"/>
        <v>43.165876212764466</v>
      </c>
      <c r="V18" s="11">
        <f t="shared" si="11"/>
        <v>40.531828049129366</v>
      </c>
      <c r="W18" s="11">
        <f t="shared" si="11"/>
        <v>30.08883461254775</v>
      </c>
    </row>
    <row r="19" spans="1:25" x14ac:dyDescent="0.25">
      <c r="B19">
        <v>1014</v>
      </c>
      <c r="C19" s="1">
        <v>122.26</v>
      </c>
      <c r="D19" s="1">
        <v>131.81</v>
      </c>
      <c r="E19" s="1">
        <f>D19-C19</f>
        <v>9.5499999999999972</v>
      </c>
      <c r="F19" s="3">
        <f>D19/C19-1</f>
        <v>7.8112219859316268E-2</v>
      </c>
      <c r="G19" s="3"/>
      <c r="I19" s="30" t="s">
        <v>115</v>
      </c>
      <c r="J19" s="34">
        <v>0.10766199999999999</v>
      </c>
      <c r="L19" s="11">
        <f t="shared" ref="L19:W19" si="12">SUM(L8:L14)*$J19</f>
        <v>11.467929361351853</v>
      </c>
      <c r="M19" s="11">
        <f t="shared" si="12"/>
        <v>11.582333567581797</v>
      </c>
      <c r="N19" s="11">
        <f t="shared" si="12"/>
        <v>13.618631871708896</v>
      </c>
      <c r="O19" s="11">
        <f t="shared" si="12"/>
        <v>14.526444353661772</v>
      </c>
      <c r="P19" s="11">
        <f t="shared" si="12"/>
        <v>12.140626138312621</v>
      </c>
      <c r="Q19" s="11">
        <f t="shared" si="12"/>
        <v>11.637392960615335</v>
      </c>
      <c r="R19" s="11">
        <f t="shared" si="12"/>
        <v>11.505079458205635</v>
      </c>
      <c r="S19" s="11">
        <f t="shared" si="12"/>
        <v>14.672536961783523</v>
      </c>
      <c r="T19" s="11">
        <f t="shared" si="12"/>
        <v>32.47766536880475</v>
      </c>
      <c r="U19" s="11">
        <f t="shared" si="12"/>
        <v>36.39821870941924</v>
      </c>
      <c r="V19" s="11">
        <f t="shared" si="12"/>
        <v>34.177143416552049</v>
      </c>
      <c r="W19" s="11">
        <f t="shared" si="12"/>
        <v>25.371429449061058</v>
      </c>
    </row>
    <row r="20" spans="1:25" x14ac:dyDescent="0.25">
      <c r="E20" s="1"/>
      <c r="F20" s="3"/>
      <c r="G20" s="3"/>
      <c r="I20" s="30" t="s">
        <v>116</v>
      </c>
      <c r="J20" s="31">
        <v>2.3050000000000001E-2</v>
      </c>
      <c r="L20" s="11">
        <f t="shared" ref="L20:W20" si="13">SUM(L8:L19)*$J20</f>
        <v>4.3342506387867665</v>
      </c>
      <c r="M20" s="11">
        <f t="shared" si="13"/>
        <v>4.3797315316749161</v>
      </c>
      <c r="N20" s="11">
        <f t="shared" si="13"/>
        <v>5.1892530353876429</v>
      </c>
      <c r="O20" s="11">
        <f t="shared" si="13"/>
        <v>5.5501499255879718</v>
      </c>
      <c r="P20" s="11">
        <f t="shared" si="13"/>
        <v>4.6016783065917659</v>
      </c>
      <c r="Q20" s="11">
        <f t="shared" si="13"/>
        <v>4.4016201530776264</v>
      </c>
      <c r="R20" s="11">
        <f t="shared" si="13"/>
        <v>4.3490194976554282</v>
      </c>
      <c r="S20" s="11">
        <f t="shared" si="13"/>
        <v>5.6082284043493296</v>
      </c>
      <c r="T20" s="11">
        <f t="shared" si="13"/>
        <v>11.105590409024696</v>
      </c>
      <c r="U20" s="11">
        <f t="shared" si="13"/>
        <v>12.430236921686861</v>
      </c>
      <c r="V20" s="11">
        <f t="shared" si="13"/>
        <v>11.679797025721697</v>
      </c>
      <c r="W20" s="11">
        <f t="shared" si="13"/>
        <v>8.7045898839897013</v>
      </c>
    </row>
    <row r="21" spans="1:25" x14ac:dyDescent="0.25">
      <c r="A21" t="s">
        <v>61</v>
      </c>
      <c r="B21">
        <v>1267</v>
      </c>
      <c r="C21" s="1">
        <v>149.08000000000001</v>
      </c>
      <c r="D21" s="1">
        <v>159.66999999999999</v>
      </c>
      <c r="E21" s="1">
        <f t="shared" ref="E21" si="14">D21-C21</f>
        <v>10.589999999999975</v>
      </c>
      <c r="F21" s="3">
        <f t="shared" ref="F21" si="15">D21/C21-1</f>
        <v>7.1035685537965909E-2</v>
      </c>
      <c r="G21" s="3"/>
      <c r="L21" s="11">
        <f>SUM(L8:L20)</f>
        <v>192.37115470762694</v>
      </c>
      <c r="M21" s="11">
        <f>SUM(M8:M20)</f>
        <v>194.38977628980575</v>
      </c>
      <c r="N21" s="41">
        <f>SUM(N8:N20)</f>
        <v>230.31953656630489</v>
      </c>
      <c r="O21" s="41">
        <f t="shared" ref="O21:V21" si="16">SUM(O8:O20)</f>
        <v>246.337565352398</v>
      </c>
      <c r="P21" s="11">
        <f t="shared" si="16"/>
        <v>204.24065039300243</v>
      </c>
      <c r="Q21" s="11">
        <f t="shared" si="16"/>
        <v>195.36127972260587</v>
      </c>
      <c r="R21" s="11">
        <f t="shared" si="16"/>
        <v>193.02665497077595</v>
      </c>
      <c r="S21" s="11">
        <f t="shared" si="16"/>
        <v>248.91531753013368</v>
      </c>
      <c r="T21" s="11">
        <f t="shared" si="16"/>
        <v>492.90994654892472</v>
      </c>
      <c r="U21" s="11">
        <f t="shared" si="16"/>
        <v>551.70298840484782</v>
      </c>
      <c r="V21" s="11">
        <f t="shared" si="16"/>
        <v>518.39550313078439</v>
      </c>
      <c r="W21" s="11">
        <f>SUM(W8:W20)</f>
        <v>386.34406424362965</v>
      </c>
      <c r="X21" s="11">
        <f>SUM(L21:W21)/12</f>
        <v>304.52620315507005</v>
      </c>
      <c r="Y21" s="11"/>
    </row>
    <row r="22" spans="1:25" x14ac:dyDescent="0.25">
      <c r="C22" s="1"/>
      <c r="D22" s="1"/>
      <c r="E22" s="1"/>
      <c r="F22" s="3"/>
      <c r="G22" s="3"/>
      <c r="L22" s="11"/>
      <c r="M22" s="11"/>
      <c r="N22" s="41"/>
      <c r="O22" s="4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25">
      <c r="K23" s="12" t="s">
        <v>3</v>
      </c>
      <c r="L23" s="39">
        <v>1897.4001947195645</v>
      </c>
      <c r="M23" s="40">
        <v>1919.7050125202022</v>
      </c>
      <c r="N23" s="40">
        <v>2316.7119422305777</v>
      </c>
      <c r="O23" s="40">
        <v>2493.7036165262366</v>
      </c>
      <c r="P23" s="40">
        <v>2028.55253202986</v>
      </c>
      <c r="Q23" s="40">
        <v>1930.4396679170363</v>
      </c>
      <c r="R23" s="40">
        <v>1904.6431639154189</v>
      </c>
      <c r="S23" s="40">
        <v>2522.1865640817327</v>
      </c>
      <c r="T23" s="40">
        <v>3282.1427110321783</v>
      </c>
      <c r="U23" s="40">
        <v>3656.505447794153</v>
      </c>
      <c r="V23" s="40">
        <v>3444.4211441377101</v>
      </c>
      <c r="W23" s="40">
        <v>2603.5880030953304</v>
      </c>
    </row>
    <row r="24" spans="1:25" ht="16.5" thickBot="1" x14ac:dyDescent="0.3">
      <c r="I24" s="63" t="s">
        <v>137</v>
      </c>
      <c r="J24" s="63"/>
      <c r="K24" s="12" t="s">
        <v>136</v>
      </c>
      <c r="L24" s="37" t="s">
        <v>124</v>
      </c>
      <c r="M24" s="37" t="s">
        <v>125</v>
      </c>
      <c r="N24" s="37" t="s">
        <v>126</v>
      </c>
      <c r="O24" s="37" t="s">
        <v>127</v>
      </c>
      <c r="P24" s="37" t="s">
        <v>128</v>
      </c>
      <c r="Q24" s="37" t="s">
        <v>129</v>
      </c>
      <c r="R24" s="37" t="s">
        <v>130</v>
      </c>
      <c r="S24" s="37" t="s">
        <v>131</v>
      </c>
      <c r="T24" s="37" t="s">
        <v>132</v>
      </c>
      <c r="U24" s="37" t="s">
        <v>133</v>
      </c>
      <c r="V24" s="37" t="s">
        <v>134</v>
      </c>
      <c r="W24" s="37" t="s">
        <v>135</v>
      </c>
    </row>
    <row r="25" spans="1:25" x14ac:dyDescent="0.25">
      <c r="I25" s="32" t="s">
        <v>118</v>
      </c>
      <c r="J25" s="33">
        <v>14.9</v>
      </c>
      <c r="L25" s="11">
        <f>$J25</f>
        <v>14.9</v>
      </c>
      <c r="M25" s="11">
        <f t="shared" ref="M25:W25" si="17">$J25</f>
        <v>14.9</v>
      </c>
      <c r="N25" s="11">
        <f t="shared" si="17"/>
        <v>14.9</v>
      </c>
      <c r="O25" s="11">
        <f t="shared" si="17"/>
        <v>14.9</v>
      </c>
      <c r="P25" s="11">
        <f t="shared" si="17"/>
        <v>14.9</v>
      </c>
      <c r="Q25" s="11">
        <f t="shared" si="17"/>
        <v>14.9</v>
      </c>
      <c r="R25" s="11">
        <f t="shared" si="17"/>
        <v>14.9</v>
      </c>
      <c r="S25" s="11">
        <f t="shared" si="17"/>
        <v>14.9</v>
      </c>
      <c r="T25" s="11">
        <f t="shared" si="17"/>
        <v>14.9</v>
      </c>
      <c r="U25" s="11">
        <f t="shared" si="17"/>
        <v>14.9</v>
      </c>
      <c r="V25" s="11">
        <f t="shared" si="17"/>
        <v>14.9</v>
      </c>
      <c r="W25" s="11">
        <f t="shared" si="17"/>
        <v>14.9</v>
      </c>
    </row>
    <row r="26" spans="1:25" x14ac:dyDescent="0.25">
      <c r="I26" s="26" t="s">
        <v>119</v>
      </c>
      <c r="J26" s="27">
        <v>5.7969E-2</v>
      </c>
      <c r="L26" s="11">
        <f>650*$J26</f>
        <v>37.679850000000002</v>
      </c>
      <c r="M26" s="11">
        <f t="shared" ref="M26:S26" si="18">650*$J26</f>
        <v>37.679850000000002</v>
      </c>
      <c r="N26" s="11">
        <f t="shared" si="18"/>
        <v>37.679850000000002</v>
      </c>
      <c r="O26" s="11">
        <f t="shared" si="18"/>
        <v>37.679850000000002</v>
      </c>
      <c r="P26" s="11">
        <f t="shared" si="18"/>
        <v>37.679850000000002</v>
      </c>
      <c r="Q26" s="11">
        <f t="shared" si="18"/>
        <v>37.679850000000002</v>
      </c>
      <c r="R26" s="11">
        <f t="shared" si="18"/>
        <v>37.679850000000002</v>
      </c>
      <c r="S26" s="11">
        <f t="shared" si="18"/>
        <v>37.679850000000002</v>
      </c>
      <c r="T26" s="11">
        <v>0</v>
      </c>
      <c r="U26" s="11">
        <v>0</v>
      </c>
      <c r="V26" s="11">
        <v>0</v>
      </c>
      <c r="W26" s="11">
        <v>0</v>
      </c>
    </row>
    <row r="27" spans="1:25" x14ac:dyDescent="0.25">
      <c r="I27" s="26" t="s">
        <v>120</v>
      </c>
      <c r="J27" s="27">
        <v>4.972E-2</v>
      </c>
      <c r="L27" s="11">
        <f>350*$J27</f>
        <v>17.402000000000001</v>
      </c>
      <c r="M27" s="11">
        <f t="shared" ref="M27:S27" si="19">350*$J27</f>
        <v>17.402000000000001</v>
      </c>
      <c r="N27" s="11">
        <f t="shared" si="19"/>
        <v>17.402000000000001</v>
      </c>
      <c r="O27" s="11">
        <f t="shared" si="19"/>
        <v>17.402000000000001</v>
      </c>
      <c r="P27" s="11">
        <f t="shared" si="19"/>
        <v>17.402000000000001</v>
      </c>
      <c r="Q27" s="11">
        <f t="shared" si="19"/>
        <v>17.402000000000001</v>
      </c>
      <c r="R27" s="11">
        <f t="shared" si="19"/>
        <v>17.402000000000001</v>
      </c>
      <c r="S27" s="11">
        <f t="shared" si="19"/>
        <v>17.402000000000001</v>
      </c>
      <c r="T27" s="11">
        <v>0</v>
      </c>
      <c r="U27" s="11">
        <v>0</v>
      </c>
      <c r="V27" s="11">
        <v>0</v>
      </c>
      <c r="W27" s="11">
        <v>0</v>
      </c>
    </row>
    <row r="28" spans="1:25" x14ac:dyDescent="0.25">
      <c r="I28" s="35" t="s">
        <v>121</v>
      </c>
      <c r="J28" s="27">
        <v>4.8809999999999999E-2</v>
      </c>
      <c r="L28" s="11">
        <f t="shared" ref="L28:M28" si="20">(L23-1000)*$J28</f>
        <v>43.802103504261943</v>
      </c>
      <c r="M28" s="11">
        <f t="shared" si="20"/>
        <v>44.89080166111107</v>
      </c>
      <c r="N28" s="11">
        <f>(N23-1000)*$J28</f>
        <v>64.268709900274501</v>
      </c>
      <c r="O28" s="11">
        <f t="shared" ref="O28:S28" si="21">(O23-1000)*$J28</f>
        <v>72.907673522645609</v>
      </c>
      <c r="P28" s="11">
        <f t="shared" si="21"/>
        <v>50.203649088377468</v>
      </c>
      <c r="Q28" s="11">
        <f t="shared" si="21"/>
        <v>45.414760191030545</v>
      </c>
      <c r="R28" s="11">
        <f t="shared" si="21"/>
        <v>44.155632830711596</v>
      </c>
      <c r="S28" s="11">
        <f t="shared" si="21"/>
        <v>74.297926192829379</v>
      </c>
      <c r="T28" s="11">
        <v>0</v>
      </c>
      <c r="U28" s="11">
        <v>0</v>
      </c>
      <c r="V28" s="11">
        <v>0</v>
      </c>
      <c r="W28" s="11">
        <v>0</v>
      </c>
    </row>
    <row r="29" spans="1:25" x14ac:dyDescent="0.25">
      <c r="I29" s="26" t="s">
        <v>122</v>
      </c>
      <c r="J29" s="27">
        <v>5.7969E-2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f>650*$J29</f>
        <v>37.679850000000002</v>
      </c>
      <c r="U29" s="11">
        <f t="shared" ref="U29:W29" si="22">650*$J29</f>
        <v>37.679850000000002</v>
      </c>
      <c r="V29" s="11">
        <f t="shared" si="22"/>
        <v>37.679850000000002</v>
      </c>
      <c r="W29" s="11">
        <f t="shared" si="22"/>
        <v>37.679850000000002</v>
      </c>
    </row>
    <row r="30" spans="1:25" x14ac:dyDescent="0.25">
      <c r="I30" s="26" t="s">
        <v>123</v>
      </c>
      <c r="J30" s="27">
        <v>9.6285999999999997E-2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f>350*$J30</f>
        <v>33.700099999999999</v>
      </c>
      <c r="U30" s="11">
        <f t="shared" ref="U30:W30" si="23">350*$J30</f>
        <v>33.700099999999999</v>
      </c>
      <c r="V30" s="11">
        <f t="shared" si="23"/>
        <v>33.700099999999999</v>
      </c>
      <c r="W30" s="11">
        <f t="shared" si="23"/>
        <v>33.700099999999999</v>
      </c>
    </row>
    <row r="31" spans="1:25" x14ac:dyDescent="0.25">
      <c r="I31" s="35" t="s">
        <v>156</v>
      </c>
      <c r="J31" s="27">
        <v>9.9657999999999997E-2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f>(T23-1000)*$J31</f>
        <v>227.43377829604484</v>
      </c>
      <c r="U31" s="11">
        <f t="shared" ref="U31:W31" si="24">(U23-1000)*$J31</f>
        <v>264.74201991626967</v>
      </c>
      <c r="V31" s="11">
        <f t="shared" si="24"/>
        <v>243.60612238247592</v>
      </c>
      <c r="W31" s="11">
        <f t="shared" si="24"/>
        <v>159.81037321247442</v>
      </c>
    </row>
    <row r="32" spans="1:25" x14ac:dyDescent="0.25">
      <c r="I32" s="64" t="s">
        <v>112</v>
      </c>
      <c r="J32" s="27">
        <v>3.1718000000000003E-2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f>T23*$J32</f>
        <v>104.10300250851864</v>
      </c>
      <c r="U32" s="11">
        <f>U23*$J32</f>
        <v>115.97703979313496</v>
      </c>
      <c r="V32" s="11">
        <f>V23*$J32</f>
        <v>109.25014984975991</v>
      </c>
      <c r="W32" s="11">
        <f>W23*$J32</f>
        <v>82.580604282177703</v>
      </c>
    </row>
    <row r="33" spans="9:26" x14ac:dyDescent="0.25">
      <c r="I33" s="64"/>
      <c r="J33" s="27">
        <v>2.8812999999999998E-2</v>
      </c>
      <c r="L33" s="11">
        <f t="shared" ref="L33:S33" si="25">L23*$J33</f>
        <v>54.669791810454811</v>
      </c>
      <c r="M33" s="11">
        <f t="shared" si="25"/>
        <v>55.312460525744584</v>
      </c>
      <c r="N33" s="11">
        <f t="shared" si="25"/>
        <v>66.751421191489626</v>
      </c>
      <c r="O33" s="11">
        <f t="shared" si="25"/>
        <v>71.851082302970454</v>
      </c>
      <c r="P33" s="11">
        <f t="shared" si="25"/>
        <v>58.448684105376351</v>
      </c>
      <c r="Q33" s="11">
        <f t="shared" si="25"/>
        <v>55.621758151693562</v>
      </c>
      <c r="R33" s="11">
        <f t="shared" si="25"/>
        <v>54.878483481894961</v>
      </c>
      <c r="S33" s="11">
        <f t="shared" si="25"/>
        <v>72.671761470886963</v>
      </c>
      <c r="T33" s="11">
        <v>0</v>
      </c>
      <c r="U33" s="11">
        <v>0</v>
      </c>
      <c r="V33" s="11">
        <v>0</v>
      </c>
      <c r="W33" s="11">
        <v>0</v>
      </c>
    </row>
    <row r="34" spans="9:26" x14ac:dyDescent="0.25">
      <c r="I34" s="28" t="s">
        <v>113</v>
      </c>
      <c r="J34" s="29">
        <v>1.7947000000000001E-2</v>
      </c>
      <c r="L34" s="11">
        <f t="shared" ref="L34:W34" si="26">SUM(L25:L31)*$J34</f>
        <v>2.0420806135409895</v>
      </c>
      <c r="M34" s="11">
        <f t="shared" si="26"/>
        <v>2.0616194793619607</v>
      </c>
      <c r="N34" s="11">
        <f t="shared" si="26"/>
        <v>2.4093947985302266</v>
      </c>
      <c r="O34" s="11">
        <f t="shared" si="26"/>
        <v>2.564438278660921</v>
      </c>
      <c r="P34" s="11">
        <f t="shared" si="26"/>
        <v>2.1569691521391108</v>
      </c>
      <c r="Q34" s="11">
        <f t="shared" si="26"/>
        <v>2.0710229630984256</v>
      </c>
      <c r="R34" s="11">
        <f t="shared" si="26"/>
        <v>2.0484254043627814</v>
      </c>
      <c r="S34" s="11">
        <f t="shared" si="26"/>
        <v>2.589389143332709</v>
      </c>
      <c r="T34" s="11">
        <f t="shared" si="26"/>
        <v>5.6302202817291169</v>
      </c>
      <c r="U34" s="11">
        <f t="shared" si="26"/>
        <v>6.2997912940872922</v>
      </c>
      <c r="V34" s="11">
        <f t="shared" si="26"/>
        <v>5.9204653410482955</v>
      </c>
      <c r="W34" s="11">
        <f t="shared" si="26"/>
        <v>4.4165830306942784</v>
      </c>
    </row>
    <row r="35" spans="9:26" x14ac:dyDescent="0.25">
      <c r="I35" s="30" t="s">
        <v>114</v>
      </c>
      <c r="J35" s="31">
        <v>0.15357499999999999</v>
      </c>
      <c r="L35" s="11">
        <f t="shared" ref="L35:W35" si="27">SUM(L25:L31)*$J35</f>
        <v>17.474370659417026</v>
      </c>
      <c r="M35" s="11">
        <f t="shared" si="27"/>
        <v>17.641567478855134</v>
      </c>
      <c r="N35" s="11">
        <f t="shared" si="27"/>
        <v>20.617529736684656</v>
      </c>
      <c r="O35" s="11">
        <f t="shared" si="27"/>
        <v>21.9442585749903</v>
      </c>
      <c r="P35" s="11">
        <f t="shared" si="27"/>
        <v>18.457488022497568</v>
      </c>
      <c r="Q35" s="11">
        <f t="shared" si="27"/>
        <v>17.722034410087517</v>
      </c>
      <c r="R35" s="11">
        <f t="shared" si="27"/>
        <v>17.528663925726534</v>
      </c>
      <c r="S35" s="11">
        <f t="shared" si="27"/>
        <v>22.157766628813771</v>
      </c>
      <c r="T35" s="11">
        <f t="shared" si="27"/>
        <v>48.178585823065085</v>
      </c>
      <c r="U35" s="11">
        <f t="shared" si="27"/>
        <v>53.908199029891108</v>
      </c>
      <c r="V35" s="11">
        <f t="shared" si="27"/>
        <v>50.66225356613873</v>
      </c>
      <c r="W35" s="11">
        <f t="shared" si="27"/>
        <v>37.793321387355753</v>
      </c>
    </row>
    <row r="36" spans="9:26" x14ac:dyDescent="0.25">
      <c r="I36" s="30" t="s">
        <v>115</v>
      </c>
      <c r="J36" s="34">
        <v>0.10766199999999999</v>
      </c>
      <c r="L36" s="11">
        <f t="shared" ref="L36:W36" si="28">SUM(L25:L31)*$J36</f>
        <v>12.250208002175849</v>
      </c>
      <c r="M36" s="11">
        <f t="shared" si="28"/>
        <v>12.367419423138541</v>
      </c>
      <c r="N36" s="11">
        <f t="shared" si="28"/>
        <v>14.453683779983354</v>
      </c>
      <c r="O36" s="11">
        <f t="shared" si="28"/>
        <v>15.383771881495072</v>
      </c>
      <c r="P36" s="11">
        <f t="shared" si="28"/>
        <v>12.939411202852895</v>
      </c>
      <c r="Q36" s="11">
        <f t="shared" si="28"/>
        <v>12.423829846386731</v>
      </c>
      <c r="R36" s="11">
        <f t="shared" si="28"/>
        <v>12.288269676520072</v>
      </c>
      <c r="S36" s="11">
        <f t="shared" si="28"/>
        <v>15.533449264472397</v>
      </c>
      <c r="T36" s="11">
        <f t="shared" si="28"/>
        <v>33.775047415808778</v>
      </c>
      <c r="U36" s="11">
        <f t="shared" si="28"/>
        <v>37.791727325125422</v>
      </c>
      <c r="V36" s="11">
        <f t="shared" si="28"/>
        <v>35.516194324842118</v>
      </c>
      <c r="W36" s="11">
        <f t="shared" si="28"/>
        <v>26.494576377701417</v>
      </c>
    </row>
    <row r="37" spans="9:26" x14ac:dyDescent="0.25">
      <c r="I37" s="30" t="s">
        <v>116</v>
      </c>
      <c r="J37" s="31">
        <v>2.3567999999999999E-2</v>
      </c>
      <c r="L37" s="11">
        <f t="shared" ref="L37:W37" si="29">SUM(L25:L36)*$J37</f>
        <v>4.718794495373599</v>
      </c>
      <c r="M37" s="11">
        <f t="shared" si="29"/>
        <v>4.7667627752156028</v>
      </c>
      <c r="N37" s="11">
        <f t="shared" si="29"/>
        <v>5.6205576671432889</v>
      </c>
      <c r="O37" s="11">
        <f t="shared" si="29"/>
        <v>6.0011923012480475</v>
      </c>
      <c r="P37" s="11">
        <f t="shared" si="29"/>
        <v>5.0008479994310635</v>
      </c>
      <c r="Q37" s="11">
        <f t="shared" si="29"/>
        <v>4.7898485030922098</v>
      </c>
      <c r="R37" s="11">
        <f t="shared" si="29"/>
        <v>4.7343710751232813</v>
      </c>
      <c r="S37" s="11">
        <f t="shared" si="29"/>
        <v>6.0624471391614998</v>
      </c>
      <c r="T37" s="11">
        <f t="shared" si="29"/>
        <v>11.911280971375522</v>
      </c>
      <c r="U37" s="11">
        <f t="shared" si="29"/>
        <v>13.315890006385326</v>
      </c>
      <c r="V37" s="11">
        <f t="shared" si="29"/>
        <v>12.520149672621795</v>
      </c>
      <c r="W37" s="11">
        <f t="shared" si="29"/>
        <v>9.3653436225882309</v>
      </c>
    </row>
    <row r="38" spans="9:26" x14ac:dyDescent="0.25">
      <c r="L38" s="11">
        <f>SUM(L25:L37)</f>
        <v>204.9391990852242</v>
      </c>
      <c r="M38" s="11">
        <f>SUM(M25:M37)</f>
        <v>207.02248134342688</v>
      </c>
      <c r="N38" s="41">
        <f>SUM(N25:N37)</f>
        <v>244.10314707410566</v>
      </c>
      <c r="O38" s="41">
        <f t="shared" ref="O38:V38" si="30">SUM(O25:O37)</f>
        <v>260.63426686201041</v>
      </c>
      <c r="P38" s="11">
        <f t="shared" si="30"/>
        <v>217.18889957067444</v>
      </c>
      <c r="Q38" s="11">
        <f t="shared" si="30"/>
        <v>208.02510406538897</v>
      </c>
      <c r="R38" s="11">
        <f t="shared" si="30"/>
        <v>205.61569639433921</v>
      </c>
      <c r="S38" s="11">
        <f t="shared" si="30"/>
        <v>263.29458983949672</v>
      </c>
      <c r="T38" s="11">
        <f t="shared" si="30"/>
        <v>517.31186529654201</v>
      </c>
      <c r="U38" s="11">
        <f t="shared" si="30"/>
        <v>578.31461736489371</v>
      </c>
      <c r="V38" s="11">
        <f t="shared" si="30"/>
        <v>543.75528513688664</v>
      </c>
      <c r="W38" s="11">
        <f>SUM(W25:W37)</f>
        <v>406.74075191299181</v>
      </c>
      <c r="X38" s="11">
        <f>SUM(L38:W38)/12</f>
        <v>321.41215866216504</v>
      </c>
      <c r="Y38" s="3">
        <f>X38/X21-1</f>
        <v>5.5449926253132276E-2</v>
      </c>
      <c r="Z38" s="11">
        <f>X38-X21</f>
        <v>16.885955507094991</v>
      </c>
    </row>
    <row r="39" spans="9:26" x14ac:dyDescent="0.25">
      <c r="L39" s="11"/>
      <c r="M39" s="11"/>
      <c r="N39" s="41"/>
      <c r="O39" s="41"/>
      <c r="P39" s="11"/>
      <c r="Q39" s="11"/>
      <c r="R39" s="11"/>
      <c r="S39" s="11"/>
      <c r="T39" s="11"/>
      <c r="U39" s="11"/>
      <c r="V39" s="11"/>
      <c r="W39" s="11"/>
      <c r="X39" s="11"/>
      <c r="Y39" s="3"/>
      <c r="Z39" s="11"/>
    </row>
    <row r="40" spans="9:26" x14ac:dyDescent="0.25">
      <c r="X40" s="42"/>
    </row>
    <row r="41" spans="9:26" x14ac:dyDescent="0.25">
      <c r="K41" s="12" t="s">
        <v>3</v>
      </c>
      <c r="L41" s="39">
        <v>1897.4001947195645</v>
      </c>
      <c r="M41" s="40">
        <v>1919.7050125202022</v>
      </c>
      <c r="N41" s="40">
        <v>2316.7119422305777</v>
      </c>
      <c r="O41" s="40">
        <v>2493.7036165262366</v>
      </c>
      <c r="P41" s="40">
        <v>2028.55253202986</v>
      </c>
      <c r="Q41" s="40">
        <v>1930.4396679170363</v>
      </c>
      <c r="R41" s="40">
        <v>1904.6431639154189</v>
      </c>
      <c r="S41" s="40">
        <v>2522.1865640817327</v>
      </c>
      <c r="T41" s="40">
        <v>3282.1427110321783</v>
      </c>
      <c r="U41" s="40">
        <v>3656.505447794153</v>
      </c>
      <c r="V41" s="40">
        <v>3444.4211441377101</v>
      </c>
      <c r="W41" s="40">
        <v>2603.5880030953304</v>
      </c>
    </row>
    <row r="42" spans="9:26" ht="16.5" thickBot="1" x14ac:dyDescent="0.3">
      <c r="I42" s="63" t="s">
        <v>138</v>
      </c>
      <c r="J42" s="63"/>
      <c r="K42" s="12" t="s">
        <v>136</v>
      </c>
      <c r="L42" s="37" t="s">
        <v>124</v>
      </c>
      <c r="M42" s="37" t="s">
        <v>125</v>
      </c>
      <c r="N42" s="37" t="s">
        <v>126</v>
      </c>
      <c r="O42" s="37" t="s">
        <v>127</v>
      </c>
      <c r="P42" s="37" t="s">
        <v>128</v>
      </c>
      <c r="Q42" s="37" t="s">
        <v>129</v>
      </c>
      <c r="R42" s="37" t="s">
        <v>130</v>
      </c>
      <c r="S42" s="37" t="s">
        <v>131</v>
      </c>
      <c r="T42" s="37" t="s">
        <v>132</v>
      </c>
      <c r="U42" s="37" t="s">
        <v>133</v>
      </c>
      <c r="V42" s="37" t="s">
        <v>134</v>
      </c>
      <c r="W42" s="37" t="s">
        <v>135</v>
      </c>
    </row>
    <row r="43" spans="9:26" x14ac:dyDescent="0.25">
      <c r="I43" s="32" t="s">
        <v>118</v>
      </c>
      <c r="J43" s="33">
        <v>17.95</v>
      </c>
      <c r="L43" s="11">
        <f>$J43</f>
        <v>17.95</v>
      </c>
      <c r="M43" s="11">
        <f t="shared" ref="M43:W43" si="31">$J43</f>
        <v>17.95</v>
      </c>
      <c r="N43" s="11">
        <f t="shared" si="31"/>
        <v>17.95</v>
      </c>
      <c r="O43" s="11">
        <f t="shared" si="31"/>
        <v>17.95</v>
      </c>
      <c r="P43" s="11">
        <f t="shared" si="31"/>
        <v>17.95</v>
      </c>
      <c r="Q43" s="11">
        <f t="shared" si="31"/>
        <v>17.95</v>
      </c>
      <c r="R43" s="11">
        <f t="shared" si="31"/>
        <v>17.95</v>
      </c>
      <c r="S43" s="11">
        <f t="shared" si="31"/>
        <v>17.95</v>
      </c>
      <c r="T43" s="11">
        <f t="shared" si="31"/>
        <v>17.95</v>
      </c>
      <c r="U43" s="11">
        <f t="shared" si="31"/>
        <v>17.95</v>
      </c>
      <c r="V43" s="11">
        <f t="shared" si="31"/>
        <v>17.95</v>
      </c>
      <c r="W43" s="11">
        <f t="shared" si="31"/>
        <v>17.95</v>
      </c>
    </row>
    <row r="44" spans="9:26" x14ac:dyDescent="0.25">
      <c r="I44" s="26" t="s">
        <v>119</v>
      </c>
      <c r="J44" s="27">
        <v>4.9754E-2</v>
      </c>
      <c r="L44" s="11">
        <f>650*$J44</f>
        <v>32.3401</v>
      </c>
      <c r="M44" s="11">
        <f t="shared" ref="M44:S44" si="32">650*$J44</f>
        <v>32.3401</v>
      </c>
      <c r="N44" s="11">
        <f t="shared" si="32"/>
        <v>32.3401</v>
      </c>
      <c r="O44" s="11">
        <f t="shared" si="32"/>
        <v>32.3401</v>
      </c>
      <c r="P44" s="11">
        <f t="shared" si="32"/>
        <v>32.3401</v>
      </c>
      <c r="Q44" s="11">
        <f t="shared" si="32"/>
        <v>32.3401</v>
      </c>
      <c r="R44" s="11">
        <f t="shared" si="32"/>
        <v>32.3401</v>
      </c>
      <c r="S44" s="11">
        <f t="shared" si="32"/>
        <v>32.3401</v>
      </c>
      <c r="T44" s="11">
        <v>0</v>
      </c>
      <c r="U44" s="11">
        <v>0</v>
      </c>
      <c r="V44" s="11">
        <v>0</v>
      </c>
      <c r="W44" s="11">
        <v>0</v>
      </c>
    </row>
    <row r="45" spans="9:26" x14ac:dyDescent="0.25">
      <c r="I45" s="26" t="s">
        <v>120</v>
      </c>
      <c r="J45" s="27">
        <v>4.2674999999999998E-2</v>
      </c>
      <c r="L45" s="11">
        <f>350*$J45</f>
        <v>14.936249999999999</v>
      </c>
      <c r="M45" s="11">
        <f t="shared" ref="M45:S45" si="33">350*$J45</f>
        <v>14.936249999999999</v>
      </c>
      <c r="N45" s="11">
        <f t="shared" si="33"/>
        <v>14.936249999999999</v>
      </c>
      <c r="O45" s="11">
        <f t="shared" si="33"/>
        <v>14.936249999999999</v>
      </c>
      <c r="P45" s="11">
        <f t="shared" si="33"/>
        <v>14.936249999999999</v>
      </c>
      <c r="Q45" s="11">
        <f t="shared" si="33"/>
        <v>14.936249999999999</v>
      </c>
      <c r="R45" s="11">
        <f t="shared" si="33"/>
        <v>14.936249999999999</v>
      </c>
      <c r="S45" s="11">
        <f t="shared" si="33"/>
        <v>14.936249999999999</v>
      </c>
      <c r="T45" s="11">
        <v>0</v>
      </c>
      <c r="U45" s="11">
        <v>0</v>
      </c>
      <c r="V45" s="11">
        <v>0</v>
      </c>
      <c r="W45" s="11">
        <v>0</v>
      </c>
    </row>
    <row r="46" spans="9:26" x14ac:dyDescent="0.25">
      <c r="I46" s="35" t="s">
        <v>121</v>
      </c>
      <c r="J46" s="27">
        <v>4.1890999999999998E-2</v>
      </c>
      <c r="L46" s="11">
        <f t="shared" ref="L46:M46" si="34">(L41-1000)*$J46</f>
        <v>37.592991556997276</v>
      </c>
      <c r="M46" s="11">
        <f t="shared" si="34"/>
        <v>38.527362679483787</v>
      </c>
      <c r="N46" s="11">
        <f>(N41-1000)*$J46</f>
        <v>55.158379971981127</v>
      </c>
      <c r="O46" s="11">
        <f t="shared" ref="O46:S46" si="35">(O41-1000)*$J46</f>
        <v>62.572738199900577</v>
      </c>
      <c r="P46" s="11">
        <f t="shared" si="35"/>
        <v>43.087094119262865</v>
      </c>
      <c r="Q46" s="11">
        <f t="shared" si="35"/>
        <v>38.977048128712568</v>
      </c>
      <c r="R46" s="11">
        <f t="shared" si="35"/>
        <v>37.896406779580808</v>
      </c>
      <c r="S46" s="11">
        <f t="shared" si="35"/>
        <v>63.765917355947863</v>
      </c>
      <c r="T46" s="11">
        <v>0</v>
      </c>
      <c r="U46" s="11">
        <v>0</v>
      </c>
      <c r="V46" s="11">
        <v>0</v>
      </c>
      <c r="W46" s="11">
        <v>0</v>
      </c>
    </row>
    <row r="47" spans="9:26" x14ac:dyDescent="0.25">
      <c r="I47" s="26" t="s">
        <v>122</v>
      </c>
      <c r="J47" s="27">
        <v>4.9754E-2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f>650*$J47</f>
        <v>32.3401</v>
      </c>
      <c r="U47" s="11">
        <f t="shared" ref="U47:W47" si="36">650*$J47</f>
        <v>32.3401</v>
      </c>
      <c r="V47" s="11">
        <f t="shared" si="36"/>
        <v>32.3401</v>
      </c>
      <c r="W47" s="11">
        <f t="shared" si="36"/>
        <v>32.3401</v>
      </c>
    </row>
    <row r="48" spans="9:26" x14ac:dyDescent="0.25">
      <c r="I48" s="26" t="s">
        <v>123</v>
      </c>
      <c r="J48" s="27">
        <v>8.2639000000000004E-2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f>350*$J48</f>
        <v>28.923650000000002</v>
      </c>
      <c r="U48" s="11">
        <f t="shared" ref="U48:W48" si="37">350*$J48</f>
        <v>28.923650000000002</v>
      </c>
      <c r="V48" s="11">
        <f t="shared" si="37"/>
        <v>28.923650000000002</v>
      </c>
      <c r="W48" s="11">
        <f t="shared" si="37"/>
        <v>28.923650000000002</v>
      </c>
    </row>
    <row r="49" spans="3:26" x14ac:dyDescent="0.25">
      <c r="I49" s="35" t="s">
        <v>156</v>
      </c>
      <c r="J49" s="27">
        <v>8.5531999999999997E-2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f>(T41-1000)*$J49</f>
        <v>195.19623036000428</v>
      </c>
      <c r="U49" s="11">
        <f t="shared" ref="U49:W49" si="38">(U41-1000)*$J49</f>
        <v>227.21622396072948</v>
      </c>
      <c r="V49" s="11">
        <f t="shared" si="38"/>
        <v>209.07622930038661</v>
      </c>
      <c r="W49" s="11">
        <f t="shared" si="38"/>
        <v>137.15808908074979</v>
      </c>
    </row>
    <row r="50" spans="3:26" x14ac:dyDescent="0.25">
      <c r="I50" s="64" t="s">
        <v>112</v>
      </c>
      <c r="J50" s="27">
        <v>3.1718000000000003E-2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f>T41*$J50</f>
        <v>104.10300250851864</v>
      </c>
      <c r="U50" s="11">
        <f>U41*$J50</f>
        <v>115.97703979313496</v>
      </c>
      <c r="V50" s="11">
        <f>V41*$J50</f>
        <v>109.25014984975991</v>
      </c>
      <c r="W50" s="11">
        <f>W41*$J50</f>
        <v>82.580604282177703</v>
      </c>
    </row>
    <row r="51" spans="3:26" x14ac:dyDescent="0.25">
      <c r="I51" s="64"/>
      <c r="J51" s="27">
        <v>2.8812999999999998E-2</v>
      </c>
      <c r="L51" s="11">
        <f t="shared" ref="L51:S51" si="39">L41*$J51</f>
        <v>54.669791810454811</v>
      </c>
      <c r="M51" s="11">
        <f t="shared" si="39"/>
        <v>55.312460525744584</v>
      </c>
      <c r="N51" s="11">
        <f t="shared" si="39"/>
        <v>66.751421191489626</v>
      </c>
      <c r="O51" s="11">
        <f t="shared" si="39"/>
        <v>71.851082302970454</v>
      </c>
      <c r="P51" s="11">
        <f t="shared" si="39"/>
        <v>58.448684105376351</v>
      </c>
      <c r="Q51" s="11">
        <f t="shared" si="39"/>
        <v>55.621758151693562</v>
      </c>
      <c r="R51" s="11">
        <f t="shared" si="39"/>
        <v>54.878483481894961</v>
      </c>
      <c r="S51" s="11">
        <f t="shared" si="39"/>
        <v>72.671761470886963</v>
      </c>
      <c r="T51" s="11">
        <v>0</v>
      </c>
      <c r="U51" s="11">
        <v>0</v>
      </c>
      <c r="V51" s="11">
        <v>0</v>
      </c>
      <c r="W51" s="11">
        <v>0</v>
      </c>
    </row>
    <row r="52" spans="3:26" x14ac:dyDescent="0.25">
      <c r="I52" s="28" t="s">
        <v>144</v>
      </c>
      <c r="J52" s="29">
        <v>1.9511000000000001E-2</v>
      </c>
      <c r="L52" s="11">
        <f t="shared" ref="L52:W52" si="40">SUM(L43:L49)*$J52</f>
        <v>2.0061081731185739</v>
      </c>
      <c r="M52" s="11">
        <f t="shared" si="40"/>
        <v>2.0243386880894083</v>
      </c>
      <c r="N52" s="11">
        <f t="shared" si="40"/>
        <v>2.3488264664833238</v>
      </c>
      <c r="O52" s="11">
        <f t="shared" si="40"/>
        <v>2.4934880098682601</v>
      </c>
      <c r="P52" s="11">
        <f t="shared" si="40"/>
        <v>2.1133036082109378</v>
      </c>
      <c r="Q52" s="11">
        <f t="shared" si="40"/>
        <v>2.0331125008893109</v>
      </c>
      <c r="R52" s="11">
        <f t="shared" si="40"/>
        <v>2.0120281075264015</v>
      </c>
      <c r="S52" s="11">
        <f t="shared" si="40"/>
        <v>2.5167681283818988</v>
      </c>
      <c r="T52" s="11">
        <f t="shared" si="40"/>
        <v>5.3540131268040438</v>
      </c>
      <c r="U52" s="11">
        <f t="shared" si="40"/>
        <v>5.978755221947794</v>
      </c>
      <c r="V52" s="11">
        <f t="shared" si="40"/>
        <v>5.6248257861298434</v>
      </c>
      <c r="W52" s="11">
        <f t="shared" si="40"/>
        <v>4.2216309523045092</v>
      </c>
    </row>
    <row r="53" spans="3:26" x14ac:dyDescent="0.25">
      <c r="I53" s="30" t="s">
        <v>145</v>
      </c>
      <c r="J53" s="31">
        <v>0.16881399999999999</v>
      </c>
      <c r="L53" s="11">
        <f t="shared" ref="L53:W53" si="41">SUM(L43:L49)*$J53</f>
        <v>17.357344325602938</v>
      </c>
      <c r="M53" s="11">
        <f t="shared" si="41"/>
        <v>17.515079252274376</v>
      </c>
      <c r="N53" s="11">
        <f t="shared" si="41"/>
        <v>20.322627805490022</v>
      </c>
      <c r="O53" s="11">
        <f t="shared" si="41"/>
        <v>21.574275275378017</v>
      </c>
      <c r="P53" s="11">
        <f t="shared" si="41"/>
        <v>18.284825755549242</v>
      </c>
      <c r="Q53" s="11">
        <f t="shared" si="41"/>
        <v>17.590992451700483</v>
      </c>
      <c r="R53" s="11">
        <f t="shared" si="41"/>
        <v>17.408565062988153</v>
      </c>
      <c r="S53" s="11">
        <f t="shared" si="41"/>
        <v>21.775700621426981</v>
      </c>
      <c r="T53" s="11">
        <f t="shared" si="41"/>
        <v>46.324246424493758</v>
      </c>
      <c r="U53" s="11">
        <f t="shared" si="41"/>
        <v>51.729669624206586</v>
      </c>
      <c r="V53" s="11">
        <f t="shared" si="41"/>
        <v>48.667384565615464</v>
      </c>
      <c r="W53" s="11">
        <f t="shared" si="41"/>
        <v>36.526595642577696</v>
      </c>
    </row>
    <row r="54" spans="3:26" x14ac:dyDescent="0.25">
      <c r="I54" s="30" t="s">
        <v>115</v>
      </c>
      <c r="J54" s="34">
        <v>0.10766199999999999</v>
      </c>
      <c r="L54" s="11">
        <f t="shared" ref="L54:W54" si="42">SUM(L43:L49)*$J54</f>
        <v>11.06973595070944</v>
      </c>
      <c r="M54" s="11">
        <f t="shared" si="42"/>
        <v>11.170332214498583</v>
      </c>
      <c r="N54" s="11">
        <f t="shared" si="42"/>
        <v>12.960860798243433</v>
      </c>
      <c r="O54" s="11">
        <f t="shared" si="42"/>
        <v>13.759105433777696</v>
      </c>
      <c r="P54" s="11">
        <f t="shared" si="42"/>
        <v>11.661242020768078</v>
      </c>
      <c r="Q54" s="11">
        <f t="shared" si="42"/>
        <v>11.218746249333451</v>
      </c>
      <c r="R54" s="11">
        <f t="shared" si="42"/>
        <v>11.102402240403229</v>
      </c>
      <c r="S54" s="11">
        <f t="shared" si="42"/>
        <v>13.887565488076058</v>
      </c>
      <c r="T54" s="11">
        <f t="shared" si="42"/>
        <v>29.543527305518779</v>
      </c>
      <c r="U54" s="11">
        <f t="shared" si="42"/>
        <v>32.990863856560061</v>
      </c>
      <c r="V54" s="11">
        <f t="shared" si="42"/>
        <v>31.037875751438222</v>
      </c>
      <c r="W54" s="11">
        <f t="shared" si="42"/>
        <v>23.295024939111684</v>
      </c>
    </row>
    <row r="55" spans="3:26" x14ac:dyDescent="0.25">
      <c r="I55" s="30" t="s">
        <v>116</v>
      </c>
      <c r="J55" s="31">
        <v>2.3567999999999999E-2</v>
      </c>
      <c r="L55" s="11">
        <f t="shared" ref="L55:W55" si="43">SUM(L43:L54)*$J55</f>
        <v>4.4289532805802994</v>
      </c>
      <c r="M55" s="11">
        <f t="shared" si="43"/>
        <v>4.4726389617506186</v>
      </c>
      <c r="N55" s="11">
        <f t="shared" si="43"/>
        <v>5.250207212195547</v>
      </c>
      <c r="O55" s="11">
        <f t="shared" si="43"/>
        <v>5.5968588603816221</v>
      </c>
      <c r="P55" s="11">
        <f t="shared" si="43"/>
        <v>4.6858251027888587</v>
      </c>
      <c r="Q55" s="11">
        <f t="shared" si="43"/>
        <v>4.4936636003435391</v>
      </c>
      <c r="R55" s="11">
        <f t="shared" si="43"/>
        <v>4.4431391863269702</v>
      </c>
      <c r="S55" s="11">
        <f t="shared" si="43"/>
        <v>5.6526448783093146</v>
      </c>
      <c r="T55" s="11">
        <f t="shared" si="43"/>
        <v>10.835029052886803</v>
      </c>
      <c r="U55" s="11">
        <f t="shared" si="43"/>
        <v>12.092889336296651</v>
      </c>
      <c r="V55" s="11">
        <f t="shared" si="43"/>
        <v>11.380285233090483</v>
      </c>
      <c r="W55" s="11">
        <f t="shared" si="43"/>
        <v>8.5550825373306427</v>
      </c>
    </row>
    <row r="56" spans="3:26" x14ac:dyDescent="0.25">
      <c r="L56" s="11">
        <f>SUM(L43:L55)</f>
        <v>192.35127509746334</v>
      </c>
      <c r="M56" s="11">
        <f>SUM(M43:M55)</f>
        <v>194.24856232184138</v>
      </c>
      <c r="N56" s="41">
        <f>SUM(N43:N55)</f>
        <v>228.01867344588305</v>
      </c>
      <c r="O56" s="41">
        <f t="shared" ref="O56:V56" si="44">SUM(O43:O55)</f>
        <v>243.07389808227666</v>
      </c>
      <c r="P56" s="11">
        <f t="shared" si="44"/>
        <v>203.50732471195633</v>
      </c>
      <c r="Q56" s="11">
        <f t="shared" si="44"/>
        <v>195.16167108267294</v>
      </c>
      <c r="R56" s="11">
        <f t="shared" si="44"/>
        <v>192.96737485872049</v>
      </c>
      <c r="S56" s="11">
        <f t="shared" si="44"/>
        <v>245.49670794302907</v>
      </c>
      <c r="T56" s="11">
        <f t="shared" si="44"/>
        <v>470.56979877822636</v>
      </c>
      <c r="U56" s="11">
        <f t="shared" si="44"/>
        <v>525.19919179287558</v>
      </c>
      <c r="V56" s="11">
        <f t="shared" si="44"/>
        <v>494.25050048642055</v>
      </c>
      <c r="W56" s="11">
        <f>SUM(W43:W55)</f>
        <v>371.55077743425204</v>
      </c>
      <c r="X56" s="11">
        <f>SUM(L56:W56)/12</f>
        <v>296.36631300296813</v>
      </c>
      <c r="Y56" s="3">
        <f>X56/X21-1</f>
        <v>-2.6795362985387428E-2</v>
      </c>
      <c r="Z56" s="11">
        <f>X56-X21</f>
        <v>-8.1598901521019229</v>
      </c>
    </row>
    <row r="59" spans="3:26" x14ac:dyDescent="0.25">
      <c r="K59" s="12" t="s">
        <v>3</v>
      </c>
      <c r="L59" s="39">
        <v>1897.4001947195645</v>
      </c>
      <c r="M59" s="40">
        <v>1919.7050125202022</v>
      </c>
      <c r="N59" s="40">
        <v>2316.7119422305777</v>
      </c>
      <c r="O59" s="40">
        <v>2493.7036165262366</v>
      </c>
      <c r="P59" s="40">
        <v>2028.55253202986</v>
      </c>
      <c r="Q59" s="40">
        <v>1930.4396679170363</v>
      </c>
      <c r="R59" s="40">
        <v>1904.6431639154189</v>
      </c>
      <c r="S59" s="40">
        <v>2522.1865640817327</v>
      </c>
      <c r="T59" s="40">
        <v>3282.1427110321783</v>
      </c>
      <c r="U59" s="40">
        <v>3656.505447794153</v>
      </c>
      <c r="V59" s="40">
        <v>3444.4211441377101</v>
      </c>
      <c r="W59" s="40">
        <v>2603.5880030953304</v>
      </c>
    </row>
    <row r="60" spans="3:26" ht="16.5" thickBot="1" x14ac:dyDescent="0.3">
      <c r="I60" s="63" t="s">
        <v>151</v>
      </c>
      <c r="J60" s="63"/>
      <c r="K60" s="12" t="s">
        <v>136</v>
      </c>
      <c r="L60" s="37" t="s">
        <v>124</v>
      </c>
      <c r="M60" s="37" t="s">
        <v>125</v>
      </c>
      <c r="N60" s="37" t="s">
        <v>126</v>
      </c>
      <c r="O60" s="37" t="s">
        <v>127</v>
      </c>
      <c r="P60" s="37" t="s">
        <v>128</v>
      </c>
      <c r="Q60" s="37" t="s">
        <v>129</v>
      </c>
      <c r="R60" s="37" t="s">
        <v>130</v>
      </c>
      <c r="S60" s="37" t="s">
        <v>131</v>
      </c>
      <c r="T60" s="37" t="s">
        <v>132</v>
      </c>
      <c r="U60" s="37" t="s">
        <v>133</v>
      </c>
      <c r="V60" s="37" t="s">
        <v>134</v>
      </c>
      <c r="W60" s="37" t="s">
        <v>135</v>
      </c>
    </row>
    <row r="61" spans="3:26" x14ac:dyDescent="0.25">
      <c r="F61" s="37" t="s">
        <v>153</v>
      </c>
      <c r="I61" s="32" t="s">
        <v>118</v>
      </c>
      <c r="J61" s="33">
        <v>10</v>
      </c>
      <c r="L61" s="11">
        <v>10</v>
      </c>
      <c r="M61" s="11">
        <f t="shared" ref="M61:W61" si="45">$J61</f>
        <v>10</v>
      </c>
      <c r="N61" s="11">
        <f t="shared" si="45"/>
        <v>10</v>
      </c>
      <c r="O61" s="11">
        <f t="shared" si="45"/>
        <v>10</v>
      </c>
      <c r="P61" s="11">
        <f t="shared" si="45"/>
        <v>10</v>
      </c>
      <c r="Q61" s="11">
        <f t="shared" si="45"/>
        <v>10</v>
      </c>
      <c r="R61" s="11">
        <f t="shared" si="45"/>
        <v>10</v>
      </c>
      <c r="S61" s="11">
        <f t="shared" si="45"/>
        <v>10</v>
      </c>
      <c r="T61" s="11">
        <f t="shared" si="45"/>
        <v>10</v>
      </c>
      <c r="U61" s="11">
        <f t="shared" si="45"/>
        <v>10</v>
      </c>
      <c r="V61" s="11">
        <f t="shared" si="45"/>
        <v>10</v>
      </c>
      <c r="W61" s="11">
        <f t="shared" si="45"/>
        <v>10</v>
      </c>
    </row>
    <row r="62" spans="3:26" x14ac:dyDescent="0.25">
      <c r="C62" s="36"/>
      <c r="D62" s="56" t="s">
        <v>119</v>
      </c>
      <c r="E62" s="57">
        <v>4.9754E-2</v>
      </c>
      <c r="F62" s="38">
        <f>E62+E$79</f>
        <v>5.755255297651591E-2</v>
      </c>
      <c r="I62" s="26" t="s">
        <v>119</v>
      </c>
      <c r="J62" s="27">
        <v>5.755255297651591E-2</v>
      </c>
      <c r="L62" s="11">
        <f>650*$J62</f>
        <v>37.409159434735344</v>
      </c>
      <c r="M62" s="11">
        <f t="shared" ref="M62:S62" si="46">650*$J62</f>
        <v>37.409159434735344</v>
      </c>
      <c r="N62" s="11">
        <f t="shared" si="46"/>
        <v>37.409159434735344</v>
      </c>
      <c r="O62" s="11">
        <f t="shared" si="46"/>
        <v>37.409159434735344</v>
      </c>
      <c r="P62" s="11">
        <f t="shared" si="46"/>
        <v>37.409159434735344</v>
      </c>
      <c r="Q62" s="11">
        <f t="shared" si="46"/>
        <v>37.409159434735344</v>
      </c>
      <c r="R62" s="11">
        <f t="shared" si="46"/>
        <v>37.409159434735344</v>
      </c>
      <c r="S62" s="11">
        <f t="shared" si="46"/>
        <v>37.409159434735344</v>
      </c>
      <c r="T62" s="11">
        <v>0</v>
      </c>
      <c r="U62" s="11">
        <v>0</v>
      </c>
      <c r="V62" s="11">
        <v>0</v>
      </c>
      <c r="W62" s="11">
        <v>0</v>
      </c>
    </row>
    <row r="63" spans="3:26" x14ac:dyDescent="0.25">
      <c r="C63" s="36"/>
      <c r="D63" s="56" t="s">
        <v>120</v>
      </c>
      <c r="E63" s="57">
        <v>4.2674999999999998E-2</v>
      </c>
      <c r="F63" s="38">
        <f t="shared" ref="F63:F66" si="47">E63+E$79</f>
        <v>5.0473552976515908E-2</v>
      </c>
      <c r="I63" s="26" t="s">
        <v>120</v>
      </c>
      <c r="J63" s="27">
        <v>5.0473552976515908E-2</v>
      </c>
      <c r="L63" s="11">
        <f>350*$J63</f>
        <v>17.665743541780568</v>
      </c>
      <c r="M63" s="11">
        <f t="shared" ref="M63:S63" si="48">350*$J63</f>
        <v>17.665743541780568</v>
      </c>
      <c r="N63" s="11">
        <f t="shared" si="48"/>
        <v>17.665743541780568</v>
      </c>
      <c r="O63" s="11">
        <f t="shared" si="48"/>
        <v>17.665743541780568</v>
      </c>
      <c r="P63" s="11">
        <f t="shared" si="48"/>
        <v>17.665743541780568</v>
      </c>
      <c r="Q63" s="11">
        <f t="shared" si="48"/>
        <v>17.665743541780568</v>
      </c>
      <c r="R63" s="11">
        <f t="shared" si="48"/>
        <v>17.665743541780568</v>
      </c>
      <c r="S63" s="11">
        <f t="shared" si="48"/>
        <v>17.665743541780568</v>
      </c>
      <c r="T63" s="11">
        <v>0</v>
      </c>
      <c r="U63" s="11">
        <v>0</v>
      </c>
      <c r="V63" s="11">
        <v>0</v>
      </c>
      <c r="W63" s="11">
        <v>0</v>
      </c>
    </row>
    <row r="64" spans="3:26" x14ac:dyDescent="0.25">
      <c r="C64" s="36"/>
      <c r="D64" s="58" t="s">
        <v>121</v>
      </c>
      <c r="E64" s="57">
        <v>4.1890999999999998E-2</v>
      </c>
      <c r="F64" s="38">
        <f t="shared" si="47"/>
        <v>4.9689552976515908E-2</v>
      </c>
      <c r="I64" s="35" t="s">
        <v>121</v>
      </c>
      <c r="J64" s="27">
        <v>4.9689552976515908E-2</v>
      </c>
      <c r="L64" s="11">
        <f t="shared" ref="L64:S64" si="49">(L59-1000)*$J64</f>
        <v>44.591414516653494</v>
      </c>
      <c r="M64" s="11">
        <f t="shared" si="49"/>
        <v>45.699730942389813</v>
      </c>
      <c r="N64" s="11">
        <f t="shared" si="49"/>
        <v>65.426827808277451</v>
      </c>
      <c r="O64" s="11">
        <f t="shared" si="49"/>
        <v>74.221464984593837</v>
      </c>
      <c r="P64" s="11">
        <f t="shared" si="49"/>
        <v>51.108315529427301</v>
      </c>
      <c r="Q64" s="11">
        <f t="shared" si="49"/>
        <v>46.233131170415447</v>
      </c>
      <c r="R64" s="11">
        <f t="shared" si="49"/>
        <v>44.951314418218168</v>
      </c>
      <c r="S64" s="11">
        <f t="shared" si="49"/>
        <v>75.636769916079984</v>
      </c>
      <c r="T64" s="11">
        <v>0</v>
      </c>
      <c r="U64" s="11">
        <v>0</v>
      </c>
      <c r="V64" s="11">
        <v>0</v>
      </c>
      <c r="W64" s="11">
        <v>0</v>
      </c>
    </row>
    <row r="65" spans="3:26" x14ac:dyDescent="0.25">
      <c r="C65" s="36"/>
      <c r="D65" s="56" t="s">
        <v>122</v>
      </c>
      <c r="E65" s="57">
        <v>4.9754E-2</v>
      </c>
      <c r="F65" s="38">
        <f t="shared" si="47"/>
        <v>5.755255297651591E-2</v>
      </c>
      <c r="I65" s="26" t="s">
        <v>122</v>
      </c>
      <c r="J65" s="27">
        <v>5.755255297651591E-2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f>650*$J65</f>
        <v>37.409159434735344</v>
      </c>
      <c r="U65" s="11">
        <f t="shared" ref="U65:W65" si="50">650*$J65</f>
        <v>37.409159434735344</v>
      </c>
      <c r="V65" s="11">
        <f t="shared" si="50"/>
        <v>37.409159434735344</v>
      </c>
      <c r="W65" s="11">
        <f t="shared" si="50"/>
        <v>37.409159434735344</v>
      </c>
    </row>
    <row r="66" spans="3:26" x14ac:dyDescent="0.25">
      <c r="C66" s="36"/>
      <c r="D66" s="56" t="s">
        <v>123</v>
      </c>
      <c r="E66" s="57">
        <v>8.2639000000000004E-2</v>
      </c>
      <c r="F66" s="38">
        <f t="shared" si="47"/>
        <v>9.0437552976515914E-2</v>
      </c>
      <c r="I66" s="26" t="s">
        <v>123</v>
      </c>
      <c r="J66" s="27">
        <v>9.0437552976515914E-2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f>350*$J66</f>
        <v>31.653143541780569</v>
      </c>
      <c r="U66" s="11">
        <f t="shared" ref="U66:W66" si="51">350*$J66</f>
        <v>31.653143541780569</v>
      </c>
      <c r="V66" s="11">
        <f t="shared" si="51"/>
        <v>31.653143541780569</v>
      </c>
      <c r="W66" s="11">
        <f t="shared" si="51"/>
        <v>31.653143541780569</v>
      </c>
    </row>
    <row r="67" spans="3:26" x14ac:dyDescent="0.25">
      <c r="C67" s="36"/>
      <c r="D67" s="58" t="s">
        <v>121</v>
      </c>
      <c r="E67" s="57">
        <v>8.5531999999999997E-2</v>
      </c>
      <c r="F67" s="38">
        <f>E67+E$79</f>
        <v>9.3330552976515907E-2</v>
      </c>
      <c r="I67" s="35" t="s">
        <v>156</v>
      </c>
      <c r="J67" s="27">
        <v>9.3330552976515907E-2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f>(T59-1000)*$J67</f>
        <v>212.99364119195835</v>
      </c>
      <c r="U67" s="11">
        <f>(U59-1000)*$J67</f>
        <v>247.93312242775531</v>
      </c>
      <c r="V67" s="11">
        <f>(V59-1000)*$J67</f>
        <v>228.13917708986017</v>
      </c>
      <c r="W67" s="11">
        <f>(W59-1000)*$J67</f>
        <v>149.66375507539408</v>
      </c>
    </row>
    <row r="68" spans="3:26" x14ac:dyDescent="0.25">
      <c r="I68" s="64" t="s">
        <v>112</v>
      </c>
      <c r="J68" s="27">
        <v>3.1718000000000003E-2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f>T59*$J68</f>
        <v>104.10300250851864</v>
      </c>
      <c r="U68" s="11">
        <f>U59*$J68</f>
        <v>115.97703979313496</v>
      </c>
      <c r="V68" s="11">
        <f>V59*$J68</f>
        <v>109.25014984975991</v>
      </c>
      <c r="W68" s="11">
        <f>W59*$J68</f>
        <v>82.580604282177703</v>
      </c>
    </row>
    <row r="69" spans="3:26" x14ac:dyDescent="0.25">
      <c r="I69" s="64"/>
      <c r="J69" s="27">
        <v>2.8812999999999998E-2</v>
      </c>
      <c r="L69" s="11">
        <f t="shared" ref="L69:S69" si="52">L59*$J69</f>
        <v>54.669791810454811</v>
      </c>
      <c r="M69" s="11">
        <f t="shared" si="52"/>
        <v>55.312460525744584</v>
      </c>
      <c r="N69" s="11">
        <f t="shared" si="52"/>
        <v>66.751421191489626</v>
      </c>
      <c r="O69" s="11">
        <f t="shared" si="52"/>
        <v>71.851082302970454</v>
      </c>
      <c r="P69" s="11">
        <f t="shared" si="52"/>
        <v>58.448684105376351</v>
      </c>
      <c r="Q69" s="11">
        <f t="shared" si="52"/>
        <v>55.621758151693562</v>
      </c>
      <c r="R69" s="11">
        <f t="shared" si="52"/>
        <v>54.878483481894961</v>
      </c>
      <c r="S69" s="11">
        <f t="shared" si="52"/>
        <v>72.671761470886963</v>
      </c>
      <c r="T69" s="11">
        <v>0</v>
      </c>
      <c r="U69" s="11">
        <v>0</v>
      </c>
      <c r="V69" s="11">
        <v>0</v>
      </c>
      <c r="W69" s="11">
        <v>0</v>
      </c>
    </row>
    <row r="70" spans="3:26" x14ac:dyDescent="0.25">
      <c r="I70" s="28" t="s">
        <v>144</v>
      </c>
      <c r="J70" s="29">
        <v>1.9511000000000001E-2</v>
      </c>
      <c r="L70" s="11">
        <f t="shared" ref="L70:W70" si="53">SUM(L61:L67)*$J70</f>
        <v>2.1396995206092284</v>
      </c>
      <c r="M70" s="11">
        <f t="shared" si="53"/>
        <v>2.1613238823917698</v>
      </c>
      <c r="N70" s="11">
        <f t="shared" si="53"/>
        <v>2.5462192693421035</v>
      </c>
      <c r="O70" s="11">
        <f t="shared" si="53"/>
        <v>2.7178114352892124</v>
      </c>
      <c r="P70" s="11">
        <f t="shared" si="53"/>
        <v>2.2668507762694583</v>
      </c>
      <c r="Q70" s="11">
        <f t="shared" si="53"/>
        <v>2.1717310542407779</v>
      </c>
      <c r="R70" s="11">
        <f t="shared" si="53"/>
        <v>2.1467215275886571</v>
      </c>
      <c r="S70" s="11">
        <f t="shared" si="53"/>
        <v>2.7454254498074389</v>
      </c>
      <c r="T70" s="11">
        <f t="shared" si="53"/>
        <v>5.6983035266711015</v>
      </c>
      <c r="U70" s="11">
        <f t="shared" si="53"/>
        <v>6.3800077450627359</v>
      </c>
      <c r="V70" s="11">
        <f t="shared" si="53"/>
        <v>5.9938080775750633</v>
      </c>
      <c r="W70" s="11">
        <f t="shared" si="53"/>
        <v>4.4626741186508161</v>
      </c>
    </row>
    <row r="71" spans="3:26" x14ac:dyDescent="0.25">
      <c r="I71" s="30" t="s">
        <v>145</v>
      </c>
      <c r="J71" s="31">
        <v>0.16881399999999999</v>
      </c>
      <c r="L71" s="11">
        <f t="shared" ref="L71:W71" si="54">SUM(L61:L67)*$J71</f>
        <v>18.513209721291897</v>
      </c>
      <c r="M71" s="11">
        <f t="shared" si="54"/>
        <v>18.700309050386149</v>
      </c>
      <c r="N71" s="11">
        <f t="shared" si="54"/>
        <v>22.030519180704108</v>
      </c>
      <c r="O71" s="11">
        <f t="shared" si="54"/>
        <v>23.51517706098678</v>
      </c>
      <c r="P71" s="11">
        <f t="shared" si="54"/>
        <v>19.613353848862296</v>
      </c>
      <c r="Q71" s="11">
        <f t="shared" si="54"/>
        <v>18.790354476480069</v>
      </c>
      <c r="R71" s="11">
        <f t="shared" si="54"/>
        <v>18.57396586327464</v>
      </c>
      <c r="S71" s="11">
        <f t="shared" si="54"/>
        <v>23.754100347690684</v>
      </c>
      <c r="T71" s="11">
        <f t="shared" si="54"/>
        <v>49.303132158856805</v>
      </c>
      <c r="U71" s="11">
        <f t="shared" si="54"/>
        <v>55.201405744196634</v>
      </c>
      <c r="V71" s="11">
        <f t="shared" si="54"/>
        <v>51.859910655925205</v>
      </c>
      <c r="W71" s="11">
        <f t="shared" si="54"/>
        <v>38.612160763975133</v>
      </c>
    </row>
    <row r="72" spans="3:26" x14ac:dyDescent="0.25">
      <c r="D72" s="12" t="s">
        <v>87</v>
      </c>
      <c r="E72" s="11">
        <v>7.95</v>
      </c>
      <c r="I72" s="30" t="s">
        <v>115</v>
      </c>
      <c r="J72" s="34">
        <v>0.10766199999999999</v>
      </c>
      <c r="L72" s="11">
        <f t="shared" ref="L72:W72" si="55">SUM(L61:L67)*$J72</f>
        <v>11.806895073949603</v>
      </c>
      <c r="M72" s="11">
        <f t="shared" si="55"/>
        <v>11.926218636977227</v>
      </c>
      <c r="N72" s="11">
        <f t="shared" si="55"/>
        <v>14.050077339752423</v>
      </c>
      <c r="O72" s="11">
        <f t="shared" si="55"/>
        <v>14.996925567428997</v>
      </c>
      <c r="P72" s="11">
        <f t="shared" si="55"/>
        <v>12.508517670786858</v>
      </c>
      <c r="Q72" s="11">
        <f t="shared" si="55"/>
        <v>11.983645572326923</v>
      </c>
      <c r="R72" s="11">
        <f t="shared" si="55"/>
        <v>11.84564261715186</v>
      </c>
      <c r="S72" s="11">
        <f t="shared" si="55"/>
        <v>15.149300126962661</v>
      </c>
      <c r="T72" s="11">
        <f t="shared" si="55"/>
        <v>31.44332706106627</v>
      </c>
      <c r="U72" s="11">
        <f t="shared" si="55"/>
        <v>35.204981489874648</v>
      </c>
      <c r="V72" s="11">
        <f t="shared" si="55"/>
        <v>33.073925746906177</v>
      </c>
      <c r="W72" s="11">
        <f t="shared" si="55"/>
        <v>24.625104861984735</v>
      </c>
    </row>
    <row r="73" spans="3:26" x14ac:dyDescent="0.25">
      <c r="D73" s="12" t="s">
        <v>14</v>
      </c>
      <c r="E73" s="2">
        <v>2157524</v>
      </c>
      <c r="I73" s="30" t="s">
        <v>116</v>
      </c>
      <c r="J73" s="31">
        <v>2.3567999999999999E-2</v>
      </c>
      <c r="L73" s="11">
        <f t="shared" ref="L73:W73" si="56">SUM(L61:L72)*$J73</f>
        <v>4.6380860921837845</v>
      </c>
      <c r="M73" s="11">
        <f t="shared" si="56"/>
        <v>4.6870847276675072</v>
      </c>
      <c r="N73" s="11">
        <f t="shared" si="56"/>
        <v>5.5592190803110118</v>
      </c>
      <c r="O73" s="11">
        <f t="shared" si="56"/>
        <v>5.9480297224772407</v>
      </c>
      <c r="P73" s="11">
        <f t="shared" si="56"/>
        <v>4.9261980878137885</v>
      </c>
      <c r="Q73" s="11">
        <f t="shared" si="56"/>
        <v>4.7106663355306226</v>
      </c>
      <c r="R73" s="11">
        <f t="shared" si="56"/>
        <v>4.653997255889295</v>
      </c>
      <c r="S73" s="11">
        <f t="shared" si="56"/>
        <v>6.0106003104662564</v>
      </c>
      <c r="T73" s="11">
        <f t="shared" si="56"/>
        <v>11.374004223695099</v>
      </c>
      <c r="U73" s="11">
        <f t="shared" si="56"/>
        <v>12.7210368166407</v>
      </c>
      <c r="V73" s="11">
        <f t="shared" si="56"/>
        <v>11.957914738977712</v>
      </c>
      <c r="W73" s="11">
        <f t="shared" si="56"/>
        <v>8.9324275977907615</v>
      </c>
    </row>
    <row r="74" spans="3:26" x14ac:dyDescent="0.25">
      <c r="D74" s="12" t="s">
        <v>80</v>
      </c>
      <c r="E74" s="2">
        <f>E73*12</f>
        <v>25890288</v>
      </c>
      <c r="L74" s="11">
        <f>SUM(L61:L73)</f>
        <v>201.43399971165871</v>
      </c>
      <c r="M74" s="11">
        <f>SUM(M61:M73)</f>
        <v>203.56203074207295</v>
      </c>
      <c r="N74" s="41">
        <f>SUM(N61:N73)</f>
        <v>241.43918684639266</v>
      </c>
      <c r="O74" s="41">
        <f t="shared" ref="O74" si="57">SUM(O61:O73)</f>
        <v>258.32539405026245</v>
      </c>
      <c r="P74" s="11">
        <f t="shared" ref="P74" si="58">SUM(P61:P73)</f>
        <v>213.94682299505195</v>
      </c>
      <c r="Q74" s="11">
        <f t="shared" ref="Q74" si="59">SUM(Q61:Q73)</f>
        <v>204.58618973720334</v>
      </c>
      <c r="R74" s="11">
        <f t="shared" ref="R74" si="60">SUM(R61:R73)</f>
        <v>202.12502814053352</v>
      </c>
      <c r="S74" s="11">
        <f t="shared" ref="S74" si="61">SUM(S61:S73)</f>
        <v>261.0428605984099</v>
      </c>
      <c r="T74" s="11">
        <f t="shared" ref="T74" si="62">SUM(T61:T73)</f>
        <v>493.97771364728214</v>
      </c>
      <c r="U74" s="11">
        <f t="shared" ref="U74" si="63">SUM(U61:U73)</f>
        <v>552.47989699318089</v>
      </c>
      <c r="V74" s="11">
        <f t="shared" ref="V74" si="64">SUM(V61:V73)</f>
        <v>519.33718913552013</v>
      </c>
      <c r="W74" s="11">
        <f>SUM(W61:W73)</f>
        <v>387.9390296764891</v>
      </c>
      <c r="X74" s="11">
        <f>SUM(L74:W74)/12</f>
        <v>311.68294518950478</v>
      </c>
      <c r="Y74" s="3">
        <f>X74/X21-1</f>
        <v>2.3501235559655331E-2</v>
      </c>
      <c r="Z74" s="11">
        <f>X74-X21</f>
        <v>7.1567420344347283</v>
      </c>
    </row>
    <row r="75" spans="3:26" x14ac:dyDescent="0.25">
      <c r="D75" s="12" t="s">
        <v>99</v>
      </c>
      <c r="E75" s="15">
        <f>E72*E74</f>
        <v>205827789.59999999</v>
      </c>
    </row>
    <row r="77" spans="3:26" x14ac:dyDescent="0.25">
      <c r="D77" s="12" t="s">
        <v>88</v>
      </c>
      <c r="E77" s="17">
        <v>26393074487</v>
      </c>
    </row>
    <row r="79" spans="3:26" x14ac:dyDescent="0.25">
      <c r="D79" s="12" t="s">
        <v>152</v>
      </c>
      <c r="E79" s="16">
        <f>E75/E77</f>
        <v>7.7985529765159109E-3</v>
      </c>
    </row>
  </sheetData>
  <mergeCells count="8">
    <mergeCell ref="I60:J60"/>
    <mergeCell ref="I68:I69"/>
    <mergeCell ref="I7:J7"/>
    <mergeCell ref="I15:I16"/>
    <mergeCell ref="I24:J24"/>
    <mergeCell ref="I32:I33"/>
    <mergeCell ref="I42:J42"/>
    <mergeCell ref="I50:I5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28"/>
  <sheetViews>
    <sheetView topLeftCell="A2" workbookViewId="0">
      <selection activeCell="B5" sqref="B5"/>
    </sheetView>
  </sheetViews>
  <sheetFormatPr defaultColWidth="11" defaultRowHeight="15.75" x14ac:dyDescent="0.25"/>
  <cols>
    <col min="1" max="1" width="20.5" customWidth="1"/>
    <col min="2" max="2" width="23.375" customWidth="1"/>
    <col min="5" max="5" width="12.125" bestFit="1" customWidth="1"/>
  </cols>
  <sheetData>
    <row r="2" spans="1:5" x14ac:dyDescent="0.25">
      <c r="B2" s="20" t="s">
        <v>107</v>
      </c>
      <c r="E2" s="12"/>
    </row>
    <row r="3" spans="1:5" x14ac:dyDescent="0.25">
      <c r="A3" s="12" t="s">
        <v>87</v>
      </c>
      <c r="B3" s="11">
        <v>7.95</v>
      </c>
    </row>
    <row r="4" spans="1:5" x14ac:dyDescent="0.25">
      <c r="A4" s="12" t="s">
        <v>14</v>
      </c>
      <c r="B4" s="2">
        <v>2157524</v>
      </c>
    </row>
    <row r="5" spans="1:5" x14ac:dyDescent="0.25">
      <c r="A5" s="12" t="s">
        <v>80</v>
      </c>
      <c r="B5" s="2">
        <f>B4*12</f>
        <v>25890288</v>
      </c>
    </row>
    <row r="6" spans="1:5" x14ac:dyDescent="0.25">
      <c r="A6" s="12" t="s">
        <v>99</v>
      </c>
      <c r="B6" s="15">
        <f>B3*B5</f>
        <v>205827789.59999999</v>
      </c>
    </row>
    <row r="8" spans="1:5" x14ac:dyDescent="0.25">
      <c r="A8" s="12" t="s">
        <v>88</v>
      </c>
      <c r="B8" s="17">
        <v>26393074487</v>
      </c>
    </row>
    <row r="10" spans="1:5" x14ac:dyDescent="0.25">
      <c r="A10" s="12" t="s">
        <v>89</v>
      </c>
      <c r="B10" s="16">
        <f>B6/B8</f>
        <v>7.7985529765159109E-3</v>
      </c>
    </row>
    <row r="12" spans="1:5" x14ac:dyDescent="0.25">
      <c r="A12" s="12" t="s">
        <v>90</v>
      </c>
      <c r="B12">
        <v>12.75</v>
      </c>
    </row>
    <row r="13" spans="1:5" x14ac:dyDescent="0.25">
      <c r="A13" s="12" t="s">
        <v>92</v>
      </c>
      <c r="B13">
        <v>123.31</v>
      </c>
      <c r="C13" t="s">
        <v>91</v>
      </c>
    </row>
    <row r="14" spans="1:5" x14ac:dyDescent="0.25">
      <c r="A14" s="12" t="s">
        <v>93</v>
      </c>
      <c r="B14">
        <f>B13-B12</f>
        <v>110.56</v>
      </c>
    </row>
    <row r="15" spans="1:5" x14ac:dyDescent="0.25">
      <c r="A15" s="12" t="s">
        <v>94</v>
      </c>
      <c r="B15">
        <v>1000</v>
      </c>
    </row>
    <row r="16" spans="1:5" x14ac:dyDescent="0.25">
      <c r="A16" s="12" t="s">
        <v>95</v>
      </c>
      <c r="B16">
        <f>B14/B15</f>
        <v>0.11056000000000001</v>
      </c>
    </row>
    <row r="18" spans="1:5" x14ac:dyDescent="0.25">
      <c r="A18" s="12" t="s">
        <v>96</v>
      </c>
      <c r="B18" s="16">
        <f>B16+B10</f>
        <v>0.11835855297651592</v>
      </c>
      <c r="E18" s="16"/>
    </row>
    <row r="19" spans="1:5" x14ac:dyDescent="0.25">
      <c r="A19" s="12" t="s">
        <v>97</v>
      </c>
      <c r="B19" s="3">
        <f>B18/B16-1</f>
        <v>7.0536839512625793E-2</v>
      </c>
      <c r="C19" s="3"/>
      <c r="D19" s="3"/>
      <c r="E19" s="3"/>
    </row>
    <row r="21" spans="1:5" x14ac:dyDescent="0.25">
      <c r="A21" s="12" t="s">
        <v>98</v>
      </c>
      <c r="B21">
        <v>-0.3</v>
      </c>
    </row>
    <row r="23" spans="1:5" x14ac:dyDescent="0.25">
      <c r="A23" s="12" t="s">
        <v>100</v>
      </c>
      <c r="B23" s="3">
        <f>B19*-(B21)</f>
        <v>2.1161051853787739E-2</v>
      </c>
    </row>
    <row r="25" spans="1:5" x14ac:dyDescent="0.25">
      <c r="A25" s="12" t="s">
        <v>101</v>
      </c>
      <c r="B25" s="18">
        <f>B23*B8</f>
        <v>558505217.80028927</v>
      </c>
    </row>
    <row r="27" spans="1:5" x14ac:dyDescent="0.25">
      <c r="A27" s="12" t="s">
        <v>104</v>
      </c>
      <c r="B27" s="2">
        <v>394209</v>
      </c>
    </row>
    <row r="28" spans="1:5" x14ac:dyDescent="0.25">
      <c r="A28" s="12" t="s">
        <v>105</v>
      </c>
      <c r="B28" s="2">
        <v>366611</v>
      </c>
      <c r="D28" s="19" t="s">
        <v>106</v>
      </c>
    </row>
  </sheetData>
  <hyperlinks>
    <hyperlink ref="D28" r:id="rId1" xr:uid="{00000000-0004-0000-09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29"/>
  <sheetViews>
    <sheetView topLeftCell="A2" workbookViewId="0">
      <selection activeCell="B5" sqref="B5"/>
    </sheetView>
  </sheetViews>
  <sheetFormatPr defaultColWidth="11" defaultRowHeight="15.75" x14ac:dyDescent="0.25"/>
  <cols>
    <col min="1" max="1" width="20.5" customWidth="1"/>
    <col min="2" max="2" width="21.5" customWidth="1"/>
  </cols>
  <sheetData>
    <row r="2" spans="1:5" x14ac:dyDescent="0.25">
      <c r="B2" s="12" t="s">
        <v>108</v>
      </c>
      <c r="E2" s="12"/>
    </row>
    <row r="3" spans="1:5" x14ac:dyDescent="0.25">
      <c r="A3" s="12" t="s">
        <v>87</v>
      </c>
      <c r="B3" s="11">
        <v>10.62</v>
      </c>
    </row>
    <row r="4" spans="1:5" x14ac:dyDescent="0.25">
      <c r="A4" s="12" t="s">
        <v>14</v>
      </c>
      <c r="B4" s="2">
        <v>2157524</v>
      </c>
    </row>
    <row r="5" spans="1:5" x14ac:dyDescent="0.25">
      <c r="A5" s="12" t="s">
        <v>80</v>
      </c>
      <c r="B5" s="2">
        <f>B4*12</f>
        <v>25890288</v>
      </c>
    </row>
    <row r="6" spans="1:5" x14ac:dyDescent="0.25">
      <c r="A6" s="12" t="s">
        <v>99</v>
      </c>
      <c r="B6" s="15">
        <f>B3*B5</f>
        <v>274954858.56</v>
      </c>
    </row>
    <row r="8" spans="1:5" x14ac:dyDescent="0.25">
      <c r="A8" s="12" t="s">
        <v>88</v>
      </c>
      <c r="B8" s="17">
        <v>26393074487</v>
      </c>
    </row>
    <row r="10" spans="1:5" x14ac:dyDescent="0.25">
      <c r="A10" s="12" t="s">
        <v>89</v>
      </c>
      <c r="B10" s="16">
        <f>B6/B8</f>
        <v>1.041768963655333E-2</v>
      </c>
    </row>
    <row r="12" spans="1:5" x14ac:dyDescent="0.25">
      <c r="A12" s="12" t="s">
        <v>90</v>
      </c>
      <c r="B12">
        <v>12.75</v>
      </c>
    </row>
    <row r="13" spans="1:5" x14ac:dyDescent="0.25">
      <c r="A13" s="12" t="s">
        <v>103</v>
      </c>
      <c r="B13">
        <v>123.31</v>
      </c>
    </row>
    <row r="14" spans="1:5" x14ac:dyDescent="0.25">
      <c r="A14" s="12" t="s">
        <v>93</v>
      </c>
      <c r="B14">
        <f>B13-B12</f>
        <v>110.56</v>
      </c>
    </row>
    <row r="15" spans="1:5" x14ac:dyDescent="0.25">
      <c r="A15" s="12" t="s">
        <v>102</v>
      </c>
      <c r="B15">
        <v>1000</v>
      </c>
    </row>
    <row r="16" spans="1:5" x14ac:dyDescent="0.25">
      <c r="A16" s="12" t="s">
        <v>95</v>
      </c>
      <c r="B16">
        <f>B14/B15</f>
        <v>0.11056000000000001</v>
      </c>
    </row>
    <row r="18" spans="1:4" x14ac:dyDescent="0.25">
      <c r="A18" s="12" t="s">
        <v>96</v>
      </c>
      <c r="B18" s="16">
        <f>B16+B10</f>
        <v>0.12097768963655334</v>
      </c>
    </row>
    <row r="19" spans="1:4" x14ac:dyDescent="0.25">
      <c r="A19" s="12" t="s">
        <v>97</v>
      </c>
      <c r="B19" s="3">
        <f>B18/B16-1</f>
        <v>9.422657051875305E-2</v>
      </c>
    </row>
    <row r="21" spans="1:4" x14ac:dyDescent="0.25">
      <c r="A21" s="12" t="s">
        <v>98</v>
      </c>
      <c r="B21">
        <v>-0.3</v>
      </c>
    </row>
    <row r="23" spans="1:4" x14ac:dyDescent="0.25">
      <c r="A23" s="12" t="s">
        <v>100</v>
      </c>
      <c r="B23" s="3">
        <f>B19*-(B21)</f>
        <v>2.8267971155625914E-2</v>
      </c>
    </row>
    <row r="25" spans="1:4" x14ac:dyDescent="0.25">
      <c r="A25" s="12" t="s">
        <v>101</v>
      </c>
      <c r="B25" s="18">
        <f>B23*B8</f>
        <v>746078668.30680227</v>
      </c>
    </row>
    <row r="27" spans="1:4" x14ac:dyDescent="0.25">
      <c r="A27" s="12" t="s">
        <v>104</v>
      </c>
      <c r="B27" s="2">
        <v>394209</v>
      </c>
    </row>
    <row r="28" spans="1:4" x14ac:dyDescent="0.25">
      <c r="A28" s="12" t="s">
        <v>105</v>
      </c>
      <c r="B28" s="2">
        <v>366611</v>
      </c>
    </row>
    <row r="29" spans="1:4" x14ac:dyDescent="0.25">
      <c r="D29" s="19" t="s">
        <v>106</v>
      </c>
    </row>
  </sheetData>
  <hyperlinks>
    <hyperlink ref="D29" r:id="rId1" xr:uid="{00000000-0004-0000-0A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9"/>
  <sheetViews>
    <sheetView workbookViewId="0">
      <selection activeCell="B39" sqref="B39"/>
    </sheetView>
  </sheetViews>
  <sheetFormatPr defaultColWidth="11" defaultRowHeight="15.75" x14ac:dyDescent="0.25"/>
  <cols>
    <col min="1" max="1" width="28" customWidth="1"/>
    <col min="2" max="2" width="13.625" bestFit="1" customWidth="1"/>
    <col min="5" max="5" width="17.625" customWidth="1"/>
    <col min="12" max="12" width="12.125" bestFit="1" customWidth="1"/>
  </cols>
  <sheetData>
    <row r="1" spans="1:2" x14ac:dyDescent="0.25">
      <c r="B1" s="12" t="s">
        <v>85</v>
      </c>
    </row>
    <row r="2" spans="1:2" x14ac:dyDescent="0.25">
      <c r="A2" s="12" t="s">
        <v>84</v>
      </c>
    </row>
    <row r="3" spans="1:2" x14ac:dyDescent="0.25">
      <c r="A3" s="13" t="s">
        <v>62</v>
      </c>
      <c r="B3" s="14">
        <v>261009000</v>
      </c>
    </row>
    <row r="4" spans="1:2" x14ac:dyDescent="0.25">
      <c r="A4" t="s">
        <v>63</v>
      </c>
      <c r="B4" s="14">
        <v>902277000</v>
      </c>
    </row>
    <row r="6" spans="1:2" x14ac:dyDescent="0.25">
      <c r="A6" s="12" t="s">
        <v>64</v>
      </c>
    </row>
    <row r="7" spans="1:2" x14ac:dyDescent="0.25">
      <c r="A7" t="s">
        <v>62</v>
      </c>
      <c r="B7" s="15">
        <v>72973000</v>
      </c>
    </row>
    <row r="8" spans="1:2" x14ac:dyDescent="0.25">
      <c r="A8" t="s">
        <v>63</v>
      </c>
      <c r="B8" s="15">
        <v>265574000</v>
      </c>
    </row>
    <row r="9" spans="1:2" x14ac:dyDescent="0.25">
      <c r="B9" s="15"/>
    </row>
    <row r="10" spans="1:2" x14ac:dyDescent="0.25">
      <c r="A10" s="12" t="s">
        <v>65</v>
      </c>
      <c r="B10" s="15"/>
    </row>
    <row r="11" spans="1:2" x14ac:dyDescent="0.25">
      <c r="A11" t="s">
        <v>62</v>
      </c>
      <c r="B11" s="14">
        <f>B3-B7</f>
        <v>188036000</v>
      </c>
    </row>
    <row r="12" spans="1:2" x14ac:dyDescent="0.25">
      <c r="A12" t="s">
        <v>63</v>
      </c>
      <c r="B12" s="14">
        <f>B4-B8</f>
        <v>636703000</v>
      </c>
    </row>
    <row r="13" spans="1:2" x14ac:dyDescent="0.25">
      <c r="A13" t="s">
        <v>59</v>
      </c>
      <c r="B13" s="14">
        <f>SUM(B11:B12)</f>
        <v>824739000</v>
      </c>
    </row>
    <row r="15" spans="1:2" x14ac:dyDescent="0.25">
      <c r="A15" s="12" t="s">
        <v>66</v>
      </c>
    </row>
    <row r="16" spans="1:2" x14ac:dyDescent="0.25">
      <c r="A16" s="13" t="s">
        <v>67</v>
      </c>
      <c r="B16" s="14">
        <v>17413000</v>
      </c>
    </row>
    <row r="17" spans="1:7" x14ac:dyDescent="0.25">
      <c r="A17" s="13" t="s">
        <v>68</v>
      </c>
      <c r="B17" s="14">
        <v>3766000</v>
      </c>
    </row>
    <row r="18" spans="1:7" x14ac:dyDescent="0.25">
      <c r="A18" s="13" t="s">
        <v>69</v>
      </c>
      <c r="B18" s="14">
        <v>2175000</v>
      </c>
    </row>
    <row r="19" spans="1:7" x14ac:dyDescent="0.25">
      <c r="A19" s="13" t="s">
        <v>70</v>
      </c>
      <c r="B19" s="14">
        <v>8241000</v>
      </c>
    </row>
    <row r="20" spans="1:7" x14ac:dyDescent="0.25">
      <c r="A20" s="13" t="s">
        <v>71</v>
      </c>
      <c r="B20" s="14">
        <v>75577000</v>
      </c>
    </row>
    <row r="21" spans="1:7" x14ac:dyDescent="0.25">
      <c r="A21" s="13" t="s">
        <v>83</v>
      </c>
      <c r="B21" s="14">
        <f>SUM(B16:B20)</f>
        <v>107172000</v>
      </c>
    </row>
    <row r="23" spans="1:7" x14ac:dyDescent="0.25">
      <c r="A23" s="12" t="s">
        <v>72</v>
      </c>
    </row>
    <row r="24" spans="1:7" x14ac:dyDescent="0.25">
      <c r="A24" s="13" t="s">
        <v>63</v>
      </c>
      <c r="B24" s="14">
        <v>22275000</v>
      </c>
    </row>
    <row r="25" spans="1:7" x14ac:dyDescent="0.25">
      <c r="A25" s="13" t="s">
        <v>62</v>
      </c>
      <c r="B25" s="14">
        <v>6348000</v>
      </c>
    </row>
    <row r="26" spans="1:7" x14ac:dyDescent="0.25">
      <c r="A26" s="13" t="s">
        <v>82</v>
      </c>
      <c r="B26" s="14">
        <f>SUM(B24:B25)</f>
        <v>28623000</v>
      </c>
    </row>
    <row r="27" spans="1:7" x14ac:dyDescent="0.25">
      <c r="B27" s="14"/>
    </row>
    <row r="28" spans="1:7" x14ac:dyDescent="0.25">
      <c r="A28" s="12" t="s">
        <v>73</v>
      </c>
      <c r="B28" s="14">
        <f>B21+B26</f>
        <v>135795000</v>
      </c>
      <c r="E28" s="12" t="s">
        <v>74</v>
      </c>
      <c r="F28" s="3">
        <v>0.25469999999999998</v>
      </c>
      <c r="G28" s="3"/>
    </row>
    <row r="29" spans="1:7" x14ac:dyDescent="0.25">
      <c r="A29" s="12" t="s">
        <v>77</v>
      </c>
      <c r="B29" s="14">
        <f>B13*F29</f>
        <v>65401802.699999996</v>
      </c>
      <c r="E29" s="12" t="s">
        <v>75</v>
      </c>
      <c r="F29" s="3">
        <v>7.9299999999999995E-2</v>
      </c>
    </row>
    <row r="30" spans="1:7" x14ac:dyDescent="0.25">
      <c r="A30" s="12" t="s">
        <v>76</v>
      </c>
      <c r="B30" s="14">
        <f>B29*F28</f>
        <v>16657839.147689998</v>
      </c>
    </row>
    <row r="31" spans="1:7" x14ac:dyDescent="0.25">
      <c r="A31" s="12" t="s">
        <v>78</v>
      </c>
      <c r="B31" s="14">
        <v>9956000</v>
      </c>
    </row>
    <row r="32" spans="1:7" x14ac:dyDescent="0.25">
      <c r="A32" s="13"/>
    </row>
    <row r="33" spans="1:4" x14ac:dyDescent="0.25">
      <c r="A33" s="12" t="s">
        <v>79</v>
      </c>
      <c r="B33" s="14">
        <f>SUM(B28:B31)</f>
        <v>227810641.84768999</v>
      </c>
    </row>
    <row r="34" spans="1:4" x14ac:dyDescent="0.25">
      <c r="A34" s="13" t="s">
        <v>14</v>
      </c>
      <c r="B34" s="2">
        <v>2127564</v>
      </c>
    </row>
    <row r="35" spans="1:4" x14ac:dyDescent="0.25">
      <c r="A35" s="13" t="s">
        <v>80</v>
      </c>
      <c r="B35" s="2">
        <f>B34*12</f>
        <v>25530768</v>
      </c>
      <c r="C35" s="11"/>
    </row>
    <row r="37" spans="1:4" x14ac:dyDescent="0.25">
      <c r="A37" s="12" t="s">
        <v>81</v>
      </c>
      <c r="B37" s="11">
        <f>B33/B35</f>
        <v>8.9229842928222922</v>
      </c>
    </row>
    <row r="38" spans="1:4" x14ac:dyDescent="0.25">
      <c r="A38" t="s">
        <v>86</v>
      </c>
      <c r="B38" s="11">
        <f>B37*1.069</f>
        <v>9.5386702090270301</v>
      </c>
    </row>
    <row r="39" spans="1:4" x14ac:dyDescent="0.25">
      <c r="D39" s="11"/>
    </row>
  </sheetData>
  <pageMargins left="0.75" right="0.75" top="1" bottom="1" header="0.5" footer="0.5"/>
  <pageSetup paperSize="429496729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workbookViewId="0">
      <selection activeCell="B22" sqref="B22"/>
    </sheetView>
  </sheetViews>
  <sheetFormatPr defaultColWidth="11" defaultRowHeight="15.75" x14ac:dyDescent="0.25"/>
  <cols>
    <col min="1" max="1" width="28.5" customWidth="1"/>
    <col min="2" max="3" width="14.625" customWidth="1"/>
  </cols>
  <sheetData>
    <row r="1" spans="1:6" ht="47.25" x14ac:dyDescent="0.25">
      <c r="A1" s="9" t="s">
        <v>52</v>
      </c>
      <c r="B1" s="9" t="s">
        <v>51</v>
      </c>
      <c r="C1" s="9" t="s">
        <v>53</v>
      </c>
      <c r="D1" s="8" t="s">
        <v>50</v>
      </c>
    </row>
    <row r="2" spans="1:6" x14ac:dyDescent="0.25">
      <c r="A2" s="7" t="s">
        <v>49</v>
      </c>
      <c r="B2" s="5">
        <f>0.9*365/12</f>
        <v>27.375</v>
      </c>
      <c r="C2" s="4" t="s">
        <v>48</v>
      </c>
      <c r="D2" t="s">
        <v>47</v>
      </c>
    </row>
    <row r="3" spans="1:6" x14ac:dyDescent="0.25">
      <c r="A3" s="6" t="s">
        <v>46</v>
      </c>
      <c r="B3" s="5">
        <f>0.99*365/12</f>
        <v>30.112500000000001</v>
      </c>
      <c r="C3" s="4" t="s">
        <v>45</v>
      </c>
      <c r="D3" t="s">
        <v>44</v>
      </c>
    </row>
    <row r="4" spans="1:6" x14ac:dyDescent="0.25">
      <c r="A4" s="6" t="s">
        <v>43</v>
      </c>
      <c r="B4" s="5">
        <v>15</v>
      </c>
      <c r="C4" s="4"/>
      <c r="D4" t="s">
        <v>42</v>
      </c>
    </row>
    <row r="5" spans="1:6" x14ac:dyDescent="0.25">
      <c r="A5" s="6" t="s">
        <v>41</v>
      </c>
      <c r="B5" s="5">
        <v>28.5</v>
      </c>
      <c r="C5" s="4"/>
      <c r="D5" t="s">
        <v>54</v>
      </c>
    </row>
    <row r="6" spans="1:6" x14ac:dyDescent="0.25">
      <c r="A6" s="6" t="s">
        <v>40</v>
      </c>
      <c r="B6" s="5">
        <v>24.5</v>
      </c>
      <c r="C6" s="4"/>
      <c r="D6" t="s">
        <v>39</v>
      </c>
    </row>
    <row r="7" spans="1:6" x14ac:dyDescent="0.25">
      <c r="A7" s="6" t="s">
        <v>38</v>
      </c>
      <c r="B7" s="5">
        <v>10</v>
      </c>
      <c r="C7" s="4"/>
      <c r="D7" t="s">
        <v>54</v>
      </c>
    </row>
    <row r="8" spans="1:6" x14ac:dyDescent="0.25">
      <c r="A8" s="6" t="s">
        <v>37</v>
      </c>
      <c r="B8" s="5">
        <v>12</v>
      </c>
      <c r="C8" s="4"/>
      <c r="D8" t="s">
        <v>54</v>
      </c>
    </row>
    <row r="9" spans="1:6" x14ac:dyDescent="0.25">
      <c r="A9" s="6" t="s">
        <v>36</v>
      </c>
      <c r="B9" s="5">
        <v>12.5</v>
      </c>
      <c r="D9" t="s">
        <v>54</v>
      </c>
      <c r="F9" t="s">
        <v>58</v>
      </c>
    </row>
    <row r="10" spans="1:6" x14ac:dyDescent="0.25">
      <c r="A10" s="6" t="s">
        <v>35</v>
      </c>
      <c r="B10" s="5">
        <v>30</v>
      </c>
      <c r="C10" s="4"/>
      <c r="D10" t="s">
        <v>34</v>
      </c>
    </row>
    <row r="11" spans="1:6" x14ac:dyDescent="0.25">
      <c r="A11" s="6" t="s">
        <v>33</v>
      </c>
      <c r="B11" s="5">
        <v>22</v>
      </c>
      <c r="C11" s="4"/>
      <c r="D11" t="s">
        <v>54</v>
      </c>
    </row>
    <row r="12" spans="1:6" x14ac:dyDescent="0.25">
      <c r="A12" s="6" t="s">
        <v>32</v>
      </c>
      <c r="B12" s="5">
        <v>14</v>
      </c>
      <c r="C12" s="4"/>
      <c r="D12" t="s">
        <v>54</v>
      </c>
    </row>
    <row r="13" spans="1:6" x14ac:dyDescent="0.25">
      <c r="A13" s="6" t="s">
        <v>31</v>
      </c>
      <c r="B13" s="5">
        <v>23</v>
      </c>
      <c r="C13" s="4"/>
      <c r="D13" t="s">
        <v>30</v>
      </c>
    </row>
    <row r="14" spans="1:6" x14ac:dyDescent="0.25">
      <c r="A14" s="6" t="s">
        <v>29</v>
      </c>
      <c r="B14" s="5">
        <v>25</v>
      </c>
      <c r="C14" s="4"/>
      <c r="D14" t="s">
        <v>54</v>
      </c>
    </row>
    <row r="15" spans="1:6" x14ac:dyDescent="0.25">
      <c r="A15" s="6" t="s">
        <v>28</v>
      </c>
      <c r="B15" s="5"/>
      <c r="C15" s="4"/>
      <c r="D15" t="s">
        <v>56</v>
      </c>
    </row>
    <row r="16" spans="1:6" x14ac:dyDescent="0.25">
      <c r="A16" s="6" t="s">
        <v>27</v>
      </c>
      <c r="B16" s="5">
        <f>0.95*365/12</f>
        <v>28.895833333333332</v>
      </c>
      <c r="C16" s="4" t="s">
        <v>26</v>
      </c>
      <c r="D16" t="s">
        <v>25</v>
      </c>
    </row>
    <row r="17" spans="1:4" x14ac:dyDescent="0.25">
      <c r="A17" s="6" t="s">
        <v>24</v>
      </c>
      <c r="B17" s="5"/>
      <c r="C17" s="4"/>
      <c r="D17" t="s">
        <v>57</v>
      </c>
    </row>
    <row r="18" spans="1:4" x14ac:dyDescent="0.25">
      <c r="A18" s="6" t="s">
        <v>23</v>
      </c>
      <c r="B18" s="5">
        <v>17</v>
      </c>
      <c r="C18" s="4"/>
      <c r="D18" t="s">
        <v>22</v>
      </c>
    </row>
    <row r="19" spans="1:4" x14ac:dyDescent="0.25">
      <c r="A19" s="6" t="s">
        <v>21</v>
      </c>
      <c r="B19" s="5">
        <v>16</v>
      </c>
      <c r="C19" s="4"/>
      <c r="D19" t="s">
        <v>54</v>
      </c>
    </row>
    <row r="20" spans="1:4" x14ac:dyDescent="0.25">
      <c r="A20" s="6" t="s">
        <v>20</v>
      </c>
      <c r="B20" s="5">
        <f>0.74*365/12</f>
        <v>22.508333333333336</v>
      </c>
      <c r="C20" s="4" t="s">
        <v>16</v>
      </c>
      <c r="D20" t="s">
        <v>19</v>
      </c>
    </row>
    <row r="21" spans="1:4" x14ac:dyDescent="0.25">
      <c r="A21" s="6" t="s">
        <v>18</v>
      </c>
      <c r="B21" s="5"/>
      <c r="C21" s="4"/>
      <c r="D21" t="s">
        <v>55</v>
      </c>
    </row>
    <row r="22" spans="1:4" x14ac:dyDescent="0.25">
      <c r="A22" s="6" t="s">
        <v>17</v>
      </c>
      <c r="B22" s="5">
        <f>0.74*365/12</f>
        <v>22.508333333333336</v>
      </c>
      <c r="C22" s="4" t="s">
        <v>16</v>
      </c>
      <c r="D22" t="s">
        <v>15</v>
      </c>
    </row>
    <row r="23" spans="1:4" x14ac:dyDescent="0.25">
      <c r="A23" s="10" t="s">
        <v>1</v>
      </c>
      <c r="B23" s="11">
        <f>AVERAGE(B2:B22)</f>
        <v>21.161111111111111</v>
      </c>
    </row>
  </sheetData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Y85"/>
  <sheetViews>
    <sheetView topLeftCell="A52" workbookViewId="0">
      <selection activeCell="J83" sqref="J83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10.875" customWidth="1"/>
    <col min="8" max="8" width="22.875" customWidth="1"/>
  </cols>
  <sheetData>
    <row r="2" spans="1:23" x14ac:dyDescent="0.25">
      <c r="A2" t="s">
        <v>1</v>
      </c>
      <c r="B2" t="s">
        <v>2</v>
      </c>
    </row>
    <row r="3" spans="1:23" x14ac:dyDescent="0.25">
      <c r="A3" t="s">
        <v>3</v>
      </c>
      <c r="B3" t="s">
        <v>4</v>
      </c>
    </row>
    <row r="4" spans="1:23" x14ac:dyDescent="0.25">
      <c r="A4" t="s">
        <v>5</v>
      </c>
      <c r="B4" t="s">
        <v>1</v>
      </c>
      <c r="C4" t="s">
        <v>2</v>
      </c>
    </row>
    <row r="5" spans="1:23" x14ac:dyDescent="0.25">
      <c r="A5" t="s">
        <v>0</v>
      </c>
      <c r="J5" s="12" t="s">
        <v>3</v>
      </c>
      <c r="K5" s="39">
        <v>1394.0654356041343</v>
      </c>
      <c r="L5" s="40">
        <v>1410.4533202632863</v>
      </c>
      <c r="M5" s="40">
        <v>1702.1438344441153</v>
      </c>
      <c r="N5" s="40">
        <v>1832.1838630115997</v>
      </c>
      <c r="O5" s="40">
        <v>1490.426203749834</v>
      </c>
      <c r="P5" s="40">
        <v>1418.3403290732858</v>
      </c>
      <c r="Q5" s="40">
        <v>1399.3870188079236</v>
      </c>
      <c r="R5" s="40">
        <v>1853.110967795159</v>
      </c>
      <c r="S5" s="40">
        <v>2411.4689778696211</v>
      </c>
      <c r="T5" s="40">
        <v>2686.5222603297152</v>
      </c>
      <c r="U5" s="40">
        <v>2530.6988352112639</v>
      </c>
      <c r="V5" s="40">
        <v>1912.9185575978295</v>
      </c>
      <c r="W5" s="40">
        <f>SUM(K5:V5)</f>
        <v>22041.719603757767</v>
      </c>
    </row>
    <row r="6" spans="1:23" ht="16.5" thickBot="1" x14ac:dyDescent="0.3">
      <c r="A6" t="s">
        <v>6</v>
      </c>
      <c r="B6" t="s">
        <v>7</v>
      </c>
      <c r="C6" t="s">
        <v>8</v>
      </c>
      <c r="H6" s="63" t="s">
        <v>117</v>
      </c>
      <c r="I6" s="63"/>
      <c r="J6" s="12" t="s">
        <v>136</v>
      </c>
      <c r="K6" s="37" t="s">
        <v>124</v>
      </c>
      <c r="L6" s="37" t="s">
        <v>125</v>
      </c>
      <c r="M6" s="37" t="s">
        <v>126</v>
      </c>
      <c r="N6" s="37" t="s">
        <v>127</v>
      </c>
      <c r="O6" s="37" t="s">
        <v>128</v>
      </c>
      <c r="P6" s="37" t="s">
        <v>129</v>
      </c>
      <c r="Q6" s="37" t="s">
        <v>130</v>
      </c>
      <c r="R6" s="37" t="s">
        <v>131</v>
      </c>
      <c r="S6" s="37" t="s">
        <v>132</v>
      </c>
      <c r="T6" s="37" t="s">
        <v>133</v>
      </c>
      <c r="U6" s="37" t="s">
        <v>134</v>
      </c>
      <c r="V6" s="37" t="s">
        <v>135</v>
      </c>
    </row>
    <row r="7" spans="1:23" x14ac:dyDescent="0.25">
      <c r="A7" t="s">
        <v>9</v>
      </c>
      <c r="B7" t="s">
        <v>1</v>
      </c>
      <c r="H7" s="32" t="s">
        <v>118</v>
      </c>
      <c r="I7" s="33">
        <v>10</v>
      </c>
      <c r="K7" s="11">
        <f>$I7</f>
        <v>10</v>
      </c>
      <c r="L7" s="11">
        <f t="shared" ref="L7:V7" si="0">$I7</f>
        <v>10</v>
      </c>
      <c r="M7" s="11">
        <f t="shared" si="0"/>
        <v>10</v>
      </c>
      <c r="N7" s="11">
        <f t="shared" si="0"/>
        <v>10</v>
      </c>
      <c r="O7" s="11">
        <f t="shared" si="0"/>
        <v>10</v>
      </c>
      <c r="P7" s="11">
        <f t="shared" si="0"/>
        <v>10</v>
      </c>
      <c r="Q7" s="11">
        <f t="shared" si="0"/>
        <v>10</v>
      </c>
      <c r="R7" s="11">
        <f t="shared" si="0"/>
        <v>10</v>
      </c>
      <c r="S7" s="11">
        <f t="shared" si="0"/>
        <v>10</v>
      </c>
      <c r="T7" s="11">
        <f t="shared" si="0"/>
        <v>10</v>
      </c>
      <c r="U7" s="11">
        <f t="shared" si="0"/>
        <v>10</v>
      </c>
      <c r="V7" s="11">
        <f t="shared" si="0"/>
        <v>10</v>
      </c>
    </row>
    <row r="8" spans="1:23" x14ac:dyDescent="0.25">
      <c r="A8" t="s">
        <v>2</v>
      </c>
      <c r="B8" t="s">
        <v>0</v>
      </c>
      <c r="H8" s="26" t="s">
        <v>119</v>
      </c>
      <c r="I8" s="27">
        <v>5.6582E-2</v>
      </c>
      <c r="K8" s="11">
        <f>650*$I8</f>
        <v>36.778300000000002</v>
      </c>
      <c r="L8" s="11">
        <f t="shared" ref="L8:R8" si="1">650*$I8</f>
        <v>36.778300000000002</v>
      </c>
      <c r="M8" s="11">
        <f t="shared" si="1"/>
        <v>36.778300000000002</v>
      </c>
      <c r="N8" s="11">
        <f t="shared" si="1"/>
        <v>36.778300000000002</v>
      </c>
      <c r="O8" s="11">
        <f t="shared" si="1"/>
        <v>36.778300000000002</v>
      </c>
      <c r="P8" s="11">
        <f t="shared" si="1"/>
        <v>36.778300000000002</v>
      </c>
      <c r="Q8" s="11">
        <f t="shared" si="1"/>
        <v>36.778300000000002</v>
      </c>
      <c r="R8" s="11">
        <f t="shared" si="1"/>
        <v>36.778300000000002</v>
      </c>
      <c r="S8" s="11">
        <v>0</v>
      </c>
      <c r="T8" s="11">
        <v>0</v>
      </c>
      <c r="U8" s="11">
        <v>0</v>
      </c>
      <c r="V8" s="11">
        <v>0</v>
      </c>
    </row>
    <row r="9" spans="1:23" x14ac:dyDescent="0.25">
      <c r="A9" t="s">
        <v>1</v>
      </c>
      <c r="B9" t="s">
        <v>2</v>
      </c>
      <c r="H9" s="26" t="s">
        <v>120</v>
      </c>
      <c r="I9" s="27">
        <v>4.8533E-2</v>
      </c>
      <c r="K9" s="11">
        <f>350*$I9</f>
        <v>16.986550000000001</v>
      </c>
      <c r="L9" s="11">
        <f t="shared" ref="L9:R9" si="2">350*$I9</f>
        <v>16.986550000000001</v>
      </c>
      <c r="M9" s="11">
        <f t="shared" si="2"/>
        <v>16.986550000000001</v>
      </c>
      <c r="N9" s="11">
        <f t="shared" si="2"/>
        <v>16.986550000000001</v>
      </c>
      <c r="O9" s="11">
        <f t="shared" si="2"/>
        <v>16.986550000000001</v>
      </c>
      <c r="P9" s="11">
        <f t="shared" si="2"/>
        <v>16.986550000000001</v>
      </c>
      <c r="Q9" s="11">
        <f t="shared" si="2"/>
        <v>16.986550000000001</v>
      </c>
      <c r="R9" s="11">
        <f t="shared" si="2"/>
        <v>16.986550000000001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0</v>
      </c>
      <c r="B10" t="s">
        <v>10</v>
      </c>
      <c r="H10" s="35" t="s">
        <v>121</v>
      </c>
      <c r="I10" s="27">
        <v>4.7641000000000003E-2</v>
      </c>
      <c r="K10" s="11">
        <f t="shared" ref="K10:R10" si="3">(K5-1000)*$I10</f>
        <v>18.773671417616566</v>
      </c>
      <c r="L10" s="11">
        <f t="shared" si="3"/>
        <v>19.554406630663223</v>
      </c>
      <c r="M10" s="11">
        <f>(M5-1000)*$I10</f>
        <v>33.450834416752102</v>
      </c>
      <c r="N10" s="11">
        <f t="shared" si="3"/>
        <v>39.646071417735619</v>
      </c>
      <c r="O10" s="11">
        <f t="shared" si="3"/>
        <v>23.364394772845845</v>
      </c>
      <c r="P10" s="11">
        <f t="shared" si="3"/>
        <v>19.93015161738041</v>
      </c>
      <c r="Q10" s="11">
        <f t="shared" si="3"/>
        <v>19.027196963028288</v>
      </c>
      <c r="R10" s="11">
        <f t="shared" si="3"/>
        <v>40.643059616729175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H11" s="26" t="s">
        <v>122</v>
      </c>
      <c r="I11" s="27">
        <v>5.6582E-2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>650*$I11</f>
        <v>36.778300000000002</v>
      </c>
      <c r="T11" s="11">
        <f t="shared" ref="T11:V11" si="4">650*$I11</f>
        <v>36.778300000000002</v>
      </c>
      <c r="U11" s="11">
        <f t="shared" si="4"/>
        <v>36.778300000000002</v>
      </c>
      <c r="V11" s="11">
        <f t="shared" si="4"/>
        <v>36.778300000000002</v>
      </c>
    </row>
    <row r="12" spans="1:23" x14ac:dyDescent="0.25">
      <c r="A12" s="21" t="s">
        <v>109</v>
      </c>
      <c r="B12" s="21" t="s">
        <v>110</v>
      </c>
      <c r="C12" s="22"/>
      <c r="D12" s="22"/>
      <c r="E12" s="22"/>
      <c r="F12" s="21" t="s">
        <v>111</v>
      </c>
      <c r="H12" s="26" t="s">
        <v>123</v>
      </c>
      <c r="I12" s="27">
        <v>9.3982999999999997E-2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>350*$I12</f>
        <v>32.89405</v>
      </c>
      <c r="T12" s="11">
        <f t="shared" ref="T12:V12" si="5">350*$I12</f>
        <v>32.89405</v>
      </c>
      <c r="U12" s="11">
        <f t="shared" si="5"/>
        <v>32.89405</v>
      </c>
      <c r="V12" s="11">
        <f t="shared" si="5"/>
        <v>32.89405</v>
      </c>
    </row>
    <row r="13" spans="1:23" x14ac:dyDescent="0.25">
      <c r="A13" s="22" t="s">
        <v>11</v>
      </c>
      <c r="B13" s="22">
        <v>673</v>
      </c>
      <c r="C13" s="23">
        <v>83.88</v>
      </c>
      <c r="D13" s="23">
        <v>92.33</v>
      </c>
      <c r="E13" s="23">
        <v>8.4499999999999993</v>
      </c>
      <c r="F13" s="24">
        <f>D13/C13-1</f>
        <v>0.10073915116833576</v>
      </c>
      <c r="H13" s="35" t="s">
        <v>156</v>
      </c>
      <c r="I13" s="27">
        <v>9.7272999999999998E-2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f>(S5-1000)*$I13</f>
        <v>137.29782188431165</v>
      </c>
      <c r="T13" s="11">
        <f t="shared" ref="T13:V13" si="6">(T5-1000)*$I13</f>
        <v>164.05307982905239</v>
      </c>
      <c r="U13" s="11">
        <f t="shared" si="6"/>
        <v>148.89566779750527</v>
      </c>
      <c r="V13" s="11">
        <f t="shared" si="6"/>
        <v>88.802326853213671</v>
      </c>
    </row>
    <row r="14" spans="1:23" x14ac:dyDescent="0.25">
      <c r="A14" s="22" t="s">
        <v>12</v>
      </c>
      <c r="B14" s="25">
        <v>1000</v>
      </c>
      <c r="C14" s="23">
        <v>123.31</v>
      </c>
      <c r="D14" s="23">
        <v>133.09</v>
      </c>
      <c r="E14" s="23">
        <v>9.7799999999999994</v>
      </c>
      <c r="F14" s="24">
        <f t="shared" ref="F14:F15" si="7">D14/C14-1</f>
        <v>7.9312302327467332E-2</v>
      </c>
      <c r="H14" s="64" t="s">
        <v>112</v>
      </c>
      <c r="I14" s="27">
        <v>3.1718000000000003E-2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S5*$I14</f>
        <v>76.486973040068648</v>
      </c>
      <c r="T14" s="11">
        <f>T5*$I14</f>
        <v>85.211113053137922</v>
      </c>
      <c r="U14" s="11">
        <f>U5*$I14</f>
        <v>80.268705655230875</v>
      </c>
      <c r="V14" s="11">
        <f>V5*$I14</f>
        <v>60.673950809887963</v>
      </c>
    </row>
    <row r="15" spans="1:23" x14ac:dyDescent="0.25">
      <c r="A15" s="22" t="s">
        <v>13</v>
      </c>
      <c r="B15" s="25">
        <v>1837</v>
      </c>
      <c r="C15" s="23">
        <v>225.4</v>
      </c>
      <c r="D15" s="23">
        <v>238.64</v>
      </c>
      <c r="E15" s="23">
        <v>13.24</v>
      </c>
      <c r="F15" s="24">
        <f t="shared" si="7"/>
        <v>5.8740017746228945E-2</v>
      </c>
      <c r="H15" s="64"/>
      <c r="I15" s="27">
        <v>2.8812999999999998E-2</v>
      </c>
      <c r="K15" s="11">
        <f t="shared" ref="K15:R15" si="8">K5*$I15</f>
        <v>40.167207396061919</v>
      </c>
      <c r="L15" s="11">
        <f t="shared" si="8"/>
        <v>40.639391516746066</v>
      </c>
      <c r="M15" s="11">
        <f t="shared" si="8"/>
        <v>49.04387030183829</v>
      </c>
      <c r="N15" s="11">
        <f t="shared" si="8"/>
        <v>52.790713644953222</v>
      </c>
      <c r="O15" s="11">
        <f t="shared" si="8"/>
        <v>42.943650208643966</v>
      </c>
      <c r="P15" s="11">
        <f t="shared" si="8"/>
        <v>40.866639901588584</v>
      </c>
      <c r="Q15" s="11">
        <f t="shared" si="8"/>
        <v>40.320538172912698</v>
      </c>
      <c r="R15" s="11">
        <f t="shared" si="8"/>
        <v>53.393686315081915</v>
      </c>
      <c r="S15" s="11">
        <v>0</v>
      </c>
      <c r="T15" s="11">
        <v>0</v>
      </c>
      <c r="U15" s="11">
        <v>0</v>
      </c>
      <c r="V15" s="11">
        <v>0</v>
      </c>
    </row>
    <row r="16" spans="1:23" x14ac:dyDescent="0.25">
      <c r="F16" s="3"/>
      <c r="H16" s="28" t="s">
        <v>113</v>
      </c>
      <c r="I16" s="29">
        <v>1.6721E-2</v>
      </c>
      <c r="K16" s="11">
        <f t="shared" ref="K16:V16" si="9">SUM(K7:K13)*$I16</f>
        <v>1.3801266166239665</v>
      </c>
      <c r="L16" s="11">
        <f t="shared" si="9"/>
        <v>1.3931812901213199</v>
      </c>
      <c r="M16" s="11">
        <f t="shared" si="9"/>
        <v>1.625543459132512</v>
      </c>
      <c r="N16" s="11">
        <f t="shared" si="9"/>
        <v>1.7291340170259573</v>
      </c>
      <c r="O16" s="11">
        <f t="shared" si="9"/>
        <v>1.4568881018467554</v>
      </c>
      <c r="P16" s="11">
        <f t="shared" si="9"/>
        <v>1.3994641220442179</v>
      </c>
      <c r="Q16" s="11">
        <f t="shared" si="9"/>
        <v>1.3843658172687963</v>
      </c>
      <c r="R16" s="11">
        <f t="shared" si="9"/>
        <v>1.7458046567013283</v>
      </c>
      <c r="S16" s="11">
        <f t="shared" si="9"/>
        <v>3.6279582440775751</v>
      </c>
      <c r="T16" s="11">
        <f t="shared" si="9"/>
        <v>4.0753329121715849</v>
      </c>
      <c r="U16" s="11">
        <f t="shared" si="9"/>
        <v>3.8218858255920853</v>
      </c>
      <c r="V16" s="11">
        <f t="shared" si="9"/>
        <v>2.817065071662586</v>
      </c>
    </row>
    <row r="17" spans="1:24" x14ac:dyDescent="0.25">
      <c r="A17" t="s">
        <v>60</v>
      </c>
      <c r="B17">
        <v>1014</v>
      </c>
      <c r="C17" s="1">
        <v>122.26</v>
      </c>
      <c r="D17" s="1">
        <v>131.97999999999999</v>
      </c>
      <c r="E17" s="1">
        <f>D17-C17</f>
        <v>9.7199999999999847</v>
      </c>
      <c r="F17" s="3">
        <f>D17/C17-1</f>
        <v>7.9502699165712398E-2</v>
      </c>
      <c r="H17" s="30" t="s">
        <v>114</v>
      </c>
      <c r="I17" s="31">
        <v>0.12767999999999999</v>
      </c>
      <c r="K17" s="11">
        <f t="shared" ref="K17:V17" si="10">SUM(K7:K13)*$I17</f>
        <v>10.538518414601281</v>
      </c>
      <c r="L17" s="11">
        <f t="shared" si="10"/>
        <v>10.63820268660308</v>
      </c>
      <c r="M17" s="11">
        <f t="shared" si="10"/>
        <v>12.412498586330909</v>
      </c>
      <c r="N17" s="11">
        <f t="shared" si="10"/>
        <v>13.203506446616483</v>
      </c>
      <c r="O17" s="11">
        <f t="shared" si="10"/>
        <v>11.124661972596957</v>
      </c>
      <c r="P17" s="11">
        <f t="shared" si="10"/>
        <v>10.68617780650713</v>
      </c>
      <c r="Q17" s="11">
        <f t="shared" si="10"/>
        <v>10.570888556239453</v>
      </c>
      <c r="R17" s="11">
        <f t="shared" si="10"/>
        <v>13.33080189986398</v>
      </c>
      <c r="S17" s="11">
        <f t="shared" si="10"/>
        <v>27.702751546188907</v>
      </c>
      <c r="T17" s="11">
        <f t="shared" si="10"/>
        <v>31.118862880573406</v>
      </c>
      <c r="U17" s="11">
        <f t="shared" si="10"/>
        <v>29.18356451238547</v>
      </c>
      <c r="V17" s="11">
        <f t="shared" si="10"/>
        <v>21.510846740618319</v>
      </c>
    </row>
    <row r="18" spans="1:24" x14ac:dyDescent="0.25">
      <c r="B18">
        <v>1014</v>
      </c>
      <c r="C18" s="1">
        <v>122.26</v>
      </c>
      <c r="D18" s="1">
        <v>131.81</v>
      </c>
      <c r="E18" s="1">
        <f>D18-C18</f>
        <v>9.5499999999999972</v>
      </c>
      <c r="F18" s="3">
        <f>D18/C18-1</f>
        <v>7.8112219859316268E-2</v>
      </c>
      <c r="H18" s="30" t="s">
        <v>115</v>
      </c>
      <c r="I18" s="34">
        <v>0.10766199999999999</v>
      </c>
      <c r="K18" s="11">
        <f t="shared" ref="K18:V18" si="11">SUM(K7:K13)*$I18</f>
        <v>8.8862622928634334</v>
      </c>
      <c r="L18" s="11">
        <f t="shared" si="11"/>
        <v>8.9703178073704652</v>
      </c>
      <c r="M18" s="11">
        <f t="shared" si="11"/>
        <v>10.466435015676366</v>
      </c>
      <c r="N18" s="11">
        <f t="shared" si="11"/>
        <v>11.133426621676252</v>
      </c>
      <c r="O18" s="11">
        <f t="shared" si="11"/>
        <v>9.3805087507341298</v>
      </c>
      <c r="P18" s="11">
        <f t="shared" si="11"/>
        <v>9.0107712641304101</v>
      </c>
      <c r="Q18" s="11">
        <f t="shared" si="11"/>
        <v>8.9135573601335523</v>
      </c>
      <c r="R18" s="11">
        <f t="shared" si="11"/>
        <v>11.240764365156295</v>
      </c>
      <c r="S18" s="11">
        <f t="shared" si="11"/>
        <v>23.359442645408759</v>
      </c>
      <c r="T18" s="11">
        <f t="shared" si="11"/>
        <v>26.239967226255438</v>
      </c>
      <c r="U18" s="11">
        <f t="shared" si="11"/>
        <v>24.608089932115011</v>
      </c>
      <c r="V18" s="11">
        <f t="shared" si="11"/>
        <v>18.138320659370692</v>
      </c>
    </row>
    <row r="19" spans="1:24" x14ac:dyDescent="0.25">
      <c r="E19" s="1"/>
      <c r="F19" s="3"/>
      <c r="H19" s="30" t="s">
        <v>116</v>
      </c>
      <c r="I19" s="31">
        <v>2.3050000000000001E-2</v>
      </c>
      <c r="K19" s="11">
        <f t="shared" ref="K19:V19" si="12">SUM(K7:K18)*$I19</f>
        <v>3.3079201629755333</v>
      </c>
      <c r="L19" s="11">
        <f t="shared" si="12"/>
        <v>3.3413360659211704</v>
      </c>
      <c r="M19" s="11">
        <f t="shared" si="12"/>
        <v>3.9361109325227805</v>
      </c>
      <c r="N19" s="11">
        <f t="shared" si="12"/>
        <v>4.2012705345115737</v>
      </c>
      <c r="O19" s="11">
        <f t="shared" si="12"/>
        <v>3.5044056852436891</v>
      </c>
      <c r="P19" s="11">
        <f t="shared" si="12"/>
        <v>3.3574181611035501</v>
      </c>
      <c r="Q19" s="11">
        <f t="shared" si="12"/>
        <v>3.3187711978438834</v>
      </c>
      <c r="R19" s="11">
        <f t="shared" si="12"/>
        <v>4.2439421859739292</v>
      </c>
      <c r="S19" s="11">
        <f t="shared" si="12"/>
        <v>8.024795204149278</v>
      </c>
      <c r="T19" s="11">
        <f t="shared" si="12"/>
        <v>8.9980447710224478</v>
      </c>
      <c r="U19" s="11">
        <f t="shared" si="12"/>
        <v>8.446678578811202</v>
      </c>
      <c r="V19" s="11">
        <f t="shared" si="12"/>
        <v>6.2607225261060631</v>
      </c>
    </row>
    <row r="20" spans="1:24" x14ac:dyDescent="0.25">
      <c r="A20" t="s">
        <v>61</v>
      </c>
      <c r="B20">
        <v>1267</v>
      </c>
      <c r="C20" s="1">
        <v>149.08000000000001</v>
      </c>
      <c r="D20" s="1">
        <v>159.66999999999999</v>
      </c>
      <c r="E20" s="1">
        <f t="shared" ref="E20" si="13">D20-C20</f>
        <v>10.589999999999975</v>
      </c>
      <c r="F20" s="3">
        <f t="shared" ref="F20" si="14">D20/C20-1</f>
        <v>7.1035685537965909E-2</v>
      </c>
      <c r="K20" s="11">
        <f>SUM(K7:K19)</f>
        <v>146.8185563007427</v>
      </c>
      <c r="L20" s="11">
        <f>SUM(L7:L19)</f>
        <v>148.30168599742532</v>
      </c>
      <c r="M20" s="41">
        <f>SUM(M7:M19)</f>
        <v>174.70014271225295</v>
      </c>
      <c r="N20" s="41">
        <f t="shared" ref="N20:U20" si="15">SUM(N7:N19)</f>
        <v>186.46897268251908</v>
      </c>
      <c r="O20" s="11">
        <f t="shared" si="15"/>
        <v>155.53935949191131</v>
      </c>
      <c r="P20" s="11">
        <f t="shared" si="15"/>
        <v>149.01547287275429</v>
      </c>
      <c r="Q20" s="11">
        <f t="shared" si="15"/>
        <v>147.30016806742668</v>
      </c>
      <c r="R20" s="11">
        <f t="shared" si="15"/>
        <v>188.36290903950663</v>
      </c>
      <c r="S20" s="11">
        <f t="shared" si="15"/>
        <v>356.17209256420472</v>
      </c>
      <c r="T20" s="11">
        <f t="shared" si="15"/>
        <v>399.3687506722132</v>
      </c>
      <c r="U20" s="11">
        <f t="shared" si="15"/>
        <v>374.89694230163991</v>
      </c>
      <c r="V20" s="11">
        <f>SUM(V7:V19)</f>
        <v>277.87558266085932</v>
      </c>
      <c r="W20" s="11">
        <f>SUM(K20:V20)/12</f>
        <v>225.40171961362134</v>
      </c>
      <c r="X20" s="11"/>
    </row>
    <row r="21" spans="1:24" x14ac:dyDescent="0.25">
      <c r="C21" s="1"/>
      <c r="D21" s="1"/>
      <c r="E21" s="1"/>
      <c r="F21" s="3"/>
      <c r="I21" s="55">
        <f>I16+I17+I19</f>
        <v>0.16745100000000002</v>
      </c>
      <c r="K21" s="11"/>
      <c r="L21" s="11"/>
      <c r="M21" s="41"/>
      <c r="N21" s="4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J22" s="12" t="s">
        <v>3</v>
      </c>
      <c r="K22" s="39">
        <v>1394.0654356041343</v>
      </c>
      <c r="L22" s="40">
        <v>1410.4533202632863</v>
      </c>
      <c r="M22" s="40">
        <v>1702.1438344441153</v>
      </c>
      <c r="N22" s="40">
        <v>1832.1838630115997</v>
      </c>
      <c r="O22" s="40">
        <v>1490.426203749834</v>
      </c>
      <c r="P22" s="40">
        <v>1418.3403290732858</v>
      </c>
      <c r="Q22" s="40">
        <v>1399.3870188079236</v>
      </c>
      <c r="R22" s="40">
        <v>1853.110967795159</v>
      </c>
      <c r="S22" s="40">
        <v>2411.4689778696211</v>
      </c>
      <c r="T22" s="40">
        <v>2686.5222603297152</v>
      </c>
      <c r="U22" s="40">
        <v>2530.6988352112639</v>
      </c>
      <c r="V22" s="40">
        <v>1912.9185575978295</v>
      </c>
    </row>
    <row r="23" spans="1:24" ht="16.5" thickBot="1" x14ac:dyDescent="0.3">
      <c r="H23" s="63" t="s">
        <v>137</v>
      </c>
      <c r="I23" s="63"/>
      <c r="J23" s="12" t="s">
        <v>136</v>
      </c>
      <c r="K23" s="37" t="s">
        <v>124</v>
      </c>
      <c r="L23" s="37" t="s">
        <v>125</v>
      </c>
      <c r="M23" s="37" t="s">
        <v>126</v>
      </c>
      <c r="N23" s="37" t="s">
        <v>127</v>
      </c>
      <c r="O23" s="37" t="s">
        <v>128</v>
      </c>
      <c r="P23" s="37" t="s">
        <v>129</v>
      </c>
      <c r="Q23" s="37" t="s">
        <v>130</v>
      </c>
      <c r="R23" s="37" t="s">
        <v>131</v>
      </c>
      <c r="S23" s="37" t="s">
        <v>132</v>
      </c>
      <c r="T23" s="37" t="s">
        <v>133</v>
      </c>
      <c r="U23" s="37" t="s">
        <v>134</v>
      </c>
      <c r="V23" s="37" t="s">
        <v>135</v>
      </c>
    </row>
    <row r="24" spans="1:24" x14ac:dyDescent="0.25">
      <c r="H24" s="32" t="s">
        <v>118</v>
      </c>
      <c r="I24" s="33">
        <v>14.9</v>
      </c>
      <c r="K24" s="11">
        <f>$I24</f>
        <v>14.9</v>
      </c>
      <c r="L24" s="11">
        <f t="shared" ref="L24:V24" si="16">$I24</f>
        <v>14.9</v>
      </c>
      <c r="M24" s="11">
        <f t="shared" si="16"/>
        <v>14.9</v>
      </c>
      <c r="N24" s="11">
        <f t="shared" si="16"/>
        <v>14.9</v>
      </c>
      <c r="O24" s="11">
        <f t="shared" si="16"/>
        <v>14.9</v>
      </c>
      <c r="P24" s="11">
        <f t="shared" si="16"/>
        <v>14.9</v>
      </c>
      <c r="Q24" s="11">
        <f t="shared" si="16"/>
        <v>14.9</v>
      </c>
      <c r="R24" s="11">
        <f t="shared" si="16"/>
        <v>14.9</v>
      </c>
      <c r="S24" s="11">
        <f t="shared" si="16"/>
        <v>14.9</v>
      </c>
      <c r="T24" s="11">
        <f t="shared" si="16"/>
        <v>14.9</v>
      </c>
      <c r="U24" s="11">
        <f t="shared" si="16"/>
        <v>14.9</v>
      </c>
      <c r="V24" s="11">
        <f t="shared" si="16"/>
        <v>14.9</v>
      </c>
    </row>
    <row r="25" spans="1:24" x14ac:dyDescent="0.25">
      <c r="H25" s="26" t="s">
        <v>119</v>
      </c>
      <c r="I25" s="27">
        <v>5.7969E-2</v>
      </c>
      <c r="K25" s="11">
        <f>650*$I25</f>
        <v>37.679850000000002</v>
      </c>
      <c r="L25" s="11">
        <f t="shared" ref="L25:R25" si="17">650*$I25</f>
        <v>37.679850000000002</v>
      </c>
      <c r="M25" s="11">
        <f t="shared" si="17"/>
        <v>37.679850000000002</v>
      </c>
      <c r="N25" s="11">
        <f t="shared" si="17"/>
        <v>37.679850000000002</v>
      </c>
      <c r="O25" s="11">
        <f t="shared" si="17"/>
        <v>37.679850000000002</v>
      </c>
      <c r="P25" s="11">
        <f t="shared" si="17"/>
        <v>37.679850000000002</v>
      </c>
      <c r="Q25" s="11">
        <f t="shared" si="17"/>
        <v>37.679850000000002</v>
      </c>
      <c r="R25" s="11">
        <f t="shared" si="17"/>
        <v>37.679850000000002</v>
      </c>
      <c r="S25" s="11">
        <v>0</v>
      </c>
      <c r="T25" s="11">
        <v>0</v>
      </c>
      <c r="U25" s="11">
        <v>0</v>
      </c>
      <c r="V25" s="11">
        <v>0</v>
      </c>
    </row>
    <row r="26" spans="1:24" x14ac:dyDescent="0.25">
      <c r="H26" s="26" t="s">
        <v>120</v>
      </c>
      <c r="I26" s="27">
        <v>4.972E-2</v>
      </c>
      <c r="K26" s="11">
        <f>350*$I26</f>
        <v>17.402000000000001</v>
      </c>
      <c r="L26" s="11">
        <f t="shared" ref="L26:R26" si="18">350*$I26</f>
        <v>17.402000000000001</v>
      </c>
      <c r="M26" s="11">
        <f t="shared" si="18"/>
        <v>17.402000000000001</v>
      </c>
      <c r="N26" s="11">
        <f t="shared" si="18"/>
        <v>17.402000000000001</v>
      </c>
      <c r="O26" s="11">
        <f t="shared" si="18"/>
        <v>17.402000000000001</v>
      </c>
      <c r="P26" s="11">
        <f t="shared" si="18"/>
        <v>17.402000000000001</v>
      </c>
      <c r="Q26" s="11">
        <f t="shared" si="18"/>
        <v>17.402000000000001</v>
      </c>
      <c r="R26" s="11">
        <f t="shared" si="18"/>
        <v>17.402000000000001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35" t="s">
        <v>121</v>
      </c>
      <c r="I27" s="27">
        <v>4.8809999999999999E-2</v>
      </c>
      <c r="K27" s="11">
        <f t="shared" ref="K27:L27" si="19">(K22-1000)*$I27</f>
        <v>19.234333911837798</v>
      </c>
      <c r="L27" s="11">
        <f t="shared" si="19"/>
        <v>20.034226562051003</v>
      </c>
      <c r="M27" s="11">
        <f>(M22-1000)*$I27</f>
        <v>34.271640559217268</v>
      </c>
      <c r="N27" s="11">
        <f t="shared" ref="N27:R27" si="20">(N22-1000)*$I27</f>
        <v>40.618894353596183</v>
      </c>
      <c r="O27" s="11">
        <f t="shared" si="20"/>
        <v>23.937703005029398</v>
      </c>
      <c r="P27" s="11">
        <f t="shared" si="20"/>
        <v>20.419191462067079</v>
      </c>
      <c r="Q27" s="11">
        <f t="shared" si="20"/>
        <v>19.494080388014751</v>
      </c>
      <c r="R27" s="11">
        <f t="shared" si="20"/>
        <v>41.640346338081713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26" t="s">
        <v>122</v>
      </c>
      <c r="I28" s="27">
        <v>5.7969E-2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>650*$I28</f>
        <v>37.679850000000002</v>
      </c>
      <c r="T28" s="11">
        <f t="shared" ref="T28:V28" si="21">650*$I28</f>
        <v>37.679850000000002</v>
      </c>
      <c r="U28" s="11">
        <f t="shared" si="21"/>
        <v>37.679850000000002</v>
      </c>
      <c r="V28" s="11">
        <f t="shared" si="21"/>
        <v>37.679850000000002</v>
      </c>
    </row>
    <row r="29" spans="1:24" x14ac:dyDescent="0.25">
      <c r="H29" s="26" t="s">
        <v>123</v>
      </c>
      <c r="I29" s="27">
        <v>9.6285999999999997E-2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>350*$I29</f>
        <v>33.700099999999999</v>
      </c>
      <c r="T29" s="11">
        <f t="shared" ref="T29:V29" si="22">350*$I29</f>
        <v>33.700099999999999</v>
      </c>
      <c r="U29" s="11">
        <f t="shared" si="22"/>
        <v>33.700099999999999</v>
      </c>
      <c r="V29" s="11">
        <f t="shared" si="22"/>
        <v>33.700099999999999</v>
      </c>
    </row>
    <row r="30" spans="1:24" x14ac:dyDescent="0.25">
      <c r="H30" s="35" t="s">
        <v>156</v>
      </c>
      <c r="I30" s="27">
        <v>9.9657999999999997E-2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>(S22-1000)*$I30</f>
        <v>140.66417539653068</v>
      </c>
      <c r="T30" s="11">
        <f t="shared" ref="T30:V30" si="23">(T22-1000)*$I30</f>
        <v>168.07543541993874</v>
      </c>
      <c r="U30" s="11">
        <f t="shared" si="23"/>
        <v>152.54638451948415</v>
      </c>
      <c r="V30" s="11">
        <f t="shared" si="23"/>
        <v>90.979637613084492</v>
      </c>
    </row>
    <row r="31" spans="1:24" x14ac:dyDescent="0.25">
      <c r="H31" s="64" t="s">
        <v>112</v>
      </c>
      <c r="I31" s="27">
        <v>3.1718000000000003E-2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S22*$I31</f>
        <v>76.486973040068648</v>
      </c>
      <c r="T31" s="11">
        <f>T22*$I31</f>
        <v>85.211113053137922</v>
      </c>
      <c r="U31" s="11">
        <f>U22*$I31</f>
        <v>80.268705655230875</v>
      </c>
      <c r="V31" s="11">
        <f>V22*$I31</f>
        <v>60.673950809887963</v>
      </c>
    </row>
    <row r="32" spans="1:24" x14ac:dyDescent="0.25">
      <c r="H32" s="64"/>
      <c r="I32" s="27">
        <v>2.8812999999999998E-2</v>
      </c>
      <c r="K32" s="11">
        <f t="shared" ref="K32:R32" si="24">K22*$I32</f>
        <v>40.167207396061919</v>
      </c>
      <c r="L32" s="11">
        <f t="shared" si="24"/>
        <v>40.639391516746066</v>
      </c>
      <c r="M32" s="11">
        <f t="shared" si="24"/>
        <v>49.04387030183829</v>
      </c>
      <c r="N32" s="11">
        <f t="shared" si="24"/>
        <v>52.790713644953222</v>
      </c>
      <c r="O32" s="11">
        <f t="shared" si="24"/>
        <v>42.943650208643966</v>
      </c>
      <c r="P32" s="11">
        <f t="shared" si="24"/>
        <v>40.866639901588584</v>
      </c>
      <c r="Q32" s="11">
        <f t="shared" si="24"/>
        <v>40.320538172912698</v>
      </c>
      <c r="R32" s="11">
        <f t="shared" si="24"/>
        <v>53.393686315081915</v>
      </c>
      <c r="S32" s="11">
        <v>0</v>
      </c>
      <c r="T32" s="11">
        <v>0</v>
      </c>
      <c r="U32" s="11">
        <v>0</v>
      </c>
      <c r="V32" s="11">
        <v>0</v>
      </c>
    </row>
    <row r="33" spans="8:25" x14ac:dyDescent="0.25">
      <c r="H33" s="28" t="s">
        <v>113</v>
      </c>
      <c r="I33" s="29">
        <v>1.7947000000000001E-2</v>
      </c>
      <c r="K33" s="11">
        <f t="shared" ref="K33:V33" si="25">SUM(K24:K30)*$I33</f>
        <v>1.6011628526657531</v>
      </c>
      <c r="L33" s="11">
        <f t="shared" si="25"/>
        <v>1.6155185260591296</v>
      </c>
      <c r="M33" s="11">
        <f t="shared" si="25"/>
        <v>1.8710373950662726</v>
      </c>
      <c r="N33" s="11">
        <f t="shared" si="25"/>
        <v>1.9849515589139908</v>
      </c>
      <c r="O33" s="11">
        <f t="shared" si="25"/>
        <v>1.6855742177812627</v>
      </c>
      <c r="P33" s="11">
        <f t="shared" si="25"/>
        <v>1.6224274911197181</v>
      </c>
      <c r="Q33" s="11">
        <f t="shared" si="25"/>
        <v>1.6058245226737009</v>
      </c>
      <c r="R33" s="11">
        <f t="shared" si="25"/>
        <v>2.0032835576795529</v>
      </c>
      <c r="S33" s="11">
        <f t="shared" si="25"/>
        <v>4.0729662184915369</v>
      </c>
      <c r="T33" s="11">
        <f t="shared" si="25"/>
        <v>4.5649161021316402</v>
      </c>
      <c r="U33" s="11">
        <f t="shared" si="25"/>
        <v>4.2862162256211818</v>
      </c>
      <c r="V33" s="11">
        <f t="shared" si="25"/>
        <v>3.1812778188920272</v>
      </c>
    </row>
    <row r="34" spans="8:25" x14ac:dyDescent="0.25">
      <c r="H34" s="30" t="s">
        <v>114</v>
      </c>
      <c r="I34" s="31">
        <v>0.15357499999999999</v>
      </c>
      <c r="K34" s="11">
        <f t="shared" ref="K34:V34" si="26">SUM(K24:K30)*$I34</f>
        <v>13.70137544426049</v>
      </c>
      <c r="L34" s="11">
        <f t="shared" si="26"/>
        <v>13.824218958016983</v>
      </c>
      <c r="M34" s="11">
        <f t="shared" si="26"/>
        <v>16.010729812631794</v>
      </c>
      <c r="N34" s="11">
        <f t="shared" si="26"/>
        <v>16.985509314103531</v>
      </c>
      <c r="O34" s="11">
        <f t="shared" si="26"/>
        <v>14.423695352747389</v>
      </c>
      <c r="P34" s="11">
        <f t="shared" si="26"/>
        <v>13.883339942536951</v>
      </c>
      <c r="Q34" s="11">
        <f t="shared" si="26"/>
        <v>13.741266009339366</v>
      </c>
      <c r="R34" s="11">
        <f t="shared" si="26"/>
        <v>17.1423788026209</v>
      </c>
      <c r="S34" s="11">
        <f t="shared" si="26"/>
        <v>34.852944057772199</v>
      </c>
      <c r="T34" s="11">
        <f t="shared" si="26"/>
        <v>39.062628315867087</v>
      </c>
      <c r="U34" s="11">
        <f t="shared" si="26"/>
        <v>36.677754323829774</v>
      </c>
      <c r="V34" s="11">
        <f t="shared" si="26"/>
        <v>27.222641167679448</v>
      </c>
    </row>
    <row r="35" spans="8:25" x14ac:dyDescent="0.25">
      <c r="H35" s="30" t="s">
        <v>115</v>
      </c>
      <c r="I35" s="34">
        <v>0.10766199999999999</v>
      </c>
      <c r="K35" s="11">
        <f t="shared" ref="K35:V35" si="27">SUM(K24:K30)*$I35</f>
        <v>9.6051927923162808</v>
      </c>
      <c r="L35" s="11">
        <f t="shared" si="27"/>
        <v>9.6913108348235362</v>
      </c>
      <c r="M35" s="11">
        <f t="shared" si="27"/>
        <v>11.224139300586451</v>
      </c>
      <c r="N35" s="11">
        <f t="shared" si="27"/>
        <v>11.907497338596873</v>
      </c>
      <c r="O35" s="11">
        <f t="shared" si="27"/>
        <v>10.111566915627474</v>
      </c>
      <c r="P35" s="11">
        <f t="shared" si="27"/>
        <v>9.7327569258890652</v>
      </c>
      <c r="Q35" s="11">
        <f t="shared" si="27"/>
        <v>9.6331576174344438</v>
      </c>
      <c r="R35" s="11">
        <f t="shared" si="27"/>
        <v>12.017468902150554</v>
      </c>
      <c r="S35" s="11">
        <f t="shared" si="27"/>
        <v>24.433258428441285</v>
      </c>
      <c r="T35" s="11">
        <f t="shared" si="27"/>
        <v>27.384409505081443</v>
      </c>
      <c r="U35" s="11">
        <f t="shared" si="27"/>
        <v>25.712520827036698</v>
      </c>
      <c r="V35" s="11">
        <f t="shared" si="27"/>
        <v>19.0841217215999</v>
      </c>
    </row>
    <row r="36" spans="8:25" x14ac:dyDescent="0.25">
      <c r="H36" s="30" t="s">
        <v>116</v>
      </c>
      <c r="I36" s="31">
        <v>2.3567999999999999E-2</v>
      </c>
      <c r="K36" s="11">
        <f t="shared" ref="K36:V36" si="28">SUM(K24:K35)*$I36</f>
        <v>3.6363331726558488</v>
      </c>
      <c r="L36" s="11">
        <f t="shared" si="28"/>
        <v>3.6715766184609158</v>
      </c>
      <c r="M36" s="11">
        <f t="shared" si="28"/>
        <v>4.2988802053606072</v>
      </c>
      <c r="N36" s="11">
        <f t="shared" si="28"/>
        <v>4.57854160124114</v>
      </c>
      <c r="O36" s="11">
        <f t="shared" si="28"/>
        <v>3.8435646476455809</v>
      </c>
      <c r="P36" s="11">
        <f t="shared" si="28"/>
        <v>3.6885382564844109</v>
      </c>
      <c r="Q36" s="11">
        <f t="shared" si="28"/>
        <v>3.6477776594301172</v>
      </c>
      <c r="R36" s="11">
        <f t="shared" si="28"/>
        <v>4.6235469999632057</v>
      </c>
      <c r="S36" s="11">
        <f t="shared" si="28"/>
        <v>8.6445130159862611</v>
      </c>
      <c r="T36" s="11">
        <f t="shared" si="28"/>
        <v>9.6765129660726235</v>
      </c>
      <c r="U36" s="11">
        <f t="shared" si="28"/>
        <v>9.0918634555987445</v>
      </c>
      <c r="V36" s="11">
        <f t="shared" si="28"/>
        <v>6.7739517769627966</v>
      </c>
    </row>
    <row r="37" spans="8:25" x14ac:dyDescent="0.25">
      <c r="K37" s="11">
        <f>SUM(K24:K36)</f>
        <v>157.9274555697981</v>
      </c>
      <c r="L37" s="11">
        <f>SUM(L24:L36)</f>
        <v>159.45809301615762</v>
      </c>
      <c r="M37" s="41">
        <f>SUM(M24:M36)</f>
        <v>186.70214757470069</v>
      </c>
      <c r="N37" s="41">
        <f t="shared" ref="N37:U37" si="29">SUM(N24:N36)</f>
        <v>198.84795781140494</v>
      </c>
      <c r="O37" s="11">
        <f t="shared" si="29"/>
        <v>166.92760434747507</v>
      </c>
      <c r="P37" s="11">
        <f t="shared" si="29"/>
        <v>160.19474397968582</v>
      </c>
      <c r="Q37" s="11">
        <f t="shared" si="29"/>
        <v>158.4244943698051</v>
      </c>
      <c r="R37" s="11">
        <f t="shared" si="29"/>
        <v>200.80256091557783</v>
      </c>
      <c r="S37" s="11">
        <f t="shared" si="29"/>
        <v>375.43478015729062</v>
      </c>
      <c r="T37" s="11">
        <f t="shared" si="29"/>
        <v>420.25496536222943</v>
      </c>
      <c r="U37" s="11">
        <f t="shared" si="29"/>
        <v>394.8633950068014</v>
      </c>
      <c r="V37" s="11">
        <f>SUM(V24:V36)</f>
        <v>294.1955309081066</v>
      </c>
      <c r="W37" s="11">
        <f>SUM(K37:V37)/12</f>
        <v>239.50281075158611</v>
      </c>
      <c r="X37" s="3">
        <f>W37/W20-1</f>
        <v>6.2559820582276604E-2</v>
      </c>
      <c r="Y37" s="11">
        <f>W37-W20</f>
        <v>14.101091137964772</v>
      </c>
    </row>
    <row r="38" spans="8:25" x14ac:dyDescent="0.25">
      <c r="K38" s="42">
        <v>157.19658757605953</v>
      </c>
      <c r="L38" s="42">
        <v>158.72511397328827</v>
      </c>
      <c r="M38" s="42">
        <v>185.93159363920608</v>
      </c>
      <c r="N38" s="42">
        <v>198.06065242232219</v>
      </c>
      <c r="O38" s="42">
        <v>166.18432338402945</v>
      </c>
      <c r="P38" s="42">
        <v>159.46074895071217</v>
      </c>
      <c r="Q38" s="42">
        <v>157.69294086211335</v>
      </c>
      <c r="R38" s="42">
        <v>200.01255974560067</v>
      </c>
      <c r="S38" s="42">
        <v>374.34067818685884</v>
      </c>
      <c r="T38" s="42">
        <v>419.08857540453437</v>
      </c>
      <c r="U38" s="42">
        <v>393.73795770260517</v>
      </c>
      <c r="V38" s="42">
        <v>293.23245521050615</v>
      </c>
      <c r="W38" s="11"/>
      <c r="X38" s="3"/>
      <c r="Y38" s="11"/>
    </row>
    <row r="39" spans="8:25" x14ac:dyDescent="0.25">
      <c r="K39" s="11">
        <f t="shared" ref="K39:M39" si="30">K37-K38</f>
        <v>0.73086799373857048</v>
      </c>
      <c r="L39" s="11">
        <f t="shared" si="30"/>
        <v>0.73297904286934568</v>
      </c>
      <c r="M39" s="11">
        <f t="shared" si="30"/>
        <v>0.77055393549460405</v>
      </c>
      <c r="N39" s="11">
        <f>N37-N38</f>
        <v>0.78730538908274639</v>
      </c>
      <c r="O39" s="11">
        <f t="shared" ref="O39:V39" si="31">O37-O38</f>
        <v>0.74328096344561345</v>
      </c>
      <c r="P39" s="11">
        <f t="shared" si="31"/>
        <v>0.7339950289736521</v>
      </c>
      <c r="Q39" s="11">
        <f t="shared" si="31"/>
        <v>0.73155350769175698</v>
      </c>
      <c r="R39" s="11">
        <f t="shared" si="31"/>
        <v>0.79000116997715963</v>
      </c>
      <c r="S39" s="11">
        <f t="shared" si="31"/>
        <v>1.0941019704317796</v>
      </c>
      <c r="T39" s="11">
        <f t="shared" si="31"/>
        <v>1.1663899576950598</v>
      </c>
      <c r="U39" s="11">
        <f t="shared" si="31"/>
        <v>1.1254373041962253</v>
      </c>
      <c r="V39" s="11">
        <f t="shared" si="31"/>
        <v>0.96307569760045908</v>
      </c>
      <c r="W39" s="11"/>
      <c r="X39" s="3"/>
      <c r="Y39" s="11"/>
    </row>
    <row r="40" spans="8:25" x14ac:dyDescent="0.25">
      <c r="K40" s="11"/>
      <c r="L40" s="11"/>
      <c r="M40" s="41"/>
      <c r="N40" s="41"/>
      <c r="O40" s="11"/>
      <c r="P40" s="11"/>
      <c r="Q40" s="11"/>
      <c r="R40" s="11"/>
      <c r="S40" s="11"/>
      <c r="T40" s="11"/>
      <c r="U40" s="11"/>
      <c r="V40" s="11"/>
      <c r="W40" s="11"/>
      <c r="X40" s="3"/>
      <c r="Y40" s="11"/>
    </row>
    <row r="41" spans="8:25" x14ac:dyDescent="0.25">
      <c r="W41" s="42"/>
    </row>
    <row r="42" spans="8:25" x14ac:dyDescent="0.25">
      <c r="J42" s="12" t="s">
        <v>3</v>
      </c>
      <c r="K42" s="39">
        <v>1394.0654356041343</v>
      </c>
      <c r="L42" s="40">
        <v>1410.4533202632863</v>
      </c>
      <c r="M42" s="40">
        <v>1702.1438344441153</v>
      </c>
      <c r="N42" s="40">
        <v>1832.1838630115997</v>
      </c>
      <c r="O42" s="40">
        <v>1490.426203749834</v>
      </c>
      <c r="P42" s="40">
        <v>1418.3403290732858</v>
      </c>
      <c r="Q42" s="40">
        <v>1399.3870188079236</v>
      </c>
      <c r="R42" s="40">
        <v>1853.110967795159</v>
      </c>
      <c r="S42" s="40">
        <v>2411.4689778696211</v>
      </c>
      <c r="T42" s="40">
        <v>2686.5222603297152</v>
      </c>
      <c r="U42" s="40">
        <v>2530.6988352112639</v>
      </c>
      <c r="V42" s="40">
        <v>1912.9185575978295</v>
      </c>
    </row>
    <row r="43" spans="8:25" ht="16.5" thickBot="1" x14ac:dyDescent="0.3">
      <c r="H43" s="63" t="s">
        <v>138</v>
      </c>
      <c r="I43" s="63"/>
      <c r="J43" s="12" t="s">
        <v>136</v>
      </c>
      <c r="K43" s="37" t="s">
        <v>124</v>
      </c>
      <c r="L43" s="37" t="s">
        <v>125</v>
      </c>
      <c r="M43" s="37" t="s">
        <v>126</v>
      </c>
      <c r="N43" s="37" t="s">
        <v>127</v>
      </c>
      <c r="O43" s="37" t="s">
        <v>128</v>
      </c>
      <c r="P43" s="37" t="s">
        <v>129</v>
      </c>
      <c r="Q43" s="37" t="s">
        <v>130</v>
      </c>
      <c r="R43" s="37" t="s">
        <v>131</v>
      </c>
      <c r="S43" s="37" t="s">
        <v>132</v>
      </c>
      <c r="T43" s="37" t="s">
        <v>133</v>
      </c>
      <c r="U43" s="37" t="s">
        <v>134</v>
      </c>
      <c r="V43" s="37" t="s">
        <v>135</v>
      </c>
    </row>
    <row r="44" spans="8:25" x14ac:dyDescent="0.25">
      <c r="H44" s="32" t="s">
        <v>118</v>
      </c>
      <c r="I44" s="33">
        <v>17.95</v>
      </c>
      <c r="K44" s="11">
        <f>$I44</f>
        <v>17.95</v>
      </c>
      <c r="L44" s="11">
        <f t="shared" ref="L44:V44" si="32">$I44</f>
        <v>17.95</v>
      </c>
      <c r="M44" s="11">
        <f t="shared" si="32"/>
        <v>17.95</v>
      </c>
      <c r="N44" s="11">
        <f t="shared" si="32"/>
        <v>17.95</v>
      </c>
      <c r="O44" s="11">
        <f t="shared" si="32"/>
        <v>17.95</v>
      </c>
      <c r="P44" s="11">
        <f t="shared" si="32"/>
        <v>17.95</v>
      </c>
      <c r="Q44" s="11">
        <f t="shared" si="32"/>
        <v>17.95</v>
      </c>
      <c r="R44" s="11">
        <f t="shared" si="32"/>
        <v>17.95</v>
      </c>
      <c r="S44" s="11">
        <f t="shared" si="32"/>
        <v>17.95</v>
      </c>
      <c r="T44" s="11">
        <f t="shared" si="32"/>
        <v>17.95</v>
      </c>
      <c r="U44" s="11">
        <f t="shared" si="32"/>
        <v>17.95</v>
      </c>
      <c r="V44" s="11">
        <f t="shared" si="32"/>
        <v>17.95</v>
      </c>
    </row>
    <row r="45" spans="8:25" x14ac:dyDescent="0.25">
      <c r="H45" s="26" t="s">
        <v>119</v>
      </c>
      <c r="I45" s="27">
        <v>4.9754E-2</v>
      </c>
      <c r="K45" s="11">
        <f>650*$I45</f>
        <v>32.3401</v>
      </c>
      <c r="L45" s="11">
        <f t="shared" ref="L45:R45" si="33">650*$I45</f>
        <v>32.3401</v>
      </c>
      <c r="M45" s="11">
        <f t="shared" si="33"/>
        <v>32.3401</v>
      </c>
      <c r="N45" s="11">
        <f t="shared" si="33"/>
        <v>32.3401</v>
      </c>
      <c r="O45" s="11">
        <f t="shared" si="33"/>
        <v>32.3401</v>
      </c>
      <c r="P45" s="11">
        <f t="shared" si="33"/>
        <v>32.3401</v>
      </c>
      <c r="Q45" s="11">
        <f t="shared" si="33"/>
        <v>32.3401</v>
      </c>
      <c r="R45" s="11">
        <f t="shared" si="33"/>
        <v>32.3401</v>
      </c>
      <c r="S45" s="11">
        <v>0</v>
      </c>
      <c r="T45" s="11">
        <v>0</v>
      </c>
      <c r="U45" s="11">
        <v>0</v>
      </c>
      <c r="V45" s="11">
        <v>0</v>
      </c>
    </row>
    <row r="46" spans="8:25" x14ac:dyDescent="0.25">
      <c r="H46" s="26" t="s">
        <v>120</v>
      </c>
      <c r="I46" s="27">
        <v>4.2674999999999998E-2</v>
      </c>
      <c r="K46" s="11">
        <f>350*$I46</f>
        <v>14.936249999999999</v>
      </c>
      <c r="L46" s="11">
        <f t="shared" ref="L46:R46" si="34">350*$I46</f>
        <v>14.936249999999999</v>
      </c>
      <c r="M46" s="11">
        <f t="shared" si="34"/>
        <v>14.936249999999999</v>
      </c>
      <c r="N46" s="11">
        <f t="shared" si="34"/>
        <v>14.936249999999999</v>
      </c>
      <c r="O46" s="11">
        <f t="shared" si="34"/>
        <v>14.936249999999999</v>
      </c>
      <c r="P46" s="11">
        <f t="shared" si="34"/>
        <v>14.936249999999999</v>
      </c>
      <c r="Q46" s="11">
        <f t="shared" si="34"/>
        <v>14.936249999999999</v>
      </c>
      <c r="R46" s="11">
        <f t="shared" si="34"/>
        <v>14.936249999999999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35" t="s">
        <v>121</v>
      </c>
      <c r="I47" s="27">
        <v>4.1890999999999998E-2</v>
      </c>
      <c r="K47" s="11">
        <f t="shared" ref="K47:L47" si="35">(K42-1000)*$I47</f>
        <v>16.507795162892791</v>
      </c>
      <c r="L47" s="11">
        <f t="shared" si="35"/>
        <v>17.194300039149326</v>
      </c>
      <c r="M47" s="11">
        <f>(M42-1000)*$I47</f>
        <v>29.413507368698433</v>
      </c>
      <c r="N47" s="11">
        <f t="shared" ref="N47:R47" si="36">(N42-1000)*$I47</f>
        <v>34.861014205418918</v>
      </c>
      <c r="O47" s="11">
        <f t="shared" si="36"/>
        <v>20.544444101284295</v>
      </c>
      <c r="P47" s="11">
        <f t="shared" si="36"/>
        <v>17.524694725209017</v>
      </c>
      <c r="Q47" s="11">
        <f t="shared" si="36"/>
        <v>16.730721604882728</v>
      </c>
      <c r="R47" s="11">
        <f t="shared" si="36"/>
        <v>35.737671551907006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26" t="s">
        <v>122</v>
      </c>
      <c r="I48" s="27">
        <v>4.9754E-2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650*$I48</f>
        <v>32.3401</v>
      </c>
      <c r="T48" s="11">
        <f t="shared" ref="T48:V48" si="37">650*$I48</f>
        <v>32.3401</v>
      </c>
      <c r="U48" s="11">
        <f t="shared" si="37"/>
        <v>32.3401</v>
      </c>
      <c r="V48" s="11">
        <f t="shared" si="37"/>
        <v>32.3401</v>
      </c>
    </row>
    <row r="49" spans="8:25" x14ac:dyDescent="0.25">
      <c r="H49" s="26" t="s">
        <v>123</v>
      </c>
      <c r="I49" s="27">
        <v>8.2639000000000004E-2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f>350*$I49</f>
        <v>28.923650000000002</v>
      </c>
      <c r="T49" s="11">
        <f t="shared" ref="T49:V49" si="38">350*$I49</f>
        <v>28.923650000000002</v>
      </c>
      <c r="U49" s="11">
        <f t="shared" si="38"/>
        <v>28.923650000000002</v>
      </c>
      <c r="V49" s="11">
        <f t="shared" si="38"/>
        <v>28.923650000000002</v>
      </c>
    </row>
    <row r="50" spans="8:25" x14ac:dyDescent="0.25">
      <c r="H50" s="35" t="s">
        <v>156</v>
      </c>
      <c r="I50" s="27">
        <v>8.5531999999999997E-2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f>(S42-1000)*$I50</f>
        <v>120.72576461514443</v>
      </c>
      <c r="T50" s="11">
        <f t="shared" ref="T50:V50" si="39">(T42-1000)*$I50</f>
        <v>144.2516219705212</v>
      </c>
      <c r="U50" s="11">
        <f t="shared" si="39"/>
        <v>130.92373277328983</v>
      </c>
      <c r="V50" s="11">
        <f t="shared" si="39"/>
        <v>78.083750068457547</v>
      </c>
    </row>
    <row r="51" spans="8:25" x14ac:dyDescent="0.25">
      <c r="H51" s="64" t="s">
        <v>112</v>
      </c>
      <c r="I51" s="27">
        <v>3.1718000000000003E-2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f>S42*$I51</f>
        <v>76.486973040068648</v>
      </c>
      <c r="T51" s="11">
        <f>T42*$I51</f>
        <v>85.211113053137922</v>
      </c>
      <c r="U51" s="11">
        <f>U42*$I51</f>
        <v>80.268705655230875</v>
      </c>
      <c r="V51" s="11">
        <f>V42*$I51</f>
        <v>60.673950809887963</v>
      </c>
    </row>
    <row r="52" spans="8:25" x14ac:dyDescent="0.25">
      <c r="H52" s="64"/>
      <c r="I52" s="27">
        <v>2.8812999999999998E-2</v>
      </c>
      <c r="K52" s="11">
        <f t="shared" ref="K52:R52" si="40">K42*$I52</f>
        <v>40.167207396061919</v>
      </c>
      <c r="L52" s="11">
        <f t="shared" si="40"/>
        <v>40.639391516746066</v>
      </c>
      <c r="M52" s="11">
        <f t="shared" si="40"/>
        <v>49.04387030183829</v>
      </c>
      <c r="N52" s="11">
        <f t="shared" si="40"/>
        <v>52.790713644953222</v>
      </c>
      <c r="O52" s="11">
        <f t="shared" si="40"/>
        <v>42.943650208643966</v>
      </c>
      <c r="P52" s="11">
        <f t="shared" si="40"/>
        <v>40.866639901588584</v>
      </c>
      <c r="Q52" s="11">
        <f t="shared" si="40"/>
        <v>40.320538172912698</v>
      </c>
      <c r="R52" s="11">
        <f t="shared" si="40"/>
        <v>53.393686315081915</v>
      </c>
      <c r="S52" s="11">
        <v>0</v>
      </c>
      <c r="T52" s="11">
        <v>0</v>
      </c>
      <c r="U52" s="11">
        <v>0</v>
      </c>
      <c r="V52" s="11">
        <v>0</v>
      </c>
    </row>
    <row r="53" spans="8:25" x14ac:dyDescent="0.25">
      <c r="H53" s="28" t="s">
        <v>144</v>
      </c>
      <c r="I53" s="29">
        <v>1.9511000000000001E-2</v>
      </c>
      <c r="K53" s="11">
        <f t="shared" ref="K53:V53" si="41">SUM(K44:K50)*$I53</f>
        <v>1.5947149062732011</v>
      </c>
      <c r="L53" s="11">
        <f t="shared" si="41"/>
        <v>1.6081093029138425</v>
      </c>
      <c r="M53" s="11">
        <f t="shared" si="41"/>
        <v>1.8465182571206751</v>
      </c>
      <c r="N53" s="11">
        <f t="shared" si="41"/>
        <v>1.9528045630119284</v>
      </c>
      <c r="O53" s="11">
        <f t="shared" si="41"/>
        <v>1.6734739637101579</v>
      </c>
      <c r="P53" s="11">
        <f t="shared" si="41"/>
        <v>1.6145556336335531</v>
      </c>
      <c r="Q53" s="11">
        <f t="shared" si="41"/>
        <v>1.5990644240828669</v>
      </c>
      <c r="R53" s="11">
        <f t="shared" si="41"/>
        <v>1.9699090244992574</v>
      </c>
      <c r="S53" s="11">
        <f t="shared" si="41"/>
        <v>3.9010198696560834</v>
      </c>
      <c r="T53" s="11">
        <f t="shared" si="41"/>
        <v>4.3600328725168396</v>
      </c>
      <c r="U53" s="11">
        <f t="shared" si="41"/>
        <v>4.0999924263896581</v>
      </c>
      <c r="V53" s="11">
        <f t="shared" si="41"/>
        <v>3.0690315238356756</v>
      </c>
    </row>
    <row r="54" spans="8:25" x14ac:dyDescent="0.25">
      <c r="H54" s="30" t="s">
        <v>145</v>
      </c>
      <c r="I54" s="31">
        <v>0.16881399999999999</v>
      </c>
      <c r="K54" s="11">
        <f t="shared" ref="K54:V54" si="42">SUM(K44:K50)*$I54</f>
        <v>13.797867981528583</v>
      </c>
      <c r="L54" s="11">
        <f t="shared" si="42"/>
        <v>13.913759615708953</v>
      </c>
      <c r="M54" s="11">
        <f t="shared" si="42"/>
        <v>15.976532881839455</v>
      </c>
      <c r="N54" s="11">
        <f t="shared" si="42"/>
        <v>16.896148300973586</v>
      </c>
      <c r="O54" s="11">
        <f t="shared" si="42"/>
        <v>14.479310835414207</v>
      </c>
      <c r="P54" s="11">
        <f t="shared" si="42"/>
        <v>13.969534864241433</v>
      </c>
      <c r="Q54" s="11">
        <f t="shared" si="42"/>
        <v>13.835501085906673</v>
      </c>
      <c r="R54" s="11">
        <f t="shared" si="42"/>
        <v>17.044140334263627</v>
      </c>
      <c r="S54" s="11">
        <f t="shared" si="42"/>
        <v>33.752589220240992</v>
      </c>
      <c r="T54" s="11">
        <f t="shared" si="42"/>
        <v>37.724083303831563</v>
      </c>
      <c r="U54" s="11">
        <f t="shared" si="42"/>
        <v>35.474149016890145</v>
      </c>
      <c r="V54" s="11">
        <f t="shared" si="42"/>
        <v>26.554020176556595</v>
      </c>
    </row>
    <row r="55" spans="8:25" x14ac:dyDescent="0.25">
      <c r="H55" s="30" t="s">
        <v>115</v>
      </c>
      <c r="I55" s="34">
        <v>0.10766199999999999</v>
      </c>
      <c r="K55" s="11">
        <f t="shared" ref="K55:V55" si="43">SUM(K44:K50)*$I55</f>
        <v>8.7996615365273634</v>
      </c>
      <c r="L55" s="11">
        <f t="shared" si="43"/>
        <v>8.8735720245148944</v>
      </c>
      <c r="M55" s="11">
        <f t="shared" si="43"/>
        <v>10.189116324028809</v>
      </c>
      <c r="N55" s="11">
        <f t="shared" si="43"/>
        <v>10.77560580508381</v>
      </c>
      <c r="O55" s="11">
        <f t="shared" si="43"/>
        <v>9.2342552345324691</v>
      </c>
      <c r="P55" s="11">
        <f t="shared" si="43"/>
        <v>8.9091429772054518</v>
      </c>
      <c r="Q55" s="11">
        <f t="shared" si="43"/>
        <v>8.8236622431248843</v>
      </c>
      <c r="R55" s="11">
        <f t="shared" si="43"/>
        <v>10.869988488321411</v>
      </c>
      <c r="S55" s="11">
        <f t="shared" si="43"/>
        <v>21.525888022495682</v>
      </c>
      <c r="T55" s="11">
        <f t="shared" si="43"/>
        <v>24.058728877090253</v>
      </c>
      <c r="U55" s="11">
        <f t="shared" si="43"/>
        <v>22.623821670337929</v>
      </c>
      <c r="V55" s="11">
        <f t="shared" si="43"/>
        <v>16.934963452370276</v>
      </c>
    </row>
    <row r="56" spans="8:25" x14ac:dyDescent="0.25">
      <c r="H56" s="30" t="s">
        <v>116</v>
      </c>
      <c r="I56" s="31">
        <v>2.3567999999999999E-2</v>
      </c>
      <c r="K56" s="11">
        <f t="shared" ref="K56:V56" si="44">SUM(K44:K55)*$I56</f>
        <v>3.4431338937020333</v>
      </c>
      <c r="L56" s="11">
        <f t="shared" si="44"/>
        <v>3.4752308115372115</v>
      </c>
      <c r="M56" s="11">
        <f t="shared" si="44"/>
        <v>4.0465288565069324</v>
      </c>
      <c r="N56" s="11">
        <f t="shared" si="44"/>
        <v>4.3012221374901962</v>
      </c>
      <c r="O56" s="11">
        <f t="shared" si="44"/>
        <v>3.6318637830096132</v>
      </c>
      <c r="P56" s="11">
        <f t="shared" si="44"/>
        <v>3.4906781178250617</v>
      </c>
      <c r="Q56" s="11">
        <f t="shared" si="44"/>
        <v>3.453556618928483</v>
      </c>
      <c r="R56" s="11">
        <f t="shared" si="44"/>
        <v>4.3422094629892767</v>
      </c>
      <c r="S56" s="11">
        <f t="shared" si="44"/>
        <v>7.9095618490029338</v>
      </c>
      <c r="T56" s="11">
        <f t="shared" si="44"/>
        <v>8.8337419712570391</v>
      </c>
      <c r="U56" s="11">
        <f t="shared" si="44"/>
        <v>8.3101746435451158</v>
      </c>
      <c r="V56" s="11">
        <f t="shared" si="44"/>
        <v>6.2344304554211547</v>
      </c>
    </row>
    <row r="57" spans="8:25" x14ac:dyDescent="0.25">
      <c r="K57" s="11">
        <f>SUM(K44:K56)</f>
        <v>149.53673087698587</v>
      </c>
      <c r="L57" s="11">
        <f>SUM(L44:L56)</f>
        <v>150.9307133105703</v>
      </c>
      <c r="M57" s="41">
        <f>SUM(M44:M56)</f>
        <v>175.74242399003259</v>
      </c>
      <c r="N57" s="41">
        <f t="shared" ref="N57:U57" si="45">SUM(N44:N56)</f>
        <v>186.80385865693165</v>
      </c>
      <c r="O57" s="11">
        <f t="shared" si="45"/>
        <v>157.73334812659471</v>
      </c>
      <c r="P57" s="11">
        <f t="shared" si="45"/>
        <v>151.60159621970311</v>
      </c>
      <c r="Q57" s="11">
        <f t="shared" si="45"/>
        <v>149.98939414983832</v>
      </c>
      <c r="R57" s="11">
        <f t="shared" si="45"/>
        <v>188.58395517706248</v>
      </c>
      <c r="S57" s="11">
        <f t="shared" si="45"/>
        <v>343.51554661660879</v>
      </c>
      <c r="T57" s="11">
        <f t="shared" si="45"/>
        <v>383.65307204835477</v>
      </c>
      <c r="U57" s="11">
        <f t="shared" si="45"/>
        <v>360.91432618568348</v>
      </c>
      <c r="V57" s="11">
        <f>SUM(V44:V56)</f>
        <v>270.76389648652923</v>
      </c>
      <c r="W57" s="11">
        <f>SUM(K57:V57)/12</f>
        <v>222.4807384870746</v>
      </c>
      <c r="X57" s="3">
        <f>W57/W20-1</f>
        <v>-1.2959001073966192E-2</v>
      </c>
      <c r="Y57" s="11">
        <f>W57-W20</f>
        <v>-2.9209811265467351</v>
      </c>
    </row>
    <row r="60" spans="8:25" x14ac:dyDescent="0.25">
      <c r="J60" s="12" t="s">
        <v>3</v>
      </c>
      <c r="K60" s="39">
        <v>1394.0654356041343</v>
      </c>
      <c r="L60" s="40">
        <v>1410.4533202632863</v>
      </c>
      <c r="M60" s="40">
        <v>1702.1438344441153</v>
      </c>
      <c r="N60" s="40">
        <v>1832.1838630115997</v>
      </c>
      <c r="O60" s="40">
        <v>1490.426203749834</v>
      </c>
      <c r="P60" s="40">
        <v>1418.3403290732858</v>
      </c>
      <c r="Q60" s="40">
        <v>1399.3870188079236</v>
      </c>
      <c r="R60" s="40">
        <v>1853.110967795159</v>
      </c>
      <c r="S60" s="40">
        <v>2411.4689778696211</v>
      </c>
      <c r="T60" s="40">
        <v>2686.5222603297152</v>
      </c>
      <c r="U60" s="40">
        <v>2530.6988352112639</v>
      </c>
      <c r="V60" s="40">
        <v>1912.9185575978295</v>
      </c>
    </row>
    <row r="61" spans="8:25" ht="16.5" thickBot="1" x14ac:dyDescent="0.3">
      <c r="H61" s="63" t="s">
        <v>154</v>
      </c>
      <c r="I61" s="63"/>
      <c r="J61" s="12" t="s">
        <v>136</v>
      </c>
      <c r="K61" s="37" t="s">
        <v>124</v>
      </c>
      <c r="L61" s="37" t="s">
        <v>125</v>
      </c>
      <c r="M61" s="37" t="s">
        <v>126</v>
      </c>
      <c r="N61" s="37" t="s">
        <v>127</v>
      </c>
      <c r="O61" s="37" t="s">
        <v>128</v>
      </c>
      <c r="P61" s="37" t="s">
        <v>129</v>
      </c>
      <c r="Q61" s="37" t="s">
        <v>130</v>
      </c>
      <c r="R61" s="37" t="s">
        <v>131</v>
      </c>
      <c r="S61" s="37" t="s">
        <v>132</v>
      </c>
      <c r="T61" s="37" t="s">
        <v>133</v>
      </c>
      <c r="U61" s="37" t="s">
        <v>134</v>
      </c>
      <c r="V61" s="37" t="s">
        <v>135</v>
      </c>
    </row>
    <row r="62" spans="8:25" x14ac:dyDescent="0.25">
      <c r="H62" s="32" t="s">
        <v>118</v>
      </c>
      <c r="I62" s="33">
        <v>10</v>
      </c>
      <c r="K62" s="11">
        <f>$I62</f>
        <v>10</v>
      </c>
      <c r="L62" s="11">
        <f t="shared" ref="L62:V62" si="46">$I62</f>
        <v>10</v>
      </c>
      <c r="M62" s="11">
        <f t="shared" si="46"/>
        <v>10</v>
      </c>
      <c r="N62" s="11">
        <f t="shared" si="46"/>
        <v>10</v>
      </c>
      <c r="O62" s="11">
        <f t="shared" si="46"/>
        <v>10</v>
      </c>
      <c r="P62" s="11">
        <f t="shared" si="46"/>
        <v>10</v>
      </c>
      <c r="Q62" s="11">
        <f t="shared" si="46"/>
        <v>10</v>
      </c>
      <c r="R62" s="11">
        <f t="shared" si="46"/>
        <v>10</v>
      </c>
      <c r="S62" s="11">
        <f t="shared" si="46"/>
        <v>10</v>
      </c>
      <c r="T62" s="11">
        <f t="shared" si="46"/>
        <v>10</v>
      </c>
      <c r="U62" s="11">
        <f t="shared" si="46"/>
        <v>10</v>
      </c>
      <c r="V62" s="11">
        <f t="shared" si="46"/>
        <v>10</v>
      </c>
    </row>
    <row r="63" spans="8:25" x14ac:dyDescent="0.25">
      <c r="H63" s="26" t="s">
        <v>119</v>
      </c>
      <c r="I63" s="27">
        <v>5.755255297651591E-2</v>
      </c>
      <c r="K63" s="11">
        <f>650*$I63</f>
        <v>37.409159434735344</v>
      </c>
      <c r="L63" s="11">
        <f t="shared" ref="L63:R63" si="47">650*$I63</f>
        <v>37.409159434735344</v>
      </c>
      <c r="M63" s="11">
        <f t="shared" si="47"/>
        <v>37.409159434735344</v>
      </c>
      <c r="N63" s="11">
        <f t="shared" si="47"/>
        <v>37.409159434735344</v>
      </c>
      <c r="O63" s="11">
        <f t="shared" si="47"/>
        <v>37.409159434735344</v>
      </c>
      <c r="P63" s="11">
        <f t="shared" si="47"/>
        <v>37.409159434735344</v>
      </c>
      <c r="Q63" s="11">
        <f t="shared" si="47"/>
        <v>37.409159434735344</v>
      </c>
      <c r="R63" s="11">
        <f t="shared" si="47"/>
        <v>37.409159434735344</v>
      </c>
      <c r="S63" s="11">
        <v>0</v>
      </c>
      <c r="T63" s="11">
        <v>0</v>
      </c>
      <c r="U63" s="11">
        <v>0</v>
      </c>
      <c r="V63" s="11">
        <v>0</v>
      </c>
    </row>
    <row r="64" spans="8:25" x14ac:dyDescent="0.25">
      <c r="H64" s="26" t="s">
        <v>120</v>
      </c>
      <c r="I64" s="27">
        <v>5.0473552976515908E-2</v>
      </c>
      <c r="K64" s="11">
        <f>350*$I64</f>
        <v>17.665743541780568</v>
      </c>
      <c r="L64" s="11">
        <f t="shared" ref="L64:R64" si="48">350*$I64</f>
        <v>17.665743541780568</v>
      </c>
      <c r="M64" s="11">
        <f t="shared" si="48"/>
        <v>17.665743541780568</v>
      </c>
      <c r="N64" s="11">
        <f t="shared" si="48"/>
        <v>17.665743541780568</v>
      </c>
      <c r="O64" s="11">
        <f t="shared" si="48"/>
        <v>17.665743541780568</v>
      </c>
      <c r="P64" s="11">
        <f t="shared" si="48"/>
        <v>17.665743541780568</v>
      </c>
      <c r="Q64" s="11">
        <f t="shared" si="48"/>
        <v>17.665743541780568</v>
      </c>
      <c r="R64" s="11">
        <f t="shared" si="48"/>
        <v>17.665743541780568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35" t="s">
        <v>121</v>
      </c>
      <c r="I65" s="27">
        <v>4.9689552976515908E-2</v>
      </c>
      <c r="K65" s="11">
        <f t="shared" ref="K65:L65" si="49">(K60-1000)*$I65</f>
        <v>19.580935338665451</v>
      </c>
      <c r="L65" s="11">
        <f t="shared" si="49"/>
        <v>20.395242001609414</v>
      </c>
      <c r="M65" s="11">
        <f>(M60-1000)*$I65</f>
        <v>34.889213258744881</v>
      </c>
      <c r="N65" s="11">
        <f t="shared" ref="N65:R65" si="50">(N60-1000)*$I65</f>
        <v>41.350844147316536</v>
      </c>
      <c r="O65" s="11">
        <f t="shared" si="50"/>
        <v>24.369058832298961</v>
      </c>
      <c r="P65" s="11">
        <f t="shared" si="50"/>
        <v>20.787143943700134</v>
      </c>
      <c r="Q65" s="11">
        <f t="shared" si="50"/>
        <v>19.845362429189073</v>
      </c>
      <c r="R65" s="11">
        <f t="shared" si="50"/>
        <v>42.390702629104311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26" t="s">
        <v>122</v>
      </c>
      <c r="I66" s="27">
        <v>5.755255297651591E-2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f>650*$I66</f>
        <v>37.409159434735344</v>
      </c>
      <c r="T66" s="11">
        <f t="shared" ref="T66:V66" si="51">650*$I66</f>
        <v>37.409159434735344</v>
      </c>
      <c r="U66" s="11">
        <f t="shared" si="51"/>
        <v>37.409159434735344</v>
      </c>
      <c r="V66" s="11">
        <f t="shared" si="51"/>
        <v>37.409159434735344</v>
      </c>
    </row>
    <row r="67" spans="8:25" x14ac:dyDescent="0.25">
      <c r="H67" s="26" t="s">
        <v>123</v>
      </c>
      <c r="I67" s="27">
        <v>9.0437552976515914E-2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f>350*$I67</f>
        <v>31.653143541780569</v>
      </c>
      <c r="T67" s="11">
        <f t="shared" ref="T67:V67" si="52">350*$I67</f>
        <v>31.653143541780569</v>
      </c>
      <c r="U67" s="11">
        <f t="shared" si="52"/>
        <v>31.653143541780569</v>
      </c>
      <c r="V67" s="11">
        <f t="shared" si="52"/>
        <v>31.653143541780569</v>
      </c>
    </row>
    <row r="68" spans="8:25" x14ac:dyDescent="0.25">
      <c r="H68" s="35" t="s">
        <v>156</v>
      </c>
      <c r="I68" s="27">
        <v>9.3330552976515907E-2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f>(S60-1000)*$I68</f>
        <v>131.73318021376943</v>
      </c>
      <c r="T68" s="11">
        <f t="shared" ref="T68:V68" si="53">(T60-1000)*$I68</f>
        <v>157.40405516377584</v>
      </c>
      <c r="U68" s="11">
        <f t="shared" si="53"/>
        <v>142.86096873077605</v>
      </c>
      <c r="V68" s="11">
        <f t="shared" si="53"/>
        <v>85.203193803128713</v>
      </c>
    </row>
    <row r="69" spans="8:25" x14ac:dyDescent="0.25">
      <c r="H69" s="64" t="s">
        <v>112</v>
      </c>
      <c r="I69" s="27">
        <v>3.1718000000000003E-2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f>S60*$I69</f>
        <v>76.486973040068648</v>
      </c>
      <c r="T69" s="11">
        <f>T60*$I69</f>
        <v>85.211113053137922</v>
      </c>
      <c r="U69" s="11">
        <f>U60*$I69</f>
        <v>80.268705655230875</v>
      </c>
      <c r="V69" s="11">
        <f>V60*$I69</f>
        <v>60.673950809887963</v>
      </c>
    </row>
    <row r="70" spans="8:25" x14ac:dyDescent="0.25">
      <c r="H70" s="64"/>
      <c r="I70" s="27">
        <v>2.8812999999999998E-2</v>
      </c>
      <c r="K70" s="11">
        <f t="shared" ref="K70:R70" si="54">K60*$I70</f>
        <v>40.167207396061919</v>
      </c>
      <c r="L70" s="11">
        <f t="shared" si="54"/>
        <v>40.639391516746066</v>
      </c>
      <c r="M70" s="11">
        <f t="shared" si="54"/>
        <v>49.04387030183829</v>
      </c>
      <c r="N70" s="11">
        <f t="shared" si="54"/>
        <v>52.790713644953222</v>
      </c>
      <c r="O70" s="11">
        <f t="shared" si="54"/>
        <v>42.943650208643966</v>
      </c>
      <c r="P70" s="11">
        <f t="shared" si="54"/>
        <v>40.866639901588584</v>
      </c>
      <c r="Q70" s="11">
        <f t="shared" si="54"/>
        <v>40.320538172912698</v>
      </c>
      <c r="R70" s="11">
        <f t="shared" si="54"/>
        <v>53.393686315081915</v>
      </c>
      <c r="S70" s="11">
        <v>0</v>
      </c>
      <c r="T70" s="11">
        <v>0</v>
      </c>
      <c r="U70" s="11">
        <v>0</v>
      </c>
      <c r="V70" s="11">
        <v>0</v>
      </c>
    </row>
    <row r="71" spans="8:25" x14ac:dyDescent="0.25">
      <c r="H71" s="28" t="s">
        <v>144</v>
      </c>
      <c r="I71" s="29">
        <v>1.9511000000000001E-2</v>
      </c>
      <c r="K71" s="11">
        <f t="shared" ref="K71:V71" si="55">SUM(K62:K68)*$I71</f>
        <v>1.6517200613675038</v>
      </c>
      <c r="L71" s="11">
        <f t="shared" si="55"/>
        <v>1.6676079986682035</v>
      </c>
      <c r="M71" s="11">
        <f t="shared" si="55"/>
        <v>1.9503998718661737</v>
      </c>
      <c r="N71" s="11">
        <f t="shared" si="55"/>
        <v>2.0764727521330952</v>
      </c>
      <c r="O71" s="11">
        <f t="shared" si="55"/>
        <v>1.745141138851787</v>
      </c>
      <c r="P71" s="11">
        <f t="shared" si="55"/>
        <v>1.6752543974603353</v>
      </c>
      <c r="Q71" s="11">
        <f t="shared" si="55"/>
        <v>1.6568792983307099</v>
      </c>
      <c r="R71" s="11">
        <f t="shared" si="55"/>
        <v>2.0967614309712563</v>
      </c>
      <c r="S71" s="11">
        <f t="shared" si="55"/>
        <v>4.1128306725256571</v>
      </c>
      <c r="T71" s="11">
        <f t="shared" si="55"/>
        <v>4.6136951136752318</v>
      </c>
      <c r="U71" s="11">
        <f t="shared" si="55"/>
        <v>4.3299449542809736</v>
      </c>
      <c r="V71" s="11">
        <f t="shared" si="55"/>
        <v>3.2049841076676464</v>
      </c>
    </row>
    <row r="72" spans="8:25" x14ac:dyDescent="0.25">
      <c r="H72" s="30" t="s">
        <v>145</v>
      </c>
      <c r="I72" s="31">
        <v>0.16881399999999999</v>
      </c>
      <c r="K72" s="11">
        <f t="shared" ref="K72:V72" si="56">SUM(K62:K68)*$I72</f>
        <v>14.291090689339027</v>
      </c>
      <c r="L72" s="11">
        <f t="shared" si="56"/>
        <v>14.428557054337249</v>
      </c>
      <c r="M72" s="11">
        <f t="shared" si="56"/>
        <v>16.875342318139317</v>
      </c>
      <c r="N72" s="11">
        <f t="shared" si="56"/>
        <v>17.966156074962651</v>
      </c>
      <c r="O72" s="11">
        <f t="shared" si="56"/>
        <v>15.099392968793273</v>
      </c>
      <c r="P72" s="11">
        <f t="shared" si="56"/>
        <v>14.494715588789351</v>
      </c>
      <c r="Q72" s="11">
        <f t="shared" si="56"/>
        <v>14.335729684198681</v>
      </c>
      <c r="R72" s="11">
        <f t="shared" si="56"/>
        <v>18.14169874470717</v>
      </c>
      <c r="S72" s="11">
        <f t="shared" si="56"/>
        <v>35.585228699284826</v>
      </c>
      <c r="T72" s="11">
        <f t="shared" si="56"/>
        <v>39.918831783095207</v>
      </c>
      <c r="U72" s="11">
        <f t="shared" si="56"/>
        <v>37.463755189994785</v>
      </c>
      <c r="V72" s="11">
        <f t="shared" si="56"/>
        <v>27.730315573358926</v>
      </c>
    </row>
    <row r="73" spans="8:25" x14ac:dyDescent="0.25">
      <c r="H73" s="30" t="s">
        <v>115</v>
      </c>
      <c r="I73" s="34">
        <v>0.10766199999999999</v>
      </c>
      <c r="K73" s="11">
        <f t="shared" ref="K73:V73" si="57">SUM(K62:K68)*$I73</f>
        <v>9.1142168646890553</v>
      </c>
      <c r="L73" s="11">
        <f t="shared" si="57"/>
        <v>9.2018867486349283</v>
      </c>
      <c r="M73" s="11">
        <f t="shared" si="57"/>
        <v>10.762336682120647</v>
      </c>
      <c r="N73" s="11">
        <f t="shared" si="57"/>
        <v>11.458008786846049</v>
      </c>
      <c r="O73" s="11">
        <f t="shared" si="57"/>
        <v>9.6297158162606262</v>
      </c>
      <c r="P73" s="11">
        <f t="shared" si="57"/>
        <v>9.2440796955242988</v>
      </c>
      <c r="Q73" s="11">
        <f t="shared" si="57"/>
        <v>9.1426856141090092</v>
      </c>
      <c r="R73" s="11">
        <f t="shared" si="57"/>
        <v>11.569962030712285</v>
      </c>
      <c r="S73" s="11">
        <f t="shared" si="57"/>
        <v>22.694663311232496</v>
      </c>
      <c r="T73" s="11">
        <f t="shared" si="57"/>
        <v>25.458441050100088</v>
      </c>
      <c r="U73" s="11">
        <f t="shared" si="57"/>
        <v>23.892703278550467</v>
      </c>
      <c r="V73" s="11">
        <f t="shared" si="57"/>
        <v>17.685151914290099</v>
      </c>
    </row>
    <row r="74" spans="8:25" x14ac:dyDescent="0.25">
      <c r="H74" s="30" t="s">
        <v>116</v>
      </c>
      <c r="I74" s="31">
        <v>2.3567999999999999E-2</v>
      </c>
      <c r="K74" s="11">
        <f t="shared" ref="K74:V74" si="58">SUM(K62:K73)*$I74</f>
        <v>3.5323735681622246</v>
      </c>
      <c r="L74" s="11">
        <f t="shared" si="58"/>
        <v>3.5683740409721896</v>
      </c>
      <c r="M74" s="11">
        <f t="shared" si="58"/>
        <v>4.2091520695646194</v>
      </c>
      <c r="N74" s="11">
        <f t="shared" si="58"/>
        <v>4.4948205746841206</v>
      </c>
      <c r="O74" s="11">
        <f t="shared" si="58"/>
        <v>3.7440563622340783</v>
      </c>
      <c r="P74" s="11">
        <f t="shared" si="58"/>
        <v>3.5857000139163406</v>
      </c>
      <c r="Q74" s="11">
        <f t="shared" si="58"/>
        <v>3.5440638817944352</v>
      </c>
      <c r="R74" s="11">
        <f t="shared" si="58"/>
        <v>4.5407926865473245</v>
      </c>
      <c r="S74" s="11">
        <f t="shared" si="58"/>
        <v>8.2411446166309386</v>
      </c>
      <c r="T74" s="11">
        <f t="shared" si="58"/>
        <v>9.230841773658593</v>
      </c>
      <c r="U74" s="11">
        <f t="shared" si="58"/>
        <v>8.6701576783491063</v>
      </c>
      <c r="V74" s="11">
        <f t="shared" si="58"/>
        <v>6.4472597039885269</v>
      </c>
    </row>
    <row r="75" spans="8:25" x14ac:dyDescent="0.25">
      <c r="K75" s="11">
        <f>SUM(K62:K74)</f>
        <v>153.41244689480109</v>
      </c>
      <c r="L75" s="11">
        <f>SUM(L62:L74)</f>
        <v>154.97596233748399</v>
      </c>
      <c r="M75" s="41">
        <f>SUM(M62:M74)</f>
        <v>182.80521747878984</v>
      </c>
      <c r="N75" s="41">
        <f t="shared" ref="N75" si="59">SUM(N62:N74)</f>
        <v>195.2119189574116</v>
      </c>
      <c r="O75" s="11">
        <f t="shared" ref="O75" si="60">SUM(O62:O74)</f>
        <v>162.6059183035986</v>
      </c>
      <c r="P75" s="11">
        <f t="shared" ref="P75" si="61">SUM(P62:P74)</f>
        <v>155.72843651749497</v>
      </c>
      <c r="Q75" s="11">
        <f t="shared" ref="Q75" si="62">SUM(Q62:Q74)</f>
        <v>153.92016205705053</v>
      </c>
      <c r="R75" s="11">
        <f t="shared" ref="R75" si="63">SUM(R62:R74)</f>
        <v>197.20850681364018</v>
      </c>
      <c r="S75" s="11">
        <f t="shared" ref="S75" si="64">SUM(S62:S74)</f>
        <v>357.91632353002791</v>
      </c>
      <c r="T75" s="11">
        <f t="shared" ref="T75" si="65">SUM(T62:T74)</f>
        <v>400.89928091395876</v>
      </c>
      <c r="U75" s="11">
        <f t="shared" ref="U75" si="66">SUM(U62:U74)</f>
        <v>376.54853846369815</v>
      </c>
      <c r="V75" s="11">
        <f>SUM(V62:V74)</f>
        <v>280.00715888883781</v>
      </c>
      <c r="W75" s="11">
        <f>SUM(K75:V75)/12</f>
        <v>230.93665592973278</v>
      </c>
      <c r="X75" s="3">
        <f>W75/W20-1</f>
        <v>2.4555874398825894E-2</v>
      </c>
      <c r="Y75" s="11">
        <f>W75-W20</f>
        <v>5.5349363161114411</v>
      </c>
    </row>
    <row r="79" spans="8:25" x14ac:dyDescent="0.25">
      <c r="I79">
        <v>0.16745100000000002</v>
      </c>
    </row>
    <row r="80" spans="8:25" x14ac:dyDescent="0.25">
      <c r="I80">
        <f>20.87*(1+I79)</f>
        <v>24.36470237</v>
      </c>
    </row>
    <row r="81" spans="9:10" x14ac:dyDescent="0.25">
      <c r="I81">
        <v>21.24</v>
      </c>
    </row>
    <row r="82" spans="9:10" x14ac:dyDescent="0.25">
      <c r="I82">
        <v>24.36</v>
      </c>
      <c r="J82">
        <f>I81/(1+I79)</f>
        <v>18.19348306695527</v>
      </c>
    </row>
    <row r="83" spans="9:10" x14ac:dyDescent="0.25">
      <c r="I83">
        <f>I82-I81</f>
        <v>3.120000000000001</v>
      </c>
    </row>
    <row r="85" spans="9:10" x14ac:dyDescent="0.25">
      <c r="I85">
        <f>I82*(1-I79)</f>
        <v>20.280893639999999</v>
      </c>
    </row>
  </sheetData>
  <mergeCells count="8">
    <mergeCell ref="H61:I61"/>
    <mergeCell ref="H69:H70"/>
    <mergeCell ref="H6:I6"/>
    <mergeCell ref="H14:H15"/>
    <mergeCell ref="H23:I23"/>
    <mergeCell ref="H31:H32"/>
    <mergeCell ref="H43:I43"/>
    <mergeCell ref="H51:H5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Y74"/>
  <sheetViews>
    <sheetView topLeftCell="F74" workbookViewId="0">
      <selection activeCell="H11" sqref="H11:H13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</cols>
  <sheetData>
    <row r="2" spans="1:23" x14ac:dyDescent="0.25">
      <c r="A2" t="s">
        <v>1</v>
      </c>
      <c r="B2" t="s">
        <v>2</v>
      </c>
    </row>
    <row r="3" spans="1:23" x14ac:dyDescent="0.25">
      <c r="A3" t="s">
        <v>3</v>
      </c>
      <c r="B3" t="s">
        <v>4</v>
      </c>
    </row>
    <row r="4" spans="1:23" x14ac:dyDescent="0.25">
      <c r="A4" t="s">
        <v>5</v>
      </c>
      <c r="B4" t="s">
        <v>1</v>
      </c>
      <c r="C4" t="s">
        <v>2</v>
      </c>
    </row>
    <row r="5" spans="1:23" x14ac:dyDescent="0.25">
      <c r="A5" t="s">
        <v>0</v>
      </c>
      <c r="J5" s="12" t="s">
        <v>3</v>
      </c>
      <c r="K5" s="39">
        <v>824</v>
      </c>
      <c r="L5" s="40">
        <v>812</v>
      </c>
      <c r="M5" s="40">
        <v>1054</v>
      </c>
      <c r="N5" s="40">
        <v>1098</v>
      </c>
      <c r="O5" s="40">
        <v>904</v>
      </c>
      <c r="P5" s="40">
        <v>849</v>
      </c>
      <c r="Q5" s="40">
        <v>744</v>
      </c>
      <c r="R5" s="40">
        <v>911</v>
      </c>
      <c r="S5" s="40">
        <v>1142</v>
      </c>
      <c r="T5" s="40">
        <v>1355</v>
      </c>
      <c r="U5" s="40">
        <v>1305</v>
      </c>
      <c r="V5" s="40">
        <v>1002</v>
      </c>
      <c r="W5" s="40">
        <f>SUM(K5:V5)</f>
        <v>12000</v>
      </c>
    </row>
    <row r="6" spans="1:23" ht="16.5" thickBot="1" x14ac:dyDescent="0.3">
      <c r="A6" t="s">
        <v>6</v>
      </c>
      <c r="B6" t="s">
        <v>7</v>
      </c>
      <c r="C6" t="s">
        <v>8</v>
      </c>
      <c r="H6" s="63" t="s">
        <v>117</v>
      </c>
      <c r="I6" s="63"/>
      <c r="J6" s="12" t="s">
        <v>136</v>
      </c>
      <c r="K6" s="37" t="s">
        <v>124</v>
      </c>
      <c r="L6" s="37" t="s">
        <v>125</v>
      </c>
      <c r="M6" s="37" t="s">
        <v>126</v>
      </c>
      <c r="N6" s="37" t="s">
        <v>127</v>
      </c>
      <c r="O6" s="37" t="s">
        <v>128</v>
      </c>
      <c r="P6" s="37" t="s">
        <v>129</v>
      </c>
      <c r="Q6" s="37" t="s">
        <v>130</v>
      </c>
      <c r="R6" s="37" t="s">
        <v>131</v>
      </c>
      <c r="S6" s="37" t="s">
        <v>132</v>
      </c>
      <c r="T6" s="37" t="s">
        <v>133</v>
      </c>
      <c r="U6" s="37" t="s">
        <v>134</v>
      </c>
      <c r="V6" s="37" t="s">
        <v>135</v>
      </c>
    </row>
    <row r="7" spans="1:23" x14ac:dyDescent="0.25">
      <c r="A7" t="s">
        <v>9</v>
      </c>
      <c r="B7" t="s">
        <v>1</v>
      </c>
      <c r="H7" s="32" t="s">
        <v>118</v>
      </c>
      <c r="I7" s="33">
        <v>10</v>
      </c>
      <c r="K7" s="11">
        <f>$I7</f>
        <v>10</v>
      </c>
      <c r="L7" s="11">
        <f t="shared" ref="L7:V7" si="0">$I7</f>
        <v>10</v>
      </c>
      <c r="M7" s="11">
        <f t="shared" si="0"/>
        <v>10</v>
      </c>
      <c r="N7" s="11">
        <f t="shared" si="0"/>
        <v>10</v>
      </c>
      <c r="O7" s="11">
        <f t="shared" si="0"/>
        <v>10</v>
      </c>
      <c r="P7" s="11">
        <f t="shared" si="0"/>
        <v>10</v>
      </c>
      <c r="Q7" s="11">
        <f t="shared" si="0"/>
        <v>10</v>
      </c>
      <c r="R7" s="11">
        <f t="shared" si="0"/>
        <v>10</v>
      </c>
      <c r="S7" s="11">
        <f t="shared" si="0"/>
        <v>10</v>
      </c>
      <c r="T7" s="11">
        <f t="shared" si="0"/>
        <v>10</v>
      </c>
      <c r="U7" s="11">
        <f t="shared" si="0"/>
        <v>10</v>
      </c>
      <c r="V7" s="11">
        <f t="shared" si="0"/>
        <v>10</v>
      </c>
    </row>
    <row r="8" spans="1:23" x14ac:dyDescent="0.25">
      <c r="A8" t="s">
        <v>2</v>
      </c>
      <c r="B8" t="s">
        <v>0</v>
      </c>
      <c r="H8" s="26" t="s">
        <v>119</v>
      </c>
      <c r="I8" s="27">
        <v>5.6582E-2</v>
      </c>
      <c r="K8" s="11">
        <f>650*$I8</f>
        <v>36.778300000000002</v>
      </c>
      <c r="L8" s="11">
        <f t="shared" ref="L8:R8" si="1">650*$I8</f>
        <v>36.778300000000002</v>
      </c>
      <c r="M8" s="11">
        <f t="shared" si="1"/>
        <v>36.778300000000002</v>
      </c>
      <c r="N8" s="11">
        <f t="shared" si="1"/>
        <v>36.778300000000002</v>
      </c>
      <c r="O8" s="11">
        <f t="shared" si="1"/>
        <v>36.778300000000002</v>
      </c>
      <c r="P8" s="11">
        <f t="shared" si="1"/>
        <v>36.778300000000002</v>
      </c>
      <c r="Q8" s="11">
        <f t="shared" si="1"/>
        <v>36.778300000000002</v>
      </c>
      <c r="R8" s="11">
        <f t="shared" si="1"/>
        <v>36.778300000000002</v>
      </c>
      <c r="S8" s="11">
        <v>0</v>
      </c>
      <c r="T8" s="11">
        <v>0</v>
      </c>
      <c r="U8" s="11">
        <v>0</v>
      </c>
      <c r="V8" s="11">
        <v>0</v>
      </c>
    </row>
    <row r="9" spans="1:23" x14ac:dyDescent="0.25">
      <c r="A9" t="s">
        <v>1</v>
      </c>
      <c r="B9" t="s">
        <v>2</v>
      </c>
      <c r="H9" s="26" t="s">
        <v>120</v>
      </c>
      <c r="I9" s="27">
        <v>4.8533E-2</v>
      </c>
      <c r="K9" s="11">
        <f>(K5-650)*$I9</f>
        <v>8.4447419999999997</v>
      </c>
      <c r="L9" s="11">
        <f t="shared" ref="L9:Q9" si="2">(L5-650)*$I9</f>
        <v>7.8623459999999996</v>
      </c>
      <c r="M9" s="11">
        <f>350*$I9</f>
        <v>16.986550000000001</v>
      </c>
      <c r="N9" s="11">
        <f>350*$I9</f>
        <v>16.986550000000001</v>
      </c>
      <c r="O9" s="11">
        <f t="shared" si="2"/>
        <v>12.327382</v>
      </c>
      <c r="P9" s="11">
        <f t="shared" si="2"/>
        <v>9.6580669999999991</v>
      </c>
      <c r="Q9" s="11">
        <f t="shared" si="2"/>
        <v>4.5621020000000003</v>
      </c>
      <c r="R9" s="11">
        <f>(R5-650)*$I9</f>
        <v>12.667113000000001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0</v>
      </c>
      <c r="B10" t="s">
        <v>10</v>
      </c>
      <c r="H10" s="35" t="s">
        <v>121</v>
      </c>
      <c r="I10" s="27">
        <v>4.7641000000000003E-2</v>
      </c>
      <c r="K10" s="11">
        <v>0</v>
      </c>
      <c r="L10" s="11">
        <v>0</v>
      </c>
      <c r="M10" s="11">
        <f>(M5-1000)*$I10</f>
        <v>2.5726140000000002</v>
      </c>
      <c r="N10" s="11">
        <f>(N5-1000)*$I10</f>
        <v>4.6688179999999999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H11" s="26" t="s">
        <v>122</v>
      </c>
      <c r="I11" s="27">
        <v>5.6582E-2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>650*$I11</f>
        <v>36.778300000000002</v>
      </c>
      <c r="T11" s="11">
        <f t="shared" ref="T11:V11" si="3">650*$I11</f>
        <v>36.778300000000002</v>
      </c>
      <c r="U11" s="11">
        <f t="shared" si="3"/>
        <v>36.778300000000002</v>
      </c>
      <c r="V11" s="11">
        <f t="shared" si="3"/>
        <v>36.778300000000002</v>
      </c>
    </row>
    <row r="12" spans="1:23" x14ac:dyDescent="0.25">
      <c r="A12" s="21" t="s">
        <v>109</v>
      </c>
      <c r="B12" s="21" t="s">
        <v>110</v>
      </c>
      <c r="C12" s="22"/>
      <c r="D12" s="22"/>
      <c r="E12" s="22"/>
      <c r="F12" s="21" t="s">
        <v>111</v>
      </c>
      <c r="H12" s="26" t="s">
        <v>123</v>
      </c>
      <c r="I12" s="27">
        <v>9.3982999999999997E-2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>350*$I12</f>
        <v>32.89405</v>
      </c>
      <c r="T12" s="11">
        <f t="shared" ref="T12:V12" si="4">350*$I12</f>
        <v>32.89405</v>
      </c>
      <c r="U12" s="11">
        <f t="shared" si="4"/>
        <v>32.89405</v>
      </c>
      <c r="V12" s="11">
        <f t="shared" si="4"/>
        <v>32.89405</v>
      </c>
    </row>
    <row r="13" spans="1:23" x14ac:dyDescent="0.25">
      <c r="A13" s="22" t="s">
        <v>11</v>
      </c>
      <c r="B13" s="22">
        <v>673</v>
      </c>
      <c r="C13" s="23">
        <v>83.88</v>
      </c>
      <c r="D13" s="23">
        <v>92.33</v>
      </c>
      <c r="E13" s="23">
        <v>8.4499999999999993</v>
      </c>
      <c r="F13" s="24">
        <f>D13/C13-1</f>
        <v>0.10073915116833576</v>
      </c>
      <c r="H13" s="35" t="s">
        <v>156</v>
      </c>
      <c r="I13" s="27">
        <v>9.7272999999999998E-2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f>(S5-1000)*$I13</f>
        <v>13.812766</v>
      </c>
      <c r="T13" s="11">
        <f t="shared" ref="T13:V13" si="5">(T5-1000)*$I13</f>
        <v>34.531914999999998</v>
      </c>
      <c r="U13" s="11">
        <f t="shared" si="5"/>
        <v>29.668264999999998</v>
      </c>
      <c r="V13" s="11">
        <f t="shared" si="5"/>
        <v>0.194546</v>
      </c>
    </row>
    <row r="14" spans="1:23" x14ac:dyDescent="0.25">
      <c r="A14" s="22" t="s">
        <v>12</v>
      </c>
      <c r="B14" s="25">
        <v>1000</v>
      </c>
      <c r="C14" s="23">
        <v>123.31</v>
      </c>
      <c r="D14" s="23">
        <v>133.09</v>
      </c>
      <c r="E14" s="23">
        <v>9.7799999999999994</v>
      </c>
      <c r="F14" s="24">
        <f t="shared" ref="F14:F15" si="6">D14/C14-1</f>
        <v>7.9312302327467332E-2</v>
      </c>
      <c r="H14" s="64" t="s">
        <v>112</v>
      </c>
      <c r="I14" s="27">
        <v>3.1718000000000003E-2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S5*$I14</f>
        <v>36.221956000000006</v>
      </c>
      <c r="T14" s="11">
        <f>T5*$I14</f>
        <v>42.977890000000002</v>
      </c>
      <c r="U14" s="11">
        <f>U5*$I14</f>
        <v>41.391990000000007</v>
      </c>
      <c r="V14" s="11">
        <f>V5*$I14</f>
        <v>31.781436000000003</v>
      </c>
    </row>
    <row r="15" spans="1:23" x14ac:dyDescent="0.25">
      <c r="A15" s="22" t="s">
        <v>13</v>
      </c>
      <c r="B15" s="25">
        <v>1837</v>
      </c>
      <c r="C15" s="23">
        <v>225.4</v>
      </c>
      <c r="D15" s="23">
        <v>238.64</v>
      </c>
      <c r="E15" s="23">
        <v>13.24</v>
      </c>
      <c r="F15" s="24">
        <f t="shared" si="6"/>
        <v>5.8740017746228945E-2</v>
      </c>
      <c r="H15" s="64"/>
      <c r="I15" s="27">
        <v>2.8812999999999998E-2</v>
      </c>
      <c r="K15" s="11">
        <f t="shared" ref="K15:R15" si="7">K5*$I15</f>
        <v>23.741911999999999</v>
      </c>
      <c r="L15" s="11">
        <f t="shared" si="7"/>
        <v>23.396155999999998</v>
      </c>
      <c r="M15" s="11">
        <f t="shared" si="7"/>
        <v>30.368901999999999</v>
      </c>
      <c r="N15" s="11">
        <f t="shared" si="7"/>
        <v>31.636673999999999</v>
      </c>
      <c r="O15" s="11">
        <f t="shared" si="7"/>
        <v>26.046951999999997</v>
      </c>
      <c r="P15" s="11">
        <f t="shared" si="7"/>
        <v>24.462236999999998</v>
      </c>
      <c r="Q15" s="11">
        <f t="shared" si="7"/>
        <v>21.436871999999997</v>
      </c>
      <c r="R15" s="11">
        <f t="shared" si="7"/>
        <v>26.248642999999998</v>
      </c>
      <c r="S15" s="11">
        <v>0</v>
      </c>
      <c r="T15" s="11">
        <v>0</v>
      </c>
      <c r="U15" s="11">
        <v>0</v>
      </c>
      <c r="V15" s="11">
        <v>0</v>
      </c>
    </row>
    <row r="16" spans="1:23" x14ac:dyDescent="0.25">
      <c r="F16" s="3"/>
      <c r="H16" s="28" t="s">
        <v>113</v>
      </c>
      <c r="I16" s="29">
        <v>1.6721E-2</v>
      </c>
      <c r="K16" s="11">
        <f t="shared" ref="K16:V16" si="8">SUM(K7:K13)*$I16</f>
        <v>0.92338448528200001</v>
      </c>
      <c r="L16" s="11">
        <f t="shared" si="8"/>
        <v>0.91364624176600007</v>
      </c>
      <c r="M16" s="11">
        <f t="shared" si="8"/>
        <v>1.109228735544</v>
      </c>
      <c r="N16" s="11">
        <f t="shared" si="8"/>
        <v>1.1442793626279999</v>
      </c>
      <c r="O16" s="11">
        <f t="shared" si="8"/>
        <v>0.98830610872199998</v>
      </c>
      <c r="P16" s="11">
        <f t="shared" si="8"/>
        <v>0.94367249260700004</v>
      </c>
      <c r="Q16" s="11">
        <f t="shared" si="8"/>
        <v>0.85846286184200005</v>
      </c>
      <c r="R16" s="11">
        <f t="shared" si="8"/>
        <v>0.99398675077300003</v>
      </c>
      <c r="S16" s="11">
        <f t="shared" si="8"/>
        <v>1.5631646246359998</v>
      </c>
      <c r="T16" s="11">
        <f t="shared" si="8"/>
        <v>1.9096095150649999</v>
      </c>
      <c r="U16" s="11">
        <f t="shared" si="8"/>
        <v>1.8282844234149997</v>
      </c>
      <c r="V16" s="11">
        <f t="shared" si="8"/>
        <v>1.335454368016</v>
      </c>
    </row>
    <row r="17" spans="1:24" x14ac:dyDescent="0.25">
      <c r="A17" t="s">
        <v>60</v>
      </c>
      <c r="B17">
        <v>1014</v>
      </c>
      <c r="C17" s="1">
        <v>122.26</v>
      </c>
      <c r="D17" s="1">
        <v>131.97999999999999</v>
      </c>
      <c r="E17" s="1">
        <f>D17-C17</f>
        <v>9.7199999999999847</v>
      </c>
      <c r="F17" s="3">
        <f>D17/C17-1</f>
        <v>7.9502699165712398E-2</v>
      </c>
      <c r="H17" s="30" t="s">
        <v>114</v>
      </c>
      <c r="I17" s="31">
        <v>0.12767999999999999</v>
      </c>
      <c r="K17" s="11">
        <f t="shared" ref="K17:V17" si="9">SUM(K7:K13)*$I17</f>
        <v>7.0508780025599993</v>
      </c>
      <c r="L17" s="11">
        <f t="shared" si="9"/>
        <v>6.9765176812799998</v>
      </c>
      <c r="M17" s="11">
        <f t="shared" si="9"/>
        <v>8.4699674035199983</v>
      </c>
      <c r="N17" s="11">
        <f t="shared" si="9"/>
        <v>8.7376107302399983</v>
      </c>
      <c r="O17" s="11">
        <f t="shared" si="9"/>
        <v>7.5466134777599994</v>
      </c>
      <c r="P17" s="11">
        <f t="shared" si="9"/>
        <v>7.2057953385599998</v>
      </c>
      <c r="Q17" s="11">
        <f t="shared" si="9"/>
        <v>6.5551425273600001</v>
      </c>
      <c r="R17" s="11">
        <f t="shared" si="9"/>
        <v>7.5899903318399993</v>
      </c>
      <c r="S17" s="11">
        <f t="shared" si="9"/>
        <v>11.936179610879998</v>
      </c>
      <c r="T17" s="11">
        <f t="shared" si="9"/>
        <v>14.581600555199998</v>
      </c>
      <c r="U17" s="11">
        <f t="shared" si="9"/>
        <v>13.960609723199997</v>
      </c>
      <c r="V17" s="11">
        <f t="shared" si="9"/>
        <v>10.197405281279998</v>
      </c>
    </row>
    <row r="18" spans="1:24" x14ac:dyDescent="0.25">
      <c r="B18">
        <v>1014</v>
      </c>
      <c r="C18" s="1">
        <v>122.26</v>
      </c>
      <c r="D18" s="1">
        <v>131.81</v>
      </c>
      <c r="E18" s="1">
        <f>D18-C18</f>
        <v>9.5499999999999972</v>
      </c>
      <c r="F18" s="3">
        <f>D18/C18-1</f>
        <v>7.8112219859316268E-2</v>
      </c>
      <c r="H18" s="30" t="s">
        <v>115</v>
      </c>
      <c r="I18" s="34">
        <v>0.10766199999999999</v>
      </c>
      <c r="K18" s="11">
        <f t="shared" ref="K18:V18" si="10">SUM(K7:K13)*$I18</f>
        <v>5.9454231478039992</v>
      </c>
      <c r="L18" s="11">
        <f t="shared" si="10"/>
        <v>5.8827212296519997</v>
      </c>
      <c r="M18" s="11">
        <f t="shared" si="10"/>
        <v>7.1420240491679996</v>
      </c>
      <c r="N18" s="11">
        <f t="shared" si="10"/>
        <v>7.3677055642159992</v>
      </c>
      <c r="O18" s="11">
        <f t="shared" si="10"/>
        <v>6.3634359354839996</v>
      </c>
      <c r="P18" s="11">
        <f t="shared" si="10"/>
        <v>6.0760521439540005</v>
      </c>
      <c r="Q18" s="11">
        <f t="shared" si="10"/>
        <v>5.5274103601240006</v>
      </c>
      <c r="R18" s="11">
        <f t="shared" si="10"/>
        <v>6.400012054406</v>
      </c>
      <c r="S18" s="11">
        <f t="shared" si="10"/>
        <v>10.064794558791998</v>
      </c>
      <c r="T18" s="11">
        <f t="shared" si="10"/>
        <v>12.295459578429998</v>
      </c>
      <c r="U18" s="11">
        <f t="shared" si="10"/>
        <v>11.771829292129997</v>
      </c>
      <c r="V18" s="11">
        <f t="shared" si="10"/>
        <v>8.5986297571519987</v>
      </c>
    </row>
    <row r="19" spans="1:24" x14ac:dyDescent="0.25">
      <c r="E19" s="1"/>
      <c r="F19" s="3"/>
      <c r="H19" s="30" t="s">
        <v>116</v>
      </c>
      <c r="I19" s="31">
        <v>2.3050000000000001E-2</v>
      </c>
      <c r="K19" s="11">
        <f t="shared" ref="K19:V19" si="11">SUM(K7:K18)*$I19</f>
        <v>2.1409909436016403</v>
      </c>
      <c r="L19" s="11">
        <f t="shared" si="11"/>
        <v>2.1162132888696892</v>
      </c>
      <c r="M19" s="11">
        <f t="shared" si="11"/>
        <v>2.6145058616387478</v>
      </c>
      <c r="N19" s="11">
        <f t="shared" si="11"/>
        <v>2.704224562995786</v>
      </c>
      <c r="O19" s="11">
        <f t="shared" si="11"/>
        <v>2.3061753084813166</v>
      </c>
      <c r="P19" s="11">
        <f t="shared" si="11"/>
        <v>2.1926110576265394</v>
      </c>
      <c r="Q19" s="11">
        <f t="shared" si="11"/>
        <v>1.9758065787219645</v>
      </c>
      <c r="R19" s="11">
        <f t="shared" si="11"/>
        <v>2.3206289404082883</v>
      </c>
      <c r="S19" s="11">
        <f t="shared" si="11"/>
        <v>3.5329014088087987</v>
      </c>
      <c r="T19" s="11">
        <f t="shared" si="11"/>
        <v>4.2865814081524194</v>
      </c>
      <c r="U19" s="11">
        <f t="shared" si="11"/>
        <v>4.1096612205130727</v>
      </c>
      <c r="V19" s="11">
        <f t="shared" si="11"/>
        <v>3.0375248834186266</v>
      </c>
    </row>
    <row r="20" spans="1:24" x14ac:dyDescent="0.25">
      <c r="A20" t="s">
        <v>61</v>
      </c>
      <c r="B20">
        <v>1267</v>
      </c>
      <c r="C20" s="1">
        <v>149.08000000000001</v>
      </c>
      <c r="D20" s="1">
        <v>159.66999999999999</v>
      </c>
      <c r="E20" s="1">
        <f t="shared" ref="E20" si="12">D20-C20</f>
        <v>10.589999999999975</v>
      </c>
      <c r="F20" s="3">
        <f t="shared" ref="F20" si="13">D20/C20-1</f>
        <v>7.1035685537965909E-2</v>
      </c>
      <c r="K20" s="11">
        <f>SUM(K7:K19)</f>
        <v>95.025630579247633</v>
      </c>
      <c r="L20" s="11">
        <f>SUM(L7:L19)</f>
        <v>93.925900441567691</v>
      </c>
      <c r="M20" s="41">
        <f>SUM(M7:M19)</f>
        <v>116.04209204987075</v>
      </c>
      <c r="N20" s="41">
        <f t="shared" ref="N20:U20" si="14">SUM(N7:N19)</f>
        <v>120.02416222007977</v>
      </c>
      <c r="O20" s="11">
        <f t="shared" si="14"/>
        <v>102.35716483044733</v>
      </c>
      <c r="P20" s="11">
        <f t="shared" si="14"/>
        <v>97.316735032747545</v>
      </c>
      <c r="Q20" s="11">
        <f t="shared" si="14"/>
        <v>87.694096328047962</v>
      </c>
      <c r="R20" s="11">
        <f t="shared" si="14"/>
        <v>102.9986740774273</v>
      </c>
      <c r="S20" s="11">
        <f t="shared" si="14"/>
        <v>156.80411220311677</v>
      </c>
      <c r="T20" s="11">
        <f t="shared" si="14"/>
        <v>190.25540605684739</v>
      </c>
      <c r="U20" s="11">
        <f t="shared" si="14"/>
        <v>182.40298965925805</v>
      </c>
      <c r="V20" s="11">
        <f>SUM(V7:V19)</f>
        <v>134.81734628986663</v>
      </c>
      <c r="W20" s="11">
        <f>SUM(K20:V20)/12</f>
        <v>123.30535914737708</v>
      </c>
      <c r="X20" s="11"/>
    </row>
    <row r="21" spans="1:24" x14ac:dyDescent="0.25">
      <c r="C21" s="1"/>
      <c r="D21" s="1"/>
      <c r="E21" s="1"/>
      <c r="F21" s="3"/>
      <c r="K21" s="11"/>
      <c r="L21" s="11"/>
      <c r="M21" s="41"/>
      <c r="N21" s="4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J22" s="12" t="s">
        <v>3</v>
      </c>
      <c r="K22" s="39">
        <v>824</v>
      </c>
      <c r="L22" s="40">
        <v>812</v>
      </c>
      <c r="M22" s="40">
        <v>1054</v>
      </c>
      <c r="N22" s="40">
        <v>1098</v>
      </c>
      <c r="O22" s="40">
        <v>904</v>
      </c>
      <c r="P22" s="40">
        <v>849</v>
      </c>
      <c r="Q22" s="40">
        <v>744</v>
      </c>
      <c r="R22" s="40">
        <v>911</v>
      </c>
      <c r="S22" s="40">
        <v>1142</v>
      </c>
      <c r="T22" s="40">
        <v>1355</v>
      </c>
      <c r="U22" s="40">
        <v>1305</v>
      </c>
      <c r="V22" s="40">
        <v>1002</v>
      </c>
    </row>
    <row r="23" spans="1:24" ht="16.5" thickBot="1" x14ac:dyDescent="0.3">
      <c r="H23" s="63" t="s">
        <v>137</v>
      </c>
      <c r="I23" s="63"/>
      <c r="J23" s="12" t="s">
        <v>136</v>
      </c>
      <c r="K23" s="37" t="s">
        <v>124</v>
      </c>
      <c r="L23" s="37" t="s">
        <v>125</v>
      </c>
      <c r="M23" s="37" t="s">
        <v>126</v>
      </c>
      <c r="N23" s="37" t="s">
        <v>127</v>
      </c>
      <c r="O23" s="37" t="s">
        <v>128</v>
      </c>
      <c r="P23" s="37" t="s">
        <v>129</v>
      </c>
      <c r="Q23" s="37" t="s">
        <v>130</v>
      </c>
      <c r="R23" s="37" t="s">
        <v>131</v>
      </c>
      <c r="S23" s="37" t="s">
        <v>132</v>
      </c>
      <c r="T23" s="37" t="s">
        <v>133</v>
      </c>
      <c r="U23" s="37" t="s">
        <v>134</v>
      </c>
      <c r="V23" s="37" t="s">
        <v>135</v>
      </c>
    </row>
    <row r="24" spans="1:24" x14ac:dyDescent="0.25">
      <c r="H24" s="32" t="s">
        <v>118</v>
      </c>
      <c r="I24" s="33">
        <v>14.9</v>
      </c>
      <c r="K24" s="11">
        <f>$I24</f>
        <v>14.9</v>
      </c>
      <c r="L24" s="11">
        <f t="shared" ref="L24:V24" si="15">$I24</f>
        <v>14.9</v>
      </c>
      <c r="M24" s="11">
        <f t="shared" si="15"/>
        <v>14.9</v>
      </c>
      <c r="N24" s="11">
        <f t="shared" si="15"/>
        <v>14.9</v>
      </c>
      <c r="O24" s="11">
        <f t="shared" si="15"/>
        <v>14.9</v>
      </c>
      <c r="P24" s="11">
        <f t="shared" si="15"/>
        <v>14.9</v>
      </c>
      <c r="Q24" s="11">
        <f t="shared" si="15"/>
        <v>14.9</v>
      </c>
      <c r="R24" s="11">
        <f t="shared" si="15"/>
        <v>14.9</v>
      </c>
      <c r="S24" s="11">
        <f t="shared" si="15"/>
        <v>14.9</v>
      </c>
      <c r="T24" s="11">
        <f t="shared" si="15"/>
        <v>14.9</v>
      </c>
      <c r="U24" s="11">
        <f t="shared" si="15"/>
        <v>14.9</v>
      </c>
      <c r="V24" s="11">
        <f t="shared" si="15"/>
        <v>14.9</v>
      </c>
    </row>
    <row r="25" spans="1:24" x14ac:dyDescent="0.25">
      <c r="H25" s="26" t="s">
        <v>119</v>
      </c>
      <c r="I25" s="27">
        <v>5.7969E-2</v>
      </c>
      <c r="K25" s="11">
        <f>650*$I25</f>
        <v>37.679850000000002</v>
      </c>
      <c r="L25" s="11">
        <f t="shared" ref="L25:R25" si="16">650*$I25</f>
        <v>37.679850000000002</v>
      </c>
      <c r="M25" s="11">
        <f t="shared" si="16"/>
        <v>37.679850000000002</v>
      </c>
      <c r="N25" s="11">
        <f t="shared" si="16"/>
        <v>37.679850000000002</v>
      </c>
      <c r="O25" s="11">
        <f t="shared" si="16"/>
        <v>37.679850000000002</v>
      </c>
      <c r="P25" s="11">
        <f t="shared" si="16"/>
        <v>37.679850000000002</v>
      </c>
      <c r="Q25" s="11">
        <f t="shared" si="16"/>
        <v>37.679850000000002</v>
      </c>
      <c r="R25" s="11">
        <f t="shared" si="16"/>
        <v>37.679850000000002</v>
      </c>
      <c r="S25" s="11">
        <v>0</v>
      </c>
      <c r="T25" s="11">
        <v>0</v>
      </c>
      <c r="U25" s="11">
        <v>0</v>
      </c>
      <c r="V25" s="11">
        <v>0</v>
      </c>
    </row>
    <row r="26" spans="1:24" x14ac:dyDescent="0.25">
      <c r="H26" s="26" t="s">
        <v>120</v>
      </c>
      <c r="I26" s="27">
        <v>4.972E-2</v>
      </c>
      <c r="K26" s="11">
        <f>(K22-650)*$I26</f>
        <v>8.6512799999999999</v>
      </c>
      <c r="L26" s="11">
        <f t="shared" ref="L26" si="17">(L22-650)*$I26</f>
        <v>8.0546400000000009</v>
      </c>
      <c r="M26" s="11">
        <f>350*$I26</f>
        <v>17.402000000000001</v>
      </c>
      <c r="N26" s="11">
        <f>350*$I26</f>
        <v>17.402000000000001</v>
      </c>
      <c r="O26" s="11">
        <f t="shared" ref="O26:Q26" si="18">(O22-650)*$I26</f>
        <v>12.628880000000001</v>
      </c>
      <c r="P26" s="11">
        <f t="shared" si="18"/>
        <v>9.8942800000000002</v>
      </c>
      <c r="Q26" s="11">
        <f t="shared" si="18"/>
        <v>4.6736800000000001</v>
      </c>
      <c r="R26" s="11">
        <f>(R22-650)*$I26</f>
        <v>12.97692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35" t="s">
        <v>121</v>
      </c>
      <c r="I27" s="27">
        <v>4.8809999999999999E-2</v>
      </c>
      <c r="K27" s="11">
        <v>0</v>
      </c>
      <c r="L27" s="11">
        <v>0</v>
      </c>
      <c r="M27" s="11">
        <f>(M22-1000)*$I27</f>
        <v>2.6357399999999997</v>
      </c>
      <c r="N27" s="11">
        <f>(N22-1000)*$I27</f>
        <v>4.7833800000000002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26" t="s">
        <v>122</v>
      </c>
      <c r="I28" s="27">
        <v>5.7969E-2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>650*$I28</f>
        <v>37.679850000000002</v>
      </c>
      <c r="T28" s="11">
        <f t="shared" ref="T28:V28" si="19">650*$I28</f>
        <v>37.679850000000002</v>
      </c>
      <c r="U28" s="11">
        <f t="shared" si="19"/>
        <v>37.679850000000002</v>
      </c>
      <c r="V28" s="11">
        <f t="shared" si="19"/>
        <v>37.679850000000002</v>
      </c>
    </row>
    <row r="29" spans="1:24" x14ac:dyDescent="0.25">
      <c r="H29" s="26" t="s">
        <v>123</v>
      </c>
      <c r="I29" s="27">
        <v>9.6285999999999997E-2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>350*$I29</f>
        <v>33.700099999999999</v>
      </c>
      <c r="T29" s="11">
        <f t="shared" ref="T29:V29" si="20">350*$I29</f>
        <v>33.700099999999999</v>
      </c>
      <c r="U29" s="11">
        <f t="shared" si="20"/>
        <v>33.700099999999999</v>
      </c>
      <c r="V29" s="11">
        <f t="shared" si="20"/>
        <v>33.700099999999999</v>
      </c>
    </row>
    <row r="30" spans="1:24" x14ac:dyDescent="0.25">
      <c r="H30" s="35" t="s">
        <v>156</v>
      </c>
      <c r="I30" s="27">
        <v>9.9657999999999997E-2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>(S22-1000)*$I30</f>
        <v>14.151436</v>
      </c>
      <c r="T30" s="11">
        <f t="shared" ref="T30:V30" si="21">(T22-1000)*$I30</f>
        <v>35.378589999999996</v>
      </c>
      <c r="U30" s="11">
        <f t="shared" si="21"/>
        <v>30.395689999999998</v>
      </c>
      <c r="V30" s="11">
        <f t="shared" si="21"/>
        <v>0.19931599999999999</v>
      </c>
    </row>
    <row r="31" spans="1:24" x14ac:dyDescent="0.25">
      <c r="H31" s="64" t="s">
        <v>112</v>
      </c>
      <c r="I31" s="27">
        <v>3.1718000000000003E-2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S22*$I31</f>
        <v>36.221956000000006</v>
      </c>
      <c r="T31" s="11">
        <f>T22*$I31</f>
        <v>42.977890000000002</v>
      </c>
      <c r="U31" s="11">
        <f>U22*$I31</f>
        <v>41.391990000000007</v>
      </c>
      <c r="V31" s="11">
        <f>V22*$I31</f>
        <v>31.781436000000003</v>
      </c>
    </row>
    <row r="32" spans="1:24" x14ac:dyDescent="0.25">
      <c r="H32" s="64"/>
      <c r="I32" s="27">
        <v>2.8812999999999998E-2</v>
      </c>
      <c r="K32" s="11">
        <f t="shared" ref="K32:R32" si="22">K22*$I32</f>
        <v>23.741911999999999</v>
      </c>
      <c r="L32" s="11">
        <f t="shared" si="22"/>
        <v>23.396155999999998</v>
      </c>
      <c r="M32" s="11">
        <f t="shared" si="22"/>
        <v>30.368901999999999</v>
      </c>
      <c r="N32" s="11">
        <f t="shared" si="22"/>
        <v>31.636673999999999</v>
      </c>
      <c r="O32" s="11">
        <f t="shared" si="22"/>
        <v>26.046951999999997</v>
      </c>
      <c r="P32" s="11">
        <f t="shared" si="22"/>
        <v>24.462236999999998</v>
      </c>
      <c r="Q32" s="11">
        <f t="shared" si="22"/>
        <v>21.436871999999997</v>
      </c>
      <c r="R32" s="11">
        <f t="shared" si="22"/>
        <v>26.248642999999998</v>
      </c>
      <c r="S32" s="11">
        <v>0</v>
      </c>
      <c r="T32" s="11">
        <v>0</v>
      </c>
      <c r="U32" s="11">
        <v>0</v>
      </c>
      <c r="V32" s="11">
        <v>0</v>
      </c>
    </row>
    <row r="33" spans="8:25" x14ac:dyDescent="0.25">
      <c r="H33" s="28" t="s">
        <v>113</v>
      </c>
      <c r="I33" s="29">
        <v>1.7947000000000001E-2</v>
      </c>
      <c r="K33" s="11">
        <f t="shared" ref="K33:V33" si="23">SUM(K24:K30)*$I33</f>
        <v>1.09891509011</v>
      </c>
      <c r="L33" s="11">
        <f t="shared" si="23"/>
        <v>1.08820719203</v>
      </c>
      <c r="M33" s="11">
        <f t="shared" si="23"/>
        <v>1.3032678877300001</v>
      </c>
      <c r="N33" s="11">
        <f t="shared" si="23"/>
        <v>1.3418115828100001</v>
      </c>
      <c r="O33" s="11">
        <f t="shared" si="23"/>
        <v>1.1703010773100002</v>
      </c>
      <c r="P33" s="11">
        <f t="shared" si="23"/>
        <v>1.12122321111</v>
      </c>
      <c r="Q33" s="11">
        <f t="shared" si="23"/>
        <v>1.02752910291</v>
      </c>
      <c r="R33" s="11">
        <f t="shared" si="23"/>
        <v>1.17654735119</v>
      </c>
      <c r="S33" s="11">
        <f t="shared" si="23"/>
        <v>1.8024420845420002</v>
      </c>
      <c r="T33" s="11">
        <f t="shared" si="23"/>
        <v>2.1834058173799997</v>
      </c>
      <c r="U33" s="11">
        <f t="shared" si="23"/>
        <v>2.09397771108</v>
      </c>
      <c r="V33" s="11">
        <f t="shared" si="23"/>
        <v>1.5520433869020001</v>
      </c>
    </row>
    <row r="34" spans="8:25" x14ac:dyDescent="0.25">
      <c r="H34" s="30" t="s">
        <v>114</v>
      </c>
      <c r="I34" s="31">
        <v>0.15357499999999999</v>
      </c>
      <c r="K34" s="11">
        <f t="shared" ref="K34:V34" si="24">SUM(K24:K30)*$I34</f>
        <v>9.4035707897499989</v>
      </c>
      <c r="L34" s="11">
        <f t="shared" si="24"/>
        <v>9.3119418017499989</v>
      </c>
      <c r="M34" s="11">
        <f t="shared" si="24"/>
        <v>11.152246384250001</v>
      </c>
      <c r="N34" s="11">
        <f t="shared" si="24"/>
        <v>11.48207019725</v>
      </c>
      <c r="O34" s="11">
        <f t="shared" si="24"/>
        <v>10.01443070975</v>
      </c>
      <c r="P34" s="11">
        <f t="shared" si="24"/>
        <v>9.5944645147499994</v>
      </c>
      <c r="Q34" s="11">
        <f t="shared" si="24"/>
        <v>8.7927108697499996</v>
      </c>
      <c r="R34" s="11">
        <f t="shared" si="24"/>
        <v>10.067880952749999</v>
      </c>
      <c r="S34" s="11">
        <f t="shared" si="24"/>
        <v>15.423750104949999</v>
      </c>
      <c r="T34" s="11">
        <f t="shared" si="24"/>
        <v>18.683710280499998</v>
      </c>
      <c r="U34" s="11">
        <f t="shared" si="24"/>
        <v>17.918461412999999</v>
      </c>
      <c r="V34" s="11">
        <f t="shared" si="24"/>
        <v>13.281053275949999</v>
      </c>
    </row>
    <row r="35" spans="8:25" x14ac:dyDescent="0.25">
      <c r="H35" s="30" t="s">
        <v>115</v>
      </c>
      <c r="I35" s="34">
        <v>0.10766199999999999</v>
      </c>
      <c r="K35" s="11">
        <f t="shared" ref="K35:V35" si="25">SUM(K24:K30)*$I35</f>
        <v>6.5922659180599998</v>
      </c>
      <c r="L35" s="11">
        <f t="shared" si="25"/>
        <v>6.5280304623799994</v>
      </c>
      <c r="M35" s="11">
        <f t="shared" si="25"/>
        <v>7.8181549745800005</v>
      </c>
      <c r="N35" s="11">
        <f t="shared" si="25"/>
        <v>8.0493741922600002</v>
      </c>
      <c r="O35" s="11">
        <f t="shared" si="25"/>
        <v>7.0205022892599995</v>
      </c>
      <c r="P35" s="11">
        <f t="shared" si="25"/>
        <v>6.72608978406</v>
      </c>
      <c r="Q35" s="11">
        <f t="shared" si="25"/>
        <v>6.1640295468599993</v>
      </c>
      <c r="R35" s="11">
        <f t="shared" si="25"/>
        <v>7.0579729717399999</v>
      </c>
      <c r="S35" s="11">
        <f t="shared" si="25"/>
        <v>10.812643879532001</v>
      </c>
      <c r="T35" s="11">
        <f t="shared" si="25"/>
        <v>13.098001733479999</v>
      </c>
      <c r="U35" s="11">
        <f t="shared" si="25"/>
        <v>12.56153275368</v>
      </c>
      <c r="V35" s="11">
        <f t="shared" si="25"/>
        <v>9.3105307360919998</v>
      </c>
    </row>
    <row r="36" spans="8:25" x14ac:dyDescent="0.25">
      <c r="H36" s="30" t="s">
        <v>116</v>
      </c>
      <c r="I36" s="31">
        <v>2.3567999999999999E-2</v>
      </c>
      <c r="K36" s="11">
        <f t="shared" ref="K36:V36" si="26">SUM(K24:K35)*$I36</f>
        <v>2.4055337642293777</v>
      </c>
      <c r="L36" s="11">
        <f t="shared" si="26"/>
        <v>2.3793975983507782</v>
      </c>
      <c r="M36" s="11">
        <f t="shared" si="26"/>
        <v>2.904995480258926</v>
      </c>
      <c r="N36" s="11">
        <f t="shared" si="26"/>
        <v>2.9996209702276375</v>
      </c>
      <c r="O36" s="11">
        <f t="shared" si="26"/>
        <v>2.5797748700867098</v>
      </c>
      <c r="P36" s="11">
        <f t="shared" si="26"/>
        <v>2.4599841098097945</v>
      </c>
      <c r="Q36" s="11">
        <f t="shared" si="26"/>
        <v>2.2312926583720465</v>
      </c>
      <c r="R36" s="11">
        <f t="shared" si="26"/>
        <v>2.5950209668492259</v>
      </c>
      <c r="S36" s="11">
        <f t="shared" si="26"/>
        <v>3.8814652527307576</v>
      </c>
      <c r="T36" s="11">
        <f t="shared" si="26"/>
        <v>4.6806412792894925</v>
      </c>
      <c r="U36" s="11">
        <f t="shared" si="26"/>
        <v>4.4930412730550477</v>
      </c>
      <c r="V36" s="11">
        <f t="shared" si="26"/>
        <v>3.3561852352743116</v>
      </c>
    </row>
    <row r="37" spans="8:25" x14ac:dyDescent="0.25">
      <c r="K37" s="11">
        <f>SUM(K24:K36)</f>
        <v>104.47332756214935</v>
      </c>
      <c r="L37" s="11">
        <f>SUM(L24:L36)</f>
        <v>103.33822305451076</v>
      </c>
      <c r="M37" s="41">
        <f>SUM(M24:M36)</f>
        <v>126.16515672681894</v>
      </c>
      <c r="N37" s="41">
        <f t="shared" ref="N37:U37" si="27">SUM(N24:N36)</f>
        <v>130.27478094254764</v>
      </c>
      <c r="O37" s="11">
        <f t="shared" si="27"/>
        <v>112.04069094640671</v>
      </c>
      <c r="P37" s="11">
        <f t="shared" si="27"/>
        <v>106.8381286197298</v>
      </c>
      <c r="Q37" s="11">
        <f t="shared" si="27"/>
        <v>96.905964177892017</v>
      </c>
      <c r="R37" s="11">
        <f t="shared" si="27"/>
        <v>112.70283524252922</v>
      </c>
      <c r="S37" s="11">
        <f t="shared" si="27"/>
        <v>168.57364332175476</v>
      </c>
      <c r="T37" s="11">
        <f t="shared" si="27"/>
        <v>203.28218911064948</v>
      </c>
      <c r="U37" s="11">
        <f t="shared" si="27"/>
        <v>195.13464315081504</v>
      </c>
      <c r="V37" s="11">
        <f>SUM(V24:V36)</f>
        <v>145.76051463421831</v>
      </c>
      <c r="W37" s="11">
        <f>SUM(K37:V37)/12</f>
        <v>133.79084145750181</v>
      </c>
      <c r="X37" s="3">
        <f>W37/W20-1</f>
        <v>8.503671196960938E-2</v>
      </c>
      <c r="Y37" s="11">
        <f>W37-W20</f>
        <v>10.485482310124738</v>
      </c>
    </row>
    <row r="38" spans="8:25" x14ac:dyDescent="0.25">
      <c r="K38" s="42">
        <v>103.81624316392087</v>
      </c>
      <c r="L38" s="42">
        <v>102.6827082701887</v>
      </c>
      <c r="M38" s="42">
        <v>125.47809517040754</v>
      </c>
      <c r="N38" s="42">
        <v>129.58205140862194</v>
      </c>
      <c r="O38" s="42">
        <v>111.37314245546875</v>
      </c>
      <c r="P38" s="42">
        <v>106.17777419252958</v>
      </c>
      <c r="Q38" s="42">
        <v>96.259343872372995</v>
      </c>
      <c r="R38" s="42">
        <v>112.03437114347919</v>
      </c>
      <c r="S38" s="42">
        <v>167.81317618920855</v>
      </c>
      <c r="T38" s="42">
        <v>202.4657424924219</v>
      </c>
      <c r="U38" s="42">
        <v>194.33133725692582</v>
      </c>
      <c r="V38" s="42">
        <v>145.03684152981953</v>
      </c>
      <c r="W38" s="11"/>
      <c r="X38" s="3"/>
      <c r="Y38" s="11"/>
    </row>
    <row r="39" spans="8:25" x14ac:dyDescent="0.25">
      <c r="K39" s="11">
        <f>K37-K38</f>
        <v>0.65708439822847708</v>
      </c>
      <c r="L39" s="11">
        <f t="shared" ref="L39:V39" si="28">L37-L38</f>
        <v>0.65551478432206522</v>
      </c>
      <c r="M39" s="11">
        <f t="shared" si="28"/>
        <v>0.68706155641139333</v>
      </c>
      <c r="N39" s="11">
        <f t="shared" si="28"/>
        <v>0.69272953392570003</v>
      </c>
      <c r="O39" s="11">
        <f t="shared" si="28"/>
        <v>0.66754849093796054</v>
      </c>
      <c r="P39" s="11">
        <f t="shared" si="28"/>
        <v>0.6603544272002182</v>
      </c>
      <c r="Q39" s="11">
        <f t="shared" si="28"/>
        <v>0.64662030551902205</v>
      </c>
      <c r="R39" s="11">
        <f t="shared" si="28"/>
        <v>0.66846409905002702</v>
      </c>
      <c r="S39" s="11">
        <f t="shared" si="28"/>
        <v>0.76046713254621068</v>
      </c>
      <c r="T39" s="11">
        <f t="shared" si="28"/>
        <v>0.81644661822758735</v>
      </c>
      <c r="U39" s="11">
        <f t="shared" si="28"/>
        <v>0.8033058938892168</v>
      </c>
      <c r="V39" s="11">
        <f t="shared" si="28"/>
        <v>0.72367310439878452</v>
      </c>
      <c r="W39" s="11"/>
      <c r="X39" s="3"/>
      <c r="Y39" s="11"/>
    </row>
    <row r="40" spans="8:25" x14ac:dyDescent="0.25">
      <c r="K40" s="11"/>
      <c r="L40" s="11"/>
      <c r="M40" s="41"/>
      <c r="N40" s="41"/>
      <c r="O40" s="11"/>
      <c r="P40" s="11"/>
      <c r="Q40" s="11"/>
      <c r="R40" s="11"/>
      <c r="S40" s="11"/>
      <c r="T40" s="11"/>
      <c r="U40" s="11"/>
      <c r="V40" s="11"/>
      <c r="W40" s="11"/>
      <c r="X40" s="3"/>
      <c r="Y40" s="11"/>
    </row>
    <row r="41" spans="8:25" x14ac:dyDescent="0.25">
      <c r="W41" s="42"/>
    </row>
    <row r="42" spans="8:25" x14ac:dyDescent="0.25">
      <c r="J42" s="12" t="s">
        <v>3</v>
      </c>
      <c r="K42" s="39">
        <v>824</v>
      </c>
      <c r="L42" s="40">
        <v>812</v>
      </c>
      <c r="M42" s="40">
        <v>1054</v>
      </c>
      <c r="N42" s="40">
        <v>1098</v>
      </c>
      <c r="O42" s="40">
        <v>904</v>
      </c>
      <c r="P42" s="40">
        <v>849</v>
      </c>
      <c r="Q42" s="40">
        <v>744</v>
      </c>
      <c r="R42" s="40">
        <v>911</v>
      </c>
      <c r="S42" s="40">
        <v>1142</v>
      </c>
      <c r="T42" s="40">
        <v>1355</v>
      </c>
      <c r="U42" s="40">
        <v>1305</v>
      </c>
      <c r="V42" s="40">
        <v>1002</v>
      </c>
    </row>
    <row r="43" spans="8:25" ht="16.5" thickBot="1" x14ac:dyDescent="0.3">
      <c r="H43" s="63" t="s">
        <v>138</v>
      </c>
      <c r="I43" s="63"/>
      <c r="J43" s="12" t="s">
        <v>136</v>
      </c>
      <c r="K43" s="37" t="s">
        <v>124</v>
      </c>
      <c r="L43" s="37" t="s">
        <v>125</v>
      </c>
      <c r="M43" s="37" t="s">
        <v>126</v>
      </c>
      <c r="N43" s="37" t="s">
        <v>127</v>
      </c>
      <c r="O43" s="37" t="s">
        <v>128</v>
      </c>
      <c r="P43" s="37" t="s">
        <v>129</v>
      </c>
      <c r="Q43" s="37" t="s">
        <v>130</v>
      </c>
      <c r="R43" s="37" t="s">
        <v>131</v>
      </c>
      <c r="S43" s="37" t="s">
        <v>132</v>
      </c>
      <c r="T43" s="37" t="s">
        <v>133</v>
      </c>
      <c r="U43" s="37" t="s">
        <v>134</v>
      </c>
      <c r="V43" s="37" t="s">
        <v>135</v>
      </c>
    </row>
    <row r="44" spans="8:25" x14ac:dyDescent="0.25">
      <c r="H44" s="32" t="s">
        <v>118</v>
      </c>
      <c r="I44" s="33">
        <v>17.95</v>
      </c>
      <c r="K44" s="11">
        <f>$I44</f>
        <v>17.95</v>
      </c>
      <c r="L44" s="11">
        <f t="shared" ref="L44:V44" si="29">$I44</f>
        <v>17.95</v>
      </c>
      <c r="M44" s="11">
        <f t="shared" si="29"/>
        <v>17.95</v>
      </c>
      <c r="N44" s="11">
        <f t="shared" si="29"/>
        <v>17.95</v>
      </c>
      <c r="O44" s="11">
        <f t="shared" si="29"/>
        <v>17.95</v>
      </c>
      <c r="P44" s="11">
        <f t="shared" si="29"/>
        <v>17.95</v>
      </c>
      <c r="Q44" s="11">
        <f t="shared" si="29"/>
        <v>17.95</v>
      </c>
      <c r="R44" s="11">
        <f t="shared" si="29"/>
        <v>17.95</v>
      </c>
      <c r="S44" s="11">
        <f t="shared" si="29"/>
        <v>17.95</v>
      </c>
      <c r="T44" s="11">
        <f t="shared" si="29"/>
        <v>17.95</v>
      </c>
      <c r="U44" s="11">
        <f t="shared" si="29"/>
        <v>17.95</v>
      </c>
      <c r="V44" s="11">
        <f t="shared" si="29"/>
        <v>17.95</v>
      </c>
    </row>
    <row r="45" spans="8:25" x14ac:dyDescent="0.25">
      <c r="H45" s="26" t="s">
        <v>119</v>
      </c>
      <c r="I45" s="27">
        <v>4.9754E-2</v>
      </c>
      <c r="K45" s="11">
        <f>650*$I45</f>
        <v>32.3401</v>
      </c>
      <c r="L45" s="11">
        <f t="shared" ref="L45:R45" si="30">650*$I45</f>
        <v>32.3401</v>
      </c>
      <c r="M45" s="11">
        <f t="shared" si="30"/>
        <v>32.3401</v>
      </c>
      <c r="N45" s="11">
        <f t="shared" si="30"/>
        <v>32.3401</v>
      </c>
      <c r="O45" s="11">
        <f t="shared" si="30"/>
        <v>32.3401</v>
      </c>
      <c r="P45" s="11">
        <f t="shared" si="30"/>
        <v>32.3401</v>
      </c>
      <c r="Q45" s="11">
        <f t="shared" si="30"/>
        <v>32.3401</v>
      </c>
      <c r="R45" s="11">
        <f t="shared" si="30"/>
        <v>32.3401</v>
      </c>
      <c r="S45" s="11">
        <v>0</v>
      </c>
      <c r="T45" s="11">
        <v>0</v>
      </c>
      <c r="U45" s="11">
        <v>0</v>
      </c>
      <c r="V45" s="11">
        <v>0</v>
      </c>
    </row>
    <row r="46" spans="8:25" x14ac:dyDescent="0.25">
      <c r="H46" s="26" t="s">
        <v>120</v>
      </c>
      <c r="I46" s="27">
        <v>4.2674999999999998E-2</v>
      </c>
      <c r="K46" s="11">
        <f>(K42-650)*$I46</f>
        <v>7.4254499999999997</v>
      </c>
      <c r="L46" s="11">
        <f t="shared" ref="L46" si="31">(L42-650)*$I46</f>
        <v>6.9133499999999994</v>
      </c>
      <c r="M46" s="11">
        <f>350*$I46</f>
        <v>14.936249999999999</v>
      </c>
      <c r="N46" s="11">
        <f>350*$I46</f>
        <v>14.936249999999999</v>
      </c>
      <c r="O46" s="11">
        <f t="shared" ref="O46:Q46" si="32">(O42-650)*$I46</f>
        <v>10.839449999999999</v>
      </c>
      <c r="P46" s="11">
        <f t="shared" si="32"/>
        <v>8.4923249999999992</v>
      </c>
      <c r="Q46" s="11">
        <f t="shared" si="32"/>
        <v>4.01145</v>
      </c>
      <c r="R46" s="11">
        <f>(R42-650)*$I46</f>
        <v>11.138174999999999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35" t="s">
        <v>121</v>
      </c>
      <c r="I47" s="27">
        <v>4.1890999999999998E-2</v>
      </c>
      <c r="K47" s="11">
        <v>0</v>
      </c>
      <c r="L47" s="11">
        <v>0</v>
      </c>
      <c r="M47" s="11">
        <f>(M42-1000)*$I47</f>
        <v>2.262114</v>
      </c>
      <c r="N47" s="11">
        <f>(N42-1000)*$I47</f>
        <v>4.1053179999999996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26" t="s">
        <v>122</v>
      </c>
      <c r="I48" s="27">
        <v>4.9754E-2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650*$I48</f>
        <v>32.3401</v>
      </c>
      <c r="T48" s="11">
        <f t="shared" ref="T48:V48" si="33">650*$I48</f>
        <v>32.3401</v>
      </c>
      <c r="U48" s="11">
        <f t="shared" si="33"/>
        <v>32.3401</v>
      </c>
      <c r="V48" s="11">
        <f t="shared" si="33"/>
        <v>32.3401</v>
      </c>
    </row>
    <row r="49" spans="8:25" x14ac:dyDescent="0.25">
      <c r="H49" s="26" t="s">
        <v>123</v>
      </c>
      <c r="I49" s="27">
        <v>8.2639000000000004E-2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f>350*$I49</f>
        <v>28.923650000000002</v>
      </c>
      <c r="T49" s="11">
        <f t="shared" ref="T49:V49" si="34">350*$I49</f>
        <v>28.923650000000002</v>
      </c>
      <c r="U49" s="11">
        <f t="shared" si="34"/>
        <v>28.923650000000002</v>
      </c>
      <c r="V49" s="11">
        <f t="shared" si="34"/>
        <v>28.923650000000002</v>
      </c>
    </row>
    <row r="50" spans="8:25" x14ac:dyDescent="0.25">
      <c r="H50" s="35" t="s">
        <v>156</v>
      </c>
      <c r="I50" s="27">
        <v>8.5531999999999997E-2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f>(S42-1000)*$I50</f>
        <v>12.145543999999999</v>
      </c>
      <c r="T50" s="11">
        <f t="shared" ref="T50:V50" si="35">(T42-1000)*$I50</f>
        <v>30.363859999999999</v>
      </c>
      <c r="U50" s="11">
        <f t="shared" si="35"/>
        <v>26.087260000000001</v>
      </c>
      <c r="V50" s="11">
        <f t="shared" si="35"/>
        <v>0.17106399999999999</v>
      </c>
    </row>
    <row r="51" spans="8:25" x14ac:dyDescent="0.25">
      <c r="H51" s="64" t="s">
        <v>112</v>
      </c>
      <c r="I51" s="27">
        <v>3.1718000000000003E-2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f>S42*$I51</f>
        <v>36.221956000000006</v>
      </c>
      <c r="T51" s="11">
        <f>T42*$I51</f>
        <v>42.977890000000002</v>
      </c>
      <c r="U51" s="11">
        <f>U42*$I51</f>
        <v>41.391990000000007</v>
      </c>
      <c r="V51" s="11">
        <f>V42*$I51</f>
        <v>31.781436000000003</v>
      </c>
    </row>
    <row r="52" spans="8:25" x14ac:dyDescent="0.25">
      <c r="H52" s="64"/>
      <c r="I52" s="27">
        <v>2.8812999999999998E-2</v>
      </c>
      <c r="K52" s="11">
        <f t="shared" ref="K52:R52" si="36">K42*$I52</f>
        <v>23.741911999999999</v>
      </c>
      <c r="L52" s="11">
        <f t="shared" si="36"/>
        <v>23.396155999999998</v>
      </c>
      <c r="M52" s="11">
        <f t="shared" si="36"/>
        <v>30.368901999999999</v>
      </c>
      <c r="N52" s="11">
        <f t="shared" si="36"/>
        <v>31.636673999999999</v>
      </c>
      <c r="O52" s="11">
        <f t="shared" si="36"/>
        <v>26.046951999999997</v>
      </c>
      <c r="P52" s="11">
        <f t="shared" si="36"/>
        <v>24.462236999999998</v>
      </c>
      <c r="Q52" s="11">
        <f t="shared" si="36"/>
        <v>21.436871999999997</v>
      </c>
      <c r="R52" s="11">
        <f t="shared" si="36"/>
        <v>26.248642999999998</v>
      </c>
      <c r="S52" s="11">
        <v>0</v>
      </c>
      <c r="T52" s="11">
        <v>0</v>
      </c>
      <c r="U52" s="11">
        <v>0</v>
      </c>
      <c r="V52" s="11">
        <v>0</v>
      </c>
    </row>
    <row r="53" spans="8:25" x14ac:dyDescent="0.25">
      <c r="H53" s="28" t="s">
        <v>144</v>
      </c>
      <c r="I53" s="29">
        <v>1.9511000000000001E-2</v>
      </c>
      <c r="K53" s="11">
        <f t="shared" ref="K53:V53" si="37">SUM(K44:K50)*$I53</f>
        <v>1.1260880960499999</v>
      </c>
      <c r="L53" s="11">
        <f t="shared" si="37"/>
        <v>1.11609651295</v>
      </c>
      <c r="M53" s="11">
        <f t="shared" si="37"/>
        <v>1.3167674211039999</v>
      </c>
      <c r="N53" s="11">
        <f t="shared" si="37"/>
        <v>1.3527301743479998</v>
      </c>
      <c r="O53" s="11">
        <f t="shared" si="37"/>
        <v>1.1926986500499999</v>
      </c>
      <c r="P53" s="11">
        <f t="shared" si="37"/>
        <v>1.146903894175</v>
      </c>
      <c r="Q53" s="11">
        <f t="shared" si="37"/>
        <v>1.0594775420499998</v>
      </c>
      <c r="R53" s="11">
        <f t="shared" si="37"/>
        <v>1.198527073525</v>
      </c>
      <c r="S53" s="11">
        <f t="shared" si="37"/>
        <v>1.7825111852340001</v>
      </c>
      <c r="T53" s="11">
        <f t="shared" si="37"/>
        <v>2.1379687487100001</v>
      </c>
      <c r="U53" s="11">
        <f t="shared" si="37"/>
        <v>2.05452800611</v>
      </c>
      <c r="V53" s="11">
        <f t="shared" si="37"/>
        <v>1.5488771059540001</v>
      </c>
    </row>
    <row r="54" spans="8:25" x14ac:dyDescent="0.25">
      <c r="H54" s="30" t="s">
        <v>145</v>
      </c>
      <c r="I54" s="31">
        <v>0.16881399999999999</v>
      </c>
      <c r="K54" s="11">
        <f t="shared" ref="K54:V54" si="38">SUM(K44:K50)*$I54</f>
        <v>9.7431928576999987</v>
      </c>
      <c r="L54" s="11">
        <f t="shared" si="38"/>
        <v>9.6567432082999982</v>
      </c>
      <c r="M54" s="11">
        <f t="shared" si="38"/>
        <v>11.392997561695998</v>
      </c>
      <c r="N54" s="11">
        <f t="shared" si="38"/>
        <v>11.704156201751998</v>
      </c>
      <c r="O54" s="11">
        <f t="shared" si="38"/>
        <v>10.319523853699998</v>
      </c>
      <c r="P54" s="11">
        <f t="shared" si="38"/>
        <v>9.9232962939499991</v>
      </c>
      <c r="Q54" s="11">
        <f t="shared" si="38"/>
        <v>9.1668618616999975</v>
      </c>
      <c r="R54" s="11">
        <f t="shared" si="38"/>
        <v>10.369952815849999</v>
      </c>
      <c r="S54" s="11">
        <f t="shared" si="38"/>
        <v>15.422727857316</v>
      </c>
      <c r="T54" s="11">
        <f t="shared" si="38"/>
        <v>18.498234654539999</v>
      </c>
      <c r="U54" s="11">
        <f t="shared" si="38"/>
        <v>17.77628470214</v>
      </c>
      <c r="V54" s="11">
        <f t="shared" si="38"/>
        <v>13.401267990596001</v>
      </c>
    </row>
    <row r="55" spans="8:25" x14ac:dyDescent="0.25">
      <c r="H55" s="30" t="s">
        <v>115</v>
      </c>
      <c r="I55" s="34">
        <v>0.10766199999999999</v>
      </c>
      <c r="K55" s="11">
        <f t="shared" ref="K55:V55" si="39">SUM(K44:K50)*$I55</f>
        <v>6.2137715440999992</v>
      </c>
      <c r="L55" s="11">
        <f t="shared" si="39"/>
        <v>6.1586378338999994</v>
      </c>
      <c r="M55" s="11">
        <f t="shared" si="39"/>
        <v>7.265943011167999</v>
      </c>
      <c r="N55" s="11">
        <f t="shared" si="39"/>
        <v>7.4643860402159987</v>
      </c>
      <c r="O55" s="11">
        <f t="shared" si="39"/>
        <v>6.5813296120999993</v>
      </c>
      <c r="P55" s="11">
        <f t="shared" si="39"/>
        <v>6.3286334403499991</v>
      </c>
      <c r="Q55" s="11">
        <f t="shared" si="39"/>
        <v>5.8462134760999991</v>
      </c>
      <c r="R55" s="11">
        <f t="shared" si="39"/>
        <v>6.6134909430499986</v>
      </c>
      <c r="S55" s="11">
        <f t="shared" si="39"/>
        <v>9.8359243106280001</v>
      </c>
      <c r="T55" s="11">
        <f t="shared" si="39"/>
        <v>11.797344647819999</v>
      </c>
      <c r="U55" s="11">
        <f t="shared" si="39"/>
        <v>11.336917338619999</v>
      </c>
      <c r="V55" s="11">
        <f t="shared" si="39"/>
        <v>8.5467278448680002</v>
      </c>
    </row>
    <row r="56" spans="8:25" x14ac:dyDescent="0.25">
      <c r="H56" s="30" t="s">
        <v>116</v>
      </c>
      <c r="I56" s="31">
        <v>2.3567999999999999E-2</v>
      </c>
      <c r="K56" s="11">
        <f t="shared" ref="K56:V56" si="40">SUM(K44:K55)*$I56</f>
        <v>2.3224028456853283</v>
      </c>
      <c r="L56" s="11">
        <f t="shared" si="40"/>
        <v>2.2986125772277748</v>
      </c>
      <c r="M56" s="11">
        <f t="shared" si="40"/>
        <v>2.7770898878898373</v>
      </c>
      <c r="N56" s="11">
        <f t="shared" si="40"/>
        <v>2.8632672325637349</v>
      </c>
      <c r="O56" s="11">
        <f t="shared" si="40"/>
        <v>2.4810046354023525</v>
      </c>
      <c r="P56" s="11">
        <f t="shared" si="40"/>
        <v>2.3719659049718986</v>
      </c>
      <c r="Q56" s="11">
        <f t="shared" si="40"/>
        <v>2.1638010559683045</v>
      </c>
      <c r="R56" s="11">
        <f t="shared" si="40"/>
        <v>2.4948822920025919</v>
      </c>
      <c r="S56" s="11">
        <f t="shared" si="40"/>
        <v>3.6441410379076995</v>
      </c>
      <c r="T56" s="11">
        <f t="shared" si="40"/>
        <v>4.3598218844676175</v>
      </c>
      <c r="U56" s="11">
        <f t="shared" si="40"/>
        <v>4.1918216857446318</v>
      </c>
      <c r="V56" s="11">
        <f t="shared" si="40"/>
        <v>3.1737404814833394</v>
      </c>
    </row>
    <row r="57" spans="8:25" x14ac:dyDescent="0.25">
      <c r="K57" s="11">
        <f>SUM(K44:K56)</f>
        <v>100.86291734353532</v>
      </c>
      <c r="L57" s="11">
        <f>SUM(L44:L56)</f>
        <v>99.829696132377762</v>
      </c>
      <c r="M57" s="41">
        <f>SUM(M44:M56)</f>
        <v>120.61016388185783</v>
      </c>
      <c r="N57" s="41">
        <f t="shared" ref="N57:U57" si="41">SUM(N44:N56)</f>
        <v>124.35288164887972</v>
      </c>
      <c r="O57" s="11">
        <f t="shared" si="41"/>
        <v>107.75105875125236</v>
      </c>
      <c r="P57" s="11">
        <f t="shared" si="41"/>
        <v>103.0154615334469</v>
      </c>
      <c r="Q57" s="11">
        <f t="shared" si="41"/>
        <v>93.9747759358183</v>
      </c>
      <c r="R57" s="11">
        <f t="shared" si="41"/>
        <v>108.35377112442757</v>
      </c>
      <c r="S57" s="11">
        <f t="shared" si="41"/>
        <v>158.26655439108572</v>
      </c>
      <c r="T57" s="11">
        <f t="shared" si="41"/>
        <v>189.34886993553761</v>
      </c>
      <c r="U57" s="11">
        <f t="shared" si="41"/>
        <v>182.05255173261463</v>
      </c>
      <c r="V57" s="11">
        <f>SUM(V44:V56)</f>
        <v>137.83686342290136</v>
      </c>
      <c r="W57" s="11">
        <f>SUM(K57:V57)/12</f>
        <v>127.18796381947793</v>
      </c>
      <c r="X57" s="3">
        <f>W57/W20-1</f>
        <v>3.1487720395512397E-2</v>
      </c>
      <c r="Y57" s="11">
        <f>W57-W20</f>
        <v>3.8826046721008538</v>
      </c>
    </row>
    <row r="59" spans="8:25" x14ac:dyDescent="0.25">
      <c r="J59" s="12" t="s">
        <v>3</v>
      </c>
      <c r="K59" s="39">
        <v>824</v>
      </c>
      <c r="L59" s="40">
        <v>812</v>
      </c>
      <c r="M59" s="40">
        <v>1054</v>
      </c>
      <c r="N59" s="40">
        <v>1098</v>
      </c>
      <c r="O59" s="40">
        <v>904</v>
      </c>
      <c r="P59" s="40">
        <v>849</v>
      </c>
      <c r="Q59" s="40">
        <v>744</v>
      </c>
      <c r="R59" s="40">
        <v>911</v>
      </c>
      <c r="S59" s="40">
        <v>1142</v>
      </c>
      <c r="T59" s="40">
        <v>1355</v>
      </c>
      <c r="U59" s="40">
        <v>1305</v>
      </c>
      <c r="V59" s="40">
        <v>1002</v>
      </c>
    </row>
    <row r="60" spans="8:25" ht="16.5" thickBot="1" x14ac:dyDescent="0.3">
      <c r="H60" s="63" t="s">
        <v>154</v>
      </c>
      <c r="I60" s="63"/>
      <c r="J60" s="12" t="s">
        <v>136</v>
      </c>
      <c r="K60" s="37" t="s">
        <v>124</v>
      </c>
      <c r="L60" s="37" t="s">
        <v>125</v>
      </c>
      <c r="M60" s="37" t="s">
        <v>126</v>
      </c>
      <c r="N60" s="37" t="s">
        <v>127</v>
      </c>
      <c r="O60" s="37" t="s">
        <v>128</v>
      </c>
      <c r="P60" s="37" t="s">
        <v>129</v>
      </c>
      <c r="Q60" s="37" t="s">
        <v>130</v>
      </c>
      <c r="R60" s="37" t="s">
        <v>131</v>
      </c>
      <c r="S60" s="37" t="s">
        <v>132</v>
      </c>
      <c r="T60" s="37" t="s">
        <v>133</v>
      </c>
      <c r="U60" s="37" t="s">
        <v>134</v>
      </c>
      <c r="V60" s="37" t="s">
        <v>135</v>
      </c>
    </row>
    <row r="61" spans="8:25" x14ac:dyDescent="0.25">
      <c r="H61" s="32" t="s">
        <v>118</v>
      </c>
      <c r="I61" s="33">
        <v>10</v>
      </c>
      <c r="K61" s="11">
        <f>$I61</f>
        <v>10</v>
      </c>
      <c r="L61" s="11">
        <f t="shared" ref="L61:V61" si="42">$I61</f>
        <v>10</v>
      </c>
      <c r="M61" s="11">
        <f t="shared" si="42"/>
        <v>10</v>
      </c>
      <c r="N61" s="11">
        <f t="shared" si="42"/>
        <v>10</v>
      </c>
      <c r="O61" s="11">
        <f t="shared" si="42"/>
        <v>10</v>
      </c>
      <c r="P61" s="11">
        <f t="shared" si="42"/>
        <v>10</v>
      </c>
      <c r="Q61" s="11">
        <f t="shared" si="42"/>
        <v>10</v>
      </c>
      <c r="R61" s="11">
        <f t="shared" si="42"/>
        <v>10</v>
      </c>
      <c r="S61" s="11">
        <f t="shared" si="42"/>
        <v>10</v>
      </c>
      <c r="T61" s="11">
        <f t="shared" si="42"/>
        <v>10</v>
      </c>
      <c r="U61" s="11">
        <f t="shared" si="42"/>
        <v>10</v>
      </c>
      <c r="V61" s="11">
        <f t="shared" si="42"/>
        <v>10</v>
      </c>
    </row>
    <row r="62" spans="8:25" x14ac:dyDescent="0.25">
      <c r="H62" s="26" t="s">
        <v>119</v>
      </c>
      <c r="I62" s="27">
        <v>5.755255297651591E-2</v>
      </c>
      <c r="K62" s="11">
        <f>650*$I62</f>
        <v>37.409159434735344</v>
      </c>
      <c r="L62" s="11">
        <f t="shared" ref="L62:R62" si="43">650*$I62</f>
        <v>37.409159434735344</v>
      </c>
      <c r="M62" s="11">
        <f t="shared" si="43"/>
        <v>37.409159434735344</v>
      </c>
      <c r="N62" s="11">
        <f t="shared" si="43"/>
        <v>37.409159434735344</v>
      </c>
      <c r="O62" s="11">
        <f t="shared" si="43"/>
        <v>37.409159434735344</v>
      </c>
      <c r="P62" s="11">
        <f t="shared" si="43"/>
        <v>37.409159434735344</v>
      </c>
      <c r="Q62" s="11">
        <f t="shared" si="43"/>
        <v>37.409159434735344</v>
      </c>
      <c r="R62" s="11">
        <f t="shared" si="43"/>
        <v>37.409159434735344</v>
      </c>
      <c r="S62" s="11">
        <v>0</v>
      </c>
      <c r="T62" s="11">
        <v>0</v>
      </c>
      <c r="U62" s="11">
        <v>0</v>
      </c>
      <c r="V62" s="11">
        <v>0</v>
      </c>
    </row>
    <row r="63" spans="8:25" x14ac:dyDescent="0.25">
      <c r="H63" s="26" t="s">
        <v>120</v>
      </c>
      <c r="I63" s="27">
        <v>5.0473552976515908E-2</v>
      </c>
      <c r="K63" s="11">
        <f>(K59-650)*$I63</f>
        <v>8.7823982179137676</v>
      </c>
      <c r="L63" s="11">
        <f t="shared" ref="L63" si="44">(L59-650)*$I63</f>
        <v>8.1767155821955768</v>
      </c>
      <c r="M63" s="11">
        <f>350*$I63</f>
        <v>17.665743541780568</v>
      </c>
      <c r="N63" s="11">
        <f>350*$I63</f>
        <v>17.665743541780568</v>
      </c>
      <c r="O63" s="11">
        <f t="shared" ref="O63:Q63" si="45">(O59-650)*$I63</f>
        <v>12.82028245603504</v>
      </c>
      <c r="P63" s="11">
        <f t="shared" si="45"/>
        <v>10.044237042326666</v>
      </c>
      <c r="Q63" s="11">
        <f t="shared" si="45"/>
        <v>4.7445139797924956</v>
      </c>
      <c r="R63" s="11">
        <f>(R59-650)*$I63</f>
        <v>13.173597326870652</v>
      </c>
      <c r="S63" s="11">
        <v>0</v>
      </c>
      <c r="T63" s="11">
        <v>0</v>
      </c>
      <c r="U63" s="11">
        <v>0</v>
      </c>
      <c r="V63" s="11">
        <v>0</v>
      </c>
    </row>
    <row r="64" spans="8:25" x14ac:dyDescent="0.25">
      <c r="H64" s="35" t="s">
        <v>121</v>
      </c>
      <c r="I64" s="27">
        <v>4.9689552976515908E-2</v>
      </c>
      <c r="K64" s="11">
        <v>0</v>
      </c>
      <c r="L64" s="11">
        <v>0</v>
      </c>
      <c r="M64" s="11">
        <f>(M59-1000)*$I64</f>
        <v>2.6832358607318589</v>
      </c>
      <c r="N64" s="11">
        <f>(N59-1000)*$I64</f>
        <v>4.8695761916985587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26" t="s">
        <v>122</v>
      </c>
      <c r="I65" s="27">
        <v>5.755255297651591E-2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f>650*$I65</f>
        <v>37.409159434735344</v>
      </c>
      <c r="T65" s="11">
        <f t="shared" ref="T65:V65" si="46">650*$I65</f>
        <v>37.409159434735344</v>
      </c>
      <c r="U65" s="11">
        <f t="shared" si="46"/>
        <v>37.409159434735344</v>
      </c>
      <c r="V65" s="11">
        <f t="shared" si="46"/>
        <v>37.409159434735344</v>
      </c>
    </row>
    <row r="66" spans="8:25" x14ac:dyDescent="0.25">
      <c r="H66" s="26" t="s">
        <v>123</v>
      </c>
      <c r="I66" s="27">
        <v>9.0437552976515914E-2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f>350*$I66</f>
        <v>31.653143541780569</v>
      </c>
      <c r="T66" s="11">
        <f t="shared" ref="T66:V66" si="47">350*$I66</f>
        <v>31.653143541780569</v>
      </c>
      <c r="U66" s="11">
        <f t="shared" si="47"/>
        <v>31.653143541780569</v>
      </c>
      <c r="V66" s="11">
        <f t="shared" si="47"/>
        <v>31.653143541780569</v>
      </c>
    </row>
    <row r="67" spans="8:25" x14ac:dyDescent="0.25">
      <c r="H67" s="35" t="s">
        <v>156</v>
      </c>
      <c r="I67" s="27">
        <v>9.3330552976515907E-2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f>(S59-1000)*$I67</f>
        <v>13.252938522665259</v>
      </c>
      <c r="T67" s="11">
        <f t="shared" ref="T67:V67" si="48">(T59-1000)*$I67</f>
        <v>33.132346306663145</v>
      </c>
      <c r="U67" s="11">
        <f t="shared" si="48"/>
        <v>28.465818657837353</v>
      </c>
      <c r="V67" s="11">
        <f t="shared" si="48"/>
        <v>0.18666110595303181</v>
      </c>
    </row>
    <row r="68" spans="8:25" x14ac:dyDescent="0.25">
      <c r="H68" s="64" t="s">
        <v>112</v>
      </c>
      <c r="I68" s="27">
        <v>3.1718000000000003E-2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f>S59*$I68</f>
        <v>36.221956000000006</v>
      </c>
      <c r="T68" s="11">
        <f>T59*$I68</f>
        <v>42.977890000000002</v>
      </c>
      <c r="U68" s="11">
        <f>U59*$I68</f>
        <v>41.391990000000007</v>
      </c>
      <c r="V68" s="11">
        <f>V59*$I68</f>
        <v>31.781436000000003</v>
      </c>
    </row>
    <row r="69" spans="8:25" x14ac:dyDescent="0.25">
      <c r="H69" s="64"/>
      <c r="I69" s="27">
        <v>2.8812999999999998E-2</v>
      </c>
      <c r="K69" s="11">
        <f t="shared" ref="K69:R69" si="49">K59*$I69</f>
        <v>23.741911999999999</v>
      </c>
      <c r="L69" s="11">
        <f t="shared" si="49"/>
        <v>23.396155999999998</v>
      </c>
      <c r="M69" s="11">
        <f t="shared" si="49"/>
        <v>30.368901999999999</v>
      </c>
      <c r="N69" s="11">
        <f t="shared" si="49"/>
        <v>31.636673999999999</v>
      </c>
      <c r="O69" s="11">
        <f t="shared" si="49"/>
        <v>26.046951999999997</v>
      </c>
      <c r="P69" s="11">
        <f t="shared" si="49"/>
        <v>24.462236999999998</v>
      </c>
      <c r="Q69" s="11">
        <f t="shared" si="49"/>
        <v>21.436871999999997</v>
      </c>
      <c r="R69" s="11">
        <f t="shared" si="49"/>
        <v>26.248642999999998</v>
      </c>
      <c r="S69" s="11">
        <v>0</v>
      </c>
      <c r="T69" s="11">
        <v>0</v>
      </c>
      <c r="U69" s="11">
        <v>0</v>
      </c>
      <c r="V69" s="11">
        <v>0</v>
      </c>
    </row>
    <row r="70" spans="8:25" x14ac:dyDescent="0.25">
      <c r="H70" s="28" t="s">
        <v>144</v>
      </c>
      <c r="I70" s="29">
        <v>1.9511000000000001E-2</v>
      </c>
      <c r="K70" s="11">
        <f t="shared" ref="K70:V70" si="50">SUM(K61:K67)*$I70</f>
        <v>1.0963534813608369</v>
      </c>
      <c r="L70" s="11">
        <f t="shared" si="50"/>
        <v>1.0845360074553392</v>
      </c>
      <c r="M70" s="11">
        <f t="shared" si="50"/>
        <v>1.3220290468535414</v>
      </c>
      <c r="N70" s="11">
        <f t="shared" si="50"/>
        <v>1.3646867330510326</v>
      </c>
      <c r="O70" s="11">
        <f t="shared" si="50"/>
        <v>1.175136640730821</v>
      </c>
      <c r="P70" s="11">
        <f t="shared" si="50"/>
        <v>1.1209732186639569</v>
      </c>
      <c r="Q70" s="11">
        <f t="shared" si="50"/>
        <v>1.0175703219908527</v>
      </c>
      <c r="R70" s="11">
        <f t="shared" si="50"/>
        <v>1.1820301671756945</v>
      </c>
      <c r="S70" s="11">
        <f t="shared" si="50"/>
        <v>1.8011626768905238</v>
      </c>
      <c r="T70" s="11">
        <f t="shared" si="50"/>
        <v>2.1890298021641064</v>
      </c>
      <c r="U70" s="11">
        <f t="shared" si="50"/>
        <v>2.0979811812078664</v>
      </c>
      <c r="V70" s="11">
        <f t="shared" si="50"/>
        <v>1.5462265382130516</v>
      </c>
    </row>
    <row r="71" spans="8:25" x14ac:dyDescent="0.25">
      <c r="H71" s="30" t="s">
        <v>145</v>
      </c>
      <c r="I71" s="31">
        <v>0.16881399999999999</v>
      </c>
      <c r="K71" s="11">
        <f t="shared" ref="K71:V71" si="51">SUM(K61:K67)*$I71</f>
        <v>9.4859216135743054</v>
      </c>
      <c r="L71" s="11">
        <f t="shared" si="51"/>
        <v>9.3836739051081768</v>
      </c>
      <c r="M71" s="11">
        <f t="shared" si="51"/>
        <v>11.438522449671144</v>
      </c>
      <c r="N71" s="11">
        <f t="shared" si="51"/>
        <v>11.807607306302957</v>
      </c>
      <c r="O71" s="11">
        <f t="shared" si="51"/>
        <v>10.16757300334851</v>
      </c>
      <c r="P71" s="11">
        <f t="shared" si="51"/>
        <v>9.6989376728787455</v>
      </c>
      <c r="Q71" s="11">
        <f t="shared" si="51"/>
        <v>8.8042702238001027</v>
      </c>
      <c r="R71" s="11">
        <f t="shared" si="51"/>
        <v>10.227217499953753</v>
      </c>
      <c r="S71" s="11">
        <f t="shared" si="51"/>
        <v>15.584105178442769</v>
      </c>
      <c r="T71" s="11">
        <f t="shared" si="51"/>
        <v>18.940027524090585</v>
      </c>
      <c r="U71" s="11">
        <f t="shared" si="51"/>
        <v>18.15225232558171</v>
      </c>
      <c r="V71" s="11">
        <f t="shared" si="51"/>
        <v>13.378334622617912</v>
      </c>
    </row>
    <row r="72" spans="8:25" x14ac:dyDescent="0.25">
      <c r="H72" s="30" t="s">
        <v>115</v>
      </c>
      <c r="I72" s="34">
        <v>0.10766199999999999</v>
      </c>
      <c r="K72" s="11">
        <f t="shared" ref="K72:V72" si="52">SUM(K61:K67)*$I72</f>
        <v>6.0496954799995084</v>
      </c>
      <c r="L72" s="11">
        <f t="shared" si="52"/>
        <v>5.9844864760728163</v>
      </c>
      <c r="M72" s="11">
        <f t="shared" si="52"/>
        <v>7.2949767434957691</v>
      </c>
      <c r="N72" s="11">
        <f t="shared" si="52"/>
        <v>7.5303625162083057</v>
      </c>
      <c r="O72" s="11">
        <f t="shared" si="52"/>
        <v>6.4844221728441207</v>
      </c>
      <c r="P72" s="11">
        <f t="shared" si="52"/>
        <v>6.1855475715134496</v>
      </c>
      <c r="Q72" s="11">
        <f t="shared" si="52"/>
        <v>5.6149687871548961</v>
      </c>
      <c r="R72" s="11">
        <f t="shared" si="52"/>
        <v>6.5224607584680241</v>
      </c>
      <c r="S72" s="11">
        <f t="shared" si="52"/>
        <v>9.9388435302848421</v>
      </c>
      <c r="T72" s="11">
        <f t="shared" si="52"/>
        <v>12.079100331125622</v>
      </c>
      <c r="U72" s="11">
        <f t="shared" si="52"/>
        <v>11.576692631397739</v>
      </c>
      <c r="V72" s="11">
        <f t="shared" si="52"/>
        <v>8.5321019710467709</v>
      </c>
    </row>
    <row r="73" spans="8:25" x14ac:dyDescent="0.25">
      <c r="H73" s="30" t="s">
        <v>116</v>
      </c>
      <c r="I73" s="31">
        <v>2.3567999999999999E-2</v>
      </c>
      <c r="K73" s="11">
        <f t="shared" ref="K73:V73" si="53">SUM(K61:K72)*$I73</f>
        <v>2.2758542952836942</v>
      </c>
      <c r="L73" s="11">
        <f t="shared" si="53"/>
        <v>2.2492056554944089</v>
      </c>
      <c r="M73" s="11">
        <f t="shared" si="53"/>
        <v>2.785326788013057</v>
      </c>
      <c r="N73" s="11">
        <f t="shared" si="53"/>
        <v>2.8819848275699704</v>
      </c>
      <c r="O73" s="11">
        <f t="shared" si="53"/>
        <v>2.453511893878928</v>
      </c>
      <c r="P73" s="11">
        <f t="shared" si="53"/>
        <v>2.3313722948447047</v>
      </c>
      <c r="Q73" s="11">
        <f t="shared" si="53"/>
        <v>2.09819669668846</v>
      </c>
      <c r="R73" s="11">
        <f t="shared" si="53"/>
        <v>2.4690569337560113</v>
      </c>
      <c r="S73" s="11">
        <f t="shared" si="53"/>
        <v>3.6733393277969499</v>
      </c>
      <c r="T73" s="11">
        <f t="shared" si="53"/>
        <v>4.4397562654951033</v>
      </c>
      <c r="U73" s="11">
        <f t="shared" si="53"/>
        <v>4.2598461862232364</v>
      </c>
      <c r="V73" s="11">
        <f t="shared" si="53"/>
        <v>3.1695911058357225</v>
      </c>
    </row>
    <row r="74" spans="8:25" x14ac:dyDescent="0.25">
      <c r="K74" s="11">
        <f>SUM(K61:K73)</f>
        <v>98.841294522867457</v>
      </c>
      <c r="L74" s="11">
        <f>SUM(L61:L73)</f>
        <v>97.683933061061666</v>
      </c>
      <c r="M74" s="41">
        <f>SUM(M61:M73)</f>
        <v>120.96789586528126</v>
      </c>
      <c r="N74" s="41">
        <f t="shared" ref="N74" si="54">SUM(N61:N73)</f>
        <v>125.16579455134672</v>
      </c>
      <c r="O74" s="11">
        <f t="shared" ref="O74" si="55">SUM(O61:O73)</f>
        <v>106.55703760157276</v>
      </c>
      <c r="P74" s="11">
        <f t="shared" ref="P74" si="56">SUM(P61:P73)</f>
        <v>101.25246423496286</v>
      </c>
      <c r="Q74" s="11">
        <f t="shared" ref="Q74" si="57">SUM(Q61:Q73)</f>
        <v>91.125551444162156</v>
      </c>
      <c r="R74" s="11">
        <f t="shared" ref="R74" si="58">SUM(R61:R73)</f>
        <v>107.23216512095948</v>
      </c>
      <c r="S74" s="11">
        <f t="shared" ref="S74" si="59">SUM(S61:S73)</f>
        <v>159.53464821259627</v>
      </c>
      <c r="T74" s="11">
        <f t="shared" ref="T74" si="60">SUM(T61:T73)</f>
        <v>192.82045320605448</v>
      </c>
      <c r="U74" s="11">
        <f t="shared" ref="U74" si="61">SUM(U61:U73)</f>
        <v>185.00688395876381</v>
      </c>
      <c r="V74" s="11">
        <f>SUM(V61:V73)</f>
        <v>137.65665432018241</v>
      </c>
      <c r="W74" s="11">
        <f>SUM(K74:V74)/12</f>
        <v>126.9870646749843</v>
      </c>
      <c r="X74" s="3">
        <f>W74/W20-1</f>
        <v>2.985843886320283E-2</v>
      </c>
      <c r="Y74" s="11">
        <f>W74-W20</f>
        <v>3.681705527607221</v>
      </c>
    </row>
  </sheetData>
  <mergeCells count="8">
    <mergeCell ref="H60:I60"/>
    <mergeCell ref="H68:H69"/>
    <mergeCell ref="H6:I6"/>
    <mergeCell ref="H14:H15"/>
    <mergeCell ref="H23:I23"/>
    <mergeCell ref="H31:H32"/>
    <mergeCell ref="H43:I43"/>
    <mergeCell ref="H51:H5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Y84"/>
  <sheetViews>
    <sheetView topLeftCell="G54" workbookViewId="0">
      <selection activeCell="I80" sqref="I80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8.5" customWidth="1"/>
  </cols>
  <sheetData>
    <row r="2" spans="1:23" x14ac:dyDescent="0.25">
      <c r="A2" t="s">
        <v>1</v>
      </c>
      <c r="B2" t="s">
        <v>2</v>
      </c>
      <c r="J2" s="12" t="s">
        <v>139</v>
      </c>
      <c r="K2" s="39">
        <v>493.43775365861472</v>
      </c>
      <c r="L2" s="40">
        <v>569.53252769105154</v>
      </c>
      <c r="M2" s="40">
        <v>711.03080351469112</v>
      </c>
      <c r="N2" s="40">
        <v>863.50946022279993</v>
      </c>
      <c r="O2" s="40">
        <v>690.92815939217587</v>
      </c>
      <c r="P2" s="40">
        <v>587.63157420267532</v>
      </c>
      <c r="Q2" s="40">
        <v>483.93538498370373</v>
      </c>
      <c r="R2" s="40">
        <v>586.66398103381505</v>
      </c>
      <c r="S2" s="40">
        <v>756.1500447743922</v>
      </c>
      <c r="T2" s="40">
        <v>867.09107818983591</v>
      </c>
      <c r="U2" s="40">
        <v>827.75995468814881</v>
      </c>
      <c r="V2" s="40">
        <v>633.3448621202715</v>
      </c>
      <c r="W2" s="40">
        <f>SUM(K2:V2)</f>
        <v>8071.0155844721758</v>
      </c>
    </row>
    <row r="3" spans="1:23" x14ac:dyDescent="0.25">
      <c r="A3" t="s">
        <v>3</v>
      </c>
      <c r="B3" t="s">
        <v>4</v>
      </c>
      <c r="J3" s="12" t="s">
        <v>140</v>
      </c>
      <c r="K3" s="39">
        <f>K2*($W3/$W2)</f>
        <v>366.82205491557181</v>
      </c>
      <c r="L3" s="39">
        <f t="shared" ref="L3:V3" si="0">L2*($W3/$W2)</f>
        <v>423.39097606510018</v>
      </c>
      <c r="M3" s="39">
        <f t="shared" si="0"/>
        <v>528.58091728826025</v>
      </c>
      <c r="N3" s="39">
        <f t="shared" si="0"/>
        <v>641.93368320396178</v>
      </c>
      <c r="O3" s="39">
        <f t="shared" si="0"/>
        <v>513.63659417641497</v>
      </c>
      <c r="P3" s="39">
        <f t="shared" si="0"/>
        <v>436.84582297168612</v>
      </c>
      <c r="Q3" s="39">
        <f t="shared" si="0"/>
        <v>359.7579857841535</v>
      </c>
      <c r="R3" s="39">
        <f t="shared" si="0"/>
        <v>436.12651336902212</v>
      </c>
      <c r="S3" s="39">
        <f t="shared" si="0"/>
        <v>562.12260045376377</v>
      </c>
      <c r="T3" s="39">
        <f t="shared" si="0"/>
        <v>644.59626111343323</v>
      </c>
      <c r="U3" s="39">
        <f t="shared" si="0"/>
        <v>615.35746971967887</v>
      </c>
      <c r="V3" s="39">
        <f t="shared" si="0"/>
        <v>470.82912093895357</v>
      </c>
      <c r="W3">
        <v>6000</v>
      </c>
    </row>
    <row r="4" spans="1:23" x14ac:dyDescent="0.25">
      <c r="A4" t="s">
        <v>5</v>
      </c>
      <c r="B4" t="s">
        <v>1</v>
      </c>
      <c r="C4" t="s">
        <v>2</v>
      </c>
    </row>
    <row r="5" spans="1:23" x14ac:dyDescent="0.25">
      <c r="A5" t="s">
        <v>0</v>
      </c>
      <c r="J5" s="12" t="s">
        <v>3</v>
      </c>
      <c r="K5" s="39">
        <v>493.43775365861472</v>
      </c>
      <c r="L5" s="40">
        <v>569.53252769105154</v>
      </c>
      <c r="M5" s="40">
        <v>711.03080351469112</v>
      </c>
      <c r="N5" s="40">
        <v>863.50946022279993</v>
      </c>
      <c r="O5" s="40">
        <v>690.92815939217587</v>
      </c>
      <c r="P5" s="40">
        <v>587.63157420267532</v>
      </c>
      <c r="Q5" s="40">
        <v>483.93538498370373</v>
      </c>
      <c r="R5" s="40">
        <v>586.66398103381505</v>
      </c>
      <c r="S5" s="40">
        <v>756.1500447743922</v>
      </c>
      <c r="T5" s="40">
        <v>867.09107818983591</v>
      </c>
      <c r="U5" s="40">
        <v>827.75995468814881</v>
      </c>
      <c r="V5" s="40">
        <v>633.3448621202715</v>
      </c>
      <c r="W5" s="40">
        <f>SUM(K5:V5)</f>
        <v>8071.0155844721758</v>
      </c>
    </row>
    <row r="6" spans="1:23" ht="16.5" thickBot="1" x14ac:dyDescent="0.3">
      <c r="A6" t="s">
        <v>6</v>
      </c>
      <c r="B6" t="s">
        <v>7</v>
      </c>
      <c r="C6" t="s">
        <v>8</v>
      </c>
      <c r="H6" s="63" t="s">
        <v>117</v>
      </c>
      <c r="I6" s="63"/>
      <c r="J6" s="12" t="s">
        <v>136</v>
      </c>
      <c r="K6" s="37" t="s">
        <v>124</v>
      </c>
      <c r="L6" s="37" t="s">
        <v>125</v>
      </c>
      <c r="M6" s="37" t="s">
        <v>126</v>
      </c>
      <c r="N6" s="37" t="s">
        <v>127</v>
      </c>
      <c r="O6" s="37" t="s">
        <v>128</v>
      </c>
      <c r="P6" s="37" t="s">
        <v>129</v>
      </c>
      <c r="Q6" s="37" t="s">
        <v>130</v>
      </c>
      <c r="R6" s="37" t="s">
        <v>131</v>
      </c>
      <c r="S6" s="37" t="s">
        <v>132</v>
      </c>
      <c r="T6" s="37" t="s">
        <v>133</v>
      </c>
      <c r="U6" s="37" t="s">
        <v>134</v>
      </c>
      <c r="V6" s="37" t="s">
        <v>135</v>
      </c>
    </row>
    <row r="7" spans="1:23" x14ac:dyDescent="0.25">
      <c r="A7" t="s">
        <v>9</v>
      </c>
      <c r="B7" t="s">
        <v>1</v>
      </c>
      <c r="H7" s="32" t="s">
        <v>118</v>
      </c>
      <c r="I7" s="33">
        <v>10</v>
      </c>
      <c r="K7" s="11">
        <f>$I7</f>
        <v>10</v>
      </c>
      <c r="L7" s="11">
        <f t="shared" ref="L7:V7" si="1">$I7</f>
        <v>10</v>
      </c>
      <c r="M7" s="11">
        <f t="shared" si="1"/>
        <v>10</v>
      </c>
      <c r="N7" s="11">
        <f t="shared" si="1"/>
        <v>10</v>
      </c>
      <c r="O7" s="11">
        <f t="shared" si="1"/>
        <v>10</v>
      </c>
      <c r="P7" s="11">
        <f t="shared" si="1"/>
        <v>10</v>
      </c>
      <c r="Q7" s="11">
        <f t="shared" si="1"/>
        <v>10</v>
      </c>
      <c r="R7" s="11">
        <f t="shared" si="1"/>
        <v>10</v>
      </c>
      <c r="S7" s="11">
        <f t="shared" si="1"/>
        <v>10</v>
      </c>
      <c r="T7" s="11">
        <f t="shared" si="1"/>
        <v>10</v>
      </c>
      <c r="U7" s="11">
        <f t="shared" si="1"/>
        <v>10</v>
      </c>
      <c r="V7" s="11">
        <f t="shared" si="1"/>
        <v>10</v>
      </c>
    </row>
    <row r="8" spans="1:23" x14ac:dyDescent="0.25">
      <c r="A8" t="s">
        <v>2</v>
      </c>
      <c r="B8" t="s">
        <v>0</v>
      </c>
      <c r="H8" s="26" t="s">
        <v>119</v>
      </c>
      <c r="I8" s="27">
        <v>5.6582E-2</v>
      </c>
      <c r="K8" s="11">
        <f>K5*$I8</f>
        <v>27.919694977511739</v>
      </c>
      <c r="L8" s="11">
        <f>L5*$I8</f>
        <v>32.225289481815075</v>
      </c>
      <c r="M8" s="11">
        <f>650*$I8</f>
        <v>36.778300000000002</v>
      </c>
      <c r="N8" s="11">
        <f>650*$I8</f>
        <v>36.778300000000002</v>
      </c>
      <c r="O8" s="11">
        <f>650*$I8</f>
        <v>36.778300000000002</v>
      </c>
      <c r="P8" s="11">
        <f>P5*$I8</f>
        <v>33.249369731535772</v>
      </c>
      <c r="Q8" s="11">
        <f>Q5*$I8</f>
        <v>27.382031953147923</v>
      </c>
      <c r="R8" s="11">
        <f>R5*$I8</f>
        <v>33.194621374855323</v>
      </c>
      <c r="S8" s="11">
        <v>0</v>
      </c>
      <c r="T8" s="11">
        <v>0</v>
      </c>
      <c r="U8" s="11">
        <v>0</v>
      </c>
      <c r="V8" s="11">
        <v>0</v>
      </c>
    </row>
    <row r="9" spans="1:23" x14ac:dyDescent="0.25">
      <c r="A9" t="s">
        <v>1</v>
      </c>
      <c r="B9" t="s">
        <v>2</v>
      </c>
      <c r="H9" s="26" t="s">
        <v>120</v>
      </c>
      <c r="I9" s="27">
        <v>4.8533E-2</v>
      </c>
      <c r="K9" s="11">
        <v>0</v>
      </c>
      <c r="L9" s="11">
        <v>0</v>
      </c>
      <c r="M9" s="11">
        <f>(M5-650)*$I9</f>
        <v>2.9620079869785041</v>
      </c>
      <c r="N9" s="11">
        <f>(N5-650)*$I9</f>
        <v>10.36225463299315</v>
      </c>
      <c r="O9" s="11">
        <f>(O5-650)*$I9</f>
        <v>1.9863663597804715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0</v>
      </c>
      <c r="B10" t="s">
        <v>10</v>
      </c>
      <c r="H10" s="35" t="s">
        <v>121</v>
      </c>
      <c r="I10" s="27">
        <v>4.7641000000000003E-2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H11" s="26" t="s">
        <v>122</v>
      </c>
      <c r="I11" s="27">
        <v>5.6582E-2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>650*$I11</f>
        <v>36.778300000000002</v>
      </c>
      <c r="T11" s="11">
        <f>650*$I11</f>
        <v>36.778300000000002</v>
      </c>
      <c r="U11" s="11">
        <f>650*$I11</f>
        <v>36.778300000000002</v>
      </c>
      <c r="V11" s="11">
        <f>V5*$I11</f>
        <v>35.835918988489205</v>
      </c>
    </row>
    <row r="12" spans="1:23" x14ac:dyDescent="0.25">
      <c r="A12" s="21" t="s">
        <v>109</v>
      </c>
      <c r="B12" s="21" t="s">
        <v>110</v>
      </c>
      <c r="C12" s="22"/>
      <c r="D12" s="22"/>
      <c r="E12" s="22"/>
      <c r="F12" s="21" t="s">
        <v>111</v>
      </c>
      <c r="H12" s="26" t="s">
        <v>123</v>
      </c>
      <c r="I12" s="27">
        <v>9.3982999999999997E-2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>(S5-650)*$I12</f>
        <v>9.9762996580317012</v>
      </c>
      <c r="T12" s="11">
        <f>(T5-650)*$I12</f>
        <v>20.402870801515348</v>
      </c>
      <c r="U12" s="11">
        <f>(U5-650)*$I12</f>
        <v>16.706413821456287</v>
      </c>
      <c r="V12" s="11">
        <v>0</v>
      </c>
    </row>
    <row r="13" spans="1:23" x14ac:dyDescent="0.25">
      <c r="A13" s="22" t="s">
        <v>11</v>
      </c>
      <c r="B13" s="22">
        <v>673</v>
      </c>
      <c r="C13" s="23">
        <v>83.88</v>
      </c>
      <c r="D13" s="23">
        <v>92.33</v>
      </c>
      <c r="E13" s="23">
        <v>8.4499999999999993</v>
      </c>
      <c r="F13" s="24">
        <f>D13/C13-1</f>
        <v>0.10073915116833576</v>
      </c>
      <c r="H13" s="35" t="s">
        <v>156</v>
      </c>
      <c r="I13" s="27">
        <v>9.7272999999999998E-2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3" x14ac:dyDescent="0.25">
      <c r="A14" s="22" t="s">
        <v>12</v>
      </c>
      <c r="B14" s="25">
        <v>1000</v>
      </c>
      <c r="C14" s="23">
        <v>123.31</v>
      </c>
      <c r="D14" s="23">
        <v>133.09</v>
      </c>
      <c r="E14" s="23">
        <v>9.7799999999999994</v>
      </c>
      <c r="F14" s="24">
        <f t="shared" ref="F14:F15" si="2">D14/C14-1</f>
        <v>7.9312302327467332E-2</v>
      </c>
      <c r="H14" s="64" t="s">
        <v>112</v>
      </c>
      <c r="I14" s="27">
        <v>3.1718000000000003E-2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S5*$I14</f>
        <v>23.983567120154174</v>
      </c>
      <c r="T14" s="11">
        <f>T5*$I14</f>
        <v>27.50239481802522</v>
      </c>
      <c r="U14" s="11">
        <f>U5*$I14</f>
        <v>26.254890242798705</v>
      </c>
      <c r="V14" s="11">
        <f>V5*$I14</f>
        <v>20.088432336730772</v>
      </c>
    </row>
    <row r="15" spans="1:23" x14ac:dyDescent="0.25">
      <c r="A15" s="22" t="s">
        <v>13</v>
      </c>
      <c r="B15" s="25">
        <v>1837</v>
      </c>
      <c r="C15" s="23">
        <v>225.4</v>
      </c>
      <c r="D15" s="23">
        <v>238.64</v>
      </c>
      <c r="E15" s="23">
        <v>13.24</v>
      </c>
      <c r="F15" s="24">
        <f t="shared" si="2"/>
        <v>5.8740017746228945E-2</v>
      </c>
      <c r="H15" s="64"/>
      <c r="I15" s="27">
        <v>2.8812999999999998E-2</v>
      </c>
      <c r="K15" s="11">
        <f t="shared" ref="K15:R15" si="3">K5*$I15</f>
        <v>14.217421996165665</v>
      </c>
      <c r="L15" s="11">
        <f t="shared" si="3"/>
        <v>16.409940720362268</v>
      </c>
      <c r="M15" s="11">
        <f t="shared" si="3"/>
        <v>20.486930541668794</v>
      </c>
      <c r="N15" s="11">
        <f t="shared" si="3"/>
        <v>24.880298077399534</v>
      </c>
      <c r="O15" s="11">
        <f t="shared" si="3"/>
        <v>19.907713056566763</v>
      </c>
      <c r="P15" s="11">
        <f t="shared" si="3"/>
        <v>16.931428547501682</v>
      </c>
      <c r="Q15" s="11">
        <f t="shared" si="3"/>
        <v>13.943630247535454</v>
      </c>
      <c r="R15" s="11">
        <f t="shared" si="3"/>
        <v>16.903549285527312</v>
      </c>
      <c r="S15" s="11">
        <v>0</v>
      </c>
      <c r="T15" s="11">
        <v>0</v>
      </c>
      <c r="U15" s="11">
        <v>0</v>
      </c>
      <c r="V15" s="11">
        <v>0</v>
      </c>
    </row>
    <row r="16" spans="1:23" x14ac:dyDescent="0.25">
      <c r="F16" s="3"/>
      <c r="H16" s="28" t="s">
        <v>113</v>
      </c>
      <c r="I16" s="29">
        <v>1.6721E-2</v>
      </c>
      <c r="K16" s="11">
        <f t="shared" ref="K16:V16" si="4">SUM(K7:K13)*$I16</f>
        <v>0.63405521971897383</v>
      </c>
      <c r="L16" s="11">
        <f t="shared" si="4"/>
        <v>0.70604906542542989</v>
      </c>
      <c r="M16" s="11">
        <f t="shared" si="4"/>
        <v>0.83170768985026766</v>
      </c>
      <c r="N16" s="11">
        <f t="shared" si="4"/>
        <v>0.95544721401827848</v>
      </c>
      <c r="O16" s="11">
        <f t="shared" si="4"/>
        <v>0.81539398620188919</v>
      </c>
      <c r="P16" s="11">
        <f t="shared" si="4"/>
        <v>0.72317271128100968</v>
      </c>
      <c r="Q16" s="11">
        <f t="shared" si="4"/>
        <v>0.62506495628858638</v>
      </c>
      <c r="R16" s="11">
        <f t="shared" si="4"/>
        <v>0.72225726400895585</v>
      </c>
      <c r="S16" s="11">
        <f t="shared" si="4"/>
        <v>0.94899366088194803</v>
      </c>
      <c r="T16" s="11">
        <f t="shared" si="4"/>
        <v>1.1233363569721382</v>
      </c>
      <c r="U16" s="11">
        <f t="shared" si="4"/>
        <v>1.0615278998085707</v>
      </c>
      <c r="V16" s="11">
        <f t="shared" si="4"/>
        <v>0.76642240140652795</v>
      </c>
    </row>
    <row r="17" spans="1:24" x14ac:dyDescent="0.25">
      <c r="A17" t="s">
        <v>60</v>
      </c>
      <c r="B17">
        <v>1014</v>
      </c>
      <c r="C17" s="1">
        <v>122.26</v>
      </c>
      <c r="D17" s="1">
        <v>131.97999999999999</v>
      </c>
      <c r="E17" s="1">
        <f>D17-C17</f>
        <v>9.7199999999999847</v>
      </c>
      <c r="F17" s="3">
        <f>D17/C17-1</f>
        <v>7.9502699165712398E-2</v>
      </c>
      <c r="H17" s="30" t="s">
        <v>114</v>
      </c>
      <c r="I17" s="31">
        <v>0.12767999999999999</v>
      </c>
      <c r="K17" s="11">
        <f t="shared" ref="K17:V17" si="5">SUM(K7:K13)*$I17</f>
        <v>4.8415866547286983</v>
      </c>
      <c r="L17" s="11">
        <f t="shared" si="5"/>
        <v>5.3913249610381486</v>
      </c>
      <c r="M17" s="11">
        <f t="shared" si="5"/>
        <v>6.3508425237774153</v>
      </c>
      <c r="N17" s="11">
        <f t="shared" si="5"/>
        <v>7.2957060155405644</v>
      </c>
      <c r="O17" s="11">
        <f t="shared" si="5"/>
        <v>6.2262726008167695</v>
      </c>
      <c r="P17" s="11">
        <f t="shared" si="5"/>
        <v>5.5220795273224867</v>
      </c>
      <c r="Q17" s="11">
        <f t="shared" si="5"/>
        <v>4.7729378397779261</v>
      </c>
      <c r="R17" s="11">
        <f t="shared" si="5"/>
        <v>5.5150892571415273</v>
      </c>
      <c r="S17" s="11">
        <f t="shared" si="5"/>
        <v>7.2464272843374866</v>
      </c>
      <c r="T17" s="11">
        <f t="shared" si="5"/>
        <v>8.5776918879374797</v>
      </c>
      <c r="U17" s="11">
        <f t="shared" si="5"/>
        <v>8.1057282607235379</v>
      </c>
      <c r="V17" s="11">
        <f t="shared" si="5"/>
        <v>5.8523301364503011</v>
      </c>
    </row>
    <row r="18" spans="1:24" x14ac:dyDescent="0.25">
      <c r="B18">
        <v>1014</v>
      </c>
      <c r="C18" s="1">
        <v>122.26</v>
      </c>
      <c r="D18" s="1">
        <v>131.81</v>
      </c>
      <c r="E18" s="1">
        <f>D18-C18</f>
        <v>9.5499999999999972</v>
      </c>
      <c r="F18" s="3">
        <f>D18/C18-1</f>
        <v>7.8112219859316268E-2</v>
      </c>
      <c r="H18" s="30" t="s">
        <v>115</v>
      </c>
      <c r="I18" s="34">
        <v>0.10766199999999999</v>
      </c>
      <c r="K18" s="11">
        <f t="shared" ref="K18:V18" si="6">SUM(K7:K13)*$I18</f>
        <v>4.0825102006688683</v>
      </c>
      <c r="L18" s="11">
        <f t="shared" si="6"/>
        <v>4.5460591161911745</v>
      </c>
      <c r="M18" s="11">
        <f t="shared" si="6"/>
        <v>5.3551410384940796</v>
      </c>
      <c r="N18" s="11">
        <f t="shared" si="6"/>
        <v>6.1518663928973085</v>
      </c>
      <c r="O18" s="11">
        <f t="shared" si="6"/>
        <v>5.2501015096266848</v>
      </c>
      <c r="P18" s="11">
        <f t="shared" si="6"/>
        <v>4.6563136440366044</v>
      </c>
      <c r="Q18" s="11">
        <f t="shared" si="6"/>
        <v>4.0246243241398112</v>
      </c>
      <c r="R18" s="11">
        <f t="shared" si="6"/>
        <v>4.6504193264596738</v>
      </c>
      <c r="S18" s="11">
        <f t="shared" si="6"/>
        <v>6.1103137083830088</v>
      </c>
      <c r="T18" s="11">
        <f t="shared" si="6"/>
        <v>7.2328592108327454</v>
      </c>
      <c r="U18" s="11">
        <f t="shared" si="6"/>
        <v>6.8348912594456266</v>
      </c>
      <c r="V18" s="11">
        <f t="shared" si="6"/>
        <v>4.9347867101387246</v>
      </c>
    </row>
    <row r="19" spans="1:24" x14ac:dyDescent="0.25">
      <c r="E19" s="1"/>
      <c r="F19" s="3"/>
      <c r="H19" s="30" t="s">
        <v>116</v>
      </c>
      <c r="I19" s="31">
        <v>2.3050000000000001E-2</v>
      </c>
      <c r="K19" s="11">
        <f t="shared" ref="K19:V19" si="7">SUM(K7:K18)*$I19</f>
        <v>1.4220759515747008</v>
      </c>
      <c r="L19" s="11">
        <f t="shared" si="7"/>
        <v>1.5968731900983799</v>
      </c>
      <c r="M19" s="11">
        <f t="shared" si="7"/>
        <v>1.907731631446727</v>
      </c>
      <c r="N19" s="11">
        <f t="shared" si="7"/>
        <v>2.2225702572721655</v>
      </c>
      <c r="O19" s="11">
        <f t="shared" si="7"/>
        <v>1.8662236001744792</v>
      </c>
      <c r="P19" s="11">
        <f t="shared" si="7"/>
        <v>1.6384484939266675</v>
      </c>
      <c r="Q19" s="11">
        <f t="shared" si="7"/>
        <v>1.4002480688465075</v>
      </c>
      <c r="R19" s="11">
        <f t="shared" si="7"/>
        <v>1.6362258365092339</v>
      </c>
      <c r="S19" s="11">
        <f t="shared" si="7"/>
        <v>2.1907619280027206</v>
      </c>
      <c r="T19" s="11">
        <f t="shared" si="7"/>
        <v>2.5727822933852713</v>
      </c>
      <c r="U19" s="11">
        <f t="shared" si="7"/>
        <v>2.4373473717115646</v>
      </c>
      <c r="V19" s="11">
        <f t="shared" si="7"/>
        <v>1.7858653777126181</v>
      </c>
    </row>
    <row r="20" spans="1:24" x14ac:dyDescent="0.25">
      <c r="A20" t="s">
        <v>61</v>
      </c>
      <c r="B20">
        <v>1267</v>
      </c>
      <c r="C20" s="1">
        <v>149.08000000000001</v>
      </c>
      <c r="D20" s="1">
        <v>159.66999999999999</v>
      </c>
      <c r="E20" s="1">
        <f t="shared" ref="E20" si="8">D20-C20</f>
        <v>10.589999999999975</v>
      </c>
      <c r="F20" s="3">
        <f t="shared" ref="F20" si="9">D20/C20-1</f>
        <v>7.1035685537965909E-2</v>
      </c>
      <c r="K20" s="11">
        <f>SUM(K7:K19)</f>
        <v>63.117345000368651</v>
      </c>
      <c r="L20" s="11">
        <f>SUM(L7:L19)</f>
        <v>70.875536534930475</v>
      </c>
      <c r="M20" s="41">
        <f>SUM(M7:M19)</f>
        <v>84.672661412215788</v>
      </c>
      <c r="N20" s="41">
        <f t="shared" ref="N20:U20" si="10">SUM(N7:N19)</f>
        <v>98.646442590120998</v>
      </c>
      <c r="O20" s="11">
        <f t="shared" si="10"/>
        <v>82.830371113167061</v>
      </c>
      <c r="P20" s="11">
        <f t="shared" si="10"/>
        <v>72.72081265560422</v>
      </c>
      <c r="Q20" s="11">
        <f t="shared" si="10"/>
        <v>62.148537389736205</v>
      </c>
      <c r="R20" s="11">
        <f t="shared" si="10"/>
        <v>72.62216234450203</v>
      </c>
      <c r="S20" s="11">
        <f t="shared" si="10"/>
        <v>97.234663359791028</v>
      </c>
      <c r="T20" s="11">
        <f t="shared" si="10"/>
        <v>114.1902353686682</v>
      </c>
      <c r="U20" s="11">
        <f t="shared" si="10"/>
        <v>108.17909885594429</v>
      </c>
      <c r="V20" s="11">
        <f>SUM(V7:V19)</f>
        <v>79.263755950928157</v>
      </c>
      <c r="W20" s="11">
        <f>SUM(K20:V20)/12</f>
        <v>83.875135214664752</v>
      </c>
      <c r="X20" s="11"/>
    </row>
    <row r="21" spans="1:24" x14ac:dyDescent="0.25">
      <c r="C21" s="1"/>
      <c r="D21" s="1"/>
      <c r="E21" s="1"/>
      <c r="F21" s="3"/>
      <c r="K21" s="11"/>
      <c r="L21" s="11"/>
      <c r="M21" s="41"/>
      <c r="N21" s="4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J22" s="12" t="s">
        <v>3</v>
      </c>
      <c r="K22" s="39">
        <v>493.43775365861472</v>
      </c>
      <c r="L22" s="40">
        <v>569.53252769105154</v>
      </c>
      <c r="M22" s="40">
        <v>711.03080351469112</v>
      </c>
      <c r="N22" s="40">
        <v>863.50946022279993</v>
      </c>
      <c r="O22" s="40">
        <v>690.92815939217587</v>
      </c>
      <c r="P22" s="40">
        <v>587.63157420267532</v>
      </c>
      <c r="Q22" s="40">
        <v>483.93538498370373</v>
      </c>
      <c r="R22" s="40">
        <v>586.66398103381505</v>
      </c>
      <c r="S22" s="40">
        <v>756.1500447743922</v>
      </c>
      <c r="T22" s="40">
        <v>867.09107818983591</v>
      </c>
      <c r="U22" s="40">
        <v>827.75995468814881</v>
      </c>
      <c r="V22" s="40">
        <v>633.3448621202715</v>
      </c>
    </row>
    <row r="23" spans="1:24" ht="16.5" thickBot="1" x14ac:dyDescent="0.3">
      <c r="H23" s="63" t="s">
        <v>137</v>
      </c>
      <c r="I23" s="63"/>
      <c r="J23" s="12" t="s">
        <v>136</v>
      </c>
      <c r="K23" s="37" t="s">
        <v>124</v>
      </c>
      <c r="L23" s="37" t="s">
        <v>125</v>
      </c>
      <c r="M23" s="37" t="s">
        <v>126</v>
      </c>
      <c r="N23" s="37" t="s">
        <v>127</v>
      </c>
      <c r="O23" s="37" t="s">
        <v>128</v>
      </c>
      <c r="P23" s="37" t="s">
        <v>129</v>
      </c>
      <c r="Q23" s="37" t="s">
        <v>130</v>
      </c>
      <c r="R23" s="37" t="s">
        <v>131</v>
      </c>
      <c r="S23" s="37" t="s">
        <v>132</v>
      </c>
      <c r="T23" s="37" t="s">
        <v>133</v>
      </c>
      <c r="U23" s="37" t="s">
        <v>134</v>
      </c>
      <c r="V23" s="37" t="s">
        <v>135</v>
      </c>
    </row>
    <row r="24" spans="1:24" x14ac:dyDescent="0.25">
      <c r="H24" s="32" t="s">
        <v>118</v>
      </c>
      <c r="I24" s="33">
        <v>14.9</v>
      </c>
      <c r="K24" s="11">
        <f>$I24</f>
        <v>14.9</v>
      </c>
      <c r="L24" s="11">
        <f t="shared" ref="L24:V24" si="11">$I24</f>
        <v>14.9</v>
      </c>
      <c r="M24" s="11">
        <f t="shared" si="11"/>
        <v>14.9</v>
      </c>
      <c r="N24" s="11">
        <f t="shared" si="11"/>
        <v>14.9</v>
      </c>
      <c r="O24" s="11">
        <f t="shared" si="11"/>
        <v>14.9</v>
      </c>
      <c r="P24" s="11">
        <f t="shared" si="11"/>
        <v>14.9</v>
      </c>
      <c r="Q24" s="11">
        <f t="shared" si="11"/>
        <v>14.9</v>
      </c>
      <c r="R24" s="11">
        <f t="shared" si="11"/>
        <v>14.9</v>
      </c>
      <c r="S24" s="11">
        <f t="shared" si="11"/>
        <v>14.9</v>
      </c>
      <c r="T24" s="11">
        <f t="shared" si="11"/>
        <v>14.9</v>
      </c>
      <c r="U24" s="11">
        <f t="shared" si="11"/>
        <v>14.9</v>
      </c>
      <c r="V24" s="11">
        <f t="shared" si="11"/>
        <v>14.9</v>
      </c>
    </row>
    <row r="25" spans="1:24" x14ac:dyDescent="0.25">
      <c r="H25" s="26" t="s">
        <v>119</v>
      </c>
      <c r="I25" s="27">
        <v>5.7969E-2</v>
      </c>
      <c r="K25" s="11">
        <f>K22*$I25</f>
        <v>28.604093141836238</v>
      </c>
      <c r="L25" s="11">
        <f>L22*$I25</f>
        <v>33.01523109772257</v>
      </c>
      <c r="M25" s="11">
        <f>650*$I25</f>
        <v>37.679850000000002</v>
      </c>
      <c r="N25" s="11">
        <f>650*$I25</f>
        <v>37.679850000000002</v>
      </c>
      <c r="O25" s="11">
        <f>650*$I25</f>
        <v>37.679850000000002</v>
      </c>
      <c r="P25" s="11">
        <f>P22*$I25</f>
        <v>34.064414724954887</v>
      </c>
      <c r="Q25" s="11">
        <f>Q22*$I25</f>
        <v>28.053250332120321</v>
      </c>
      <c r="R25" s="11">
        <f>R22*$I25</f>
        <v>34.008324316549228</v>
      </c>
      <c r="S25" s="11">
        <v>0</v>
      </c>
      <c r="T25" s="11">
        <v>0</v>
      </c>
      <c r="U25" s="11">
        <v>0</v>
      </c>
      <c r="V25" s="11">
        <v>0</v>
      </c>
      <c r="X25" s="43">
        <f>I34-I17</f>
        <v>2.5895000000000001E-2</v>
      </c>
    </row>
    <row r="26" spans="1:24" x14ac:dyDescent="0.25">
      <c r="H26" s="26" t="s">
        <v>120</v>
      </c>
      <c r="I26" s="27">
        <v>4.972E-2</v>
      </c>
      <c r="K26" s="11">
        <v>0</v>
      </c>
      <c r="L26" s="11">
        <v>0</v>
      </c>
      <c r="M26" s="11">
        <f>(M22-650)*$I26</f>
        <v>3.0344515507504424</v>
      </c>
      <c r="N26" s="11">
        <f>(N22-650)*$I26</f>
        <v>10.615690362277613</v>
      </c>
      <c r="O26" s="11">
        <f>(O22-650)*$I26</f>
        <v>2.0349480849789843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35" t="s">
        <v>121</v>
      </c>
      <c r="I27" s="27">
        <v>4.8809999999999999E-2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26" t="s">
        <v>122</v>
      </c>
      <c r="I28" s="27">
        <v>5.7969E-2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>650*$I28</f>
        <v>37.679850000000002</v>
      </c>
      <c r="T28" s="11">
        <f>650*$I28</f>
        <v>37.679850000000002</v>
      </c>
      <c r="U28" s="11">
        <f>650*$I28</f>
        <v>37.679850000000002</v>
      </c>
      <c r="V28" s="11">
        <f>V22*$I28</f>
        <v>36.714368312250016</v>
      </c>
    </row>
    <row r="29" spans="1:24" x14ac:dyDescent="0.25">
      <c r="H29" s="26" t="s">
        <v>123</v>
      </c>
      <c r="I29" s="27">
        <v>9.6285999999999997E-2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>(S22-650)*$I29</f>
        <v>10.220763211147126</v>
      </c>
      <c r="T29" s="11">
        <f>(T22-650)*$I29</f>
        <v>20.902831554586541</v>
      </c>
      <c r="U29" s="11">
        <f>(U22-650)*$I29</f>
        <v>17.115794997103094</v>
      </c>
      <c r="V29" s="11">
        <v>0</v>
      </c>
    </row>
    <row r="30" spans="1:24" x14ac:dyDescent="0.25">
      <c r="H30" s="35" t="s">
        <v>156</v>
      </c>
      <c r="I30" s="27">
        <v>9.9657999999999997E-2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4" x14ac:dyDescent="0.25">
      <c r="H31" s="64" t="s">
        <v>112</v>
      </c>
      <c r="I31" s="27">
        <v>3.1718000000000003E-2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S22*$I31</f>
        <v>23.983567120154174</v>
      </c>
      <c r="T31" s="11">
        <f>T22*$I31</f>
        <v>27.50239481802522</v>
      </c>
      <c r="U31" s="11">
        <f>U22*$I31</f>
        <v>26.254890242798705</v>
      </c>
      <c r="V31" s="11">
        <f>V22*$I31</f>
        <v>20.088432336730772</v>
      </c>
    </row>
    <row r="32" spans="1:24" x14ac:dyDescent="0.25">
      <c r="H32" s="64"/>
      <c r="I32" s="27">
        <v>2.8812999999999998E-2</v>
      </c>
      <c r="K32" s="11">
        <f t="shared" ref="K32:R32" si="12">K22*$I32</f>
        <v>14.217421996165665</v>
      </c>
      <c r="L32" s="11">
        <f t="shared" si="12"/>
        <v>16.409940720362268</v>
      </c>
      <c r="M32" s="11">
        <f t="shared" si="12"/>
        <v>20.486930541668794</v>
      </c>
      <c r="N32" s="11">
        <f t="shared" si="12"/>
        <v>24.880298077399534</v>
      </c>
      <c r="O32" s="11">
        <f t="shared" si="12"/>
        <v>19.907713056566763</v>
      </c>
      <c r="P32" s="11">
        <f t="shared" si="12"/>
        <v>16.931428547501682</v>
      </c>
      <c r="Q32" s="11">
        <f t="shared" si="12"/>
        <v>13.943630247535454</v>
      </c>
      <c r="R32" s="11">
        <f t="shared" si="12"/>
        <v>16.903549285527312</v>
      </c>
      <c r="S32" s="11">
        <v>0</v>
      </c>
      <c r="T32" s="11">
        <v>0</v>
      </c>
      <c r="U32" s="11">
        <v>0</v>
      </c>
      <c r="V32" s="11">
        <v>0</v>
      </c>
    </row>
    <row r="33" spans="8:25" x14ac:dyDescent="0.25">
      <c r="H33" s="28" t="s">
        <v>113</v>
      </c>
      <c r="I33" s="29">
        <v>1.7947000000000001E-2</v>
      </c>
      <c r="K33" s="11">
        <f t="shared" ref="K33:V33" si="13">SUM(K24:K30)*$I33</f>
        <v>0.780767959616535</v>
      </c>
      <c r="L33" s="11">
        <f t="shared" si="13"/>
        <v>0.85993465251082701</v>
      </c>
      <c r="M33" s="11">
        <f t="shared" si="13"/>
        <v>0.99810986993131823</v>
      </c>
      <c r="N33" s="11">
        <f t="shared" si="13"/>
        <v>1.1341703628817963</v>
      </c>
      <c r="O33" s="11">
        <f t="shared" si="13"/>
        <v>0.98017178123111792</v>
      </c>
      <c r="P33" s="11">
        <f t="shared" si="13"/>
        <v>0.87876435106876538</v>
      </c>
      <c r="Q33" s="11">
        <f t="shared" si="13"/>
        <v>0.77088198371056338</v>
      </c>
      <c r="R33" s="11">
        <f t="shared" si="13"/>
        <v>0.87775769650910906</v>
      </c>
      <c r="S33" s="11">
        <f t="shared" si="13"/>
        <v>1.1270826053004575</v>
      </c>
      <c r="T33" s="11">
        <f t="shared" si="13"/>
        <v>1.3187936858601648</v>
      </c>
      <c r="U33" s="11">
        <f t="shared" si="13"/>
        <v>1.2508277407630095</v>
      </c>
      <c r="V33" s="11">
        <f t="shared" si="13"/>
        <v>0.92632306809995113</v>
      </c>
    </row>
    <row r="34" spans="8:25" x14ac:dyDescent="0.25">
      <c r="H34" s="30" t="s">
        <v>114</v>
      </c>
      <c r="I34" s="31">
        <v>0.15357499999999999</v>
      </c>
      <c r="K34" s="11">
        <f t="shared" ref="K34:V34" si="14">SUM(K24:K30)*$I34</f>
        <v>6.6811411042574997</v>
      </c>
      <c r="L34" s="11">
        <f t="shared" si="14"/>
        <v>7.3585816158327431</v>
      </c>
      <c r="M34" s="11">
        <f t="shared" si="14"/>
        <v>8.5409663606564976</v>
      </c>
      <c r="N34" s="11">
        <f t="shared" si="14"/>
        <v>9.7052551111367844</v>
      </c>
      <c r="O34" s="11">
        <f t="shared" si="14"/>
        <v>8.3874676159006469</v>
      </c>
      <c r="P34" s="11">
        <f t="shared" si="14"/>
        <v>7.5197099913849463</v>
      </c>
      <c r="Q34" s="11">
        <f t="shared" si="14"/>
        <v>6.5965454197553779</v>
      </c>
      <c r="R34" s="11">
        <f t="shared" si="14"/>
        <v>7.511095906914047</v>
      </c>
      <c r="S34" s="11">
        <f t="shared" si="14"/>
        <v>9.6446041739019179</v>
      </c>
      <c r="T34" s="11">
        <f t="shared" si="14"/>
        <v>11.285102819745628</v>
      </c>
      <c r="U34" s="11">
        <f t="shared" si="14"/>
        <v>10.703508680430108</v>
      </c>
      <c r="V34" s="11">
        <f t="shared" si="14"/>
        <v>7.9266766135537958</v>
      </c>
    </row>
    <row r="35" spans="8:25" x14ac:dyDescent="0.25">
      <c r="H35" s="30" t="s">
        <v>115</v>
      </c>
      <c r="I35" s="34">
        <v>0.10766199999999999</v>
      </c>
      <c r="K35" s="11">
        <f t="shared" ref="K35:V35" si="15">SUM(K24:K30)*$I35</f>
        <v>4.6837376758363725</v>
      </c>
      <c r="L35" s="11">
        <f t="shared" si="15"/>
        <v>5.1586496104430068</v>
      </c>
      <c r="M35" s="11">
        <f t="shared" si="15"/>
        <v>5.9875469335568932</v>
      </c>
      <c r="N35" s="11">
        <f t="shared" si="15"/>
        <v>6.8037582664835314</v>
      </c>
      <c r="O35" s="11">
        <f t="shared" si="15"/>
        <v>5.8799383914250072</v>
      </c>
      <c r="P35" s="11">
        <f t="shared" si="15"/>
        <v>5.2716068181180926</v>
      </c>
      <c r="Q35" s="11">
        <f t="shared" si="15"/>
        <v>4.6244328372567374</v>
      </c>
      <c r="R35" s="11">
        <f t="shared" si="15"/>
        <v>5.2655680125683224</v>
      </c>
      <c r="S35" s="11">
        <f t="shared" si="15"/>
        <v>6.7612396195385216</v>
      </c>
      <c r="T35" s="11">
        <f t="shared" si="15"/>
        <v>7.9112924615298965</v>
      </c>
      <c r="U35" s="11">
        <f t="shared" si="15"/>
        <v>7.5035725316781141</v>
      </c>
      <c r="V35" s="11">
        <f t="shared" si="15"/>
        <v>5.5569061212334612</v>
      </c>
    </row>
    <row r="36" spans="8:25" x14ac:dyDescent="0.25">
      <c r="H36" s="30" t="s">
        <v>116</v>
      </c>
      <c r="I36" s="31">
        <v>2.3567999999999999E-2</v>
      </c>
      <c r="K36" s="11">
        <f t="shared" ref="K36:V36" si="16">SUM(K24:K35)*$I36</f>
        <v>1.6466292711339234</v>
      </c>
      <c r="L36" s="11">
        <f t="shared" si="16"/>
        <v>1.8312886948398657</v>
      </c>
      <c r="M36" s="11">
        <f t="shared" si="16"/>
        <v>2.159485292686699</v>
      </c>
      <c r="N36" s="11">
        <f t="shared" si="16"/>
        <v>2.4915859147424642</v>
      </c>
      <c r="O36" s="11">
        <f t="shared" si="16"/>
        <v>2.1157014559046563</v>
      </c>
      <c r="P36" s="11">
        <f t="shared" si="16"/>
        <v>1.8752097070376126</v>
      </c>
      <c r="Q36" s="11">
        <f t="shared" si="16"/>
        <v>1.623569843654679</v>
      </c>
      <c r="R36" s="11">
        <f t="shared" si="16"/>
        <v>1.8728616456994267</v>
      </c>
      <c r="S36" s="11">
        <f t="shared" si="16"/>
        <v>2.4585455714136342</v>
      </c>
      <c r="T36" s="11">
        <f t="shared" si="16"/>
        <v>2.8635182535271682</v>
      </c>
      <c r="U36" s="11">
        <f t="shared" si="16"/>
        <v>2.7199462127352749</v>
      </c>
      <c r="V36" s="11">
        <f t="shared" si="16"/>
        <v>2.0295042656576245</v>
      </c>
    </row>
    <row r="37" spans="8:25" x14ac:dyDescent="0.25">
      <c r="K37" s="11">
        <f>SUM(K24:K36)</f>
        <v>71.513791148846224</v>
      </c>
      <c r="L37" s="11">
        <f>SUM(L24:L36)</f>
        <v>79.533626391711294</v>
      </c>
      <c r="M37" s="41">
        <f>SUM(M24:M36)</f>
        <v>93.787340549250644</v>
      </c>
      <c r="N37" s="41">
        <f t="shared" ref="N37:U37" si="17">SUM(N24:N36)</f>
        <v>108.2106080949217</v>
      </c>
      <c r="O37" s="11">
        <f t="shared" si="17"/>
        <v>91.885790386007187</v>
      </c>
      <c r="P37" s="11">
        <f t="shared" si="17"/>
        <v>81.441134140065984</v>
      </c>
      <c r="Q37" s="11">
        <f t="shared" si="17"/>
        <v>70.512310664033123</v>
      </c>
      <c r="R37" s="11">
        <f t="shared" si="17"/>
        <v>81.339156863767442</v>
      </c>
      <c r="S37" s="11">
        <f t="shared" si="17"/>
        <v>106.77565230145582</v>
      </c>
      <c r="T37" s="11">
        <f t="shared" si="17"/>
        <v>124.36378359327463</v>
      </c>
      <c r="U37" s="11">
        <f t="shared" si="17"/>
        <v>118.12839040550833</v>
      </c>
      <c r="V37" s="11">
        <f>SUM(V24:V36)</f>
        <v>88.142210717525614</v>
      </c>
      <c r="W37" s="11">
        <f>SUM(K37:V37)/12</f>
        <v>92.96948293803068</v>
      </c>
      <c r="X37" s="3">
        <f>W37/W20-1</f>
        <v>0.10842721982015791</v>
      </c>
      <c r="Y37" s="11">
        <f>W37-W20</f>
        <v>9.094347723365928</v>
      </c>
    </row>
    <row r="38" spans="8:25" x14ac:dyDescent="0.25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8:25" x14ac:dyDescent="0.25">
      <c r="J39" s="12" t="s">
        <v>3</v>
      </c>
      <c r="K39" s="39">
        <v>493.43775365861472</v>
      </c>
      <c r="L39" s="40">
        <v>569.53252769105154</v>
      </c>
      <c r="M39" s="40">
        <v>711.03080351469112</v>
      </c>
      <c r="N39" s="40">
        <v>863.50946022279993</v>
      </c>
      <c r="O39" s="40">
        <v>690.92815939217587</v>
      </c>
      <c r="P39" s="40">
        <v>587.63157420267532</v>
      </c>
      <c r="Q39" s="40">
        <v>483.93538498370373</v>
      </c>
      <c r="R39" s="40">
        <v>586.66398103381505</v>
      </c>
      <c r="S39" s="40">
        <v>756.1500447743922</v>
      </c>
      <c r="T39" s="40">
        <v>867.09107818983591</v>
      </c>
      <c r="U39" s="40">
        <v>827.75995468814881</v>
      </c>
      <c r="V39" s="40">
        <v>633.3448621202715</v>
      </c>
    </row>
    <row r="40" spans="8:25" ht="16.5" thickBot="1" x14ac:dyDescent="0.3">
      <c r="H40" s="63" t="s">
        <v>138</v>
      </c>
      <c r="I40" s="63"/>
      <c r="J40" s="12" t="s">
        <v>136</v>
      </c>
      <c r="K40" s="37" t="s">
        <v>124</v>
      </c>
      <c r="L40" s="37" t="s">
        <v>125</v>
      </c>
      <c r="M40" s="37" t="s">
        <v>126</v>
      </c>
      <c r="N40" s="37" t="s">
        <v>127</v>
      </c>
      <c r="O40" s="37" t="s">
        <v>128</v>
      </c>
      <c r="P40" s="37" t="s">
        <v>129</v>
      </c>
      <c r="Q40" s="37" t="s">
        <v>130</v>
      </c>
      <c r="R40" s="37" t="s">
        <v>131</v>
      </c>
      <c r="S40" s="37" t="s">
        <v>132</v>
      </c>
      <c r="T40" s="37" t="s">
        <v>133</v>
      </c>
      <c r="U40" s="37" t="s">
        <v>134</v>
      </c>
      <c r="V40" s="37" t="s">
        <v>135</v>
      </c>
    </row>
    <row r="41" spans="8:25" x14ac:dyDescent="0.25">
      <c r="H41" s="32" t="s">
        <v>118</v>
      </c>
      <c r="I41" s="33">
        <v>17.95</v>
      </c>
      <c r="K41" s="11">
        <f>$I41</f>
        <v>17.95</v>
      </c>
      <c r="L41" s="11">
        <f t="shared" ref="L41:V41" si="18">$I41</f>
        <v>17.95</v>
      </c>
      <c r="M41" s="11">
        <f t="shared" si="18"/>
        <v>17.95</v>
      </c>
      <c r="N41" s="11">
        <f t="shared" si="18"/>
        <v>17.95</v>
      </c>
      <c r="O41" s="11">
        <f t="shared" si="18"/>
        <v>17.95</v>
      </c>
      <c r="P41" s="11">
        <f t="shared" si="18"/>
        <v>17.95</v>
      </c>
      <c r="Q41" s="11">
        <f t="shared" si="18"/>
        <v>17.95</v>
      </c>
      <c r="R41" s="11">
        <f t="shared" si="18"/>
        <v>17.95</v>
      </c>
      <c r="S41" s="11">
        <f t="shared" si="18"/>
        <v>17.95</v>
      </c>
      <c r="T41" s="11">
        <f t="shared" si="18"/>
        <v>17.95</v>
      </c>
      <c r="U41" s="11">
        <f t="shared" si="18"/>
        <v>17.95</v>
      </c>
      <c r="V41" s="11">
        <f t="shared" si="18"/>
        <v>17.95</v>
      </c>
    </row>
    <row r="42" spans="8:25" x14ac:dyDescent="0.25">
      <c r="H42" s="26" t="s">
        <v>119</v>
      </c>
      <c r="I42" s="27">
        <v>4.9754E-2</v>
      </c>
      <c r="K42" s="11">
        <f>K39*$I42</f>
        <v>24.550501995530716</v>
      </c>
      <c r="L42" s="11">
        <f>L39*$I42</f>
        <v>28.336521382740578</v>
      </c>
      <c r="M42" s="11">
        <f>650*$I42</f>
        <v>32.3401</v>
      </c>
      <c r="N42" s="11">
        <f>650*$I42</f>
        <v>32.3401</v>
      </c>
      <c r="O42" s="11">
        <f>650*$I42</f>
        <v>32.3401</v>
      </c>
      <c r="P42" s="11">
        <f>P39*$I42</f>
        <v>29.237021342879906</v>
      </c>
      <c r="Q42" s="11">
        <f>Q39*$I42</f>
        <v>24.077721144479195</v>
      </c>
      <c r="R42" s="11">
        <f>R39*$I42</f>
        <v>29.188879712356435</v>
      </c>
      <c r="S42" s="11">
        <v>0</v>
      </c>
      <c r="T42" s="11">
        <v>0</v>
      </c>
      <c r="U42" s="11">
        <v>0</v>
      </c>
      <c r="V42" s="11">
        <v>0</v>
      </c>
    </row>
    <row r="43" spans="8:25" x14ac:dyDescent="0.25">
      <c r="H43" s="26" t="s">
        <v>120</v>
      </c>
      <c r="I43" s="27">
        <v>4.2674999999999998E-2</v>
      </c>
      <c r="K43" s="11">
        <v>0</v>
      </c>
      <c r="L43" s="11">
        <v>0</v>
      </c>
      <c r="M43" s="11">
        <f>(M39-650)*$I43</f>
        <v>2.604489539989443</v>
      </c>
      <c r="N43" s="11">
        <f>(N39-650)*$I43</f>
        <v>9.1115162150079865</v>
      </c>
      <c r="O43" s="11">
        <f>(O39-650)*$I43</f>
        <v>1.7466092020611053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8:25" x14ac:dyDescent="0.25">
      <c r="H44" s="35" t="s">
        <v>121</v>
      </c>
      <c r="I44" s="27">
        <v>4.1890999999999998E-2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8:25" x14ac:dyDescent="0.25">
      <c r="H45" s="26" t="s">
        <v>122</v>
      </c>
      <c r="I45" s="27">
        <v>4.9754E-2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f>650*$I45</f>
        <v>32.3401</v>
      </c>
      <c r="T45" s="11">
        <f>650*$I45</f>
        <v>32.3401</v>
      </c>
      <c r="U45" s="11">
        <f>650*$I45</f>
        <v>32.3401</v>
      </c>
      <c r="V45" s="11">
        <f>V39*$I45</f>
        <v>31.511440269931988</v>
      </c>
    </row>
    <row r="46" spans="8:25" x14ac:dyDescent="0.25">
      <c r="H46" s="26" t="s">
        <v>123</v>
      </c>
      <c r="I46" s="27">
        <v>8.2639000000000004E-2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f>(S39-650)*$I46</f>
        <v>8.7721335501109969</v>
      </c>
      <c r="T46" s="11">
        <f>(T39-650)*$I46</f>
        <v>17.940189610529849</v>
      </c>
      <c r="U46" s="11">
        <f>(U39-650)*$I46</f>
        <v>14.68990489547393</v>
      </c>
      <c r="V46" s="11">
        <v>0</v>
      </c>
    </row>
    <row r="47" spans="8:25" x14ac:dyDescent="0.25">
      <c r="H47" s="35" t="s">
        <v>156</v>
      </c>
      <c r="I47" s="27">
        <v>8.5531999999999997E-2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64" t="s">
        <v>112</v>
      </c>
      <c r="I48" s="27">
        <v>3.1718000000000003E-2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S39*$I48</f>
        <v>23.983567120154174</v>
      </c>
      <c r="T48" s="11">
        <f>T39*$I48</f>
        <v>27.50239481802522</v>
      </c>
      <c r="U48" s="11">
        <f>U39*$I48</f>
        <v>26.254890242798705</v>
      </c>
      <c r="V48" s="11">
        <f>V39*$I48</f>
        <v>20.088432336730772</v>
      </c>
    </row>
    <row r="49" spans="8:25" x14ac:dyDescent="0.25">
      <c r="H49" s="64"/>
      <c r="I49" s="27">
        <v>2.8812999999999998E-2</v>
      </c>
      <c r="K49" s="11">
        <f t="shared" ref="K49:R49" si="19">K39*$I49</f>
        <v>14.217421996165665</v>
      </c>
      <c r="L49" s="11">
        <f t="shared" si="19"/>
        <v>16.409940720362268</v>
      </c>
      <c r="M49" s="11">
        <f t="shared" si="19"/>
        <v>20.486930541668794</v>
      </c>
      <c r="N49" s="11">
        <f t="shared" si="19"/>
        <v>24.880298077399534</v>
      </c>
      <c r="O49" s="11">
        <f t="shared" si="19"/>
        <v>19.907713056566763</v>
      </c>
      <c r="P49" s="11">
        <f t="shared" si="19"/>
        <v>16.931428547501682</v>
      </c>
      <c r="Q49" s="11">
        <f t="shared" si="19"/>
        <v>13.943630247535454</v>
      </c>
      <c r="R49" s="11">
        <f t="shared" si="19"/>
        <v>16.903549285527312</v>
      </c>
      <c r="S49" s="11">
        <v>0</v>
      </c>
      <c r="T49" s="11">
        <v>0</v>
      </c>
      <c r="U49" s="11">
        <v>0</v>
      </c>
      <c r="V49" s="11">
        <v>0</v>
      </c>
    </row>
    <row r="50" spans="8:25" x14ac:dyDescent="0.25">
      <c r="H50" s="28" t="s">
        <v>144</v>
      </c>
      <c r="I50" s="29">
        <v>1.9511000000000001E-2</v>
      </c>
      <c r="K50" s="11">
        <f t="shared" ref="K50:V50" si="20">SUM(K41:K47)*$I50</f>
        <v>0.8292272944347997</v>
      </c>
      <c r="L50" s="11">
        <f t="shared" si="20"/>
        <v>0.90309631869865137</v>
      </c>
      <c r="M50" s="11">
        <f t="shared" si="20"/>
        <v>1.032026336514734</v>
      </c>
      <c r="N50" s="11">
        <f t="shared" si="20"/>
        <v>1.1589849339710208</v>
      </c>
      <c r="O50" s="11">
        <f t="shared" si="20"/>
        <v>1.0152882332414142</v>
      </c>
      <c r="P50" s="11">
        <f t="shared" si="20"/>
        <v>0.92066597342092982</v>
      </c>
      <c r="Q50" s="11">
        <f t="shared" si="20"/>
        <v>0.82000286724993354</v>
      </c>
      <c r="R50" s="11">
        <f t="shared" si="20"/>
        <v>0.91972668206778641</v>
      </c>
      <c r="S50" s="11">
        <f t="shared" si="20"/>
        <v>1.1523632387962155</v>
      </c>
      <c r="T50" s="11">
        <f t="shared" si="20"/>
        <v>1.3312411805910478</v>
      </c>
      <c r="U50" s="11">
        <f t="shared" si="20"/>
        <v>1.2678248755155919</v>
      </c>
      <c r="V50" s="11">
        <f t="shared" si="20"/>
        <v>0.96504216110664298</v>
      </c>
    </row>
    <row r="51" spans="8:25" x14ac:dyDescent="0.25">
      <c r="H51" s="30" t="s">
        <v>145</v>
      </c>
      <c r="I51" s="31">
        <v>0.16881399999999999</v>
      </c>
      <c r="K51" s="11">
        <f t="shared" ref="K51:V51" si="21">SUM(K41:K47)*$I51</f>
        <v>7.1746797438735213</v>
      </c>
      <c r="L51" s="11">
        <f t="shared" si="21"/>
        <v>7.8138128207059667</v>
      </c>
      <c r="M51" s="11">
        <f t="shared" si="21"/>
        <v>8.9293472386037767</v>
      </c>
      <c r="N51" s="11">
        <f t="shared" si="21"/>
        <v>10.027824439720357</v>
      </c>
      <c r="O51" s="11">
        <f t="shared" si="21"/>
        <v>8.784525027236743</v>
      </c>
      <c r="P51" s="11">
        <f t="shared" si="21"/>
        <v>7.9658298209769276</v>
      </c>
      <c r="Q51" s="11">
        <f t="shared" si="21"/>
        <v>7.0948677172841101</v>
      </c>
      <c r="R51" s="11">
        <f t="shared" si="21"/>
        <v>7.9577028397617386</v>
      </c>
      <c r="S51" s="11">
        <f t="shared" si="21"/>
        <v>9.9705318945284365</v>
      </c>
      <c r="T51" s="11">
        <f t="shared" si="21"/>
        <v>11.518228110311984</v>
      </c>
      <c r="U51" s="11">
        <f t="shared" si="21"/>
        <v>10.969534546424535</v>
      </c>
      <c r="V51" s="11">
        <f t="shared" si="21"/>
        <v>8.3497835777282976</v>
      </c>
    </row>
    <row r="52" spans="8:25" x14ac:dyDescent="0.25">
      <c r="H52" s="30" t="s">
        <v>115</v>
      </c>
      <c r="I52" s="34">
        <v>0.10766199999999999</v>
      </c>
      <c r="K52" s="11">
        <f t="shared" ref="K52:V52" si="22">SUM(K41:K47)*$I52</f>
        <v>4.575689045842827</v>
      </c>
      <c r="L52" s="11">
        <f t="shared" si="22"/>
        <v>4.9832994651086153</v>
      </c>
      <c r="M52" s="11">
        <f t="shared" si="22"/>
        <v>5.694737299054343</v>
      </c>
      <c r="N52" s="11">
        <f t="shared" si="22"/>
        <v>6.3952968049401893</v>
      </c>
      <c r="O52" s="11">
        <f t="shared" si="22"/>
        <v>5.602376186112302</v>
      </c>
      <c r="P52" s="11">
        <f t="shared" si="22"/>
        <v>5.0802490918171355</v>
      </c>
      <c r="Q52" s="11">
        <f t="shared" si="22"/>
        <v>4.5247885138569188</v>
      </c>
      <c r="R52" s="11">
        <f t="shared" si="22"/>
        <v>5.0750660675917185</v>
      </c>
      <c r="S52" s="11">
        <f t="shared" si="22"/>
        <v>6.3587581884720485</v>
      </c>
      <c r="T52" s="11">
        <f t="shared" si="22"/>
        <v>7.3458094400488632</v>
      </c>
      <c r="U52" s="11">
        <f t="shared" si="22"/>
        <v>6.9958772870565129</v>
      </c>
      <c r="V52" s="11">
        <f t="shared" si="22"/>
        <v>5.3251175823414165</v>
      </c>
    </row>
    <row r="53" spans="8:25" x14ac:dyDescent="0.25">
      <c r="H53" s="30" t="s">
        <v>116</v>
      </c>
      <c r="I53" s="31">
        <v>2.3567999999999999E-2</v>
      </c>
      <c r="K53" s="11">
        <f t="shared" ref="K53:V53" si="23">SUM(K41:K52)*$I53</f>
        <v>1.6332039531475744</v>
      </c>
      <c r="L53" s="11">
        <f t="shared" si="23"/>
        <v>1.8005167352370957</v>
      </c>
      <c r="M53" s="11">
        <f t="shared" si="23"/>
        <v>2.0984388863670271</v>
      </c>
      <c r="N53" s="11">
        <f t="shared" si="23"/>
        <v>2.4007312344614493</v>
      </c>
      <c r="O53" s="11">
        <f t="shared" si="23"/>
        <v>2.0585849446685853</v>
      </c>
      <c r="P53" s="11">
        <f t="shared" si="23"/>
        <v>1.8403118704948278</v>
      </c>
      <c r="Q53" s="11">
        <f t="shared" si="23"/>
        <v>1.6123106952378792</v>
      </c>
      <c r="R53" s="11">
        <f t="shared" si="23"/>
        <v>1.838184382673604</v>
      </c>
      <c r="S53" s="11">
        <f t="shared" si="23"/>
        <v>2.3692310356849138</v>
      </c>
      <c r="T53" s="11">
        <f t="shared" si="23"/>
        <v>2.7321902357432597</v>
      </c>
      <c r="U53" s="11">
        <f t="shared" si="23"/>
        <v>2.603512931376442</v>
      </c>
      <c r="V53" s="11">
        <f t="shared" si="23"/>
        <v>1.9841855817873122</v>
      </c>
    </row>
    <row r="54" spans="8:25" x14ac:dyDescent="0.25">
      <c r="K54" s="11">
        <f>SUM(K41:K53)</f>
        <v>70.930724028995101</v>
      </c>
      <c r="L54" s="11">
        <f>SUM(L41:L53)</f>
        <v>78.197187442853178</v>
      </c>
      <c r="M54" s="41">
        <f>SUM(M41:M53)</f>
        <v>91.136069842198111</v>
      </c>
      <c r="N54" s="41">
        <f t="shared" ref="N54:U54" si="24">SUM(N41:N53)</f>
        <v>104.26475170550054</v>
      </c>
      <c r="O54" s="11">
        <f t="shared" si="24"/>
        <v>89.405196649886904</v>
      </c>
      <c r="P54" s="11">
        <f t="shared" si="24"/>
        <v>79.925506647091396</v>
      </c>
      <c r="Q54" s="11">
        <f t="shared" si="24"/>
        <v>70.023321185643482</v>
      </c>
      <c r="R54" s="11">
        <f t="shared" si="24"/>
        <v>79.833108969978596</v>
      </c>
      <c r="S54" s="11">
        <f t="shared" si="24"/>
        <v>102.89668502774678</v>
      </c>
      <c r="T54" s="11">
        <f t="shared" si="24"/>
        <v>118.66015339525022</v>
      </c>
      <c r="U54" s="11">
        <f t="shared" si="24"/>
        <v>113.07164477864572</v>
      </c>
      <c r="V54" s="11">
        <f>SUM(V41:V53)</f>
        <v>86.174001509626436</v>
      </c>
      <c r="W54" s="11">
        <f>SUM(K54:V54)/12</f>
        <v>90.376529265284702</v>
      </c>
      <c r="X54" s="3">
        <f>W54/W20-1</f>
        <v>7.7512769833165684E-2</v>
      </c>
      <c r="Y54" s="11">
        <f>W54-W20</f>
        <v>6.5013940506199503</v>
      </c>
    </row>
    <row r="55" spans="8:25" x14ac:dyDescent="0.25">
      <c r="K55" s="11"/>
      <c r="L55" s="11"/>
      <c r="M55" s="41"/>
      <c r="N55" s="41"/>
      <c r="O55" s="11"/>
      <c r="P55" s="11"/>
      <c r="Q55" s="11"/>
      <c r="R55" s="11"/>
      <c r="S55" s="11"/>
      <c r="T55" s="11"/>
      <c r="U55" s="11"/>
      <c r="V55" s="11"/>
      <c r="W55" s="11"/>
      <c r="X55" s="3"/>
      <c r="Y55" s="11"/>
    </row>
    <row r="56" spans="8:25" x14ac:dyDescent="0.25">
      <c r="K56" s="11"/>
      <c r="L56" s="11"/>
      <c r="M56" s="41"/>
      <c r="N56" s="41"/>
      <c r="O56" s="11"/>
      <c r="P56" s="11"/>
      <c r="Q56" s="11"/>
      <c r="R56" s="11"/>
      <c r="S56" s="11"/>
      <c r="T56" s="11"/>
      <c r="U56" s="11"/>
      <c r="V56" s="11"/>
      <c r="W56" s="11"/>
      <c r="X56" s="3"/>
      <c r="Y56" s="11"/>
    </row>
    <row r="57" spans="8:25" x14ac:dyDescent="0.25">
      <c r="J57" s="12" t="s">
        <v>3</v>
      </c>
      <c r="K57" s="39">
        <v>493.43775365861472</v>
      </c>
      <c r="L57" s="40">
        <v>569.53252769105154</v>
      </c>
      <c r="M57" s="40">
        <v>711.03080351469112</v>
      </c>
      <c r="N57" s="40">
        <v>863.50946022279993</v>
      </c>
      <c r="O57" s="40">
        <v>690.92815939217587</v>
      </c>
      <c r="P57" s="40">
        <v>587.63157420267532</v>
      </c>
      <c r="Q57" s="40">
        <v>483.93538498370373</v>
      </c>
      <c r="R57" s="40">
        <v>586.66398103381505</v>
      </c>
      <c r="S57" s="40">
        <v>756.1500447743922</v>
      </c>
      <c r="T57" s="40">
        <v>867.09107818983591</v>
      </c>
      <c r="U57" s="40">
        <v>827.75995468814881</v>
      </c>
      <c r="V57" s="40">
        <v>633.3448621202715</v>
      </c>
    </row>
    <row r="58" spans="8:25" ht="16.5" thickBot="1" x14ac:dyDescent="0.3">
      <c r="H58" s="63" t="s">
        <v>154</v>
      </c>
      <c r="I58" s="63"/>
      <c r="J58" s="12" t="s">
        <v>136</v>
      </c>
      <c r="K58" s="37" t="s">
        <v>124</v>
      </c>
      <c r="L58" s="37" t="s">
        <v>125</v>
      </c>
      <c r="M58" s="37" t="s">
        <v>126</v>
      </c>
      <c r="N58" s="37" t="s">
        <v>127</v>
      </c>
      <c r="O58" s="37" t="s">
        <v>128</v>
      </c>
      <c r="P58" s="37" t="s">
        <v>129</v>
      </c>
      <c r="Q58" s="37" t="s">
        <v>130</v>
      </c>
      <c r="R58" s="37" t="s">
        <v>131</v>
      </c>
      <c r="S58" s="37" t="s">
        <v>132</v>
      </c>
      <c r="T58" s="37" t="s">
        <v>133</v>
      </c>
      <c r="U58" s="37" t="s">
        <v>134</v>
      </c>
      <c r="V58" s="37" t="s">
        <v>135</v>
      </c>
    </row>
    <row r="59" spans="8:25" x14ac:dyDescent="0.25">
      <c r="H59" s="32" t="s">
        <v>118</v>
      </c>
      <c r="I59" s="33">
        <v>10</v>
      </c>
      <c r="K59" s="11">
        <f>$I59</f>
        <v>10</v>
      </c>
      <c r="L59" s="11">
        <f t="shared" ref="L59:V59" si="25">$I59</f>
        <v>10</v>
      </c>
      <c r="M59" s="11">
        <f t="shared" si="25"/>
        <v>10</v>
      </c>
      <c r="N59" s="11">
        <f t="shared" si="25"/>
        <v>10</v>
      </c>
      <c r="O59" s="11">
        <f t="shared" si="25"/>
        <v>10</v>
      </c>
      <c r="P59" s="11">
        <f t="shared" si="25"/>
        <v>10</v>
      </c>
      <c r="Q59" s="11">
        <f t="shared" si="25"/>
        <v>10</v>
      </c>
      <c r="R59" s="11">
        <f t="shared" si="25"/>
        <v>10</v>
      </c>
      <c r="S59" s="11">
        <f t="shared" si="25"/>
        <v>10</v>
      </c>
      <c r="T59" s="11">
        <f t="shared" si="25"/>
        <v>10</v>
      </c>
      <c r="U59" s="11">
        <f t="shared" si="25"/>
        <v>10</v>
      </c>
      <c r="V59" s="11">
        <f t="shared" si="25"/>
        <v>10</v>
      </c>
    </row>
    <row r="60" spans="8:25" x14ac:dyDescent="0.25">
      <c r="H60" s="26" t="s">
        <v>119</v>
      </c>
      <c r="I60" s="27">
        <v>5.755255297651591E-2</v>
      </c>
      <c r="K60" s="11">
        <f>K57*$I60</f>
        <v>28.39860245805043</v>
      </c>
      <c r="L60" s="11">
        <f>L57*$I60</f>
        <v>32.778050971788261</v>
      </c>
      <c r="M60" s="11">
        <f>650*$I60</f>
        <v>37.409159434735344</v>
      </c>
      <c r="N60" s="11">
        <f>650*$I60</f>
        <v>37.409159434735344</v>
      </c>
      <c r="O60" s="11">
        <f>650*$I60</f>
        <v>37.409159434735344</v>
      </c>
      <c r="P60" s="11">
        <f>P57*$I60</f>
        <v>33.819697304972912</v>
      </c>
      <c r="Q60" s="11">
        <f>Q57*$I60</f>
        <v>27.851716881485231</v>
      </c>
      <c r="R60" s="11">
        <f>R57*$I60</f>
        <v>33.764009847862368</v>
      </c>
      <c r="S60" s="11">
        <v>0</v>
      </c>
      <c r="T60" s="11">
        <v>0</v>
      </c>
      <c r="U60" s="11">
        <v>0</v>
      </c>
      <c r="V60" s="11">
        <v>0</v>
      </c>
    </row>
    <row r="61" spans="8:25" x14ac:dyDescent="0.25">
      <c r="H61" s="26" t="s">
        <v>120</v>
      </c>
      <c r="I61" s="27">
        <v>5.0473552976515908E-2</v>
      </c>
      <c r="K61" s="11">
        <v>0</v>
      </c>
      <c r="L61" s="11">
        <v>0</v>
      </c>
      <c r="M61" s="11">
        <f>(M57-650)*$I61</f>
        <v>3.0804414943980953</v>
      </c>
      <c r="N61" s="11">
        <f>(N57-650)*$I61</f>
        <v>10.776581051542808</v>
      </c>
      <c r="O61" s="11">
        <f>(O57-650)*$I61</f>
        <v>2.0657896213122759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</row>
    <row r="62" spans="8:25" x14ac:dyDescent="0.25">
      <c r="H62" s="35" t="s">
        <v>121</v>
      </c>
      <c r="I62" s="27">
        <v>4.9689552976515908E-2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</row>
    <row r="63" spans="8:25" x14ac:dyDescent="0.25">
      <c r="H63" s="26" t="s">
        <v>122</v>
      </c>
      <c r="I63" s="27">
        <v>5.755255297651591E-2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f>650*$I63</f>
        <v>37.409159434735344</v>
      </c>
      <c r="T63" s="11">
        <f>650*$I63</f>
        <v>37.409159434735344</v>
      </c>
      <c r="U63" s="11">
        <f>650*$I63</f>
        <v>37.409159434735344</v>
      </c>
      <c r="V63" s="11">
        <f>V57*$I63</f>
        <v>36.450613729581093</v>
      </c>
    </row>
    <row r="64" spans="8:25" x14ac:dyDescent="0.25">
      <c r="H64" s="26" t="s">
        <v>123</v>
      </c>
      <c r="I64" s="27">
        <v>9.0437552976515914E-2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f>(S57-650)*$I64</f>
        <v>9.5999502977436304</v>
      </c>
      <c r="T64" s="11">
        <f>(T57-650)*$I64</f>
        <v>19.633185884522245</v>
      </c>
      <c r="U64" s="11">
        <f>(U57-650)*$I64</f>
        <v>16.076175319212528</v>
      </c>
      <c r="V64" s="11">
        <v>0</v>
      </c>
    </row>
    <row r="65" spans="8:25" x14ac:dyDescent="0.25">
      <c r="H65" s="35" t="s">
        <v>156</v>
      </c>
      <c r="I65" s="27">
        <v>9.3330552976515907E-2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64" t="s">
        <v>112</v>
      </c>
      <c r="I66" s="27">
        <v>3.1718000000000003E-2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f>S57*$I66</f>
        <v>23.983567120154174</v>
      </c>
      <c r="T66" s="11">
        <f>T57*$I66</f>
        <v>27.50239481802522</v>
      </c>
      <c r="U66" s="11">
        <f>U57*$I66</f>
        <v>26.254890242798705</v>
      </c>
      <c r="V66" s="11">
        <f>V57*$I66</f>
        <v>20.088432336730772</v>
      </c>
    </row>
    <row r="67" spans="8:25" x14ac:dyDescent="0.25">
      <c r="H67" s="64"/>
      <c r="I67" s="27">
        <v>2.8812999999999998E-2</v>
      </c>
      <c r="K67" s="11">
        <f t="shared" ref="K67:R67" si="26">K57*$I67</f>
        <v>14.217421996165665</v>
      </c>
      <c r="L67" s="11">
        <f t="shared" si="26"/>
        <v>16.409940720362268</v>
      </c>
      <c r="M67" s="11">
        <f t="shared" si="26"/>
        <v>20.486930541668794</v>
      </c>
      <c r="N67" s="11">
        <f t="shared" si="26"/>
        <v>24.880298077399534</v>
      </c>
      <c r="O67" s="11">
        <f t="shared" si="26"/>
        <v>19.907713056566763</v>
      </c>
      <c r="P67" s="11">
        <f t="shared" si="26"/>
        <v>16.931428547501682</v>
      </c>
      <c r="Q67" s="11">
        <f t="shared" si="26"/>
        <v>13.943630247535454</v>
      </c>
      <c r="R67" s="11">
        <f t="shared" si="26"/>
        <v>16.903549285527312</v>
      </c>
      <c r="S67" s="11">
        <v>0</v>
      </c>
      <c r="T67" s="11">
        <v>0</v>
      </c>
      <c r="U67" s="11">
        <v>0</v>
      </c>
      <c r="V67" s="11">
        <v>0</v>
      </c>
    </row>
    <row r="68" spans="8:25" x14ac:dyDescent="0.25">
      <c r="H68" s="28" t="s">
        <v>144</v>
      </c>
      <c r="I68" s="29">
        <v>1.9511000000000001E-2</v>
      </c>
      <c r="K68" s="11">
        <f t="shared" ref="K68:V68" si="27">SUM(K59:K65)*$I68</f>
        <v>0.74919513255902204</v>
      </c>
      <c r="L68" s="11">
        <f t="shared" si="27"/>
        <v>0.83464255251056074</v>
      </c>
      <c r="M68" s="11">
        <f t="shared" si="27"/>
        <v>0.98510260372832259</v>
      </c>
      <c r="N68" s="11">
        <f t="shared" si="27"/>
        <v>1.135261982627773</v>
      </c>
      <c r="O68" s="11">
        <f t="shared" si="27"/>
        <v>0.96530573103254513</v>
      </c>
      <c r="P68" s="11">
        <f t="shared" si="27"/>
        <v>0.85496611411732648</v>
      </c>
      <c r="Q68" s="11">
        <f t="shared" si="27"/>
        <v>0.73852484807465835</v>
      </c>
      <c r="R68" s="11">
        <f t="shared" si="27"/>
        <v>0.85387959614164266</v>
      </c>
      <c r="S68" s="11">
        <f t="shared" si="27"/>
        <v>1.1123047399903974</v>
      </c>
      <c r="T68" s="11">
        <f t="shared" si="27"/>
        <v>1.3080631995240348</v>
      </c>
      <c r="U68" s="11">
        <f t="shared" si="27"/>
        <v>1.2386623663842768</v>
      </c>
      <c r="V68" s="11">
        <f t="shared" si="27"/>
        <v>0.90629792447785673</v>
      </c>
    </row>
    <row r="69" spans="8:25" x14ac:dyDescent="0.25">
      <c r="H69" s="30" t="s">
        <v>145</v>
      </c>
      <c r="I69" s="31">
        <v>0.16881399999999999</v>
      </c>
      <c r="K69" s="11">
        <f t="shared" ref="K69:V69" si="28">SUM(K59:K65)*$I69</f>
        <v>6.4822216753533253</v>
      </c>
      <c r="L69" s="11">
        <f t="shared" si="28"/>
        <v>7.2215338967514633</v>
      </c>
      <c r="M69" s="11">
        <f t="shared" si="28"/>
        <v>8.5233514912507324</v>
      </c>
      <c r="N69" s="11">
        <f t="shared" si="28"/>
        <v>9.8225675944505593</v>
      </c>
      <c r="O69" s="11">
        <f t="shared" si="28"/>
        <v>8.3520640499476233</v>
      </c>
      <c r="P69" s="11">
        <f t="shared" si="28"/>
        <v>7.3973783808416966</v>
      </c>
      <c r="Q69" s="11">
        <f t="shared" si="28"/>
        <v>6.3898997336310472</v>
      </c>
      <c r="R69" s="11">
        <f t="shared" si="28"/>
        <v>7.3879775584570373</v>
      </c>
      <c r="S69" s="11">
        <f t="shared" si="28"/>
        <v>9.6239358503787056</v>
      </c>
      <c r="T69" s="11">
        <f t="shared" si="28"/>
        <v>11.317686482725151</v>
      </c>
      <c r="U69" s="11">
        <f t="shared" si="28"/>
        <v>10.717213301152954</v>
      </c>
      <c r="V69" s="11">
        <f t="shared" si="28"/>
        <v>7.8415139061455026</v>
      </c>
    </row>
    <row r="70" spans="8:25" x14ac:dyDescent="0.25">
      <c r="H70" s="30" t="s">
        <v>115</v>
      </c>
      <c r="I70" s="34">
        <v>0.10766199999999999</v>
      </c>
      <c r="K70" s="11">
        <f t="shared" ref="K70:V70" si="29">SUM(K59:K65)*$I70</f>
        <v>4.1340703378386259</v>
      </c>
      <c r="L70" s="11">
        <f t="shared" si="29"/>
        <v>4.6055705237246674</v>
      </c>
      <c r="M70" s="11">
        <f t="shared" si="29"/>
        <v>5.4358114152323642</v>
      </c>
      <c r="N70" s="11">
        <f t="shared" si="29"/>
        <v>6.264393192233678</v>
      </c>
      <c r="O70" s="11">
        <f t="shared" si="29"/>
        <v>5.3265719652721986</v>
      </c>
      <c r="P70" s="11">
        <f t="shared" si="29"/>
        <v>4.7177162512479933</v>
      </c>
      <c r="Q70" s="11">
        <f t="shared" si="29"/>
        <v>4.0751915428944629</v>
      </c>
      <c r="R70" s="11">
        <f t="shared" si="29"/>
        <v>4.7117208282405576</v>
      </c>
      <c r="S70" s="11">
        <f t="shared" si="29"/>
        <v>6.1377147720181515</v>
      </c>
      <c r="T70" s="11">
        <f t="shared" si="29"/>
        <v>7.2179129817619101</v>
      </c>
      <c r="U70" s="11">
        <f t="shared" si="29"/>
        <v>6.8349581102795351</v>
      </c>
      <c r="V70" s="11">
        <f t="shared" si="29"/>
        <v>5.0009659753541591</v>
      </c>
    </row>
    <row r="71" spans="8:25" x14ac:dyDescent="0.25">
      <c r="H71" s="30" t="s">
        <v>116</v>
      </c>
      <c r="I71" s="31">
        <v>2.3567999999999999E-2</v>
      </c>
      <c r="K71" s="11">
        <f t="shared" ref="K71:V71" si="30">SUM(K59:K70)*$I71</f>
        <v>1.507916265388024</v>
      </c>
      <c r="L71" s="11">
        <f t="shared" si="30"/>
        <v>1.693354640859954</v>
      </c>
      <c r="M71" s="11">
        <f t="shared" si="30"/>
        <v>2.0249813432485295</v>
      </c>
      <c r="N71" s="11">
        <f t="shared" si="30"/>
        <v>2.3635937430959011</v>
      </c>
      <c r="O71" s="11">
        <f t="shared" si="30"/>
        <v>1.9803389997457714</v>
      </c>
      <c r="P71" s="11">
        <f t="shared" si="30"/>
        <v>1.737460925757728</v>
      </c>
      <c r="Q71" s="11">
        <f t="shared" si="30"/>
        <v>1.4847595659613362</v>
      </c>
      <c r="R71" s="11">
        <f t="shared" si="30"/>
        <v>1.7351029595552832</v>
      </c>
      <c r="S71" s="11">
        <f t="shared" si="30"/>
        <v>2.3065207880436005</v>
      </c>
      <c r="T71" s="11">
        <f t="shared" si="30"/>
        <v>2.6959058772208948</v>
      </c>
      <c r="U71" s="11">
        <f t="shared" si="30"/>
        <v>2.5578599931989086</v>
      </c>
      <c r="V71" s="11">
        <f t="shared" si="30"/>
        <v>1.8922234330221164</v>
      </c>
    </row>
    <row r="72" spans="8:25" x14ac:dyDescent="0.25">
      <c r="K72" s="11">
        <f>SUM(K59:K71)</f>
        <v>65.489427865355097</v>
      </c>
      <c r="L72" s="11">
        <f>SUM(L59:L71)</f>
        <v>73.543093305997175</v>
      </c>
      <c r="M72" s="41">
        <f>SUM(M59:M71)</f>
        <v>87.945778324262179</v>
      </c>
      <c r="N72" s="41">
        <f t="shared" ref="N72" si="31">SUM(N59:N71)</f>
        <v>102.6518550760856</v>
      </c>
      <c r="O72" s="11">
        <f t="shared" ref="O72" si="32">SUM(O59:O71)</f>
        <v>86.006942858612518</v>
      </c>
      <c r="P72" s="11">
        <f t="shared" ref="P72" si="33">SUM(P59:P71)</f>
        <v>75.458647524439343</v>
      </c>
      <c r="Q72" s="11">
        <f t="shared" ref="Q72" si="34">SUM(Q59:Q71)</f>
        <v>64.483722819582198</v>
      </c>
      <c r="R72" s="11">
        <f t="shared" ref="R72" si="35">SUM(R59:R71)</f>
        <v>75.3562400757842</v>
      </c>
      <c r="S72" s="11">
        <f t="shared" ref="S72" si="36">SUM(S59:S71)</f>
        <v>100.173153003064</v>
      </c>
      <c r="T72" s="11">
        <f t="shared" ref="T72" si="37">SUM(T59:T71)</f>
        <v>117.0843086785148</v>
      </c>
      <c r="U72" s="11">
        <f t="shared" ref="U72" si="38">SUM(U59:U71)</f>
        <v>111.08891876776224</v>
      </c>
      <c r="V72" s="11">
        <f>SUM(V59:V71)</f>
        <v>82.180047305311504</v>
      </c>
      <c r="W72" s="11">
        <f>SUM(K72:V72)/12</f>
        <v>86.788511300397587</v>
      </c>
      <c r="X72" s="3">
        <f>W72/W20-1</f>
        <v>3.4734681241067822E-2</v>
      </c>
      <c r="Y72" s="11">
        <f>W72-W20</f>
        <v>2.9133760857328355</v>
      </c>
    </row>
    <row r="73" spans="8:25" x14ac:dyDescent="0.25">
      <c r="K73" s="11"/>
      <c r="L73" s="11"/>
      <c r="M73" s="41"/>
      <c r="N73" s="41"/>
      <c r="O73" s="11"/>
      <c r="P73" s="11"/>
      <c r="Q73" s="11"/>
      <c r="R73" s="11"/>
      <c r="S73" s="11"/>
      <c r="T73" s="11"/>
      <c r="U73" s="11"/>
      <c r="V73" s="11"/>
      <c r="W73" s="11"/>
      <c r="X73" s="3"/>
      <c r="Y73" s="11"/>
    </row>
    <row r="74" spans="8:25" x14ac:dyDescent="0.25">
      <c r="H74" s="54" t="s">
        <v>163</v>
      </c>
      <c r="I74" s="11">
        <f>(I34-I17)*10</f>
        <v>0.25895000000000001</v>
      </c>
      <c r="K74" s="11"/>
      <c r="L74" s="11"/>
      <c r="M74" s="41"/>
      <c r="N74" s="41"/>
      <c r="O74" s="11"/>
      <c r="P74" s="11"/>
      <c r="Q74" s="11"/>
      <c r="R74" s="11"/>
      <c r="S74" s="11"/>
      <c r="T74" s="11"/>
      <c r="U74" s="11"/>
      <c r="V74" s="11"/>
      <c r="W74" s="11"/>
      <c r="X74" s="3"/>
      <c r="Y74" s="11"/>
    </row>
    <row r="75" spans="8:25" x14ac:dyDescent="0.25">
      <c r="H75" s="54" t="s">
        <v>164</v>
      </c>
      <c r="I75" s="11">
        <f>(I69-I17)*10</f>
        <v>0.41134000000000004</v>
      </c>
      <c r="K75" s="11"/>
      <c r="L75" s="11"/>
      <c r="M75" s="41"/>
      <c r="N75" s="41"/>
      <c r="O75" s="11"/>
      <c r="P75" s="11"/>
      <c r="Q75" s="11"/>
      <c r="R75" s="11"/>
      <c r="S75" s="11"/>
      <c r="T75" s="11"/>
      <c r="U75" s="11"/>
      <c r="V75" s="11"/>
      <c r="W75" s="11"/>
      <c r="X75" s="3"/>
      <c r="Y75" s="11"/>
    </row>
    <row r="76" spans="8:25" x14ac:dyDescent="0.25">
      <c r="K76" s="11"/>
      <c r="L76" s="11"/>
      <c r="M76" s="41"/>
      <c r="N76" s="41"/>
      <c r="O76" s="11"/>
      <c r="P76" s="11"/>
      <c r="Q76" s="11"/>
      <c r="R76" s="11"/>
      <c r="S76" s="11"/>
      <c r="T76" s="11"/>
      <c r="U76" s="11"/>
      <c r="V76" s="11"/>
      <c r="W76" s="11"/>
      <c r="X76" s="3"/>
      <c r="Y76" s="11"/>
    </row>
    <row r="78" spans="8:25" x14ac:dyDescent="0.25">
      <c r="H78" s="54" t="s">
        <v>165</v>
      </c>
      <c r="I78" s="55">
        <f>SUM(I50:I53)</f>
        <v>0.31955499999999998</v>
      </c>
    </row>
    <row r="79" spans="8:25" x14ac:dyDescent="0.25">
      <c r="H79" s="54" t="s">
        <v>149</v>
      </c>
      <c r="I79" s="11">
        <f>(1+I78)*17.95</f>
        <v>23.686012250000001</v>
      </c>
    </row>
    <row r="81" spans="8:9" x14ac:dyDescent="0.25">
      <c r="H81" t="s">
        <v>150</v>
      </c>
      <c r="I81" s="55">
        <f>SUM(I16:I19)</f>
        <v>0.275113</v>
      </c>
    </row>
    <row r="82" spans="8:9" x14ac:dyDescent="0.25">
      <c r="H82" t="s">
        <v>149</v>
      </c>
      <c r="I82" s="11">
        <f>10*(1+I81)</f>
        <v>12.75113</v>
      </c>
    </row>
    <row r="84" spans="8:9" x14ac:dyDescent="0.25">
      <c r="I84" s="11">
        <f>I79-I82</f>
        <v>10.934882250000001</v>
      </c>
    </row>
  </sheetData>
  <mergeCells count="8">
    <mergeCell ref="H58:I58"/>
    <mergeCell ref="H66:H67"/>
    <mergeCell ref="H6:I6"/>
    <mergeCell ref="H14:H15"/>
    <mergeCell ref="H23:I23"/>
    <mergeCell ref="H31:H32"/>
    <mergeCell ref="H40:I40"/>
    <mergeCell ref="H48:H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Y71"/>
  <sheetViews>
    <sheetView topLeftCell="G1" workbookViewId="0">
      <selection activeCell="J8" sqref="J8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8.5" customWidth="1"/>
  </cols>
  <sheetData>
    <row r="1" spans="1:23" x14ac:dyDescent="0.25">
      <c r="J1" s="12" t="s">
        <v>157</v>
      </c>
      <c r="K1" t="s">
        <v>158</v>
      </c>
    </row>
    <row r="2" spans="1:23" x14ac:dyDescent="0.25">
      <c r="A2" t="s">
        <v>1</v>
      </c>
      <c r="B2" t="s">
        <v>2</v>
      </c>
      <c r="J2" s="12" t="s">
        <v>139</v>
      </c>
      <c r="K2" s="39">
        <v>493.43775365861472</v>
      </c>
      <c r="L2" s="40">
        <v>569.53252769105154</v>
      </c>
      <c r="M2" s="40">
        <v>711.03080351469112</v>
      </c>
      <c r="N2" s="40">
        <v>863.50946022279993</v>
      </c>
      <c r="O2" s="40">
        <v>690.92815939217587</v>
      </c>
      <c r="P2" s="40">
        <v>587.63157420267532</v>
      </c>
      <c r="Q2" s="40">
        <v>483.93538498370373</v>
      </c>
      <c r="R2" s="40">
        <v>586.66398103381505</v>
      </c>
      <c r="S2" s="40">
        <v>756.1500447743922</v>
      </c>
      <c r="T2" s="40">
        <v>867.09107818983591</v>
      </c>
      <c r="U2" s="40">
        <v>827.75995468814881</v>
      </c>
      <c r="V2" s="40">
        <v>633.3448621202715</v>
      </c>
      <c r="W2" s="40">
        <f>SUM(K2:V2)</f>
        <v>8071.0155844721758</v>
      </c>
    </row>
    <row r="3" spans="1:23" x14ac:dyDescent="0.25">
      <c r="A3" t="s">
        <v>3</v>
      </c>
      <c r="B3" t="s">
        <v>4</v>
      </c>
      <c r="J3" s="12" t="s">
        <v>160</v>
      </c>
      <c r="K3" s="39">
        <f>K2*($W3/$W2)</f>
        <v>366.82205491557181</v>
      </c>
      <c r="L3" s="39">
        <f t="shared" ref="L3:V3" si="0">L2*($W3/$W2)</f>
        <v>423.39097606510018</v>
      </c>
      <c r="M3" s="39">
        <f t="shared" si="0"/>
        <v>528.58091728826025</v>
      </c>
      <c r="N3" s="39">
        <f t="shared" si="0"/>
        <v>641.93368320396178</v>
      </c>
      <c r="O3" s="39">
        <f t="shared" si="0"/>
        <v>513.63659417641497</v>
      </c>
      <c r="P3" s="39">
        <f t="shared" si="0"/>
        <v>436.84582297168612</v>
      </c>
      <c r="Q3" s="39">
        <f t="shared" si="0"/>
        <v>359.7579857841535</v>
      </c>
      <c r="R3" s="39">
        <f t="shared" si="0"/>
        <v>436.12651336902212</v>
      </c>
      <c r="S3" s="39">
        <f t="shared" si="0"/>
        <v>562.12260045376377</v>
      </c>
      <c r="T3" s="39">
        <f t="shared" si="0"/>
        <v>644.59626111343323</v>
      </c>
      <c r="U3" s="39">
        <f t="shared" si="0"/>
        <v>615.35746971967887</v>
      </c>
      <c r="V3" s="39">
        <f t="shared" si="0"/>
        <v>470.82912093895357</v>
      </c>
      <c r="W3">
        <v>6000</v>
      </c>
    </row>
    <row r="4" spans="1:23" x14ac:dyDescent="0.25">
      <c r="A4" t="s">
        <v>5</v>
      </c>
      <c r="B4" t="s">
        <v>1</v>
      </c>
      <c r="C4" t="s">
        <v>2</v>
      </c>
    </row>
    <row r="5" spans="1:23" x14ac:dyDescent="0.25">
      <c r="A5" t="s">
        <v>0</v>
      </c>
      <c r="J5" s="12" t="s">
        <v>3</v>
      </c>
      <c r="K5" s="39">
        <v>366.82205491557181</v>
      </c>
      <c r="L5" s="40">
        <v>423.39097606510018</v>
      </c>
      <c r="M5" s="40">
        <v>528.58091728826025</v>
      </c>
      <c r="N5" s="40">
        <v>641.93368320396178</v>
      </c>
      <c r="O5" s="40">
        <v>513.63659417641497</v>
      </c>
      <c r="P5" s="40">
        <v>436.84582297168612</v>
      </c>
      <c r="Q5" s="40">
        <v>359.7579857841535</v>
      </c>
      <c r="R5" s="40">
        <v>436.12651336902212</v>
      </c>
      <c r="S5" s="40">
        <v>562.12260045376377</v>
      </c>
      <c r="T5" s="40">
        <v>644.59626111343323</v>
      </c>
      <c r="U5" s="40">
        <v>615.35746971967887</v>
      </c>
      <c r="V5" s="40">
        <v>470.82912093895357</v>
      </c>
      <c r="W5" s="40">
        <f>SUM(K5:V5)</f>
        <v>5999.9999999999991</v>
      </c>
    </row>
    <row r="6" spans="1:23" ht="16.5" thickBot="1" x14ac:dyDescent="0.3">
      <c r="A6" t="s">
        <v>6</v>
      </c>
      <c r="B6" t="s">
        <v>7</v>
      </c>
      <c r="C6" t="s">
        <v>8</v>
      </c>
      <c r="H6" s="63" t="s">
        <v>117</v>
      </c>
      <c r="I6" s="63"/>
      <c r="J6" s="12" t="s">
        <v>136</v>
      </c>
      <c r="K6" s="37" t="s">
        <v>124</v>
      </c>
      <c r="L6" s="37" t="s">
        <v>125</v>
      </c>
      <c r="M6" s="37" t="s">
        <v>126</v>
      </c>
      <c r="N6" s="37" t="s">
        <v>127</v>
      </c>
      <c r="O6" s="37" t="s">
        <v>128</v>
      </c>
      <c r="P6" s="37" t="s">
        <v>129</v>
      </c>
      <c r="Q6" s="37" t="s">
        <v>130</v>
      </c>
      <c r="R6" s="37" t="s">
        <v>131</v>
      </c>
      <c r="S6" s="37" t="s">
        <v>132</v>
      </c>
      <c r="T6" s="37" t="s">
        <v>133</v>
      </c>
      <c r="U6" s="37" t="s">
        <v>134</v>
      </c>
      <c r="V6" s="37" t="s">
        <v>135</v>
      </c>
    </row>
    <row r="7" spans="1:23" x14ac:dyDescent="0.25">
      <c r="A7" t="s">
        <v>9</v>
      </c>
      <c r="B7" t="s">
        <v>1</v>
      </c>
      <c r="H7" s="32" t="s">
        <v>118</v>
      </c>
      <c r="I7" s="33">
        <v>10</v>
      </c>
      <c r="K7" s="11">
        <f>$I7</f>
        <v>10</v>
      </c>
      <c r="L7" s="11">
        <f t="shared" ref="L7:V7" si="1">$I7</f>
        <v>10</v>
      </c>
      <c r="M7" s="11">
        <f t="shared" si="1"/>
        <v>10</v>
      </c>
      <c r="N7" s="11">
        <f t="shared" si="1"/>
        <v>10</v>
      </c>
      <c r="O7" s="11">
        <f t="shared" si="1"/>
        <v>10</v>
      </c>
      <c r="P7" s="11">
        <f t="shared" si="1"/>
        <v>10</v>
      </c>
      <c r="Q7" s="11">
        <f t="shared" si="1"/>
        <v>10</v>
      </c>
      <c r="R7" s="11">
        <f t="shared" si="1"/>
        <v>10</v>
      </c>
      <c r="S7" s="11">
        <f t="shared" si="1"/>
        <v>10</v>
      </c>
      <c r="T7" s="11">
        <f t="shared" si="1"/>
        <v>10</v>
      </c>
      <c r="U7" s="11">
        <f t="shared" si="1"/>
        <v>10</v>
      </c>
      <c r="V7" s="11">
        <f t="shared" si="1"/>
        <v>10</v>
      </c>
    </row>
    <row r="8" spans="1:23" x14ac:dyDescent="0.25">
      <c r="A8" t="s">
        <v>2</v>
      </c>
      <c r="B8" t="s">
        <v>0</v>
      </c>
      <c r="H8" s="26" t="s">
        <v>119</v>
      </c>
      <c r="I8" s="27">
        <v>5.6582E-2</v>
      </c>
      <c r="K8" s="11">
        <f>K5*$I8</f>
        <v>20.755525511232886</v>
      </c>
      <c r="L8" s="11">
        <f t="shared" ref="L8:Q8" si="2">L5*$I8</f>
        <v>23.956308207715498</v>
      </c>
      <c r="M8" s="11">
        <f t="shared" si="2"/>
        <v>29.908165462004341</v>
      </c>
      <c r="N8" s="11">
        <f t="shared" si="2"/>
        <v>36.321891663046564</v>
      </c>
      <c r="O8" s="11">
        <f t="shared" si="2"/>
        <v>29.062585771689911</v>
      </c>
      <c r="P8" s="11">
        <f t="shared" si="2"/>
        <v>24.717610355383943</v>
      </c>
      <c r="Q8" s="11">
        <f t="shared" si="2"/>
        <v>20.355826351638974</v>
      </c>
      <c r="R8" s="11">
        <f>R5*$I8</f>
        <v>24.67691037944601</v>
      </c>
      <c r="S8" s="11">
        <v>0</v>
      </c>
      <c r="T8" s="11">
        <v>0</v>
      </c>
      <c r="U8" s="11">
        <v>0</v>
      </c>
      <c r="V8" s="11">
        <v>0</v>
      </c>
    </row>
    <row r="9" spans="1:23" x14ac:dyDescent="0.25">
      <c r="A9" t="s">
        <v>1</v>
      </c>
      <c r="B9" t="s">
        <v>2</v>
      </c>
      <c r="H9" s="26" t="s">
        <v>120</v>
      </c>
      <c r="I9" s="27">
        <v>4.8533E-2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0</v>
      </c>
      <c r="B10" t="s">
        <v>10</v>
      </c>
      <c r="H10" s="35" t="s">
        <v>121</v>
      </c>
      <c r="I10" s="27">
        <v>4.7641000000000003E-2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H11" s="26" t="s">
        <v>122</v>
      </c>
      <c r="I11" s="27">
        <v>5.6582E-2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>S5*$I11</f>
        <v>31.806020978874862</v>
      </c>
      <c r="T11" s="11">
        <f t="shared" ref="T11:V11" si="3">T5*$I11</f>
        <v>36.472545646320278</v>
      </c>
      <c r="U11" s="11">
        <f t="shared" si="3"/>
        <v>34.818156351678873</v>
      </c>
      <c r="V11" s="11">
        <f t="shared" si="3"/>
        <v>26.640453320967872</v>
      </c>
    </row>
    <row r="12" spans="1:23" x14ac:dyDescent="0.25">
      <c r="A12" s="21" t="s">
        <v>109</v>
      </c>
      <c r="B12" s="21" t="s">
        <v>110</v>
      </c>
      <c r="C12" s="22"/>
      <c r="D12" s="22"/>
      <c r="E12" s="22"/>
      <c r="F12" s="21" t="s">
        <v>111</v>
      </c>
      <c r="H12" s="26" t="s">
        <v>123</v>
      </c>
      <c r="I12" s="27">
        <v>9.3982999999999997E-2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3" x14ac:dyDescent="0.25">
      <c r="A13" s="22" t="s">
        <v>11</v>
      </c>
      <c r="B13" s="22">
        <v>673</v>
      </c>
      <c r="C13" s="23">
        <v>83.88</v>
      </c>
      <c r="D13" s="23">
        <v>92.33</v>
      </c>
      <c r="E13" s="23">
        <v>8.4499999999999993</v>
      </c>
      <c r="F13" s="24">
        <f>D13/C13-1</f>
        <v>0.10073915116833576</v>
      </c>
      <c r="H13" s="35" t="s">
        <v>156</v>
      </c>
      <c r="I13" s="27">
        <v>9.7272999999999998E-2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3" x14ac:dyDescent="0.25">
      <c r="A14" s="22" t="s">
        <v>12</v>
      </c>
      <c r="B14" s="25">
        <v>1000</v>
      </c>
      <c r="C14" s="23">
        <v>123.31</v>
      </c>
      <c r="D14" s="23">
        <v>133.09</v>
      </c>
      <c r="E14" s="23">
        <v>9.7799999999999994</v>
      </c>
      <c r="F14" s="24">
        <f t="shared" ref="F14:F15" si="4">D14/C14-1</f>
        <v>7.9312302327467332E-2</v>
      </c>
      <c r="H14" s="64" t="s">
        <v>112</v>
      </c>
      <c r="I14" s="27">
        <v>3.1718000000000003E-2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S5*$I14</f>
        <v>17.829404641192482</v>
      </c>
      <c r="T14" s="11">
        <f>T5*$I14</f>
        <v>20.445304209995879</v>
      </c>
      <c r="U14" s="11">
        <f>U5*$I14</f>
        <v>19.517908224568778</v>
      </c>
      <c r="V14" s="11">
        <f>V5*$I14</f>
        <v>14.933758057941731</v>
      </c>
    </row>
    <row r="15" spans="1:23" x14ac:dyDescent="0.25">
      <c r="A15" s="22" t="s">
        <v>13</v>
      </c>
      <c r="B15" s="25">
        <v>1837</v>
      </c>
      <c r="C15" s="23">
        <v>225.4</v>
      </c>
      <c r="D15" s="23">
        <v>238.64</v>
      </c>
      <c r="E15" s="23">
        <v>13.24</v>
      </c>
      <c r="F15" s="24">
        <f t="shared" si="4"/>
        <v>5.8740017746228945E-2</v>
      </c>
      <c r="H15" s="64"/>
      <c r="I15" s="27">
        <v>2.8812999999999998E-2</v>
      </c>
      <c r="K15" s="11">
        <f t="shared" ref="K15:R15" si="5">K5*$I15</f>
        <v>10.569243868282371</v>
      </c>
      <c r="L15" s="11">
        <f t="shared" si="5"/>
        <v>12.19916419336373</v>
      </c>
      <c r="M15" s="11">
        <f t="shared" si="5"/>
        <v>15.230001969826642</v>
      </c>
      <c r="N15" s="11">
        <f t="shared" si="5"/>
        <v>18.49603521415575</v>
      </c>
      <c r="O15" s="11">
        <f t="shared" si="5"/>
        <v>14.799411188005044</v>
      </c>
      <c r="P15" s="11">
        <f t="shared" si="5"/>
        <v>12.586838697283191</v>
      </c>
      <c r="Q15" s="11">
        <f t="shared" si="5"/>
        <v>10.365706844398815</v>
      </c>
      <c r="R15" s="11">
        <f t="shared" si="5"/>
        <v>12.566113229701633</v>
      </c>
      <c r="S15" s="11">
        <v>0</v>
      </c>
      <c r="T15" s="11">
        <v>0</v>
      </c>
      <c r="U15" s="11">
        <v>0</v>
      </c>
      <c r="V15" s="11">
        <v>0</v>
      </c>
    </row>
    <row r="16" spans="1:23" x14ac:dyDescent="0.25">
      <c r="F16" s="3"/>
      <c r="H16" s="28" t="s">
        <v>113</v>
      </c>
      <c r="I16" s="29">
        <v>1.6721E-2</v>
      </c>
      <c r="K16" s="11">
        <f t="shared" ref="K16:V16" si="6">SUM(K7:K13)*$I16</f>
        <v>0.51426314207332513</v>
      </c>
      <c r="L16" s="11">
        <f t="shared" si="6"/>
        <v>0.56778342954121075</v>
      </c>
      <c r="M16" s="11">
        <f t="shared" si="6"/>
        <v>0.66730443469017453</v>
      </c>
      <c r="N16" s="11">
        <f t="shared" si="6"/>
        <v>0.77454835049780157</v>
      </c>
      <c r="O16" s="11">
        <f t="shared" si="6"/>
        <v>0.65316549668842694</v>
      </c>
      <c r="P16" s="11">
        <f t="shared" si="6"/>
        <v>0.58051316275237486</v>
      </c>
      <c r="Q16" s="11">
        <f t="shared" si="6"/>
        <v>0.50757977242575525</v>
      </c>
      <c r="R16" s="11">
        <f t="shared" si="6"/>
        <v>0.57983261845471679</v>
      </c>
      <c r="S16" s="11">
        <f t="shared" si="6"/>
        <v>0.69903847678776654</v>
      </c>
      <c r="T16" s="11">
        <f t="shared" si="6"/>
        <v>0.77706743575212134</v>
      </c>
      <c r="U16" s="11">
        <f t="shared" si="6"/>
        <v>0.74940439235642242</v>
      </c>
      <c r="V16" s="11">
        <f t="shared" si="6"/>
        <v>0.61266501997990375</v>
      </c>
    </row>
    <row r="17" spans="1:24" x14ac:dyDescent="0.25">
      <c r="A17" t="s">
        <v>60</v>
      </c>
      <c r="B17">
        <v>1014</v>
      </c>
      <c r="C17" s="1">
        <v>122.26</v>
      </c>
      <c r="D17" s="1">
        <v>131.97999999999999</v>
      </c>
      <c r="E17" s="1">
        <f>D17-C17</f>
        <v>9.7199999999999847</v>
      </c>
      <c r="F17" s="3">
        <f>D17/C17-1</f>
        <v>7.9502699165712398E-2</v>
      </c>
      <c r="H17" s="30" t="s">
        <v>114</v>
      </c>
      <c r="I17" s="31">
        <v>0.12767999999999999</v>
      </c>
      <c r="K17" s="11">
        <f t="shared" ref="K17:V17" si="7">SUM(K7:K13)*$I17</f>
        <v>3.9268654972742145</v>
      </c>
      <c r="L17" s="11">
        <f t="shared" si="7"/>
        <v>4.3355414319611141</v>
      </c>
      <c r="M17" s="11">
        <f t="shared" si="7"/>
        <v>5.095474566188714</v>
      </c>
      <c r="N17" s="11">
        <f t="shared" si="7"/>
        <v>5.9143791275377851</v>
      </c>
      <c r="O17" s="11">
        <f t="shared" si="7"/>
        <v>4.9875109513293676</v>
      </c>
      <c r="P17" s="11">
        <f t="shared" si="7"/>
        <v>4.4327444901754207</v>
      </c>
      <c r="Q17" s="11">
        <f t="shared" si="7"/>
        <v>3.8758319085772639</v>
      </c>
      <c r="R17" s="11">
        <f t="shared" si="7"/>
        <v>4.4275479172476668</v>
      </c>
      <c r="S17" s="11">
        <f t="shared" si="7"/>
        <v>5.3377927585827418</v>
      </c>
      <c r="T17" s="11">
        <f t="shared" si="7"/>
        <v>5.9336146281221724</v>
      </c>
      <c r="U17" s="11">
        <f t="shared" si="7"/>
        <v>5.7223822029823577</v>
      </c>
      <c r="V17" s="11">
        <f t="shared" si="7"/>
        <v>4.678253080021177</v>
      </c>
    </row>
    <row r="18" spans="1:24" x14ac:dyDescent="0.25">
      <c r="B18">
        <v>1014</v>
      </c>
      <c r="C18" s="1">
        <v>122.26</v>
      </c>
      <c r="D18" s="1">
        <v>131.81</v>
      </c>
      <c r="E18" s="1">
        <f>D18-C18</f>
        <v>9.5499999999999972</v>
      </c>
      <c r="F18" s="3">
        <f>D18/C18-1</f>
        <v>7.8112219859316268E-2</v>
      </c>
      <c r="H18" s="30" t="s">
        <v>115</v>
      </c>
      <c r="I18" s="34">
        <v>0.10766199999999999</v>
      </c>
      <c r="K18" s="11">
        <f t="shared" ref="K18:V18" si="8">SUM(K7:K13)*$I18</f>
        <v>3.311201387590355</v>
      </c>
      <c r="L18" s="11">
        <f t="shared" si="8"/>
        <v>3.6558040542590655</v>
      </c>
      <c r="M18" s="11">
        <f t="shared" si="8"/>
        <v>4.2965929099703111</v>
      </c>
      <c r="N18" s="11">
        <f t="shared" si="8"/>
        <v>4.9871075002269185</v>
      </c>
      <c r="O18" s="11">
        <f t="shared" si="8"/>
        <v>4.2055561093516793</v>
      </c>
      <c r="P18" s="11">
        <f t="shared" si="8"/>
        <v>3.7377673660813455</v>
      </c>
      <c r="Q18" s="11">
        <f t="shared" si="8"/>
        <v>3.2681689766701552</v>
      </c>
      <c r="R18" s="11">
        <f t="shared" si="8"/>
        <v>3.7333855252719164</v>
      </c>
      <c r="S18" s="11">
        <f t="shared" si="8"/>
        <v>4.500919830627625</v>
      </c>
      <c r="T18" s="11">
        <f t="shared" si="8"/>
        <v>5.0033272093741337</v>
      </c>
      <c r="U18" s="11">
        <f t="shared" si="8"/>
        <v>4.8252123491344507</v>
      </c>
      <c r="V18" s="11">
        <f t="shared" si="8"/>
        <v>3.9447844854420429</v>
      </c>
    </row>
    <row r="19" spans="1:24" x14ac:dyDescent="0.25">
      <c r="E19" s="1"/>
      <c r="F19" s="3"/>
      <c r="H19" s="30" t="s">
        <v>116</v>
      </c>
      <c r="I19" s="31">
        <v>2.3050000000000001E-2</v>
      </c>
      <c r="K19" s="11">
        <f t="shared" ref="K19:V19" si="9">SUM(K7:K18)*$I19</f>
        <v>1.1312271413187454</v>
      </c>
      <c r="L19" s="11">
        <f t="shared" si="9"/>
        <v>1.2611715603531761</v>
      </c>
      <c r="M19" s="11">
        <f t="shared" si="9"/>
        <v>1.502803281848778</v>
      </c>
      <c r="N19" s="11">
        <f t="shared" si="9"/>
        <v>1.7631858207684639</v>
      </c>
      <c r="O19" s="11">
        <f t="shared" si="9"/>
        <v>1.4684746903683354</v>
      </c>
      <c r="P19" s="11">
        <f t="shared" si="9"/>
        <v>1.2920786773521382</v>
      </c>
      <c r="Q19" s="11">
        <f t="shared" si="9"/>
        <v>1.1150002743280376</v>
      </c>
      <c r="R19" s="11">
        <f t="shared" si="9"/>
        <v>1.2904263518963108</v>
      </c>
      <c r="S19" s="11">
        <f t="shared" si="9"/>
        <v>1.6174917226138092</v>
      </c>
      <c r="T19" s="11">
        <f t="shared" si="9"/>
        <v>1.8124643529364635</v>
      </c>
      <c r="U19" s="11">
        <f t="shared" si="9"/>
        <v>1.7433421141526164</v>
      </c>
      <c r="V19" s="11">
        <f t="shared" si="9"/>
        <v>1.4016685168783305</v>
      </c>
    </row>
    <row r="20" spans="1:24" x14ac:dyDescent="0.25">
      <c r="A20" t="s">
        <v>61</v>
      </c>
      <c r="B20">
        <v>1267</v>
      </c>
      <c r="C20" s="1">
        <v>149.08000000000001</v>
      </c>
      <c r="D20" s="1">
        <v>159.66999999999999</v>
      </c>
      <c r="E20" s="1">
        <f t="shared" ref="E20" si="10">D20-C20</f>
        <v>10.589999999999975</v>
      </c>
      <c r="F20" s="3">
        <f t="shared" ref="F20" si="11">D20/C20-1</f>
        <v>7.1035685537965909E-2</v>
      </c>
      <c r="K20" s="11">
        <f>SUM(K7:K19)</f>
        <v>50.208326547771904</v>
      </c>
      <c r="L20" s="11">
        <f>SUM(L7:L19)</f>
        <v>55.975772877193783</v>
      </c>
      <c r="M20" s="41">
        <f>SUM(M7:M19)</f>
        <v>66.700342624528957</v>
      </c>
      <c r="N20" s="41">
        <f t="shared" ref="N20:U20" si="12">SUM(N7:N19)</f>
        <v>78.257147676233274</v>
      </c>
      <c r="O20" s="11">
        <f t="shared" si="12"/>
        <v>65.176704207432778</v>
      </c>
      <c r="P20" s="11">
        <f t="shared" si="12"/>
        <v>57.347552749028409</v>
      </c>
      <c r="Q20" s="11">
        <f t="shared" si="12"/>
        <v>49.488114128039001</v>
      </c>
      <c r="R20" s="11">
        <f t="shared" si="12"/>
        <v>57.274216022018251</v>
      </c>
      <c r="S20" s="11">
        <f t="shared" si="12"/>
        <v>71.790668408679281</v>
      </c>
      <c r="T20" s="11">
        <f t="shared" si="12"/>
        <v>80.444323482501034</v>
      </c>
      <c r="U20" s="11">
        <f t="shared" si="12"/>
        <v>77.376405634873493</v>
      </c>
      <c r="V20" s="11">
        <f>SUM(V7:V19)</f>
        <v>62.211582481231062</v>
      </c>
      <c r="W20" s="11">
        <f>SUM(K20:V20)/12</f>
        <v>64.354263069960936</v>
      </c>
      <c r="X20" s="11"/>
    </row>
    <row r="21" spans="1:24" x14ac:dyDescent="0.25">
      <c r="C21" s="1"/>
      <c r="D21" s="1"/>
      <c r="E21" s="1"/>
      <c r="F21" s="3"/>
      <c r="K21" s="11"/>
      <c r="L21" s="11"/>
      <c r="M21" s="41"/>
      <c r="N21" s="4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J22" s="12" t="s">
        <v>3</v>
      </c>
      <c r="K22" s="39">
        <v>366.82205491557181</v>
      </c>
      <c r="L22" s="40">
        <v>423.39097606510018</v>
      </c>
      <c r="M22" s="40">
        <v>528.58091728826025</v>
      </c>
      <c r="N22" s="40">
        <v>641.93368320396178</v>
      </c>
      <c r="O22" s="40">
        <v>513.63659417641497</v>
      </c>
      <c r="P22" s="40">
        <v>436.84582297168612</v>
      </c>
      <c r="Q22" s="40">
        <v>359.7579857841535</v>
      </c>
      <c r="R22" s="40">
        <v>436.12651336902212</v>
      </c>
      <c r="S22" s="40">
        <v>562.12260045376377</v>
      </c>
      <c r="T22" s="40">
        <v>644.59626111343323</v>
      </c>
      <c r="U22" s="40">
        <v>615.35746971967887</v>
      </c>
      <c r="V22" s="40">
        <v>470.82912093895357</v>
      </c>
    </row>
    <row r="23" spans="1:24" ht="16.5" thickBot="1" x14ac:dyDescent="0.3">
      <c r="H23" s="63" t="s">
        <v>137</v>
      </c>
      <c r="I23" s="63"/>
      <c r="J23" s="12" t="s">
        <v>136</v>
      </c>
      <c r="K23" s="37" t="s">
        <v>124</v>
      </c>
      <c r="L23" s="37" t="s">
        <v>125</v>
      </c>
      <c r="M23" s="37" t="s">
        <v>126</v>
      </c>
      <c r="N23" s="37" t="s">
        <v>127</v>
      </c>
      <c r="O23" s="37" t="s">
        <v>128</v>
      </c>
      <c r="P23" s="37" t="s">
        <v>129</v>
      </c>
      <c r="Q23" s="37" t="s">
        <v>130</v>
      </c>
      <c r="R23" s="37" t="s">
        <v>131</v>
      </c>
      <c r="S23" s="37" t="s">
        <v>132</v>
      </c>
      <c r="T23" s="37" t="s">
        <v>133</v>
      </c>
      <c r="U23" s="37" t="s">
        <v>134</v>
      </c>
      <c r="V23" s="37" t="s">
        <v>135</v>
      </c>
    </row>
    <row r="24" spans="1:24" x14ac:dyDescent="0.25">
      <c r="H24" s="32" t="s">
        <v>118</v>
      </c>
      <c r="I24" s="33">
        <v>14.9</v>
      </c>
      <c r="K24" s="11">
        <f>$I24</f>
        <v>14.9</v>
      </c>
      <c r="L24" s="11">
        <f t="shared" ref="L24:V24" si="13">$I24</f>
        <v>14.9</v>
      </c>
      <c r="M24" s="11">
        <f t="shared" si="13"/>
        <v>14.9</v>
      </c>
      <c r="N24" s="11">
        <f t="shared" si="13"/>
        <v>14.9</v>
      </c>
      <c r="O24" s="11">
        <f t="shared" si="13"/>
        <v>14.9</v>
      </c>
      <c r="P24" s="11">
        <f t="shared" si="13"/>
        <v>14.9</v>
      </c>
      <c r="Q24" s="11">
        <f t="shared" si="13"/>
        <v>14.9</v>
      </c>
      <c r="R24" s="11">
        <f t="shared" si="13"/>
        <v>14.9</v>
      </c>
      <c r="S24" s="11">
        <f t="shared" si="13"/>
        <v>14.9</v>
      </c>
      <c r="T24" s="11">
        <f t="shared" si="13"/>
        <v>14.9</v>
      </c>
      <c r="U24" s="11">
        <f t="shared" si="13"/>
        <v>14.9</v>
      </c>
      <c r="V24" s="11">
        <f t="shared" si="13"/>
        <v>14.9</v>
      </c>
    </row>
    <row r="25" spans="1:24" x14ac:dyDescent="0.25">
      <c r="H25" s="26" t="s">
        <v>119</v>
      </c>
      <c r="I25" s="27">
        <v>5.7969E-2</v>
      </c>
      <c r="K25" s="11">
        <f>K22*$I25</f>
        <v>21.264307701400782</v>
      </c>
      <c r="L25" s="11">
        <f t="shared" ref="L25:Q25" si="14">L22*$I25</f>
        <v>24.543551491517793</v>
      </c>
      <c r="M25" s="11">
        <f t="shared" si="14"/>
        <v>30.641307194283158</v>
      </c>
      <c r="N25" s="11">
        <f t="shared" si="14"/>
        <v>37.212253681650459</v>
      </c>
      <c r="O25" s="11">
        <f t="shared" si="14"/>
        <v>29.774999727812599</v>
      </c>
      <c r="P25" s="11">
        <f t="shared" si="14"/>
        <v>25.323515511845674</v>
      </c>
      <c r="Q25" s="11">
        <f t="shared" si="14"/>
        <v>20.854810677921595</v>
      </c>
      <c r="R25" s="11">
        <f>R22*$I25</f>
        <v>25.281817853488842</v>
      </c>
      <c r="S25" s="11">
        <v>0</v>
      </c>
      <c r="T25" s="11">
        <v>0</v>
      </c>
      <c r="U25" s="11">
        <v>0</v>
      </c>
      <c r="V25" s="11">
        <v>0</v>
      </c>
    </row>
    <row r="26" spans="1:24" x14ac:dyDescent="0.25">
      <c r="H26" s="26" t="s">
        <v>120</v>
      </c>
      <c r="I26" s="27">
        <v>4.972E-2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35" t="s">
        <v>121</v>
      </c>
      <c r="I27" s="27">
        <v>4.8809999999999999E-2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26" t="s">
        <v>122</v>
      </c>
      <c r="I28" s="27">
        <v>5.7969E-2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>S22*$I28</f>
        <v>32.58568502570423</v>
      </c>
      <c r="T28" s="11">
        <f t="shared" ref="T28:V28" si="15">T22*$I28</f>
        <v>37.366600660484607</v>
      </c>
      <c r="U28" s="11">
        <f t="shared" si="15"/>
        <v>35.671657162180061</v>
      </c>
      <c r="V28" s="11">
        <f t="shared" si="15"/>
        <v>27.293493311710201</v>
      </c>
    </row>
    <row r="29" spans="1:24" x14ac:dyDescent="0.25">
      <c r="H29" s="26" t="s">
        <v>123</v>
      </c>
      <c r="I29" s="27">
        <v>9.6285999999999997E-2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4" x14ac:dyDescent="0.25">
      <c r="H30" s="35" t="s">
        <v>156</v>
      </c>
      <c r="I30" s="27">
        <v>9.9657999999999997E-2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4" x14ac:dyDescent="0.25">
      <c r="H31" s="64" t="s">
        <v>112</v>
      </c>
      <c r="I31" s="27">
        <v>3.1718000000000003E-2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S22*$I31</f>
        <v>17.829404641192482</v>
      </c>
      <c r="T31" s="11">
        <f>T22*$I31</f>
        <v>20.445304209995879</v>
      </c>
      <c r="U31" s="11">
        <f>U22*$I31</f>
        <v>19.517908224568778</v>
      </c>
      <c r="V31" s="11">
        <f>V22*$I31</f>
        <v>14.933758057941731</v>
      </c>
    </row>
    <row r="32" spans="1:24" x14ac:dyDescent="0.25">
      <c r="H32" s="64"/>
      <c r="I32" s="27">
        <v>2.8812999999999998E-2</v>
      </c>
      <c r="K32" s="11">
        <f t="shared" ref="K32:R32" si="16">K22*$I32</f>
        <v>10.569243868282371</v>
      </c>
      <c r="L32" s="11">
        <f t="shared" si="16"/>
        <v>12.19916419336373</v>
      </c>
      <c r="M32" s="11">
        <f t="shared" si="16"/>
        <v>15.230001969826642</v>
      </c>
      <c r="N32" s="11">
        <f t="shared" si="16"/>
        <v>18.49603521415575</v>
      </c>
      <c r="O32" s="11">
        <f t="shared" si="16"/>
        <v>14.799411188005044</v>
      </c>
      <c r="P32" s="11">
        <f t="shared" si="16"/>
        <v>12.586838697283191</v>
      </c>
      <c r="Q32" s="11">
        <f t="shared" si="16"/>
        <v>10.365706844398815</v>
      </c>
      <c r="R32" s="11">
        <f t="shared" si="16"/>
        <v>12.566113229701633</v>
      </c>
      <c r="S32" s="11">
        <v>0</v>
      </c>
      <c r="T32" s="11">
        <v>0</v>
      </c>
      <c r="U32" s="11">
        <v>0</v>
      </c>
      <c r="V32" s="11">
        <v>0</v>
      </c>
    </row>
    <row r="33" spans="8:25" x14ac:dyDescent="0.25">
      <c r="H33" s="28" t="s">
        <v>113</v>
      </c>
      <c r="I33" s="29">
        <v>1.7947000000000001E-2</v>
      </c>
      <c r="K33" s="11">
        <f t="shared" ref="K33:V33" si="17">SUM(K24:K30)*$I33</f>
        <v>0.64904083031703985</v>
      </c>
      <c r="L33" s="11">
        <f t="shared" si="17"/>
        <v>0.70789341861826993</v>
      </c>
      <c r="M33" s="11">
        <f t="shared" si="17"/>
        <v>0.81732984021579991</v>
      </c>
      <c r="N33" s="11">
        <f t="shared" si="17"/>
        <v>0.93525861682458078</v>
      </c>
      <c r="O33" s="11">
        <f t="shared" si="17"/>
        <v>0.80178222011505274</v>
      </c>
      <c r="P33" s="11">
        <f t="shared" si="17"/>
        <v>0.72189143289109436</v>
      </c>
      <c r="Q33" s="11">
        <f t="shared" si="17"/>
        <v>0.64169158723665898</v>
      </c>
      <c r="R33" s="11">
        <f t="shared" si="17"/>
        <v>0.72114308501656432</v>
      </c>
      <c r="S33" s="11">
        <f t="shared" si="17"/>
        <v>0.85222558915631386</v>
      </c>
      <c r="T33" s="11">
        <f t="shared" si="17"/>
        <v>0.93802868205371726</v>
      </c>
      <c r="U33" s="11">
        <f t="shared" si="17"/>
        <v>0.90760953108964559</v>
      </c>
      <c r="V33" s="11">
        <f t="shared" si="17"/>
        <v>0.75724662446526303</v>
      </c>
    </row>
    <row r="34" spans="8:25" x14ac:dyDescent="0.25">
      <c r="H34" s="30" t="s">
        <v>114</v>
      </c>
      <c r="I34" s="31">
        <v>0.15357499999999999</v>
      </c>
      <c r="K34" s="11">
        <f t="shared" ref="K34:V34" si="18">SUM(K24:K30)*$I34</f>
        <v>5.5539335552426241</v>
      </c>
      <c r="L34" s="11">
        <f t="shared" si="18"/>
        <v>6.0575434203098446</v>
      </c>
      <c r="M34" s="11">
        <f t="shared" si="18"/>
        <v>6.994006252362035</v>
      </c>
      <c r="N34" s="11">
        <f t="shared" si="18"/>
        <v>8.0031393591594693</v>
      </c>
      <c r="O34" s="11">
        <f t="shared" si="18"/>
        <v>6.8609630831988193</v>
      </c>
      <c r="P34" s="11">
        <f t="shared" si="18"/>
        <v>6.1773263947316996</v>
      </c>
      <c r="Q34" s="11">
        <f t="shared" si="18"/>
        <v>5.4910450498618086</v>
      </c>
      <c r="R34" s="11">
        <f t="shared" si="18"/>
        <v>6.1709226768495489</v>
      </c>
      <c r="S34" s="11">
        <f t="shared" si="18"/>
        <v>7.2926140778225266</v>
      </c>
      <c r="T34" s="11">
        <f t="shared" si="18"/>
        <v>8.0268431964339229</v>
      </c>
      <c r="U34" s="11">
        <f t="shared" si="18"/>
        <v>7.7665422486818025</v>
      </c>
      <c r="V34" s="11">
        <f t="shared" si="18"/>
        <v>6.4798657353458937</v>
      </c>
    </row>
    <row r="35" spans="8:25" x14ac:dyDescent="0.25">
      <c r="H35" s="30" t="s">
        <v>115</v>
      </c>
      <c r="I35" s="34">
        <v>0.10766199999999999</v>
      </c>
      <c r="K35" s="11">
        <f t="shared" ref="K35:V35" si="19">SUM(K24:K30)*$I35</f>
        <v>3.8935216957482104</v>
      </c>
      <c r="L35" s="11">
        <f t="shared" si="19"/>
        <v>4.2465716406797887</v>
      </c>
      <c r="M35" s="11">
        <f t="shared" si="19"/>
        <v>4.9030682151509133</v>
      </c>
      <c r="N35" s="11">
        <f t="shared" si="19"/>
        <v>5.6105094558738511</v>
      </c>
      <c r="O35" s="11">
        <f t="shared" si="19"/>
        <v>4.8097998206957593</v>
      </c>
      <c r="P35" s="11">
        <f t="shared" si="19"/>
        <v>4.3305441270363287</v>
      </c>
      <c r="Q35" s="11">
        <f t="shared" si="19"/>
        <v>3.8494344272063947</v>
      </c>
      <c r="R35" s="11">
        <f t="shared" si="19"/>
        <v>4.3260548737423159</v>
      </c>
      <c r="S35" s="11">
        <f t="shared" si="19"/>
        <v>5.1124038212373684</v>
      </c>
      <c r="T35" s="11">
        <f t="shared" si="19"/>
        <v>5.6271267603090935</v>
      </c>
      <c r="U35" s="11">
        <f t="shared" si="19"/>
        <v>5.4446457533946289</v>
      </c>
      <c r="V35" s="11">
        <f t="shared" si="19"/>
        <v>4.5426358769253428</v>
      </c>
    </row>
    <row r="36" spans="8:25" x14ac:dyDescent="0.25">
      <c r="H36" s="30" t="s">
        <v>116</v>
      </c>
      <c r="I36" s="31">
        <v>2.3567999999999999E-2</v>
      </c>
      <c r="K36" s="11">
        <f t="shared" ref="K36:V36" si="20">SUM(K24:K35)*$I36</f>
        <v>1.3393705630385564</v>
      </c>
      <c r="L36" s="11">
        <f t="shared" si="20"/>
        <v>1.4766465391086867</v>
      </c>
      <c r="M36" s="11">
        <f t="shared" si="20"/>
        <v>1.7319112951042905</v>
      </c>
      <c r="N36" s="11">
        <f t="shared" si="20"/>
        <v>2.0069848030503876</v>
      </c>
      <c r="O36" s="11">
        <f t="shared" si="20"/>
        <v>1.6956458599466491</v>
      </c>
      <c r="P36" s="11">
        <f t="shared" si="20"/>
        <v>1.509297457748155</v>
      </c>
      <c r="Q36" s="11">
        <f t="shared" si="20"/>
        <v>1.3222281646095844</v>
      </c>
      <c r="R36" s="11">
        <f t="shared" si="20"/>
        <v>1.5075519069086525</v>
      </c>
      <c r="S36" s="11">
        <f t="shared" si="20"/>
        <v>1.8517927477997012</v>
      </c>
      <c r="T36" s="11">
        <f t="shared" si="20"/>
        <v>2.0575783979066449</v>
      </c>
      <c r="U36" s="11">
        <f t="shared" si="20"/>
        <v>1.9846226972965544</v>
      </c>
      <c r="V36" s="11">
        <f t="shared" si="20"/>
        <v>1.6240001667233623</v>
      </c>
    </row>
    <row r="37" spans="8:25" x14ac:dyDescent="0.25">
      <c r="K37" s="11">
        <f>SUM(K24:K36)</f>
        <v>58.169418214029584</v>
      </c>
      <c r="L37" s="11">
        <f>SUM(L24:L36)</f>
        <v>64.131370703598108</v>
      </c>
      <c r="M37" s="41">
        <f>SUM(M24:M36)</f>
        <v>75.217624766942834</v>
      </c>
      <c r="N37" s="41">
        <f t="shared" ref="N37" si="21">SUM(N24:N36)</f>
        <v>87.164181130714496</v>
      </c>
      <c r="O37" s="11">
        <f t="shared" ref="O37" si="22">SUM(O24:O36)</f>
        <v>73.642601899773922</v>
      </c>
      <c r="P37" s="11">
        <f t="shared" ref="P37" si="23">SUM(P24:P36)</f>
        <v>65.549413621536146</v>
      </c>
      <c r="Q37" s="11">
        <f t="shared" ref="Q37" si="24">SUM(Q24:Q36)</f>
        <v>57.424916751234861</v>
      </c>
      <c r="R37" s="11">
        <f t="shared" ref="R37" si="25">SUM(R24:R36)</f>
        <v>65.473603625707568</v>
      </c>
      <c r="S37" s="11">
        <f t="shared" ref="S37" si="26">SUM(S24:S36)</f>
        <v>80.424125902912621</v>
      </c>
      <c r="T37" s="11">
        <f t="shared" ref="T37" si="27">SUM(T24:T36)</f>
        <v>89.361481907183844</v>
      </c>
      <c r="U37" s="11">
        <f t="shared" ref="U37" si="28">SUM(U24:U36)</f>
        <v>86.192985617211463</v>
      </c>
      <c r="V37" s="11">
        <f>SUM(V24:V36)</f>
        <v>70.530999773111787</v>
      </c>
      <c r="W37" s="11">
        <f>SUM(K37:V37)/12</f>
        <v>72.773560326163093</v>
      </c>
      <c r="X37" s="3">
        <f>W37/W20-1</f>
        <v>0.13082734312487343</v>
      </c>
      <c r="Y37" s="11">
        <f>W37-W20</f>
        <v>8.4192972562021566</v>
      </c>
    </row>
    <row r="38" spans="8:25" x14ac:dyDescent="0.25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8:25" x14ac:dyDescent="0.25">
      <c r="J39" s="12" t="s">
        <v>3</v>
      </c>
      <c r="K39" s="39">
        <v>366.82205491557181</v>
      </c>
      <c r="L39" s="40">
        <v>423.39097606510018</v>
      </c>
      <c r="M39" s="40">
        <v>528.58091728826025</v>
      </c>
      <c r="N39" s="40">
        <v>641.93368320396178</v>
      </c>
      <c r="O39" s="40">
        <v>513.63659417641497</v>
      </c>
      <c r="P39" s="40">
        <v>436.84582297168612</v>
      </c>
      <c r="Q39" s="40">
        <v>359.7579857841535</v>
      </c>
      <c r="R39" s="40">
        <v>436.12651336902212</v>
      </c>
      <c r="S39" s="40">
        <v>562.12260045376377</v>
      </c>
      <c r="T39" s="40">
        <v>644.59626111343323</v>
      </c>
      <c r="U39" s="40">
        <v>615.35746971967887</v>
      </c>
      <c r="V39" s="40">
        <v>470.82912093895357</v>
      </c>
    </row>
    <row r="40" spans="8:25" ht="16.5" thickBot="1" x14ac:dyDescent="0.3">
      <c r="H40" s="63" t="s">
        <v>138</v>
      </c>
      <c r="I40" s="63"/>
      <c r="J40" s="12" t="s">
        <v>136</v>
      </c>
      <c r="K40" s="37" t="s">
        <v>124</v>
      </c>
      <c r="L40" s="37" t="s">
        <v>125</v>
      </c>
      <c r="M40" s="37" t="s">
        <v>126</v>
      </c>
      <c r="N40" s="37" t="s">
        <v>127</v>
      </c>
      <c r="O40" s="37" t="s">
        <v>128</v>
      </c>
      <c r="P40" s="37" t="s">
        <v>129</v>
      </c>
      <c r="Q40" s="37" t="s">
        <v>130</v>
      </c>
      <c r="R40" s="37" t="s">
        <v>131</v>
      </c>
      <c r="S40" s="37" t="s">
        <v>132</v>
      </c>
      <c r="T40" s="37" t="s">
        <v>133</v>
      </c>
      <c r="U40" s="37" t="s">
        <v>134</v>
      </c>
      <c r="V40" s="37" t="s">
        <v>135</v>
      </c>
    </row>
    <row r="41" spans="8:25" x14ac:dyDescent="0.25">
      <c r="H41" s="32" t="s">
        <v>118</v>
      </c>
      <c r="I41" s="33">
        <v>17.95</v>
      </c>
      <c r="K41" s="11">
        <f>$I41</f>
        <v>17.95</v>
      </c>
      <c r="L41" s="11">
        <f t="shared" ref="L41:V41" si="29">$I41</f>
        <v>17.95</v>
      </c>
      <c r="M41" s="11">
        <f t="shared" si="29"/>
        <v>17.95</v>
      </c>
      <c r="N41" s="11">
        <f t="shared" si="29"/>
        <v>17.95</v>
      </c>
      <c r="O41" s="11">
        <f t="shared" si="29"/>
        <v>17.95</v>
      </c>
      <c r="P41" s="11">
        <f t="shared" si="29"/>
        <v>17.95</v>
      </c>
      <c r="Q41" s="11">
        <f t="shared" si="29"/>
        <v>17.95</v>
      </c>
      <c r="R41" s="11">
        <f t="shared" si="29"/>
        <v>17.95</v>
      </c>
      <c r="S41" s="11">
        <f t="shared" si="29"/>
        <v>17.95</v>
      </c>
      <c r="T41" s="11">
        <f t="shared" si="29"/>
        <v>17.95</v>
      </c>
      <c r="U41" s="11">
        <f t="shared" si="29"/>
        <v>17.95</v>
      </c>
      <c r="V41" s="11">
        <f t="shared" si="29"/>
        <v>17.95</v>
      </c>
    </row>
    <row r="42" spans="8:25" x14ac:dyDescent="0.25">
      <c r="H42" s="26" t="s">
        <v>119</v>
      </c>
      <c r="I42" s="27">
        <v>4.9754E-2</v>
      </c>
      <c r="K42" s="11">
        <f>K39*$I42</f>
        <v>18.25086452026936</v>
      </c>
      <c r="L42" s="11">
        <f t="shared" ref="L42:Q42" si="30">L39*$I42</f>
        <v>21.065394623142993</v>
      </c>
      <c r="M42" s="11">
        <f t="shared" si="30"/>
        <v>26.2990149587601</v>
      </c>
      <c r="N42" s="11">
        <f t="shared" si="30"/>
        <v>31.938768474129915</v>
      </c>
      <c r="O42" s="11">
        <f t="shared" si="30"/>
        <v>25.555475106653351</v>
      </c>
      <c r="P42" s="11">
        <f t="shared" si="30"/>
        <v>21.734827076133271</v>
      </c>
      <c r="Q42" s="11">
        <f t="shared" si="30"/>
        <v>17.899398824704772</v>
      </c>
      <c r="R42" s="11">
        <f>R39*$I42</f>
        <v>21.699038546162328</v>
      </c>
      <c r="S42" s="11">
        <v>0</v>
      </c>
      <c r="T42" s="11">
        <v>0</v>
      </c>
      <c r="U42" s="11">
        <v>0</v>
      </c>
      <c r="V42" s="11">
        <v>0</v>
      </c>
    </row>
    <row r="43" spans="8:25" x14ac:dyDescent="0.25">
      <c r="H43" s="26" t="s">
        <v>120</v>
      </c>
      <c r="I43" s="27">
        <v>4.2674999999999998E-2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8:25" x14ac:dyDescent="0.25">
      <c r="H44" s="35" t="s">
        <v>121</v>
      </c>
      <c r="I44" s="27">
        <v>4.1890999999999998E-2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8:25" x14ac:dyDescent="0.25">
      <c r="H45" s="26" t="s">
        <v>122</v>
      </c>
      <c r="I45" s="27">
        <v>4.9754E-2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f>S39*$I45</f>
        <v>27.967847862976562</v>
      </c>
      <c r="T45" s="11">
        <f t="shared" ref="T45:V45" si="31">T39*$I45</f>
        <v>32.071242375437755</v>
      </c>
      <c r="U45" s="11">
        <f t="shared" si="31"/>
        <v>30.616495548432901</v>
      </c>
      <c r="V45" s="11">
        <f t="shared" si="31"/>
        <v>23.425632083196696</v>
      </c>
    </row>
    <row r="46" spans="8:25" x14ac:dyDescent="0.25">
      <c r="H46" s="26" t="s">
        <v>123</v>
      </c>
      <c r="I46" s="27">
        <v>8.2639000000000004E-2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35" t="s">
        <v>156</v>
      </c>
      <c r="I47" s="27">
        <v>8.5531999999999997E-2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64" t="s">
        <v>112</v>
      </c>
      <c r="I48" s="27">
        <v>3.1718000000000003E-2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S39*$I48</f>
        <v>17.829404641192482</v>
      </c>
      <c r="T48" s="11">
        <f>T39*$I48</f>
        <v>20.445304209995879</v>
      </c>
      <c r="U48" s="11">
        <f>U39*$I48</f>
        <v>19.517908224568778</v>
      </c>
      <c r="V48" s="11">
        <f>V39*$I48</f>
        <v>14.933758057941731</v>
      </c>
    </row>
    <row r="49" spans="8:25" x14ac:dyDescent="0.25">
      <c r="H49" s="64"/>
      <c r="I49" s="27">
        <v>2.8812999999999998E-2</v>
      </c>
      <c r="K49" s="11">
        <f t="shared" ref="K49:R49" si="32">K39*$I49</f>
        <v>10.569243868282371</v>
      </c>
      <c r="L49" s="11">
        <f t="shared" si="32"/>
        <v>12.19916419336373</v>
      </c>
      <c r="M49" s="11">
        <f t="shared" si="32"/>
        <v>15.230001969826642</v>
      </c>
      <c r="N49" s="11">
        <f t="shared" si="32"/>
        <v>18.49603521415575</v>
      </c>
      <c r="O49" s="11">
        <f t="shared" si="32"/>
        <v>14.799411188005044</v>
      </c>
      <c r="P49" s="11">
        <f t="shared" si="32"/>
        <v>12.586838697283191</v>
      </c>
      <c r="Q49" s="11">
        <f t="shared" si="32"/>
        <v>10.365706844398815</v>
      </c>
      <c r="R49" s="11">
        <f t="shared" si="32"/>
        <v>12.566113229701633</v>
      </c>
      <c r="S49" s="11">
        <v>0</v>
      </c>
      <c r="T49" s="11">
        <v>0</v>
      </c>
      <c r="U49" s="11">
        <v>0</v>
      </c>
      <c r="V49" s="11">
        <v>0</v>
      </c>
    </row>
    <row r="50" spans="8:25" x14ac:dyDescent="0.25">
      <c r="H50" s="28" t="s">
        <v>144</v>
      </c>
      <c r="I50" s="29">
        <v>1.9511000000000001E-2</v>
      </c>
      <c r="K50" s="11">
        <f t="shared" ref="K50:V50" si="33">SUM(K41:K47)*$I50</f>
        <v>0.70631506765497554</v>
      </c>
      <c r="L50" s="11">
        <f t="shared" si="33"/>
        <v>0.76122936449214296</v>
      </c>
      <c r="M50" s="11">
        <f t="shared" si="33"/>
        <v>0.86334253086036827</v>
      </c>
      <c r="N50" s="11">
        <f t="shared" si="33"/>
        <v>0.97337976169874885</v>
      </c>
      <c r="O50" s="11">
        <f t="shared" si="33"/>
        <v>0.8488353248059135</v>
      </c>
      <c r="P50" s="11">
        <f t="shared" si="33"/>
        <v>0.77429066108243638</v>
      </c>
      <c r="Q50" s="11">
        <f t="shared" si="33"/>
        <v>0.69945762046881477</v>
      </c>
      <c r="R50" s="11">
        <f t="shared" si="33"/>
        <v>0.77359239107417321</v>
      </c>
      <c r="S50" s="11">
        <f t="shared" si="33"/>
        <v>0.89590312965453567</v>
      </c>
      <c r="T50" s="11">
        <f t="shared" si="33"/>
        <v>0.97596445998716597</v>
      </c>
      <c r="U50" s="11">
        <f t="shared" si="33"/>
        <v>0.94758089464547424</v>
      </c>
      <c r="V50" s="11">
        <f t="shared" si="33"/>
        <v>0.80727995757525073</v>
      </c>
    </row>
    <row r="51" spans="8:25" x14ac:dyDescent="0.25">
      <c r="H51" s="30" t="s">
        <v>145</v>
      </c>
      <c r="I51" s="31">
        <v>0.16881399999999999</v>
      </c>
      <c r="K51" s="11">
        <f t="shared" ref="K51:V51" si="34">SUM(K41:K47)*$I51</f>
        <v>6.111212743124752</v>
      </c>
      <c r="L51" s="11">
        <f t="shared" si="34"/>
        <v>6.5863448279112617</v>
      </c>
      <c r="M51" s="11">
        <f t="shared" si="34"/>
        <v>7.4698532112481271</v>
      </c>
      <c r="N51" s="11">
        <f t="shared" si="34"/>
        <v>8.4219225611917672</v>
      </c>
      <c r="O51" s="11">
        <f t="shared" si="34"/>
        <v>7.344333274654578</v>
      </c>
      <c r="P51" s="11">
        <f t="shared" si="34"/>
        <v>6.699354398030362</v>
      </c>
      <c r="Q51" s="11">
        <f t="shared" si="34"/>
        <v>6.051880413193711</v>
      </c>
      <c r="R51" s="11">
        <f t="shared" si="34"/>
        <v>6.693312793131847</v>
      </c>
      <c r="S51" s="11">
        <f t="shared" si="34"/>
        <v>7.7515755691405239</v>
      </c>
      <c r="T51" s="11">
        <f t="shared" si="34"/>
        <v>8.4442860103671489</v>
      </c>
      <c r="U51" s="11">
        <f t="shared" si="34"/>
        <v>8.1987043795131509</v>
      </c>
      <c r="V51" s="11">
        <f t="shared" si="34"/>
        <v>6.9847859544927662</v>
      </c>
    </row>
    <row r="52" spans="8:25" x14ac:dyDescent="0.25">
      <c r="H52" s="30" t="s">
        <v>115</v>
      </c>
      <c r="I52" s="34">
        <v>0.10766199999999999</v>
      </c>
      <c r="K52" s="11">
        <f t="shared" ref="K52:V52" si="35">SUM(K41:K47)*$I52</f>
        <v>3.8974574759812399</v>
      </c>
      <c r="L52" s="11">
        <f t="shared" si="35"/>
        <v>4.2004754159168209</v>
      </c>
      <c r="M52" s="11">
        <f t="shared" si="35"/>
        <v>4.7639374484900294</v>
      </c>
      <c r="N52" s="11">
        <f t="shared" si="35"/>
        <v>5.3711245914617747</v>
      </c>
      <c r="O52" s="11">
        <f t="shared" si="35"/>
        <v>4.6838864609325128</v>
      </c>
      <c r="P52" s="11">
        <f t="shared" si="35"/>
        <v>4.2725478526706606</v>
      </c>
      <c r="Q52" s="11">
        <f t="shared" si="35"/>
        <v>3.8596179762653646</v>
      </c>
      <c r="R52" s="11">
        <f t="shared" si="35"/>
        <v>4.2686947879569281</v>
      </c>
      <c r="S52" s="11">
        <f t="shared" si="35"/>
        <v>4.9436073366237823</v>
      </c>
      <c r="T52" s="11">
        <f t="shared" si="35"/>
        <v>5.385386996624379</v>
      </c>
      <c r="U52" s="11">
        <f t="shared" si="35"/>
        <v>5.2287660437353827</v>
      </c>
      <c r="V52" s="11">
        <f t="shared" si="35"/>
        <v>4.4545833013411222</v>
      </c>
    </row>
    <row r="53" spans="8:25" x14ac:dyDescent="0.25">
      <c r="H53" s="30" t="s">
        <v>116</v>
      </c>
      <c r="I53" s="31">
        <v>2.3567999999999999E-2</v>
      </c>
      <c r="K53" s="11">
        <f t="shared" ref="K53:V53" si="36">SUM(K41:K52)*$I53</f>
        <v>1.3548086877397698</v>
      </c>
      <c r="L53" s="11">
        <f t="shared" si="36"/>
        <v>1.4791891553563215</v>
      </c>
      <c r="M53" s="11">
        <f t="shared" si="36"/>
        <v>1.710474706008958</v>
      </c>
      <c r="N53" s="11">
        <f t="shared" si="36"/>
        <v>1.9597082028429715</v>
      </c>
      <c r="O53" s="11">
        <f t="shared" si="36"/>
        <v>1.677615993855851</v>
      </c>
      <c r="P53" s="11">
        <f t="shared" si="36"/>
        <v>1.5087728934927918</v>
      </c>
      <c r="Q53" s="11">
        <f t="shared" si="36"/>
        <v>1.3392766216514138</v>
      </c>
      <c r="R53" s="11">
        <f t="shared" si="36"/>
        <v>1.5071913171974982</v>
      </c>
      <c r="S53" s="11">
        <f t="shared" si="36"/>
        <v>1.8227099627010075</v>
      </c>
      <c r="T53" s="11">
        <f t="shared" si="36"/>
        <v>2.0096948337472536</v>
      </c>
      <c r="U53" s="11">
        <f t="shared" si="36"/>
        <v>1.9434044375822288</v>
      </c>
      <c r="V53" s="11">
        <f t="shared" si="36"/>
        <v>1.615728735507977</v>
      </c>
    </row>
    <row r="54" spans="8:25" x14ac:dyDescent="0.25">
      <c r="K54" s="11">
        <f>SUM(K41:K53)</f>
        <v>58.839902363052474</v>
      </c>
      <c r="L54" s="11">
        <f>SUM(L41:L53)</f>
        <v>64.241797580183274</v>
      </c>
      <c r="M54" s="41">
        <f>SUM(M41:M53)</f>
        <v>74.28662482519421</v>
      </c>
      <c r="N54" s="41">
        <f t="shared" ref="N54" si="37">SUM(N41:N53)</f>
        <v>85.110938805480941</v>
      </c>
      <c r="O54" s="11">
        <f t="shared" ref="O54" si="38">SUM(O41:O53)</f>
        <v>72.859557348907245</v>
      </c>
      <c r="P54" s="11">
        <f t="shared" ref="P54" si="39">SUM(P41:P53)</f>
        <v>65.526631578692715</v>
      </c>
      <c r="Q54" s="11">
        <f t="shared" ref="Q54" si="40">SUM(Q41:Q53)</f>
        <v>58.16533830068289</v>
      </c>
      <c r="R54" s="11">
        <f t="shared" ref="R54" si="41">SUM(R41:R53)</f>
        <v>65.457943065224413</v>
      </c>
      <c r="S54" s="11">
        <f t="shared" ref="S54" si="42">SUM(S41:S53)</f>
        <v>79.161048502288907</v>
      </c>
      <c r="T54" s="11">
        <f t="shared" ref="T54" si="43">SUM(T41:T53)</f>
        <v>87.281878886159575</v>
      </c>
      <c r="U54" s="11">
        <f t="shared" ref="U54" si="44">SUM(U41:U53)</f>
        <v>84.40285952847789</v>
      </c>
      <c r="V54" s="11">
        <f>SUM(V41:V53)</f>
        <v>70.171768090055537</v>
      </c>
      <c r="W54" s="11">
        <f>SUM(K54:V54)/12</f>
        <v>72.125524072866668</v>
      </c>
      <c r="X54" s="3">
        <f>W54/W20-1</f>
        <v>0.12075751678575553</v>
      </c>
      <c r="Y54" s="11">
        <f>W54-W20</f>
        <v>7.7712610029057316</v>
      </c>
    </row>
    <row r="56" spans="8:25" x14ac:dyDescent="0.25">
      <c r="J56" s="12" t="s">
        <v>3</v>
      </c>
      <c r="K56" s="39">
        <v>366.82205491557181</v>
      </c>
      <c r="L56" s="40">
        <v>423.39097606510018</v>
      </c>
      <c r="M56" s="40">
        <v>528.58091728826025</v>
      </c>
      <c r="N56" s="40">
        <v>641.93368320396178</v>
      </c>
      <c r="O56" s="40">
        <v>513.63659417641497</v>
      </c>
      <c r="P56" s="40">
        <v>436.84582297168612</v>
      </c>
      <c r="Q56" s="40">
        <v>359.7579857841535</v>
      </c>
      <c r="R56" s="40">
        <v>436.12651336902212</v>
      </c>
      <c r="S56" s="40">
        <v>562.12260045376377</v>
      </c>
      <c r="T56" s="40">
        <v>644.59626111343323</v>
      </c>
      <c r="U56" s="40">
        <v>615.35746971967887</v>
      </c>
      <c r="V56" s="40">
        <v>470.82912093895357</v>
      </c>
    </row>
    <row r="57" spans="8:25" ht="16.5" thickBot="1" x14ac:dyDescent="0.3">
      <c r="H57" s="63" t="s">
        <v>154</v>
      </c>
      <c r="I57" s="63"/>
      <c r="J57" s="12" t="s">
        <v>136</v>
      </c>
      <c r="K57" s="37" t="s">
        <v>124</v>
      </c>
      <c r="L57" s="37" t="s">
        <v>125</v>
      </c>
      <c r="M57" s="37" t="s">
        <v>126</v>
      </c>
      <c r="N57" s="37" t="s">
        <v>127</v>
      </c>
      <c r="O57" s="37" t="s">
        <v>128</v>
      </c>
      <c r="P57" s="37" t="s">
        <v>129</v>
      </c>
      <c r="Q57" s="37" t="s">
        <v>130</v>
      </c>
      <c r="R57" s="37" t="s">
        <v>131</v>
      </c>
      <c r="S57" s="37" t="s">
        <v>132</v>
      </c>
      <c r="T57" s="37" t="s">
        <v>133</v>
      </c>
      <c r="U57" s="37" t="s">
        <v>134</v>
      </c>
      <c r="V57" s="37" t="s">
        <v>135</v>
      </c>
    </row>
    <row r="58" spans="8:25" x14ac:dyDescent="0.25">
      <c r="H58" s="32" t="s">
        <v>118</v>
      </c>
      <c r="I58" s="33">
        <v>10</v>
      </c>
      <c r="K58" s="11">
        <f>$I58</f>
        <v>10</v>
      </c>
      <c r="L58" s="11">
        <f t="shared" ref="L58:V58" si="45">$I58</f>
        <v>10</v>
      </c>
      <c r="M58" s="11">
        <f t="shared" si="45"/>
        <v>10</v>
      </c>
      <c r="N58" s="11">
        <f t="shared" si="45"/>
        <v>10</v>
      </c>
      <c r="O58" s="11">
        <f t="shared" si="45"/>
        <v>10</v>
      </c>
      <c r="P58" s="11">
        <f t="shared" si="45"/>
        <v>10</v>
      </c>
      <c r="Q58" s="11">
        <f t="shared" si="45"/>
        <v>10</v>
      </c>
      <c r="R58" s="11">
        <f t="shared" si="45"/>
        <v>10</v>
      </c>
      <c r="S58" s="11">
        <f t="shared" si="45"/>
        <v>10</v>
      </c>
      <c r="T58" s="11">
        <f t="shared" si="45"/>
        <v>10</v>
      </c>
      <c r="U58" s="11">
        <f t="shared" si="45"/>
        <v>10</v>
      </c>
      <c r="V58" s="11">
        <f t="shared" si="45"/>
        <v>10</v>
      </c>
    </row>
    <row r="59" spans="8:25" x14ac:dyDescent="0.25">
      <c r="H59" s="26" t="s">
        <v>119</v>
      </c>
      <c r="I59" s="27">
        <v>5.755255297651591E-2</v>
      </c>
      <c r="K59" s="11">
        <f>K56*$I59</f>
        <v>21.111545748482875</v>
      </c>
      <c r="L59" s="11">
        <f t="shared" ref="L59:Q59" si="46">L56*$I59</f>
        <v>24.367231579765459</v>
      </c>
      <c r="M59" s="11">
        <f t="shared" si="46"/>
        <v>30.421181244607972</v>
      </c>
      <c r="N59" s="11">
        <f t="shared" si="46"/>
        <v>36.944922310005992</v>
      </c>
      <c r="O59" s="11">
        <f t="shared" si="46"/>
        <v>29.561097297015326</v>
      </c>
      <c r="P59" s="11">
        <f t="shared" si="46"/>
        <v>25.141592369147656</v>
      </c>
      <c r="Q59" s="11">
        <f t="shared" si="46"/>
        <v>20.704990535567152</v>
      </c>
      <c r="R59" s="11">
        <f>R56*$I59</f>
        <v>25.100194265133819</v>
      </c>
      <c r="S59" s="11">
        <v>0</v>
      </c>
      <c r="T59" s="11">
        <v>0</v>
      </c>
      <c r="U59" s="11">
        <v>0</v>
      </c>
      <c r="V59" s="11">
        <v>0</v>
      </c>
    </row>
    <row r="60" spans="8:25" x14ac:dyDescent="0.25">
      <c r="H60" s="26" t="s">
        <v>120</v>
      </c>
      <c r="I60" s="27">
        <v>5.0473552976515908E-2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</row>
    <row r="61" spans="8:25" x14ac:dyDescent="0.25">
      <c r="H61" s="35" t="s">
        <v>121</v>
      </c>
      <c r="I61" s="27">
        <v>4.9689552976515908E-2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</row>
    <row r="62" spans="8:25" x14ac:dyDescent="0.25">
      <c r="H62" s="26" t="s">
        <v>122</v>
      </c>
      <c r="I62" s="27">
        <v>5.755255297651591E-2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f>S56*$I62</f>
        <v>32.351590741912126</v>
      </c>
      <c r="T62" s="11">
        <f t="shared" ref="T62:V62" si="47">T56*$I62</f>
        <v>37.098160466194948</v>
      </c>
      <c r="U62" s="11">
        <f t="shared" si="47"/>
        <v>35.415393375536603</v>
      </c>
      <c r="V62" s="11">
        <f t="shared" si="47"/>
        <v>27.097417925725541</v>
      </c>
    </row>
    <row r="63" spans="8:25" x14ac:dyDescent="0.25">
      <c r="H63" s="26" t="s">
        <v>123</v>
      </c>
      <c r="I63" s="27">
        <v>9.0437552976515914E-2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</row>
    <row r="64" spans="8:25" x14ac:dyDescent="0.25">
      <c r="H64" s="35" t="s">
        <v>156</v>
      </c>
      <c r="I64" s="27">
        <v>9.3330552976515907E-2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64" t="s">
        <v>112</v>
      </c>
      <c r="I65" s="27">
        <v>3.1718000000000003E-2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f>S56*$I65</f>
        <v>17.829404641192482</v>
      </c>
      <c r="T65" s="11">
        <f>T56*$I65</f>
        <v>20.445304209995879</v>
      </c>
      <c r="U65" s="11">
        <f>U56*$I65</f>
        <v>19.517908224568778</v>
      </c>
      <c r="V65" s="11">
        <f>V56*$I65</f>
        <v>14.933758057941731</v>
      </c>
    </row>
    <row r="66" spans="8:25" x14ac:dyDescent="0.25">
      <c r="H66" s="64"/>
      <c r="I66" s="27">
        <v>2.8812999999999998E-2</v>
      </c>
      <c r="K66" s="11">
        <f t="shared" ref="K66:R66" si="48">K56*$I66</f>
        <v>10.569243868282371</v>
      </c>
      <c r="L66" s="11">
        <f t="shared" si="48"/>
        <v>12.19916419336373</v>
      </c>
      <c r="M66" s="11">
        <f t="shared" si="48"/>
        <v>15.230001969826642</v>
      </c>
      <c r="N66" s="11">
        <f t="shared" si="48"/>
        <v>18.49603521415575</v>
      </c>
      <c r="O66" s="11">
        <f t="shared" si="48"/>
        <v>14.799411188005044</v>
      </c>
      <c r="P66" s="11">
        <f t="shared" si="48"/>
        <v>12.586838697283191</v>
      </c>
      <c r="Q66" s="11">
        <f t="shared" si="48"/>
        <v>10.365706844398815</v>
      </c>
      <c r="R66" s="11">
        <f t="shared" si="48"/>
        <v>12.566113229701633</v>
      </c>
      <c r="S66" s="11">
        <v>0</v>
      </c>
      <c r="T66" s="11">
        <v>0</v>
      </c>
      <c r="U66" s="11">
        <v>0</v>
      </c>
      <c r="V66" s="11">
        <v>0</v>
      </c>
    </row>
    <row r="67" spans="8:25" x14ac:dyDescent="0.25">
      <c r="H67" s="28" t="s">
        <v>144</v>
      </c>
      <c r="I67" s="29">
        <v>1.9511000000000001E-2</v>
      </c>
      <c r="K67" s="11">
        <f t="shared" ref="K67:V67" si="49">SUM(K58:K64)*$I67</f>
        <v>0.60701736909864945</v>
      </c>
      <c r="L67" s="11">
        <f t="shared" si="49"/>
        <v>0.67053905535280389</v>
      </c>
      <c r="M67" s="11">
        <f t="shared" si="49"/>
        <v>0.78865766726354614</v>
      </c>
      <c r="N67" s="11">
        <f t="shared" si="49"/>
        <v>0.9159423791905269</v>
      </c>
      <c r="O67" s="11">
        <f t="shared" si="49"/>
        <v>0.77187656936206595</v>
      </c>
      <c r="P67" s="11">
        <f t="shared" si="49"/>
        <v>0.68564760871443997</v>
      </c>
      <c r="Q67" s="11">
        <f t="shared" si="49"/>
        <v>0.59908507033945069</v>
      </c>
      <c r="R67" s="11">
        <f t="shared" si="49"/>
        <v>0.68483989030702608</v>
      </c>
      <c r="S67" s="11">
        <f t="shared" si="49"/>
        <v>0.82632188696544751</v>
      </c>
      <c r="T67" s="11">
        <f t="shared" si="49"/>
        <v>0.91893220885592963</v>
      </c>
      <c r="U67" s="11">
        <f t="shared" si="49"/>
        <v>0.88609974015009463</v>
      </c>
      <c r="V67" s="11">
        <f t="shared" si="49"/>
        <v>0.72380772114883096</v>
      </c>
    </row>
    <row r="68" spans="8:25" x14ac:dyDescent="0.25">
      <c r="H68" s="30" t="s">
        <v>145</v>
      </c>
      <c r="I68" s="31">
        <v>0.16881399999999999</v>
      </c>
      <c r="K68" s="11">
        <f t="shared" ref="K68:V68" si="50">SUM(K58:K64)*$I68</f>
        <v>5.2520644839843875</v>
      </c>
      <c r="L68" s="11">
        <f t="shared" si="50"/>
        <v>5.8016698319065263</v>
      </c>
      <c r="M68" s="11">
        <f t="shared" si="50"/>
        <v>6.8236612906272498</v>
      </c>
      <c r="N68" s="11">
        <f t="shared" si="50"/>
        <v>7.9249601148413511</v>
      </c>
      <c r="O68" s="11">
        <f t="shared" si="50"/>
        <v>6.6784670790983443</v>
      </c>
      <c r="P68" s="11">
        <f t="shared" si="50"/>
        <v>5.9323927742052929</v>
      </c>
      <c r="Q68" s="11">
        <f t="shared" si="50"/>
        <v>5.1834322722712329</v>
      </c>
      <c r="R68" s="11">
        <f t="shared" si="50"/>
        <v>5.925404194674301</v>
      </c>
      <c r="S68" s="11">
        <f t="shared" si="50"/>
        <v>7.1495414395051533</v>
      </c>
      <c r="T68" s="11">
        <f t="shared" si="50"/>
        <v>7.9508288609402333</v>
      </c>
      <c r="U68" s="11">
        <f t="shared" si="50"/>
        <v>7.6667542172978358</v>
      </c>
      <c r="V68" s="11">
        <f t="shared" si="50"/>
        <v>6.2625635097134307</v>
      </c>
    </row>
    <row r="69" spans="8:25" x14ac:dyDescent="0.25">
      <c r="H69" s="30" t="s">
        <v>115</v>
      </c>
      <c r="I69" s="34">
        <v>0.10766199999999999</v>
      </c>
      <c r="K69" s="11">
        <f t="shared" ref="K69:V69" si="51">SUM(K58:K64)*$I69</f>
        <v>3.3495312383731632</v>
      </c>
      <c r="L69" s="11">
        <f t="shared" si="51"/>
        <v>3.7000448863407085</v>
      </c>
      <c r="M69" s="11">
        <f t="shared" si="51"/>
        <v>4.3518252151569836</v>
      </c>
      <c r="N69" s="11">
        <f t="shared" si="51"/>
        <v>5.0541842257398653</v>
      </c>
      <c r="O69" s="11">
        <f t="shared" si="51"/>
        <v>4.2592268571912637</v>
      </c>
      <c r="P69" s="11">
        <f t="shared" si="51"/>
        <v>3.7834141176471752</v>
      </c>
      <c r="Q69" s="11">
        <f t="shared" si="51"/>
        <v>3.3057606910402306</v>
      </c>
      <c r="R69" s="11">
        <f t="shared" si="51"/>
        <v>3.7789571149728376</v>
      </c>
      <c r="S69" s="11">
        <f t="shared" si="51"/>
        <v>4.559656962455743</v>
      </c>
      <c r="T69" s="11">
        <f t="shared" si="51"/>
        <v>5.0706821521114804</v>
      </c>
      <c r="U69" s="11">
        <f t="shared" si="51"/>
        <v>4.8895120815970214</v>
      </c>
      <c r="V69" s="11">
        <f t="shared" si="51"/>
        <v>3.9939822087194625</v>
      </c>
    </row>
    <row r="70" spans="8:25" x14ac:dyDescent="0.25">
      <c r="H70" s="30" t="s">
        <v>116</v>
      </c>
      <c r="I70" s="31">
        <v>2.3567999999999999E-2</v>
      </c>
      <c r="K70" s="11">
        <f t="shared" ref="K70:V70" si="52">SUM(K58:K69)*$I70</f>
        <v>1.1993614430273629</v>
      </c>
      <c r="L70" s="11">
        <f t="shared" si="52"/>
        <v>1.3372164925173142</v>
      </c>
      <c r="M70" s="11">
        <f t="shared" si="52"/>
        <v>1.5935580358681847</v>
      </c>
      <c r="N70" s="11">
        <f t="shared" si="52"/>
        <v>1.8697918907410243</v>
      </c>
      <c r="O70" s="11">
        <f t="shared" si="52"/>
        <v>1.5571396216521587</v>
      </c>
      <c r="P70" s="11">
        <f t="shared" si="52"/>
        <v>1.3700051430430031</v>
      </c>
      <c r="Q70" s="11">
        <f t="shared" si="52"/>
        <v>1.1821467325481223</v>
      </c>
      <c r="R70" s="11">
        <f t="shared" si="52"/>
        <v>1.3682522289188017</v>
      </c>
      <c r="S70" s="11">
        <f t="shared" si="52"/>
        <v>1.7137828413584253</v>
      </c>
      <c r="T70" s="11">
        <f t="shared" si="52"/>
        <v>1.9204127413423846</v>
      </c>
      <c r="U70" s="11">
        <f t="shared" si="52"/>
        <v>1.847157734919495</v>
      </c>
      <c r="V70" s="11">
        <f t="shared" si="52"/>
        <v>1.4850557254471322</v>
      </c>
    </row>
    <row r="71" spans="8:25" x14ac:dyDescent="0.25">
      <c r="K71" s="11">
        <f>SUM(K58:K70)</f>
        <v>52.088764151248803</v>
      </c>
      <c r="L71" s="11">
        <f>SUM(L58:L70)</f>
        <v>58.075866039246534</v>
      </c>
      <c r="M71" s="41">
        <f>SUM(M58:M70)</f>
        <v>69.208885423350566</v>
      </c>
      <c r="N71" s="41">
        <f t="shared" ref="N71" si="53">SUM(N58:N70)</f>
        <v>81.205836134674513</v>
      </c>
      <c r="O71" s="11">
        <f t="shared" ref="O71" si="54">SUM(O58:O70)</f>
        <v>67.627218612324199</v>
      </c>
      <c r="P71" s="11">
        <f t="shared" ref="P71" si="55">SUM(P58:P70)</f>
        <v>59.499890710040759</v>
      </c>
      <c r="Q71" s="11">
        <f t="shared" ref="Q71" si="56">SUM(Q58:Q70)</f>
        <v>51.341122146164992</v>
      </c>
      <c r="R71" s="11">
        <f t="shared" ref="R71" si="57">SUM(R58:R70)</f>
        <v>59.423760923708421</v>
      </c>
      <c r="S71" s="11">
        <f t="shared" ref="S71" si="58">SUM(S58:S70)</f>
        <v>74.430298513389374</v>
      </c>
      <c r="T71" s="11">
        <f t="shared" ref="T71" si="59">SUM(T58:T70)</f>
        <v>83.404320639440854</v>
      </c>
      <c r="U71" s="11">
        <f t="shared" ref="U71" si="60">SUM(U58:U70)</f>
        <v>80.222825374069828</v>
      </c>
      <c r="V71" s="11">
        <f>SUM(V58:V70)</f>
        <v>64.496585148696127</v>
      </c>
      <c r="W71" s="11">
        <f>SUM(K71:V71)/12</f>
        <v>66.752114484696236</v>
      </c>
      <c r="X71" s="3">
        <f>W71/W20-1</f>
        <v>3.726017982877905E-2</v>
      </c>
      <c r="Y71" s="11">
        <f>W71-W20</f>
        <v>2.3978514147352996</v>
      </c>
    </row>
  </sheetData>
  <mergeCells count="8">
    <mergeCell ref="H57:I57"/>
    <mergeCell ref="H65:H66"/>
    <mergeCell ref="H31:H32"/>
    <mergeCell ref="H23:I23"/>
    <mergeCell ref="H6:I6"/>
    <mergeCell ref="H14:H15"/>
    <mergeCell ref="H40:I40"/>
    <mergeCell ref="H48:H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6:F22"/>
  <sheetViews>
    <sheetView tabSelected="1" workbookViewId="0">
      <selection activeCell="F8" sqref="F8"/>
    </sheetView>
  </sheetViews>
  <sheetFormatPr defaultColWidth="11" defaultRowHeight="15.75" x14ac:dyDescent="0.25"/>
  <cols>
    <col min="2" max="2" width="13.625" customWidth="1"/>
    <col min="3" max="3" width="11.625" customWidth="1"/>
    <col min="5" max="5" width="13.125" customWidth="1"/>
  </cols>
  <sheetData>
    <row r="6" spans="2:6" ht="16.5" thickBot="1" x14ac:dyDescent="0.3">
      <c r="B6" s="12" t="s">
        <v>143</v>
      </c>
      <c r="E6" t="s">
        <v>155</v>
      </c>
    </row>
    <row r="7" spans="2:6" ht="31.5" x14ac:dyDescent="0.25">
      <c r="B7" s="44" t="s">
        <v>141</v>
      </c>
      <c r="C7" s="45" t="s">
        <v>142</v>
      </c>
      <c r="D7" s="4"/>
      <c r="E7" s="44" t="s">
        <v>141</v>
      </c>
      <c r="F7" s="45" t="s">
        <v>142</v>
      </c>
    </row>
    <row r="8" spans="2:6" x14ac:dyDescent="0.25">
      <c r="B8" s="46">
        <v>100</v>
      </c>
      <c r="C8" s="53">
        <f>'Bill Impacts 100'!X54</f>
        <v>0.44795156169626238</v>
      </c>
      <c r="D8" s="4"/>
      <c r="E8" s="46">
        <v>100</v>
      </c>
      <c r="F8" s="53">
        <f>'Bill Impacts 100'!X72</f>
        <v>3.6526679674393492E-2</v>
      </c>
    </row>
    <row r="9" spans="2:6" x14ac:dyDescent="0.25">
      <c r="B9" s="46">
        <v>200</v>
      </c>
      <c r="C9" s="53">
        <f>'Bill Impacts 200'!X54</f>
        <v>0.2904727404516867</v>
      </c>
      <c r="D9" s="4"/>
      <c r="E9" s="46">
        <v>200</v>
      </c>
      <c r="F9" s="53">
        <f>'Bill Impacts 200'!X72</f>
        <v>3.6879714032726829E-2</v>
      </c>
    </row>
    <row r="10" spans="2:6" x14ac:dyDescent="0.25">
      <c r="B10" s="46">
        <v>300</v>
      </c>
      <c r="C10" s="53">
        <f>'Bill Impacts 300'!X54</f>
        <v>0.2072321171080107</v>
      </c>
      <c r="D10" s="4"/>
      <c r="E10" s="46">
        <v>300</v>
      </c>
      <c r="F10" s="53">
        <f>'Bill Impacts 300'!X72</f>
        <v>3.70663219830345E-2</v>
      </c>
    </row>
    <row r="11" spans="2:6" x14ac:dyDescent="0.25">
      <c r="B11" s="47">
        <v>400</v>
      </c>
      <c r="C11" s="51">
        <f>'Bill Impacts 400'!X54</f>
        <v>0.15574740288704758</v>
      </c>
      <c r="D11" s="4"/>
      <c r="E11" s="47">
        <v>400</v>
      </c>
      <c r="F11" s="51">
        <f>'Bill Impacts 400'!X72</f>
        <v>3.7181739871645636E-2</v>
      </c>
    </row>
    <row r="12" spans="2:6" x14ac:dyDescent="0.25">
      <c r="B12" s="47">
        <v>500</v>
      </c>
      <c r="C12" s="51">
        <f>'Bill Impacts 500'!X54</f>
        <v>0.12075751678575553</v>
      </c>
      <c r="D12" s="4"/>
      <c r="E12" s="47">
        <v>500</v>
      </c>
      <c r="F12" s="51">
        <f>'Bill Impacts 500'!X71</f>
        <v>3.726017982877905E-2</v>
      </c>
    </row>
    <row r="13" spans="2:6" x14ac:dyDescent="0.25">
      <c r="B13" s="48">
        <v>673</v>
      </c>
      <c r="C13" s="51">
        <f>'Bill Impacts Low'!X54</f>
        <v>7.7512769833165684E-2</v>
      </c>
      <c r="D13" s="4"/>
      <c r="E13" s="48">
        <v>673</v>
      </c>
      <c r="F13" s="51">
        <f>'Bill Impacts Low'!X72</f>
        <v>3.4734681241067822E-2</v>
      </c>
    </row>
    <row r="14" spans="2:6" x14ac:dyDescent="0.25">
      <c r="B14" s="48">
        <v>800</v>
      </c>
      <c r="C14" s="51">
        <f>'Bill Impacts 800'!X58</f>
        <v>5.4423257858707164E-2</v>
      </c>
      <c r="D14" s="4"/>
      <c r="E14" s="48">
        <v>800</v>
      </c>
      <c r="F14" s="51">
        <f>'Bill Impacts 800'!X77</f>
        <v>3.1680306904493305E-2</v>
      </c>
    </row>
    <row r="15" spans="2:6" x14ac:dyDescent="0.25">
      <c r="B15" s="49">
        <v>1000</v>
      </c>
      <c r="C15" s="51">
        <f>'Bill Impacts Avg'!X57</f>
        <v>3.1487720395512397E-2</v>
      </c>
      <c r="D15" s="4"/>
      <c r="E15" s="49">
        <v>1000</v>
      </c>
      <c r="F15" s="51">
        <f>'Bill Impacts Avg'!X74</f>
        <v>2.985843886320283E-2</v>
      </c>
    </row>
    <row r="16" spans="2:6" x14ac:dyDescent="0.25">
      <c r="B16" s="47">
        <v>1200</v>
      </c>
      <c r="C16" s="51">
        <f>'Bill Impacts 1200'!X58</f>
        <v>1.5889445187249329E-2</v>
      </c>
      <c r="D16" s="4"/>
      <c r="E16" s="47">
        <v>1200</v>
      </c>
      <c r="F16" s="51">
        <f>'Bill Impacts 1200'!X76</f>
        <v>2.861398827384054E-2</v>
      </c>
    </row>
    <row r="17" spans="2:6" x14ac:dyDescent="0.25">
      <c r="B17" s="47">
        <v>1500</v>
      </c>
      <c r="C17" s="51">
        <f>'Bill Impacts 1500'!X58</f>
        <v>-1.4055426800686499E-3</v>
      </c>
      <c r="D17" s="4"/>
      <c r="E17" s="47">
        <v>1500</v>
      </c>
      <c r="F17" s="51">
        <f>'Bill Impacts 1500'!X76</f>
        <v>2.5436505161951617E-2</v>
      </c>
    </row>
    <row r="18" spans="2:6" x14ac:dyDescent="0.25">
      <c r="B18" s="49">
        <v>1837</v>
      </c>
      <c r="C18" s="51">
        <f>'Bill Impacts High'!X57</f>
        <v>-1.2959001073966192E-2</v>
      </c>
      <c r="D18" s="4"/>
      <c r="E18" s="49">
        <v>1837</v>
      </c>
      <c r="F18" s="51">
        <f>'Bill Impacts High'!X75</f>
        <v>2.4555874398825894E-2</v>
      </c>
    </row>
    <row r="19" spans="2:6" x14ac:dyDescent="0.25">
      <c r="B19" s="47">
        <v>2000</v>
      </c>
      <c r="C19" s="51">
        <f>'Bill Impacts 2000'!X56</f>
        <v>-1.719312479156343E-2</v>
      </c>
      <c r="D19" s="4"/>
      <c r="E19" s="47">
        <v>2000</v>
      </c>
      <c r="F19" s="51">
        <f>'Bill Impacts 2000'!X74</f>
        <v>2.4233139900334155E-2</v>
      </c>
    </row>
    <row r="20" spans="2:6" ht="16.5" thickBot="1" x14ac:dyDescent="0.3">
      <c r="B20" s="50">
        <v>2500</v>
      </c>
      <c r="C20" s="52">
        <f>'Bill Impacts 2500'!Y56</f>
        <v>-2.6795362985387428E-2</v>
      </c>
      <c r="D20" s="4"/>
      <c r="E20" s="50">
        <v>2500</v>
      </c>
      <c r="F20" s="52">
        <f>'Bill Impacts 2500'!Y74</f>
        <v>2.3501235559655331E-2</v>
      </c>
    </row>
    <row r="21" spans="2:6" x14ac:dyDescent="0.25">
      <c r="B21" s="4"/>
      <c r="C21" s="4"/>
      <c r="D21" s="4"/>
      <c r="E21" s="4"/>
    </row>
    <row r="22" spans="2:6" x14ac:dyDescent="0.25">
      <c r="B22" s="4"/>
      <c r="C22" s="4"/>
      <c r="D22" s="4"/>
      <c r="E2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4"/>
  <sheetViews>
    <sheetView topLeftCell="G1" workbookViewId="0">
      <selection activeCell="K2" sqref="K2:V2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10.875" customWidth="1"/>
    <col min="8" max="8" width="22.875" customWidth="1"/>
    <col min="10" max="10" width="16.625" customWidth="1"/>
  </cols>
  <sheetData>
    <row r="1" spans="1:23" x14ac:dyDescent="0.25">
      <c r="J1" s="61" t="s">
        <v>157</v>
      </c>
      <c r="K1" s="62" t="s">
        <v>162</v>
      </c>
    </row>
    <row r="2" spans="1:23" x14ac:dyDescent="0.25">
      <c r="J2" s="12" t="s">
        <v>139</v>
      </c>
      <c r="K2" s="39">
        <v>1394.0654356041343</v>
      </c>
      <c r="L2" s="40">
        <v>1410.4533202632863</v>
      </c>
      <c r="M2" s="40">
        <v>1702.1438344441153</v>
      </c>
      <c r="N2" s="40">
        <v>1832.1838630115997</v>
      </c>
      <c r="O2" s="40">
        <v>1490.426203749834</v>
      </c>
      <c r="P2" s="40">
        <v>1418.3403290732858</v>
      </c>
      <c r="Q2" s="40">
        <v>1399.3870188079236</v>
      </c>
      <c r="R2" s="40">
        <v>1853.110967795159</v>
      </c>
      <c r="S2" s="40">
        <v>2411.4689778696211</v>
      </c>
      <c r="T2" s="40">
        <v>2686.5222603297152</v>
      </c>
      <c r="U2" s="40">
        <v>2530.6988352112639</v>
      </c>
      <c r="V2" s="40">
        <v>1912.9185575978295</v>
      </c>
      <c r="W2" s="40">
        <f>SUM(K2:V2)</f>
        <v>22041.719603757767</v>
      </c>
    </row>
    <row r="3" spans="1:23" x14ac:dyDescent="0.25">
      <c r="A3" t="s">
        <v>1</v>
      </c>
      <c r="B3" t="s">
        <v>2</v>
      </c>
      <c r="J3" s="12" t="s">
        <v>161</v>
      </c>
      <c r="K3" s="39">
        <f>K2*($W3/$W2)</f>
        <v>1517.9201557756517</v>
      </c>
      <c r="L3" s="39">
        <f t="shared" ref="L3:V3" si="0">L2*($W3/$W2)</f>
        <v>1535.7640100161618</v>
      </c>
      <c r="M3" s="39">
        <f t="shared" si="0"/>
        <v>1853.3695537844624</v>
      </c>
      <c r="N3" s="39">
        <f t="shared" si="0"/>
        <v>1994.9628932209894</v>
      </c>
      <c r="O3" s="39">
        <f t="shared" si="0"/>
        <v>1622.842025623888</v>
      </c>
      <c r="P3" s="39">
        <f t="shared" si="0"/>
        <v>1544.3517343336291</v>
      </c>
      <c r="Q3" s="39">
        <f t="shared" si="0"/>
        <v>1523.7145311323352</v>
      </c>
      <c r="R3" s="39">
        <f t="shared" si="0"/>
        <v>2017.7492512653862</v>
      </c>
      <c r="S3" s="39">
        <f t="shared" si="0"/>
        <v>2625.7141688257429</v>
      </c>
      <c r="T3" s="39">
        <f t="shared" si="0"/>
        <v>2925.2043582353226</v>
      </c>
      <c r="U3" s="39">
        <f t="shared" si="0"/>
        <v>2755.5369153101683</v>
      </c>
      <c r="V3" s="39">
        <f t="shared" si="0"/>
        <v>2082.8704024762646</v>
      </c>
      <c r="W3">
        <f>2000*12</f>
        <v>24000</v>
      </c>
    </row>
    <row r="4" spans="1:23" x14ac:dyDescent="0.25">
      <c r="A4" t="s">
        <v>3</v>
      </c>
      <c r="B4" t="s">
        <v>4</v>
      </c>
    </row>
    <row r="5" spans="1:23" x14ac:dyDescent="0.25">
      <c r="A5" t="s">
        <v>5</v>
      </c>
      <c r="B5" t="s">
        <v>1</v>
      </c>
      <c r="C5" t="s">
        <v>2</v>
      </c>
    </row>
    <row r="6" spans="1:23" x14ac:dyDescent="0.25">
      <c r="A6" t="s">
        <v>0</v>
      </c>
      <c r="J6" s="12" t="s">
        <v>3</v>
      </c>
      <c r="K6" s="39">
        <v>1517.9201557756517</v>
      </c>
      <c r="L6" s="40">
        <v>1535.7640100161618</v>
      </c>
      <c r="M6" s="40">
        <v>1853.3695537844624</v>
      </c>
      <c r="N6" s="40">
        <v>1994.9628932209894</v>
      </c>
      <c r="O6" s="40">
        <v>1622.842025623888</v>
      </c>
      <c r="P6" s="40">
        <v>1544.3517343336291</v>
      </c>
      <c r="Q6" s="40">
        <v>1523.7145311323352</v>
      </c>
      <c r="R6" s="40">
        <v>2017.7492512653862</v>
      </c>
      <c r="S6" s="40">
        <v>2625.7141688257429</v>
      </c>
      <c r="T6" s="40">
        <v>2925.2043582353226</v>
      </c>
      <c r="U6" s="40">
        <v>2755.5369153101683</v>
      </c>
      <c r="V6" s="40">
        <v>2082.8704024762646</v>
      </c>
      <c r="W6" s="40">
        <f>SUM(K6:V6)</f>
        <v>24000</v>
      </c>
    </row>
    <row r="7" spans="1:23" ht="16.5" thickBot="1" x14ac:dyDescent="0.3">
      <c r="A7" t="s">
        <v>6</v>
      </c>
      <c r="B7" t="s">
        <v>7</v>
      </c>
      <c r="C7" t="s">
        <v>8</v>
      </c>
      <c r="H7" s="63" t="s">
        <v>117</v>
      </c>
      <c r="I7" s="63"/>
      <c r="J7" s="12" t="s">
        <v>136</v>
      </c>
      <c r="K7" s="37" t="s">
        <v>124</v>
      </c>
      <c r="L7" s="37" t="s">
        <v>125</v>
      </c>
      <c r="M7" s="37" t="s">
        <v>126</v>
      </c>
      <c r="N7" s="37" t="s">
        <v>127</v>
      </c>
      <c r="O7" s="37" t="s">
        <v>128</v>
      </c>
      <c r="P7" s="37" t="s">
        <v>129</v>
      </c>
      <c r="Q7" s="37" t="s">
        <v>130</v>
      </c>
      <c r="R7" s="37" t="s">
        <v>131</v>
      </c>
      <c r="S7" s="37" t="s">
        <v>132</v>
      </c>
      <c r="T7" s="37" t="s">
        <v>133</v>
      </c>
      <c r="U7" s="37" t="s">
        <v>134</v>
      </c>
      <c r="V7" s="37" t="s">
        <v>135</v>
      </c>
    </row>
    <row r="8" spans="1:23" x14ac:dyDescent="0.25">
      <c r="A8" t="s">
        <v>9</v>
      </c>
      <c r="B8" t="s">
        <v>1</v>
      </c>
      <c r="H8" s="32" t="s">
        <v>118</v>
      </c>
      <c r="I8" s="33">
        <v>10</v>
      </c>
      <c r="K8" s="11">
        <f>$I8</f>
        <v>10</v>
      </c>
      <c r="L8" s="11">
        <f t="shared" ref="L8:V8" si="1">$I8</f>
        <v>10</v>
      </c>
      <c r="M8" s="11">
        <f t="shared" si="1"/>
        <v>10</v>
      </c>
      <c r="N8" s="11">
        <f t="shared" si="1"/>
        <v>10</v>
      </c>
      <c r="O8" s="11">
        <f t="shared" si="1"/>
        <v>10</v>
      </c>
      <c r="P8" s="11">
        <f t="shared" si="1"/>
        <v>10</v>
      </c>
      <c r="Q8" s="11">
        <f t="shared" si="1"/>
        <v>10</v>
      </c>
      <c r="R8" s="11">
        <f t="shared" si="1"/>
        <v>10</v>
      </c>
      <c r="S8" s="11">
        <f t="shared" si="1"/>
        <v>10</v>
      </c>
      <c r="T8" s="11">
        <f t="shared" si="1"/>
        <v>10</v>
      </c>
      <c r="U8" s="11">
        <f t="shared" si="1"/>
        <v>10</v>
      </c>
      <c r="V8" s="11">
        <f t="shared" si="1"/>
        <v>10</v>
      </c>
    </row>
    <row r="9" spans="1:23" x14ac:dyDescent="0.25">
      <c r="A9" t="s">
        <v>2</v>
      </c>
      <c r="B9" t="s">
        <v>0</v>
      </c>
      <c r="H9" s="26" t="s">
        <v>119</v>
      </c>
      <c r="I9" s="27">
        <v>5.6582E-2</v>
      </c>
      <c r="K9" s="11">
        <f>650*$I9</f>
        <v>36.778300000000002</v>
      </c>
      <c r="L9" s="11">
        <f t="shared" ref="L9:R9" si="2">650*$I9</f>
        <v>36.778300000000002</v>
      </c>
      <c r="M9" s="11">
        <f t="shared" si="2"/>
        <v>36.778300000000002</v>
      </c>
      <c r="N9" s="11">
        <f t="shared" si="2"/>
        <v>36.778300000000002</v>
      </c>
      <c r="O9" s="11">
        <f t="shared" si="2"/>
        <v>36.778300000000002</v>
      </c>
      <c r="P9" s="11">
        <f t="shared" si="2"/>
        <v>36.778300000000002</v>
      </c>
      <c r="Q9" s="11">
        <f t="shared" si="2"/>
        <v>36.778300000000002</v>
      </c>
      <c r="R9" s="11">
        <f t="shared" si="2"/>
        <v>36.778300000000002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1</v>
      </c>
      <c r="B10" t="s">
        <v>2</v>
      </c>
      <c r="H10" s="26" t="s">
        <v>120</v>
      </c>
      <c r="I10" s="27">
        <v>4.8533E-2</v>
      </c>
      <c r="K10" s="11">
        <f>350*$I10</f>
        <v>16.986550000000001</v>
      </c>
      <c r="L10" s="11">
        <f t="shared" ref="L10:R10" si="3">350*$I10</f>
        <v>16.986550000000001</v>
      </c>
      <c r="M10" s="11">
        <f t="shared" si="3"/>
        <v>16.986550000000001</v>
      </c>
      <c r="N10" s="11">
        <f t="shared" si="3"/>
        <v>16.986550000000001</v>
      </c>
      <c r="O10" s="11">
        <f t="shared" si="3"/>
        <v>16.986550000000001</v>
      </c>
      <c r="P10" s="11">
        <f t="shared" si="3"/>
        <v>16.986550000000001</v>
      </c>
      <c r="Q10" s="11">
        <f t="shared" si="3"/>
        <v>16.986550000000001</v>
      </c>
      <c r="R10" s="11">
        <f t="shared" si="3"/>
        <v>16.986550000000001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A11" t="s">
        <v>0</v>
      </c>
      <c r="B11" t="s">
        <v>10</v>
      </c>
      <c r="H11" s="35" t="s">
        <v>121</v>
      </c>
      <c r="I11" s="27">
        <v>4.7641000000000003E-2</v>
      </c>
      <c r="K11" s="11">
        <f t="shared" ref="K11:R11" si="4">(K6-1000)*$I11</f>
        <v>24.674234141307821</v>
      </c>
      <c r="L11" s="11">
        <f t="shared" si="4"/>
        <v>25.524333201179967</v>
      </c>
      <c r="M11" s="11">
        <f>(M6-1000)*$I11</f>
        <v>40.655378911845574</v>
      </c>
      <c r="N11" s="11">
        <f t="shared" si="4"/>
        <v>47.401027195941154</v>
      </c>
      <c r="O11" s="11">
        <f t="shared" si="4"/>
        <v>29.672816942747652</v>
      </c>
      <c r="P11" s="11">
        <f t="shared" si="4"/>
        <v>25.933460975388424</v>
      </c>
      <c r="Q11" s="11">
        <f t="shared" si="4"/>
        <v>24.950283977675582</v>
      </c>
      <c r="R11" s="11">
        <f t="shared" si="4"/>
        <v>48.486592079534269</v>
      </c>
      <c r="S11" s="11">
        <v>0</v>
      </c>
      <c r="T11" s="11">
        <v>0</v>
      </c>
      <c r="U11" s="11">
        <v>0</v>
      </c>
      <c r="V11" s="11">
        <v>0</v>
      </c>
    </row>
    <row r="12" spans="1:23" x14ac:dyDescent="0.25">
      <c r="H12" s="26" t="s">
        <v>122</v>
      </c>
      <c r="I12" s="27">
        <v>5.6582E-2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>650*$I12</f>
        <v>36.778300000000002</v>
      </c>
      <c r="T12" s="11">
        <f t="shared" ref="T12:V12" si="5">650*$I12</f>
        <v>36.778300000000002</v>
      </c>
      <c r="U12" s="11">
        <f t="shared" si="5"/>
        <v>36.778300000000002</v>
      </c>
      <c r="V12" s="11">
        <f t="shared" si="5"/>
        <v>36.778300000000002</v>
      </c>
    </row>
    <row r="13" spans="1:23" x14ac:dyDescent="0.25">
      <c r="A13" s="21" t="s">
        <v>109</v>
      </c>
      <c r="B13" s="21" t="s">
        <v>110</v>
      </c>
      <c r="C13" s="22"/>
      <c r="D13" s="22"/>
      <c r="E13" s="22"/>
      <c r="F13" s="21" t="s">
        <v>111</v>
      </c>
      <c r="H13" s="26" t="s">
        <v>123</v>
      </c>
      <c r="I13" s="27">
        <v>9.3982999999999997E-2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f>350*$I13</f>
        <v>32.89405</v>
      </c>
      <c r="T13" s="11">
        <f t="shared" ref="T13:V13" si="6">350*$I13</f>
        <v>32.89405</v>
      </c>
      <c r="U13" s="11">
        <f t="shared" si="6"/>
        <v>32.89405</v>
      </c>
      <c r="V13" s="11">
        <f t="shared" si="6"/>
        <v>32.89405</v>
      </c>
    </row>
    <row r="14" spans="1:23" x14ac:dyDescent="0.25">
      <c r="A14" s="22" t="s">
        <v>11</v>
      </c>
      <c r="B14" s="22">
        <v>673</v>
      </c>
      <c r="C14" s="23">
        <v>83.88</v>
      </c>
      <c r="D14" s="23">
        <v>92.33</v>
      </c>
      <c r="E14" s="23">
        <v>8.4499999999999993</v>
      </c>
      <c r="F14" s="24">
        <f>D14/C14-1</f>
        <v>0.10073915116833576</v>
      </c>
      <c r="H14" s="35" t="s">
        <v>156</v>
      </c>
      <c r="I14" s="27">
        <v>9.7272999999999998E-2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(S6-1000)*$I14</f>
        <v>158.1380943441865</v>
      </c>
      <c r="T14" s="11">
        <f t="shared" ref="T14:V14" si="7">(T6-1000)*$I14</f>
        <v>187.27040353862452</v>
      </c>
      <c r="U14" s="11">
        <f t="shared" si="7"/>
        <v>170.76634236296599</v>
      </c>
      <c r="V14" s="11">
        <f t="shared" si="7"/>
        <v>105.3340526600737</v>
      </c>
    </row>
    <row r="15" spans="1:23" x14ac:dyDescent="0.25">
      <c r="A15" s="22" t="s">
        <v>12</v>
      </c>
      <c r="B15" s="25">
        <v>1000</v>
      </c>
      <c r="C15" s="23">
        <v>123.31</v>
      </c>
      <c r="D15" s="23">
        <v>133.09</v>
      </c>
      <c r="E15" s="23">
        <v>9.7799999999999994</v>
      </c>
      <c r="F15" s="24">
        <f t="shared" ref="F15:F16" si="8">D15/C15-1</f>
        <v>7.9312302327467332E-2</v>
      </c>
      <c r="H15" s="64" t="s">
        <v>112</v>
      </c>
      <c r="I15" s="27">
        <v>3.1718000000000003E-2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f>S6*$I15</f>
        <v>83.28240200681492</v>
      </c>
      <c r="T15" s="11">
        <f>T6*$I15</f>
        <v>92.781631834507976</v>
      </c>
      <c r="U15" s="11">
        <f>U6*$I15</f>
        <v>87.400119879807932</v>
      </c>
      <c r="V15" s="11">
        <f>V6*$I15</f>
        <v>66.064483425742168</v>
      </c>
    </row>
    <row r="16" spans="1:23" x14ac:dyDescent="0.25">
      <c r="A16" s="22" t="s">
        <v>13</v>
      </c>
      <c r="B16" s="25">
        <v>1837</v>
      </c>
      <c r="C16" s="23">
        <v>225.4</v>
      </c>
      <c r="D16" s="23">
        <v>238.64</v>
      </c>
      <c r="E16" s="23">
        <v>13.24</v>
      </c>
      <c r="F16" s="24">
        <f t="shared" si="8"/>
        <v>5.8740017746228945E-2</v>
      </c>
      <c r="H16" s="64"/>
      <c r="I16" s="27">
        <v>2.8812999999999998E-2</v>
      </c>
      <c r="K16" s="11">
        <f t="shared" ref="K16:R16" si="9">K6*$I16</f>
        <v>43.735833448363849</v>
      </c>
      <c r="L16" s="11">
        <f t="shared" si="9"/>
        <v>44.249968420595671</v>
      </c>
      <c r="M16" s="11">
        <f t="shared" si="9"/>
        <v>53.40113695319171</v>
      </c>
      <c r="N16" s="11">
        <f t="shared" si="9"/>
        <v>57.48086584237636</v>
      </c>
      <c r="O16" s="11">
        <f t="shared" si="9"/>
        <v>46.758947284301087</v>
      </c>
      <c r="P16" s="11">
        <f t="shared" si="9"/>
        <v>44.497406521354854</v>
      </c>
      <c r="Q16" s="11">
        <f t="shared" si="9"/>
        <v>43.902786785515971</v>
      </c>
      <c r="R16" s="11">
        <f t="shared" si="9"/>
        <v>58.137409176709568</v>
      </c>
      <c r="S16" s="11">
        <v>0</v>
      </c>
      <c r="T16" s="11">
        <v>0</v>
      </c>
      <c r="U16" s="11">
        <v>0</v>
      </c>
      <c r="V16" s="11">
        <v>0</v>
      </c>
    </row>
    <row r="17" spans="1:24" x14ac:dyDescent="0.25">
      <c r="F17" s="3"/>
      <c r="H17" s="28" t="s">
        <v>113</v>
      </c>
      <c r="I17" s="29">
        <v>1.6721E-2</v>
      </c>
      <c r="K17" s="11">
        <f t="shared" ref="K17:V17" si="10">SUM(K8:K14)*$I17</f>
        <v>1.4787899259268082</v>
      </c>
      <c r="L17" s="11">
        <f t="shared" si="10"/>
        <v>1.4930044323069303</v>
      </c>
      <c r="M17" s="11">
        <f t="shared" si="10"/>
        <v>1.7460106476349699</v>
      </c>
      <c r="N17" s="11">
        <f t="shared" si="10"/>
        <v>1.8588046325933321</v>
      </c>
      <c r="O17" s="11">
        <f t="shared" si="10"/>
        <v>1.5623712289496836</v>
      </c>
      <c r="P17" s="11">
        <f t="shared" si="10"/>
        <v>1.4998454578194698</v>
      </c>
      <c r="Q17" s="11">
        <f t="shared" si="10"/>
        <v>1.4834057552407134</v>
      </c>
      <c r="R17" s="11">
        <f t="shared" si="10"/>
        <v>1.8769563630118926</v>
      </c>
      <c r="S17" s="11">
        <f t="shared" si="10"/>
        <v>3.9764284398791423</v>
      </c>
      <c r="T17" s="11">
        <f t="shared" si="10"/>
        <v>4.4635497819193404</v>
      </c>
      <c r="U17" s="11">
        <f t="shared" si="10"/>
        <v>4.187585375001154</v>
      </c>
      <c r="V17" s="11">
        <f t="shared" si="10"/>
        <v>3.0934920588790922</v>
      </c>
    </row>
    <row r="18" spans="1:24" x14ac:dyDescent="0.25">
      <c r="A18" t="s">
        <v>60</v>
      </c>
      <c r="B18">
        <v>1014</v>
      </c>
      <c r="C18" s="1">
        <v>122.26</v>
      </c>
      <c r="D18" s="1">
        <v>131.97999999999999</v>
      </c>
      <c r="E18" s="1">
        <f>D18-C18</f>
        <v>9.7199999999999847</v>
      </c>
      <c r="F18" s="3">
        <f>D18/C18-1</f>
        <v>7.9502699165712398E-2</v>
      </c>
      <c r="H18" s="30" t="s">
        <v>114</v>
      </c>
      <c r="I18" s="31">
        <v>0.12767999999999999</v>
      </c>
      <c r="K18" s="11">
        <f t="shared" ref="K18:V18" si="11">SUM(K8:K14)*$I18</f>
        <v>11.291902263162182</v>
      </c>
      <c r="L18" s="11">
        <f t="shared" si="11"/>
        <v>11.400442911126657</v>
      </c>
      <c r="M18" s="11">
        <f t="shared" si="11"/>
        <v>13.332374827464443</v>
      </c>
      <c r="N18" s="11">
        <f t="shared" si="11"/>
        <v>14.193659200377766</v>
      </c>
      <c r="O18" s="11">
        <f t="shared" si="11"/>
        <v>11.93012131525002</v>
      </c>
      <c r="P18" s="11">
        <f t="shared" si="11"/>
        <v>11.452680345337592</v>
      </c>
      <c r="Q18" s="11">
        <f t="shared" si="11"/>
        <v>11.327148306269617</v>
      </c>
      <c r="R18" s="11">
        <f t="shared" si="11"/>
        <v>14.332264124714934</v>
      </c>
      <c r="S18" s="11">
        <f t="shared" si="11"/>
        <v>30.363637533865727</v>
      </c>
      <c r="T18" s="11">
        <f t="shared" si="11"/>
        <v>34.083250771811578</v>
      </c>
      <c r="U18" s="11">
        <f t="shared" si="11"/>
        <v>31.976012240903493</v>
      </c>
      <c r="V18" s="11">
        <f t="shared" si="11"/>
        <v>23.621617491638208</v>
      </c>
    </row>
    <row r="19" spans="1:24" x14ac:dyDescent="0.25">
      <c r="B19">
        <v>1014</v>
      </c>
      <c r="C19" s="1">
        <v>122.26</v>
      </c>
      <c r="D19" s="1">
        <v>131.81</v>
      </c>
      <c r="E19" s="1">
        <f>D19-C19</f>
        <v>9.5499999999999972</v>
      </c>
      <c r="F19" s="3">
        <f>D19/C19-1</f>
        <v>7.8112219859316268E-2</v>
      </c>
      <c r="H19" s="30" t="s">
        <v>115</v>
      </c>
      <c r="I19" s="34">
        <v>0.10766199999999999</v>
      </c>
      <c r="K19" s="11">
        <f t="shared" ref="K19:V19" si="12">SUM(K8:K14)*$I19</f>
        <v>9.5215286768214824</v>
      </c>
      <c r="L19" s="11">
        <f t="shared" si="12"/>
        <v>9.613052041805437</v>
      </c>
      <c r="M19" s="11">
        <f t="shared" si="12"/>
        <v>11.242090685107119</v>
      </c>
      <c r="N19" s="11">
        <f t="shared" si="12"/>
        <v>11.968340670669416</v>
      </c>
      <c r="O19" s="11">
        <f t="shared" si="12"/>
        <v>10.059686098390097</v>
      </c>
      <c r="P19" s="11">
        <f t="shared" si="12"/>
        <v>9.6570995562322679</v>
      </c>
      <c r="Q19" s="11">
        <f t="shared" si="12"/>
        <v>9.5512487543045079</v>
      </c>
      <c r="R19" s="11">
        <f t="shared" si="12"/>
        <v>12.085214757166819</v>
      </c>
      <c r="S19" s="11">
        <f t="shared" si="12"/>
        <v>25.603148058983805</v>
      </c>
      <c r="T19" s="11">
        <f t="shared" si="12"/>
        <v>28.739590731475392</v>
      </c>
      <c r="U19" s="11">
        <f t="shared" si="12"/>
        <v>26.962730497181642</v>
      </c>
      <c r="V19" s="11">
        <f t="shared" si="12"/>
        <v>19.918159323188853</v>
      </c>
    </row>
    <row r="20" spans="1:24" x14ac:dyDescent="0.25">
      <c r="E20" s="1"/>
      <c r="F20" s="3"/>
      <c r="H20" s="30" t="s">
        <v>116</v>
      </c>
      <c r="I20" s="31">
        <v>2.3050000000000001E-2</v>
      </c>
      <c r="K20" s="11">
        <f t="shared" ref="K20:V20" si="13">SUM(K8:K19)*$I20</f>
        <v>3.5604675414011684</v>
      </c>
      <c r="L20" s="11">
        <f t="shared" si="13"/>
        <v>3.5968522557116875</v>
      </c>
      <c r="M20" s="11">
        <f t="shared" si="13"/>
        <v>4.2444694586818699</v>
      </c>
      <c r="N20" s="11">
        <f t="shared" si="13"/>
        <v>4.5331869708421335</v>
      </c>
      <c r="O20" s="11">
        <f t="shared" si="13"/>
        <v>3.7744096756451682</v>
      </c>
      <c r="P20" s="11">
        <f t="shared" si="13"/>
        <v>3.6143631528338567</v>
      </c>
      <c r="Q20" s="11">
        <f t="shared" si="13"/>
        <v>3.5722826284960969</v>
      </c>
      <c r="R20" s="11">
        <f t="shared" si="13"/>
        <v>4.5796497538512186</v>
      </c>
      <c r="S20" s="11">
        <f t="shared" si="13"/>
        <v>8.7828811918449805</v>
      </c>
      <c r="T20" s="11">
        <f t="shared" si="13"/>
        <v>9.8425984019747101</v>
      </c>
      <c r="U20" s="11">
        <f t="shared" si="13"/>
        <v>9.2422464852025783</v>
      </c>
      <c r="V20" s="11">
        <f t="shared" si="13"/>
        <v>6.8620807718169825</v>
      </c>
    </row>
    <row r="21" spans="1:24" x14ac:dyDescent="0.25">
      <c r="A21" t="s">
        <v>61</v>
      </c>
      <c r="B21">
        <v>1267</v>
      </c>
      <c r="C21" s="1">
        <v>149.08000000000001</v>
      </c>
      <c r="D21" s="1">
        <v>159.66999999999999</v>
      </c>
      <c r="E21" s="1">
        <f t="shared" ref="E21" si="14">D21-C21</f>
        <v>10.589999999999975</v>
      </c>
      <c r="F21" s="3">
        <f t="shared" ref="F21" si="15">D21/C21-1</f>
        <v>7.1035685537965909E-2</v>
      </c>
      <c r="K21" s="11">
        <f>SUM(K8:K20)</f>
        <v>158.02760599698331</v>
      </c>
      <c r="L21" s="11">
        <f>SUM(L8:L20)</f>
        <v>159.64250326272634</v>
      </c>
      <c r="M21" s="41">
        <f>SUM(M8:M20)</f>
        <v>188.38631148392568</v>
      </c>
      <c r="N21" s="41">
        <f t="shared" ref="N21:U21" si="16">SUM(N8:N20)</f>
        <v>201.20073451280018</v>
      </c>
      <c r="O21" s="11">
        <f t="shared" si="16"/>
        <v>167.52320254528368</v>
      </c>
      <c r="P21" s="11">
        <f t="shared" si="16"/>
        <v>160.41970600896644</v>
      </c>
      <c r="Q21" s="11">
        <f t="shared" si="16"/>
        <v>158.55200620750244</v>
      </c>
      <c r="R21" s="11">
        <f t="shared" si="16"/>
        <v>203.26293625498869</v>
      </c>
      <c r="S21" s="11">
        <f t="shared" si="16"/>
        <v>389.81894157557514</v>
      </c>
      <c r="T21" s="11">
        <f t="shared" si="16"/>
        <v>436.85337506031351</v>
      </c>
      <c r="U21" s="11">
        <f t="shared" si="16"/>
        <v>410.20738684106283</v>
      </c>
      <c r="V21" s="11">
        <f>SUM(V8:V20)</f>
        <v>304.56623573133896</v>
      </c>
      <c r="W21" s="11">
        <f>SUM(K21:V21)/12</f>
        <v>244.87174545678894</v>
      </c>
      <c r="X21" s="11"/>
    </row>
    <row r="22" spans="1:24" x14ac:dyDescent="0.25">
      <c r="C22" s="1"/>
      <c r="D22" s="1"/>
      <c r="E22" s="1"/>
      <c r="F22" s="3"/>
      <c r="K22" s="11"/>
      <c r="L22" s="11"/>
      <c r="M22" s="41"/>
      <c r="N22" s="4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J23" s="12" t="s">
        <v>3</v>
      </c>
      <c r="K23" s="39">
        <v>1517.9201557756517</v>
      </c>
      <c r="L23" s="40">
        <v>1535.7640100161618</v>
      </c>
      <c r="M23" s="40">
        <v>1853.3695537844624</v>
      </c>
      <c r="N23" s="40">
        <v>1994.9628932209894</v>
      </c>
      <c r="O23" s="40">
        <v>1622.842025623888</v>
      </c>
      <c r="P23" s="40">
        <v>1544.3517343336291</v>
      </c>
      <c r="Q23" s="40">
        <v>1523.7145311323352</v>
      </c>
      <c r="R23" s="40">
        <v>2017.7492512653862</v>
      </c>
      <c r="S23" s="40">
        <v>2625.7141688257429</v>
      </c>
      <c r="T23" s="40">
        <v>2925.2043582353226</v>
      </c>
      <c r="U23" s="40">
        <v>2755.5369153101683</v>
      </c>
      <c r="V23" s="40">
        <v>2082.8704024762646</v>
      </c>
    </row>
    <row r="24" spans="1:24" ht="16.5" thickBot="1" x14ac:dyDescent="0.3">
      <c r="H24" s="63" t="s">
        <v>137</v>
      </c>
      <c r="I24" s="63"/>
      <c r="J24" s="12" t="s">
        <v>136</v>
      </c>
      <c r="K24" s="37" t="s">
        <v>124</v>
      </c>
      <c r="L24" s="37" t="s">
        <v>125</v>
      </c>
      <c r="M24" s="37" t="s">
        <v>126</v>
      </c>
      <c r="N24" s="37" t="s">
        <v>127</v>
      </c>
      <c r="O24" s="37" t="s">
        <v>128</v>
      </c>
      <c r="P24" s="37" t="s">
        <v>129</v>
      </c>
      <c r="Q24" s="37" t="s">
        <v>130</v>
      </c>
      <c r="R24" s="37" t="s">
        <v>131</v>
      </c>
      <c r="S24" s="37" t="s">
        <v>132</v>
      </c>
      <c r="T24" s="37" t="s">
        <v>133</v>
      </c>
      <c r="U24" s="37" t="s">
        <v>134</v>
      </c>
      <c r="V24" s="37" t="s">
        <v>135</v>
      </c>
    </row>
    <row r="25" spans="1:24" x14ac:dyDescent="0.25">
      <c r="H25" s="32" t="s">
        <v>118</v>
      </c>
      <c r="I25" s="33">
        <v>14.9</v>
      </c>
      <c r="K25" s="11">
        <f>$I25</f>
        <v>14.9</v>
      </c>
      <c r="L25" s="11">
        <f t="shared" ref="L25:V25" si="17">$I25</f>
        <v>14.9</v>
      </c>
      <c r="M25" s="11">
        <f t="shared" si="17"/>
        <v>14.9</v>
      </c>
      <c r="N25" s="11">
        <f t="shared" si="17"/>
        <v>14.9</v>
      </c>
      <c r="O25" s="11">
        <f t="shared" si="17"/>
        <v>14.9</v>
      </c>
      <c r="P25" s="11">
        <f t="shared" si="17"/>
        <v>14.9</v>
      </c>
      <c r="Q25" s="11">
        <f t="shared" si="17"/>
        <v>14.9</v>
      </c>
      <c r="R25" s="11">
        <f t="shared" si="17"/>
        <v>14.9</v>
      </c>
      <c r="S25" s="11">
        <f t="shared" si="17"/>
        <v>14.9</v>
      </c>
      <c r="T25" s="11">
        <f t="shared" si="17"/>
        <v>14.9</v>
      </c>
      <c r="U25" s="11">
        <f t="shared" si="17"/>
        <v>14.9</v>
      </c>
      <c r="V25" s="11">
        <f t="shared" si="17"/>
        <v>14.9</v>
      </c>
    </row>
    <row r="26" spans="1:24" x14ac:dyDescent="0.25">
      <c r="H26" s="26" t="s">
        <v>119</v>
      </c>
      <c r="I26" s="27">
        <v>5.7969E-2</v>
      </c>
      <c r="K26" s="11">
        <f>650*$I26</f>
        <v>37.679850000000002</v>
      </c>
      <c r="L26" s="11">
        <f t="shared" ref="L26:R26" si="18">650*$I26</f>
        <v>37.679850000000002</v>
      </c>
      <c r="M26" s="11">
        <f t="shared" si="18"/>
        <v>37.679850000000002</v>
      </c>
      <c r="N26" s="11">
        <f t="shared" si="18"/>
        <v>37.679850000000002</v>
      </c>
      <c r="O26" s="11">
        <f t="shared" si="18"/>
        <v>37.679850000000002</v>
      </c>
      <c r="P26" s="11">
        <f t="shared" si="18"/>
        <v>37.679850000000002</v>
      </c>
      <c r="Q26" s="11">
        <f t="shared" si="18"/>
        <v>37.679850000000002</v>
      </c>
      <c r="R26" s="11">
        <f t="shared" si="18"/>
        <v>37.679850000000002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26" t="s">
        <v>120</v>
      </c>
      <c r="I27" s="27">
        <v>4.972E-2</v>
      </c>
      <c r="K27" s="11">
        <f>350*$I27</f>
        <v>17.402000000000001</v>
      </c>
      <c r="L27" s="11">
        <f t="shared" ref="L27:R27" si="19">350*$I27</f>
        <v>17.402000000000001</v>
      </c>
      <c r="M27" s="11">
        <f t="shared" si="19"/>
        <v>17.402000000000001</v>
      </c>
      <c r="N27" s="11">
        <f t="shared" si="19"/>
        <v>17.402000000000001</v>
      </c>
      <c r="O27" s="11">
        <f t="shared" si="19"/>
        <v>17.402000000000001</v>
      </c>
      <c r="P27" s="11">
        <f t="shared" si="19"/>
        <v>17.402000000000001</v>
      </c>
      <c r="Q27" s="11">
        <f t="shared" si="19"/>
        <v>17.402000000000001</v>
      </c>
      <c r="R27" s="11">
        <f t="shared" si="19"/>
        <v>17.402000000000001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35" t="s">
        <v>121</v>
      </c>
      <c r="I28" s="27">
        <v>4.8809999999999999E-2</v>
      </c>
      <c r="K28" s="11">
        <f t="shared" ref="K28:L28" si="20">(K23-1000)*$I28</f>
        <v>25.279682803409557</v>
      </c>
      <c r="L28" s="11">
        <f t="shared" si="20"/>
        <v>26.15064132888886</v>
      </c>
      <c r="M28" s="11">
        <f>(M23-1000)*$I28</f>
        <v>41.652967920219609</v>
      </c>
      <c r="N28" s="11">
        <f t="shared" ref="N28:R28" si="21">(N23-1000)*$I28</f>
        <v>48.56413881811649</v>
      </c>
      <c r="O28" s="11">
        <f t="shared" si="21"/>
        <v>30.400919270701976</v>
      </c>
      <c r="P28" s="11">
        <f t="shared" si="21"/>
        <v>26.569808152824436</v>
      </c>
      <c r="Q28" s="11">
        <f t="shared" si="21"/>
        <v>25.562506264569279</v>
      </c>
      <c r="R28" s="11">
        <f t="shared" si="21"/>
        <v>49.676340954263502</v>
      </c>
      <c r="S28" s="11">
        <v>0</v>
      </c>
      <c r="T28" s="11">
        <v>0</v>
      </c>
      <c r="U28" s="11">
        <v>0</v>
      </c>
      <c r="V28" s="11">
        <v>0</v>
      </c>
    </row>
    <row r="29" spans="1:24" x14ac:dyDescent="0.25">
      <c r="H29" s="26" t="s">
        <v>122</v>
      </c>
      <c r="I29" s="27">
        <v>5.7969E-2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>650*$I29</f>
        <v>37.679850000000002</v>
      </c>
      <c r="T29" s="11">
        <f t="shared" ref="T29:V29" si="22">650*$I29</f>
        <v>37.679850000000002</v>
      </c>
      <c r="U29" s="11">
        <f t="shared" si="22"/>
        <v>37.679850000000002</v>
      </c>
      <c r="V29" s="11">
        <f t="shared" si="22"/>
        <v>37.679850000000002</v>
      </c>
    </row>
    <row r="30" spans="1:24" x14ac:dyDescent="0.25">
      <c r="H30" s="26" t="s">
        <v>123</v>
      </c>
      <c r="I30" s="27">
        <v>9.6285999999999997E-2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>350*$I30</f>
        <v>33.700099999999999</v>
      </c>
      <c r="T30" s="11">
        <f t="shared" ref="T30:V30" si="23">350*$I30</f>
        <v>33.700099999999999</v>
      </c>
      <c r="U30" s="11">
        <f t="shared" si="23"/>
        <v>33.700099999999999</v>
      </c>
      <c r="V30" s="11">
        <f t="shared" si="23"/>
        <v>33.700099999999999</v>
      </c>
    </row>
    <row r="31" spans="1:24" x14ac:dyDescent="0.25">
      <c r="H31" s="35" t="s">
        <v>156</v>
      </c>
      <c r="I31" s="27">
        <v>9.9657999999999997E-2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(S23-1000)*$I31</f>
        <v>162.01542263683589</v>
      </c>
      <c r="T31" s="11">
        <f t="shared" ref="T31:V31" si="24">(T23-1000)*$I31</f>
        <v>191.86201593301578</v>
      </c>
      <c r="U31" s="11">
        <f t="shared" si="24"/>
        <v>174.95329790598075</v>
      </c>
      <c r="V31" s="11">
        <f t="shared" si="24"/>
        <v>107.91669856997957</v>
      </c>
    </row>
    <row r="32" spans="1:24" x14ac:dyDescent="0.25">
      <c r="H32" s="64" t="s">
        <v>112</v>
      </c>
      <c r="I32" s="27">
        <v>3.1718000000000003E-2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f>S23*$I32</f>
        <v>83.28240200681492</v>
      </c>
      <c r="T32" s="11">
        <f>T23*$I32</f>
        <v>92.781631834507976</v>
      </c>
      <c r="U32" s="11">
        <f>U23*$I32</f>
        <v>87.400119879807932</v>
      </c>
      <c r="V32" s="11">
        <f>V23*$I32</f>
        <v>66.064483425742168</v>
      </c>
    </row>
    <row r="33" spans="8:25" x14ac:dyDescent="0.25">
      <c r="H33" s="64"/>
      <c r="I33" s="27">
        <v>2.8812999999999998E-2</v>
      </c>
      <c r="K33" s="11">
        <f t="shared" ref="K33:R33" si="25">K23*$I33</f>
        <v>43.735833448363849</v>
      </c>
      <c r="L33" s="11">
        <f t="shared" si="25"/>
        <v>44.249968420595671</v>
      </c>
      <c r="M33" s="11">
        <f t="shared" si="25"/>
        <v>53.40113695319171</v>
      </c>
      <c r="N33" s="11">
        <f t="shared" si="25"/>
        <v>57.48086584237636</v>
      </c>
      <c r="O33" s="11">
        <f t="shared" si="25"/>
        <v>46.758947284301087</v>
      </c>
      <c r="P33" s="11">
        <f t="shared" si="25"/>
        <v>44.497406521354854</v>
      </c>
      <c r="Q33" s="11">
        <f t="shared" si="25"/>
        <v>43.902786785515971</v>
      </c>
      <c r="R33" s="11">
        <f t="shared" si="25"/>
        <v>58.137409176709568</v>
      </c>
      <c r="S33" s="11">
        <v>0</v>
      </c>
      <c r="T33" s="11">
        <v>0</v>
      </c>
      <c r="U33" s="11">
        <v>0</v>
      </c>
      <c r="V33" s="11">
        <v>0</v>
      </c>
    </row>
    <row r="34" spans="8:25" x14ac:dyDescent="0.25">
      <c r="H34" s="28" t="s">
        <v>113</v>
      </c>
      <c r="I34" s="29">
        <v>1.7947000000000001E-2</v>
      </c>
      <c r="K34" s="11">
        <f t="shared" ref="K34:V34" si="26">SUM(K25:K31)*$I34</f>
        <v>1.7096587292227916</v>
      </c>
      <c r="L34" s="11">
        <f t="shared" si="26"/>
        <v>1.7252898218795687</v>
      </c>
      <c r="M34" s="11">
        <f t="shared" si="26"/>
        <v>2.0035100772141816</v>
      </c>
      <c r="N34" s="11">
        <f t="shared" si="26"/>
        <v>2.1275448613187371</v>
      </c>
      <c r="O34" s="11">
        <f t="shared" si="26"/>
        <v>1.8015695601012887</v>
      </c>
      <c r="P34" s="11">
        <f t="shared" si="26"/>
        <v>1.7328126088687403</v>
      </c>
      <c r="Q34" s="11">
        <f t="shared" si="26"/>
        <v>1.7147345618802252</v>
      </c>
      <c r="R34" s="11">
        <f t="shared" si="26"/>
        <v>2.1475055530561673</v>
      </c>
      <c r="S34" s="11">
        <f t="shared" si="26"/>
        <v>4.4561570527132943</v>
      </c>
      <c r="T34" s="11">
        <f t="shared" si="26"/>
        <v>4.9918138625998347</v>
      </c>
      <c r="U34" s="11">
        <f t="shared" si="26"/>
        <v>4.6883531001686372</v>
      </c>
      <c r="V34" s="11">
        <f t="shared" si="26"/>
        <v>3.4852472518854234</v>
      </c>
    </row>
    <row r="35" spans="8:25" x14ac:dyDescent="0.25">
      <c r="H35" s="30" t="s">
        <v>114</v>
      </c>
      <c r="I35" s="31">
        <v>0.15357499999999999</v>
      </c>
      <c r="K35" s="11">
        <f t="shared" ref="K35:V35" si="27">SUM(K25:K31)*$I35</f>
        <v>14.629789900283622</v>
      </c>
      <c r="L35" s="11">
        <f t="shared" si="27"/>
        <v>14.763547355834108</v>
      </c>
      <c r="M35" s="11">
        <f t="shared" si="27"/>
        <v>17.144317162097728</v>
      </c>
      <c r="N35" s="11">
        <f t="shared" si="27"/>
        <v>18.205700232742242</v>
      </c>
      <c r="O35" s="11">
        <f t="shared" si="27"/>
        <v>15.416283790748055</v>
      </c>
      <c r="P35" s="11">
        <f t="shared" si="27"/>
        <v>14.827920900820013</v>
      </c>
      <c r="Q35" s="11">
        <f t="shared" si="27"/>
        <v>14.673224513331228</v>
      </c>
      <c r="R35" s="11">
        <f t="shared" si="27"/>
        <v>18.376506675801018</v>
      </c>
      <c r="S35" s="11">
        <f t="shared" si="27"/>
        <v>38.131961852702069</v>
      </c>
      <c r="T35" s="11">
        <f t="shared" si="27"/>
        <v>42.715652418162897</v>
      </c>
      <c r="U35" s="11">
        <f t="shared" si="27"/>
        <v>40.118896047160995</v>
      </c>
      <c r="V35" s="11">
        <f t="shared" si="27"/>
        <v>29.823750304134609</v>
      </c>
    </row>
    <row r="36" spans="8:25" x14ac:dyDescent="0.25">
      <c r="H36" s="30" t="s">
        <v>115</v>
      </c>
      <c r="I36" s="34">
        <v>0.10766199999999999</v>
      </c>
      <c r="K36" s="11">
        <f t="shared" ref="K36:V36" si="28">SUM(K25:K31)*$I36</f>
        <v>10.25604714468068</v>
      </c>
      <c r="L36" s="11">
        <f t="shared" si="28"/>
        <v>10.349816281450833</v>
      </c>
      <c r="M36" s="11">
        <f t="shared" si="28"/>
        <v>12.018827766926684</v>
      </c>
      <c r="N36" s="11">
        <f t="shared" si="28"/>
        <v>12.762898248136057</v>
      </c>
      <c r="O36" s="11">
        <f t="shared" si="28"/>
        <v>10.807409705222316</v>
      </c>
      <c r="P36" s="11">
        <f t="shared" si="28"/>
        <v>10.394944620049385</v>
      </c>
      <c r="Q36" s="11">
        <f t="shared" si="28"/>
        <v>10.286496484156059</v>
      </c>
      <c r="R36" s="11">
        <f t="shared" si="28"/>
        <v>12.882640154517919</v>
      </c>
      <c r="S36" s="11">
        <f t="shared" si="28"/>
        <v>26.731976408827027</v>
      </c>
      <c r="T36" s="11">
        <f t="shared" si="28"/>
        <v>29.945320336280346</v>
      </c>
      <c r="U36" s="11">
        <f t="shared" si="28"/>
        <v>28.124893936053699</v>
      </c>
      <c r="V36" s="11">
        <f t="shared" si="28"/>
        <v>20.907599578341138</v>
      </c>
    </row>
    <row r="37" spans="8:25" x14ac:dyDescent="0.25">
      <c r="H37" s="30" t="s">
        <v>116</v>
      </c>
      <c r="I37" s="31">
        <v>2.3567999999999999E-2</v>
      </c>
      <c r="K37" s="11">
        <f t="shared" ref="K37:V37" si="29">SUM(K25:K36)*$I37</f>
        <v>3.9026925722278367</v>
      </c>
      <c r="L37" s="11">
        <f t="shared" si="29"/>
        <v>3.9410671961014407</v>
      </c>
      <c r="M37" s="11">
        <f t="shared" si="29"/>
        <v>4.6241031096435892</v>
      </c>
      <c r="N37" s="11">
        <f t="shared" si="29"/>
        <v>4.928610816927395</v>
      </c>
      <c r="O37" s="11">
        <f t="shared" si="29"/>
        <v>4.1283353754738092</v>
      </c>
      <c r="P37" s="11">
        <f t="shared" si="29"/>
        <v>3.9595357784027256</v>
      </c>
      <c r="Q37" s="11">
        <f t="shared" si="29"/>
        <v>3.9151538360275828</v>
      </c>
      <c r="R37" s="11">
        <f t="shared" si="29"/>
        <v>4.9776146872581579</v>
      </c>
      <c r="S37" s="11">
        <f t="shared" si="29"/>
        <v>9.4483609991676296</v>
      </c>
      <c r="T37" s="11">
        <f t="shared" si="29"/>
        <v>10.572048227175472</v>
      </c>
      <c r="U37" s="11">
        <f t="shared" si="29"/>
        <v>9.9354559601646457</v>
      </c>
      <c r="V37" s="11">
        <f t="shared" si="29"/>
        <v>7.4116111201377928</v>
      </c>
    </row>
    <row r="38" spans="8:25" x14ac:dyDescent="0.25">
      <c r="K38" s="11">
        <f>SUM(K25:K37)</f>
        <v>169.49555459818833</v>
      </c>
      <c r="L38" s="11">
        <f>SUM(L25:L37)</f>
        <v>171.1621804047505</v>
      </c>
      <c r="M38" s="41">
        <f>SUM(M25:M37)</f>
        <v>200.8267129892935</v>
      </c>
      <c r="N38" s="41">
        <f t="shared" ref="N38:U38" si="30">SUM(N25:N37)</f>
        <v>214.05160881961729</v>
      </c>
      <c r="O38" s="11">
        <f t="shared" si="30"/>
        <v>179.29531498654853</v>
      </c>
      <c r="P38" s="11">
        <f t="shared" si="30"/>
        <v>171.96427858232016</v>
      </c>
      <c r="Q38" s="11">
        <f t="shared" si="30"/>
        <v>170.03675244548035</v>
      </c>
      <c r="R38" s="11">
        <f t="shared" si="30"/>
        <v>216.17986720160633</v>
      </c>
      <c r="S38" s="11">
        <f t="shared" si="30"/>
        <v>410.34623095706092</v>
      </c>
      <c r="T38" s="11">
        <f t="shared" si="30"/>
        <v>459.14843261174235</v>
      </c>
      <c r="U38" s="11">
        <f t="shared" si="30"/>
        <v>431.50096682933662</v>
      </c>
      <c r="V38" s="11">
        <f>SUM(V25:V37)</f>
        <v>321.8893402502207</v>
      </c>
      <c r="W38" s="11">
        <f>SUM(K38:V38)/12</f>
        <v>259.65810338968043</v>
      </c>
      <c r="X38" s="3">
        <f>W38/W21-1</f>
        <v>6.0384091701999765E-2</v>
      </c>
      <c r="Y38" s="11">
        <f>W38-W21</f>
        <v>14.786357932891491</v>
      </c>
    </row>
    <row r="39" spans="8:25" x14ac:dyDescent="0.25">
      <c r="K39" s="11"/>
      <c r="L39" s="11"/>
      <c r="M39" s="41"/>
      <c r="N39" s="41"/>
      <c r="O39" s="11"/>
      <c r="P39" s="11"/>
      <c r="Q39" s="11"/>
      <c r="R39" s="11"/>
      <c r="S39" s="11"/>
      <c r="T39" s="11"/>
      <c r="U39" s="11"/>
      <c r="V39" s="11"/>
      <c r="W39" s="11"/>
      <c r="X39" s="3"/>
      <c r="Y39" s="11"/>
    </row>
    <row r="40" spans="8:25" x14ac:dyDescent="0.25">
      <c r="W40" s="42"/>
    </row>
    <row r="41" spans="8:25" x14ac:dyDescent="0.25">
      <c r="J41" s="12" t="s">
        <v>3</v>
      </c>
      <c r="K41" s="39">
        <v>1517.9201557756517</v>
      </c>
      <c r="L41" s="40">
        <v>1535.7640100161618</v>
      </c>
      <c r="M41" s="40">
        <v>1853.3695537844624</v>
      </c>
      <c r="N41" s="40">
        <v>1994.9628932209894</v>
      </c>
      <c r="O41" s="40">
        <v>1622.842025623888</v>
      </c>
      <c r="P41" s="40">
        <v>1544.3517343336291</v>
      </c>
      <c r="Q41" s="40">
        <v>1523.7145311323352</v>
      </c>
      <c r="R41" s="40">
        <v>2017.7492512653862</v>
      </c>
      <c r="S41" s="40">
        <v>2625.7141688257429</v>
      </c>
      <c r="T41" s="40">
        <v>2925.2043582353226</v>
      </c>
      <c r="U41" s="40">
        <v>2755.5369153101683</v>
      </c>
      <c r="V41" s="40">
        <v>2082.8704024762646</v>
      </c>
    </row>
    <row r="42" spans="8:25" ht="16.5" thickBot="1" x14ac:dyDescent="0.3">
      <c r="H42" s="63" t="s">
        <v>138</v>
      </c>
      <c r="I42" s="63"/>
      <c r="J42" s="12" t="s">
        <v>136</v>
      </c>
      <c r="K42" s="37" t="s">
        <v>124</v>
      </c>
      <c r="L42" s="37" t="s">
        <v>125</v>
      </c>
      <c r="M42" s="37" t="s">
        <v>126</v>
      </c>
      <c r="N42" s="37" t="s">
        <v>127</v>
      </c>
      <c r="O42" s="37" t="s">
        <v>128</v>
      </c>
      <c r="P42" s="37" t="s">
        <v>129</v>
      </c>
      <c r="Q42" s="37" t="s">
        <v>130</v>
      </c>
      <c r="R42" s="37" t="s">
        <v>131</v>
      </c>
      <c r="S42" s="37" t="s">
        <v>132</v>
      </c>
      <c r="T42" s="37" t="s">
        <v>133</v>
      </c>
      <c r="U42" s="37" t="s">
        <v>134</v>
      </c>
      <c r="V42" s="37" t="s">
        <v>135</v>
      </c>
    </row>
    <row r="43" spans="8:25" x14ac:dyDescent="0.25">
      <c r="H43" s="32" t="s">
        <v>118</v>
      </c>
      <c r="I43" s="33">
        <v>17.95</v>
      </c>
      <c r="K43" s="11">
        <f>$I43</f>
        <v>17.95</v>
      </c>
      <c r="L43" s="11">
        <f t="shared" ref="L43:V43" si="31">$I43</f>
        <v>17.95</v>
      </c>
      <c r="M43" s="11">
        <f t="shared" si="31"/>
        <v>17.95</v>
      </c>
      <c r="N43" s="11">
        <f t="shared" si="31"/>
        <v>17.95</v>
      </c>
      <c r="O43" s="11">
        <f t="shared" si="31"/>
        <v>17.95</v>
      </c>
      <c r="P43" s="11">
        <f t="shared" si="31"/>
        <v>17.95</v>
      </c>
      <c r="Q43" s="11">
        <f t="shared" si="31"/>
        <v>17.95</v>
      </c>
      <c r="R43" s="11">
        <f t="shared" si="31"/>
        <v>17.95</v>
      </c>
      <c r="S43" s="11">
        <f t="shared" si="31"/>
        <v>17.95</v>
      </c>
      <c r="T43" s="11">
        <f t="shared" si="31"/>
        <v>17.95</v>
      </c>
      <c r="U43" s="11">
        <f t="shared" si="31"/>
        <v>17.95</v>
      </c>
      <c r="V43" s="11">
        <f t="shared" si="31"/>
        <v>17.95</v>
      </c>
    </row>
    <row r="44" spans="8:25" x14ac:dyDescent="0.25">
      <c r="H44" s="26" t="s">
        <v>119</v>
      </c>
      <c r="I44" s="27">
        <v>4.9754E-2</v>
      </c>
      <c r="K44" s="11">
        <f>650*$I44</f>
        <v>32.3401</v>
      </c>
      <c r="L44" s="11">
        <f t="shared" ref="L44:R44" si="32">650*$I44</f>
        <v>32.3401</v>
      </c>
      <c r="M44" s="11">
        <f t="shared" si="32"/>
        <v>32.3401</v>
      </c>
      <c r="N44" s="11">
        <f t="shared" si="32"/>
        <v>32.3401</v>
      </c>
      <c r="O44" s="11">
        <f t="shared" si="32"/>
        <v>32.3401</v>
      </c>
      <c r="P44" s="11">
        <f t="shared" si="32"/>
        <v>32.3401</v>
      </c>
      <c r="Q44" s="11">
        <f t="shared" si="32"/>
        <v>32.3401</v>
      </c>
      <c r="R44" s="11">
        <f t="shared" si="32"/>
        <v>32.3401</v>
      </c>
      <c r="S44" s="11">
        <v>0</v>
      </c>
      <c r="T44" s="11">
        <v>0</v>
      </c>
      <c r="U44" s="11">
        <v>0</v>
      </c>
      <c r="V44" s="11">
        <v>0</v>
      </c>
    </row>
    <row r="45" spans="8:25" x14ac:dyDescent="0.25">
      <c r="H45" s="26" t="s">
        <v>120</v>
      </c>
      <c r="I45" s="27">
        <v>4.2674999999999998E-2</v>
      </c>
      <c r="K45" s="11">
        <f>350*$I45</f>
        <v>14.936249999999999</v>
      </c>
      <c r="L45" s="11">
        <f t="shared" ref="L45:R45" si="33">350*$I45</f>
        <v>14.936249999999999</v>
      </c>
      <c r="M45" s="11">
        <f t="shared" si="33"/>
        <v>14.936249999999999</v>
      </c>
      <c r="N45" s="11">
        <f t="shared" si="33"/>
        <v>14.936249999999999</v>
      </c>
      <c r="O45" s="11">
        <f t="shared" si="33"/>
        <v>14.936249999999999</v>
      </c>
      <c r="P45" s="11">
        <f t="shared" si="33"/>
        <v>14.936249999999999</v>
      </c>
      <c r="Q45" s="11">
        <f t="shared" si="33"/>
        <v>14.936249999999999</v>
      </c>
      <c r="R45" s="11">
        <f t="shared" si="33"/>
        <v>14.936249999999999</v>
      </c>
      <c r="S45" s="11">
        <v>0</v>
      </c>
      <c r="T45" s="11">
        <v>0</v>
      </c>
      <c r="U45" s="11">
        <v>0</v>
      </c>
      <c r="V45" s="11">
        <v>0</v>
      </c>
    </row>
    <row r="46" spans="8:25" x14ac:dyDescent="0.25">
      <c r="H46" s="35" t="s">
        <v>121</v>
      </c>
      <c r="I46" s="27">
        <v>4.1890999999999998E-2</v>
      </c>
      <c r="K46" s="11">
        <f t="shared" ref="K46:L46" si="34">(K41-1000)*$I46</f>
        <v>21.696193245597822</v>
      </c>
      <c r="L46" s="11">
        <f t="shared" si="34"/>
        <v>22.443690143587034</v>
      </c>
      <c r="M46" s="11">
        <f>(M41-1000)*$I46</f>
        <v>35.74850397758491</v>
      </c>
      <c r="N46" s="11">
        <f t="shared" ref="N46:R46" si="35">(N41-1000)*$I46</f>
        <v>41.679990559920462</v>
      </c>
      <c r="O46" s="11">
        <f t="shared" si="35"/>
        <v>26.091475295410294</v>
      </c>
      <c r="P46" s="11">
        <f t="shared" si="35"/>
        <v>22.803438502970057</v>
      </c>
      <c r="Q46" s="11">
        <f t="shared" si="35"/>
        <v>21.938925423664653</v>
      </c>
      <c r="R46" s="11">
        <f t="shared" si="35"/>
        <v>42.634533884758291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26" t="s">
        <v>122</v>
      </c>
      <c r="I47" s="27">
        <v>4.9754E-2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f>650*$I47</f>
        <v>32.3401</v>
      </c>
      <c r="T47" s="11">
        <f t="shared" ref="T47:V47" si="36">650*$I47</f>
        <v>32.3401</v>
      </c>
      <c r="U47" s="11">
        <f t="shared" si="36"/>
        <v>32.3401</v>
      </c>
      <c r="V47" s="11">
        <f t="shared" si="36"/>
        <v>32.3401</v>
      </c>
    </row>
    <row r="48" spans="8:25" x14ac:dyDescent="0.25">
      <c r="H48" s="26" t="s">
        <v>123</v>
      </c>
      <c r="I48" s="27">
        <v>8.2639000000000004E-2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350*$I48</f>
        <v>28.923650000000002</v>
      </c>
      <c r="T48" s="11">
        <f t="shared" ref="T48:V48" si="37">350*$I48</f>
        <v>28.923650000000002</v>
      </c>
      <c r="U48" s="11">
        <f t="shared" si="37"/>
        <v>28.923650000000002</v>
      </c>
      <c r="V48" s="11">
        <f t="shared" si="37"/>
        <v>28.923650000000002</v>
      </c>
    </row>
    <row r="49" spans="8:25" x14ac:dyDescent="0.25">
      <c r="H49" s="35" t="s">
        <v>156</v>
      </c>
      <c r="I49" s="27">
        <v>8.5531999999999997E-2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f>(S41-1000)*$I49</f>
        <v>139.05058428800345</v>
      </c>
      <c r="T49" s="11">
        <f t="shared" ref="T49:V49" si="38">(T41-1000)*$I49</f>
        <v>164.66657916858361</v>
      </c>
      <c r="U49" s="11">
        <f t="shared" si="38"/>
        <v>150.1545834403093</v>
      </c>
      <c r="V49" s="11">
        <f t="shared" si="38"/>
        <v>92.620071264599858</v>
      </c>
    </row>
    <row r="50" spans="8:25" x14ac:dyDescent="0.25">
      <c r="H50" s="64" t="s">
        <v>112</v>
      </c>
      <c r="I50" s="27">
        <v>3.1718000000000003E-2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f>S41*$I50</f>
        <v>83.28240200681492</v>
      </c>
      <c r="T50" s="11">
        <f>T41*$I50</f>
        <v>92.781631834507976</v>
      </c>
      <c r="U50" s="11">
        <f>U41*$I50</f>
        <v>87.400119879807932</v>
      </c>
      <c r="V50" s="11">
        <f>V41*$I50</f>
        <v>66.064483425742168</v>
      </c>
    </row>
    <row r="51" spans="8:25" x14ac:dyDescent="0.25">
      <c r="H51" s="64"/>
      <c r="I51" s="27">
        <v>2.8812999999999998E-2</v>
      </c>
      <c r="K51" s="11">
        <f t="shared" ref="K51:R51" si="39">K41*$I51</f>
        <v>43.735833448363849</v>
      </c>
      <c r="L51" s="11">
        <f t="shared" si="39"/>
        <v>44.249968420595671</v>
      </c>
      <c r="M51" s="11">
        <f t="shared" si="39"/>
        <v>53.40113695319171</v>
      </c>
      <c r="N51" s="11">
        <f t="shared" si="39"/>
        <v>57.48086584237636</v>
      </c>
      <c r="O51" s="11">
        <f t="shared" si="39"/>
        <v>46.758947284301087</v>
      </c>
      <c r="P51" s="11">
        <f t="shared" si="39"/>
        <v>44.497406521354854</v>
      </c>
      <c r="Q51" s="11">
        <f t="shared" si="39"/>
        <v>43.902786785515971</v>
      </c>
      <c r="R51" s="11">
        <f t="shared" si="39"/>
        <v>58.137409176709568</v>
      </c>
      <c r="S51" s="11">
        <v>0</v>
      </c>
      <c r="T51" s="11">
        <v>0</v>
      </c>
      <c r="U51" s="11">
        <v>0</v>
      </c>
      <c r="V51" s="11">
        <v>0</v>
      </c>
    </row>
    <row r="52" spans="8:25" x14ac:dyDescent="0.25">
      <c r="H52" s="28" t="s">
        <v>144</v>
      </c>
      <c r="I52" s="29">
        <v>1.9511000000000001E-2</v>
      </c>
      <c r="K52" s="11">
        <f t="shared" ref="K52:V52" si="40">SUM(K43:K49)*$I52</f>
        <v>1.6959457412648591</v>
      </c>
      <c r="L52" s="11">
        <f t="shared" si="40"/>
        <v>1.7105301532415267</v>
      </c>
      <c r="M52" s="11">
        <f t="shared" si="40"/>
        <v>1.970120375956659</v>
      </c>
      <c r="N52" s="11">
        <f t="shared" si="40"/>
        <v>2.0858496106646083</v>
      </c>
      <c r="O52" s="11">
        <f t="shared" si="40"/>
        <v>1.7817020893387501</v>
      </c>
      <c r="P52" s="11">
        <f t="shared" si="40"/>
        <v>1.7175492034814488</v>
      </c>
      <c r="Q52" s="11">
        <f t="shared" si="40"/>
        <v>1.7006816887911211</v>
      </c>
      <c r="R52" s="11">
        <f t="shared" si="40"/>
        <v>2.1044737054755189</v>
      </c>
      <c r="S52" s="11">
        <f t="shared" si="40"/>
        <v>4.2585554262932357</v>
      </c>
      <c r="T52" s="11">
        <f t="shared" si="40"/>
        <v>4.7583491024082347</v>
      </c>
      <c r="U52" s="11">
        <f t="shared" si="40"/>
        <v>4.4752055537538746</v>
      </c>
      <c r="V52" s="11">
        <f t="shared" si="40"/>
        <v>3.3526496866936082</v>
      </c>
    </row>
    <row r="53" spans="8:25" x14ac:dyDescent="0.25">
      <c r="H53" s="30" t="s">
        <v>145</v>
      </c>
      <c r="I53" s="31">
        <v>0.16881399999999999</v>
      </c>
      <c r="K53" s="11">
        <f t="shared" ref="K53:V53" si="41">SUM(K43:K49)*$I53</f>
        <v>14.673742215462351</v>
      </c>
      <c r="L53" s="11">
        <f t="shared" si="41"/>
        <v>14.799930156799499</v>
      </c>
      <c r="M53" s="11">
        <f t="shared" si="41"/>
        <v>17.045968999372015</v>
      </c>
      <c r="N53" s="11">
        <f t="shared" si="41"/>
        <v>18.047286975282411</v>
      </c>
      <c r="O53" s="11">
        <f t="shared" si="41"/>
        <v>15.415727359419391</v>
      </c>
      <c r="P53" s="11">
        <f t="shared" si="41"/>
        <v>14.860660716340385</v>
      </c>
      <c r="Q53" s="11">
        <f t="shared" si="41"/>
        <v>14.714718805370524</v>
      </c>
      <c r="R53" s="11">
        <f t="shared" si="41"/>
        <v>18.208427252121584</v>
      </c>
      <c r="S53" s="11">
        <f t="shared" si="41"/>
        <v>36.846075328495012</v>
      </c>
      <c r="T53" s="11">
        <f t="shared" si="41"/>
        <v>41.170413888265273</v>
      </c>
      <c r="U53" s="11">
        <f t="shared" si="41"/>
        <v>38.720585841392371</v>
      </c>
      <c r="V53" s="11">
        <f t="shared" si="41"/>
        <v>29.007954702962159</v>
      </c>
    </row>
    <row r="54" spans="8:25" x14ac:dyDescent="0.25">
      <c r="H54" s="30" t="s">
        <v>115</v>
      </c>
      <c r="I54" s="34">
        <v>0.10766199999999999</v>
      </c>
      <c r="K54" s="11">
        <f t="shared" ref="K54:V54" si="42">SUM(K43:K49)*$I54</f>
        <v>9.3582548509075529</v>
      </c>
      <c r="L54" s="11">
        <f t="shared" si="42"/>
        <v>9.4387318619388658</v>
      </c>
      <c r="M54" s="11">
        <f t="shared" si="42"/>
        <v>10.871154728934744</v>
      </c>
      <c r="N54" s="11">
        <f t="shared" si="42"/>
        <v>11.509750437362156</v>
      </c>
      <c r="O54" s="11">
        <f t="shared" si="42"/>
        <v>9.8314597069544618</v>
      </c>
      <c r="P54" s="11">
        <f t="shared" si="42"/>
        <v>9.4774630898067613</v>
      </c>
      <c r="Q54" s="11">
        <f t="shared" si="42"/>
        <v>9.3843878826625833</v>
      </c>
      <c r="R54" s="11">
        <f t="shared" si="42"/>
        <v>11.612518480800848</v>
      </c>
      <c r="S54" s="11">
        <f t="shared" si="42"/>
        <v>23.498774758115026</v>
      </c>
      <c r="T54" s="11">
        <f t="shared" si="42"/>
        <v>26.256643998948046</v>
      </c>
      <c r="U54" s="11">
        <f t="shared" si="42"/>
        <v>24.69425351485058</v>
      </c>
      <c r="V54" s="11">
        <f t="shared" si="42"/>
        <v>18.499972864989349</v>
      </c>
    </row>
    <row r="55" spans="8:25" x14ac:dyDescent="0.25">
      <c r="H55" s="30" t="s">
        <v>116</v>
      </c>
      <c r="I55" s="31">
        <v>2.3567999999999999E-2</v>
      </c>
      <c r="K55" s="11">
        <f t="shared" ref="K55:V55" si="43">SUM(K43:K54)*$I55</f>
        <v>3.6857127780136238</v>
      </c>
      <c r="L55" s="11">
        <f t="shared" si="43"/>
        <v>3.7206613229498795</v>
      </c>
      <c r="M55" s="11">
        <f t="shared" si="43"/>
        <v>4.342715923305823</v>
      </c>
      <c r="N55" s="11">
        <f t="shared" si="43"/>
        <v>4.6200372418546829</v>
      </c>
      <c r="O55" s="11">
        <f t="shared" si="43"/>
        <v>3.8912102357804716</v>
      </c>
      <c r="P55" s="11">
        <f t="shared" si="43"/>
        <v>3.7374810338242161</v>
      </c>
      <c r="Q55" s="11">
        <f t="shared" si="43"/>
        <v>3.6970615026109623</v>
      </c>
      <c r="R55" s="11">
        <f t="shared" si="43"/>
        <v>4.6646660561968369</v>
      </c>
      <c r="S55" s="11">
        <f t="shared" si="43"/>
        <v>8.629426542124385</v>
      </c>
      <c r="T55" s="11">
        <f t="shared" si="43"/>
        <v>9.6357147688522637</v>
      </c>
      <c r="U55" s="11">
        <f t="shared" si="43"/>
        <v>9.0656314862873284</v>
      </c>
      <c r="V55" s="11">
        <f t="shared" si="43"/>
        <v>6.8054693296794566</v>
      </c>
    </row>
    <row r="56" spans="8:25" x14ac:dyDescent="0.25">
      <c r="K56" s="11">
        <f>SUM(K43:K55)</f>
        <v>160.07203227961003</v>
      </c>
      <c r="L56" s="11">
        <f>SUM(L43:L55)</f>
        <v>161.58986205911245</v>
      </c>
      <c r="M56" s="41">
        <f>SUM(M43:M55)</f>
        <v>188.60595095834586</v>
      </c>
      <c r="N56" s="41">
        <f t="shared" ref="N56:U56" si="44">SUM(N43:N55)</f>
        <v>200.6501306674607</v>
      </c>
      <c r="O56" s="11">
        <f t="shared" si="44"/>
        <v>168.99687197120443</v>
      </c>
      <c r="P56" s="11">
        <f t="shared" si="44"/>
        <v>162.32034906777773</v>
      </c>
      <c r="Q56" s="11">
        <f t="shared" si="44"/>
        <v>160.56491208861581</v>
      </c>
      <c r="R56" s="11">
        <f t="shared" si="44"/>
        <v>202.58837855606265</v>
      </c>
      <c r="S56" s="11">
        <f t="shared" si="44"/>
        <v>374.7795683498461</v>
      </c>
      <c r="T56" s="11">
        <f t="shared" si="44"/>
        <v>418.48308276156547</v>
      </c>
      <c r="U56" s="11">
        <f t="shared" si="44"/>
        <v>393.72412971640142</v>
      </c>
      <c r="V56" s="11">
        <f>SUM(V43:V55)</f>
        <v>295.56435127466659</v>
      </c>
      <c r="W56" s="11">
        <f>SUM(K56:V56)/12</f>
        <v>240.66163497922241</v>
      </c>
      <c r="X56" s="3">
        <f>W56/W21-1</f>
        <v>-1.719312479156343E-2</v>
      </c>
      <c r="Y56" s="11">
        <f>W56-W21</f>
        <v>-4.2101104775665306</v>
      </c>
    </row>
    <row r="59" spans="8:25" x14ac:dyDescent="0.25">
      <c r="J59" s="12" t="s">
        <v>3</v>
      </c>
      <c r="K59" s="39">
        <v>1517.9201557756517</v>
      </c>
      <c r="L59" s="40">
        <v>1535.7640100161618</v>
      </c>
      <c r="M59" s="40">
        <v>1853.3695537844624</v>
      </c>
      <c r="N59" s="40">
        <v>1994.9628932209894</v>
      </c>
      <c r="O59" s="40">
        <v>1622.842025623888</v>
      </c>
      <c r="P59" s="40">
        <v>1544.3517343336291</v>
      </c>
      <c r="Q59" s="40">
        <v>1523.7145311323352</v>
      </c>
      <c r="R59" s="40">
        <v>2017.7492512653862</v>
      </c>
      <c r="S59" s="40">
        <v>2625.7141688257429</v>
      </c>
      <c r="T59" s="40">
        <v>2925.2043582353226</v>
      </c>
      <c r="U59" s="40">
        <v>2755.5369153101683</v>
      </c>
      <c r="V59" s="40">
        <v>2082.8704024762646</v>
      </c>
    </row>
    <row r="60" spans="8:25" ht="16.5" thickBot="1" x14ac:dyDescent="0.3">
      <c r="H60" s="63" t="s">
        <v>154</v>
      </c>
      <c r="I60" s="63"/>
      <c r="J60" s="12" t="s">
        <v>136</v>
      </c>
      <c r="K60" s="37" t="s">
        <v>124</v>
      </c>
      <c r="L60" s="37" t="s">
        <v>125</v>
      </c>
      <c r="M60" s="37" t="s">
        <v>126</v>
      </c>
      <c r="N60" s="37" t="s">
        <v>127</v>
      </c>
      <c r="O60" s="37" t="s">
        <v>128</v>
      </c>
      <c r="P60" s="37" t="s">
        <v>129</v>
      </c>
      <c r="Q60" s="37" t="s">
        <v>130</v>
      </c>
      <c r="R60" s="37" t="s">
        <v>131</v>
      </c>
      <c r="S60" s="37" t="s">
        <v>132</v>
      </c>
      <c r="T60" s="37" t="s">
        <v>133</v>
      </c>
      <c r="U60" s="37" t="s">
        <v>134</v>
      </c>
      <c r="V60" s="37" t="s">
        <v>135</v>
      </c>
    </row>
    <row r="61" spans="8:25" x14ac:dyDescent="0.25">
      <c r="H61" s="32" t="s">
        <v>118</v>
      </c>
      <c r="I61" s="33">
        <v>10</v>
      </c>
      <c r="K61" s="11">
        <f>$I61</f>
        <v>10</v>
      </c>
      <c r="L61" s="11">
        <f t="shared" ref="L61:V61" si="45">$I61</f>
        <v>10</v>
      </c>
      <c r="M61" s="11">
        <f t="shared" si="45"/>
        <v>10</v>
      </c>
      <c r="N61" s="11">
        <f t="shared" si="45"/>
        <v>10</v>
      </c>
      <c r="O61" s="11">
        <f t="shared" si="45"/>
        <v>10</v>
      </c>
      <c r="P61" s="11">
        <f t="shared" si="45"/>
        <v>10</v>
      </c>
      <c r="Q61" s="11">
        <f t="shared" si="45"/>
        <v>10</v>
      </c>
      <c r="R61" s="11">
        <f t="shared" si="45"/>
        <v>10</v>
      </c>
      <c r="S61" s="11">
        <f t="shared" si="45"/>
        <v>10</v>
      </c>
      <c r="T61" s="11">
        <f t="shared" si="45"/>
        <v>10</v>
      </c>
      <c r="U61" s="11">
        <f t="shared" si="45"/>
        <v>10</v>
      </c>
      <c r="V61" s="11">
        <f t="shared" si="45"/>
        <v>10</v>
      </c>
    </row>
    <row r="62" spans="8:25" x14ac:dyDescent="0.25">
      <c r="H62" s="26" t="s">
        <v>119</v>
      </c>
      <c r="I62" s="27">
        <v>5.755255297651591E-2</v>
      </c>
      <c r="K62" s="11">
        <f>650*$I62</f>
        <v>37.409159434735344</v>
      </c>
      <c r="L62" s="11">
        <f t="shared" ref="L62:R62" si="46">650*$I62</f>
        <v>37.409159434735344</v>
      </c>
      <c r="M62" s="11">
        <f t="shared" si="46"/>
        <v>37.409159434735344</v>
      </c>
      <c r="N62" s="11">
        <f t="shared" si="46"/>
        <v>37.409159434735344</v>
      </c>
      <c r="O62" s="11">
        <f t="shared" si="46"/>
        <v>37.409159434735344</v>
      </c>
      <c r="P62" s="11">
        <f t="shared" si="46"/>
        <v>37.409159434735344</v>
      </c>
      <c r="Q62" s="11">
        <f t="shared" si="46"/>
        <v>37.409159434735344</v>
      </c>
      <c r="R62" s="11">
        <f t="shared" si="46"/>
        <v>37.409159434735344</v>
      </c>
      <c r="S62" s="11">
        <v>0</v>
      </c>
      <c r="T62" s="11">
        <v>0</v>
      </c>
      <c r="U62" s="11">
        <v>0</v>
      </c>
      <c r="V62" s="11">
        <v>0</v>
      </c>
    </row>
    <row r="63" spans="8:25" x14ac:dyDescent="0.25">
      <c r="H63" s="26" t="s">
        <v>120</v>
      </c>
      <c r="I63" s="27">
        <v>5.0473552976515908E-2</v>
      </c>
      <c r="K63" s="11">
        <f>350*$I63</f>
        <v>17.665743541780568</v>
      </c>
      <c r="L63" s="11">
        <f t="shared" ref="L63:R63" si="47">350*$I63</f>
        <v>17.665743541780568</v>
      </c>
      <c r="M63" s="11">
        <f t="shared" si="47"/>
        <v>17.665743541780568</v>
      </c>
      <c r="N63" s="11">
        <f t="shared" si="47"/>
        <v>17.665743541780568</v>
      </c>
      <c r="O63" s="11">
        <f t="shared" si="47"/>
        <v>17.665743541780568</v>
      </c>
      <c r="P63" s="11">
        <f t="shared" si="47"/>
        <v>17.665743541780568</v>
      </c>
      <c r="Q63" s="11">
        <f t="shared" si="47"/>
        <v>17.665743541780568</v>
      </c>
      <c r="R63" s="11">
        <f t="shared" si="47"/>
        <v>17.665743541780568</v>
      </c>
      <c r="S63" s="11">
        <v>0</v>
      </c>
      <c r="T63" s="11">
        <v>0</v>
      </c>
      <c r="U63" s="11">
        <v>0</v>
      </c>
      <c r="V63" s="11">
        <v>0</v>
      </c>
    </row>
    <row r="64" spans="8:25" x14ac:dyDescent="0.25">
      <c r="H64" s="35" t="s">
        <v>121</v>
      </c>
      <c r="I64" s="27">
        <v>4.9689552976515908E-2</v>
      </c>
      <c r="K64" s="11">
        <f t="shared" ref="K64:L64" si="48">(K59-1000)*$I64</f>
        <v>25.735221018019615</v>
      </c>
      <c r="L64" s="11">
        <f t="shared" si="48"/>
        <v>26.621874158608673</v>
      </c>
      <c r="M64" s="11">
        <f>(M59-1000)*$I64</f>
        <v>42.403551651318786</v>
      </c>
      <c r="N64" s="11">
        <f t="shared" ref="N64:R64" si="49">(N59-1000)*$I64</f>
        <v>49.43926139237189</v>
      </c>
      <c r="O64" s="11">
        <f t="shared" si="49"/>
        <v>30.948741828238663</v>
      </c>
      <c r="P64" s="11">
        <f t="shared" si="49"/>
        <v>27.048594341029176</v>
      </c>
      <c r="Q64" s="11">
        <f t="shared" si="49"/>
        <v>26.023140939271361</v>
      </c>
      <c r="R64" s="11">
        <f t="shared" si="49"/>
        <v>50.571505337560808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26" t="s">
        <v>122</v>
      </c>
      <c r="I65" s="27">
        <v>5.755255297651591E-2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f>650*$I65</f>
        <v>37.409159434735344</v>
      </c>
      <c r="T65" s="11">
        <f t="shared" ref="T65:V65" si="50">650*$I65</f>
        <v>37.409159434735344</v>
      </c>
      <c r="U65" s="11">
        <f t="shared" si="50"/>
        <v>37.409159434735344</v>
      </c>
      <c r="V65" s="11">
        <f t="shared" si="50"/>
        <v>37.409159434735344</v>
      </c>
    </row>
    <row r="66" spans="8:25" x14ac:dyDescent="0.25">
      <c r="H66" s="26" t="s">
        <v>123</v>
      </c>
      <c r="I66" s="27">
        <v>9.0437552976515914E-2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f>350*$I66</f>
        <v>31.653143541780569</v>
      </c>
      <c r="T66" s="11">
        <f t="shared" ref="T66:V66" si="51">350*$I66</f>
        <v>31.653143541780569</v>
      </c>
      <c r="U66" s="11">
        <f t="shared" si="51"/>
        <v>31.653143541780569</v>
      </c>
      <c r="V66" s="11">
        <f t="shared" si="51"/>
        <v>31.653143541780569</v>
      </c>
    </row>
    <row r="67" spans="8:25" x14ac:dyDescent="0.25">
      <c r="H67" s="35" t="s">
        <v>156</v>
      </c>
      <c r="I67" s="27">
        <v>9.3330552976515907E-2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f>(S59-1000)*$I67</f>
        <v>151.72880235826352</v>
      </c>
      <c r="T67" s="11">
        <f t="shared" ref="T67:V67" si="52">(T59-1000)*$I67</f>
        <v>179.68038734690109</v>
      </c>
      <c r="U67" s="11">
        <f t="shared" si="52"/>
        <v>163.84523107658498</v>
      </c>
      <c r="V67" s="11">
        <f t="shared" si="52"/>
        <v>101.06489346501212</v>
      </c>
    </row>
    <row r="68" spans="8:25" x14ac:dyDescent="0.25">
      <c r="H68" s="64" t="s">
        <v>112</v>
      </c>
      <c r="I68" s="27">
        <v>3.1718000000000003E-2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f>S59*$I68</f>
        <v>83.28240200681492</v>
      </c>
      <c r="T68" s="11">
        <f>T59*$I68</f>
        <v>92.781631834507976</v>
      </c>
      <c r="U68" s="11">
        <f>U59*$I68</f>
        <v>87.400119879807932</v>
      </c>
      <c r="V68" s="11">
        <f>V59*$I68</f>
        <v>66.064483425742168</v>
      </c>
    </row>
    <row r="69" spans="8:25" x14ac:dyDescent="0.25">
      <c r="H69" s="64"/>
      <c r="I69" s="27">
        <v>2.8812999999999998E-2</v>
      </c>
      <c r="K69" s="11">
        <f t="shared" ref="K69:R69" si="53">K59*$I69</f>
        <v>43.735833448363849</v>
      </c>
      <c r="L69" s="11">
        <f t="shared" si="53"/>
        <v>44.249968420595671</v>
      </c>
      <c r="M69" s="11">
        <f t="shared" si="53"/>
        <v>53.40113695319171</v>
      </c>
      <c r="N69" s="11">
        <f t="shared" si="53"/>
        <v>57.48086584237636</v>
      </c>
      <c r="O69" s="11">
        <f t="shared" si="53"/>
        <v>46.758947284301087</v>
      </c>
      <c r="P69" s="11">
        <f t="shared" si="53"/>
        <v>44.497406521354854</v>
      </c>
      <c r="Q69" s="11">
        <f t="shared" si="53"/>
        <v>43.902786785515971</v>
      </c>
      <c r="R69" s="11">
        <f t="shared" si="53"/>
        <v>58.137409176709568</v>
      </c>
      <c r="S69" s="11">
        <v>0</v>
      </c>
      <c r="T69" s="11">
        <v>0</v>
      </c>
      <c r="U69" s="11">
        <v>0</v>
      </c>
      <c r="V69" s="11">
        <v>0</v>
      </c>
    </row>
    <row r="70" spans="8:25" x14ac:dyDescent="0.25">
      <c r="H70" s="28" t="s">
        <v>144</v>
      </c>
      <c r="I70" s="29">
        <v>1.9511000000000001E-2</v>
      </c>
      <c r="K70" s="11">
        <f t="shared" ref="K70:V70" si="54">SUM(K61:K67)*$I70</f>
        <v>1.7717963292573828</v>
      </c>
      <c r="L70" s="11">
        <f t="shared" si="54"/>
        <v>1.7890958186834161</v>
      </c>
      <c r="M70" s="11">
        <f t="shared" si="54"/>
        <v>2.0970121282436831</v>
      </c>
      <c r="N70" s="11">
        <f t="shared" si="54"/>
        <v>2.2342858610013701</v>
      </c>
      <c r="O70" s="11">
        <f t="shared" si="54"/>
        <v>1.8735173337855666</v>
      </c>
      <c r="P70" s="11">
        <f t="shared" si="54"/>
        <v>1.7974215561626223</v>
      </c>
      <c r="Q70" s="11">
        <f t="shared" si="54"/>
        <v>1.7774139348409255</v>
      </c>
      <c r="R70" s="11">
        <f t="shared" si="54"/>
        <v>2.2563770726159511</v>
      </c>
      <c r="S70" s="11">
        <f t="shared" si="54"/>
        <v>4.502965256186882</v>
      </c>
      <c r="T70" s="11">
        <f t="shared" si="54"/>
        <v>5.0483286309001887</v>
      </c>
      <c r="U70" s="11">
        <f t="shared" si="54"/>
        <v>4.7393688969100518</v>
      </c>
      <c r="V70" s="11">
        <f t="shared" si="54"/>
        <v>3.5144617297706535</v>
      </c>
    </row>
    <row r="71" spans="8:25" x14ac:dyDescent="0.25">
      <c r="H71" s="30" t="s">
        <v>145</v>
      </c>
      <c r="I71" s="31">
        <v>0.16881399999999999</v>
      </c>
      <c r="K71" s="11">
        <f t="shared" ref="K71:V71" si="55">SUM(K61:K67)*$I71</f>
        <v>15.33002027201352</v>
      </c>
      <c r="L71" s="11">
        <f t="shared" si="55"/>
        <v>15.479699735288921</v>
      </c>
      <c r="M71" s="11">
        <f t="shared" si="55"/>
        <v>18.143867839543287</v>
      </c>
      <c r="N71" s="11">
        <f t="shared" si="55"/>
        <v>19.331594143769426</v>
      </c>
      <c r="O71" s="11">
        <f t="shared" si="55"/>
        <v>16.210135574069838</v>
      </c>
      <c r="P71" s="11">
        <f t="shared" si="55"/>
        <v>15.551736076164056</v>
      </c>
      <c r="Q71" s="11">
        <f t="shared" si="55"/>
        <v>15.378625185599711</v>
      </c>
      <c r="R71" s="11">
        <f t="shared" si="55"/>
        <v>19.522732773132546</v>
      </c>
      <c r="S71" s="11">
        <f t="shared" si="55"/>
        <v>38.960769655985459</v>
      </c>
      <c r="T71" s="11">
        <f t="shared" si="55"/>
        <v>43.679388524257313</v>
      </c>
      <c r="U71" s="11">
        <f t="shared" si="55"/>
        <v>41.006192453640175</v>
      </c>
      <c r="V71" s="11">
        <f t="shared" si="55"/>
        <v>30.407992540080112</v>
      </c>
    </row>
    <row r="72" spans="8:25" x14ac:dyDescent="0.25">
      <c r="H72" s="30" t="s">
        <v>115</v>
      </c>
      <c r="I72" s="34">
        <v>0.10766199999999999</v>
      </c>
      <c r="K72" s="11">
        <f t="shared" ref="K72:V72" si="56">SUM(K61:K67)*$I72</f>
        <v>9.7767995694996834</v>
      </c>
      <c r="L72" s="11">
        <f t="shared" si="56"/>
        <v>9.8722584199217831</v>
      </c>
      <c r="M72" s="11">
        <f t="shared" si="56"/>
        <v>11.57134538214194</v>
      </c>
      <c r="N72" s="11">
        <f t="shared" si="56"/>
        <v>12.328823964283199</v>
      </c>
      <c r="O72" s="11">
        <f t="shared" si="56"/>
        <v>10.338097646969487</v>
      </c>
      <c r="P72" s="11">
        <f t="shared" si="56"/>
        <v>9.918199968201538</v>
      </c>
      <c r="Q72" s="11">
        <f t="shared" si="56"/>
        <v>9.8077976040614896</v>
      </c>
      <c r="R72" s="11">
        <f t="shared" si="56"/>
        <v>12.450723611910128</v>
      </c>
      <c r="S72" s="11">
        <f t="shared" si="56"/>
        <v>24.847431982553022</v>
      </c>
      <c r="T72" s="11">
        <f t="shared" si="56"/>
        <v>27.856755525599716</v>
      </c>
      <c r="U72" s="11">
        <f t="shared" si="56"/>
        <v>26.151910931224947</v>
      </c>
      <c r="V72" s="11">
        <f t="shared" si="56"/>
        <v>19.392854223287792</v>
      </c>
    </row>
    <row r="73" spans="8:25" x14ac:dyDescent="0.25">
      <c r="H73" s="30" t="s">
        <v>116</v>
      </c>
      <c r="I73" s="31">
        <v>2.3567999999999999E-2</v>
      </c>
      <c r="K73" s="11">
        <f t="shared" ref="K73:V73" si="57">SUM(K61:K72)*$I73</f>
        <v>3.8044543509269726</v>
      </c>
      <c r="L73" s="11">
        <f t="shared" si="57"/>
        <v>3.8436532593139523</v>
      </c>
      <c r="M73" s="11">
        <f t="shared" si="57"/>
        <v>4.5413607414287549</v>
      </c>
      <c r="N73" s="11">
        <f t="shared" si="57"/>
        <v>4.8524092551617386</v>
      </c>
      <c r="O73" s="11">
        <f t="shared" si="57"/>
        <v>4.0349439474309765</v>
      </c>
      <c r="P73" s="11">
        <f t="shared" si="57"/>
        <v>3.8625185456044426</v>
      </c>
      <c r="Q73" s="11">
        <f t="shared" si="57"/>
        <v>3.81718328189138</v>
      </c>
      <c r="R73" s="11">
        <f t="shared" si="57"/>
        <v>4.9024657255529496</v>
      </c>
      <c r="S73" s="11">
        <f t="shared" si="57"/>
        <v>9.0120420024015822</v>
      </c>
      <c r="T73" s="11">
        <f t="shared" si="57"/>
        <v>10.089668076758063</v>
      </c>
      <c r="U73" s="11">
        <f t="shared" si="57"/>
        <v>9.4791704146276707</v>
      </c>
      <c r="V73" s="11">
        <f t="shared" si="57"/>
        <v>7.0587807016781126</v>
      </c>
    </row>
    <row r="74" spans="8:25" x14ac:dyDescent="0.25">
      <c r="K74" s="11">
        <f>SUM(K61:K73)</f>
        <v>165.2290279645969</v>
      </c>
      <c r="L74" s="11">
        <f>SUM(L61:L73)</f>
        <v>166.93145278892837</v>
      </c>
      <c r="M74" s="41">
        <f>SUM(M61:M73)</f>
        <v>197.23317767238407</v>
      </c>
      <c r="N74" s="41">
        <f t="shared" ref="N74" si="58">SUM(N61:N73)</f>
        <v>210.74214343547993</v>
      </c>
      <c r="O74" s="11">
        <f t="shared" ref="O74" si="59">SUM(O61:O73)</f>
        <v>175.23928659131153</v>
      </c>
      <c r="P74" s="11">
        <f t="shared" ref="P74" si="60">SUM(P61:P73)</f>
        <v>167.75077998503261</v>
      </c>
      <c r="Q74" s="11">
        <f t="shared" ref="Q74" si="61">SUM(Q61:Q73)</f>
        <v>165.78185070769672</v>
      </c>
      <c r="R74" s="11">
        <f t="shared" ref="R74" si="62">SUM(R61:R73)</f>
        <v>212.91611667399789</v>
      </c>
      <c r="S74" s="11">
        <f t="shared" ref="S74" si="63">SUM(S61:S73)</f>
        <v>391.3967162387213</v>
      </c>
      <c r="T74" s="11">
        <f t="shared" ref="T74" si="64">SUM(T61:T73)</f>
        <v>438.1984629154403</v>
      </c>
      <c r="U74" s="11">
        <f t="shared" ref="U74" si="65">SUM(U61:U73)</f>
        <v>411.68429662931163</v>
      </c>
      <c r="V74" s="11">
        <f>SUM(V61:V73)</f>
        <v>306.56576906208687</v>
      </c>
      <c r="W74" s="11">
        <f>SUM(K74:V74)/12</f>
        <v>250.80575672208235</v>
      </c>
      <c r="X74" s="3">
        <f>W74/W21-1</f>
        <v>2.4233139900334155E-2</v>
      </c>
      <c r="Y74" s="11">
        <f>W74-W21</f>
        <v>5.9340112652934067</v>
      </c>
    </row>
  </sheetData>
  <mergeCells count="8">
    <mergeCell ref="H60:I60"/>
    <mergeCell ref="H68:H69"/>
    <mergeCell ref="H7:I7"/>
    <mergeCell ref="H15:H16"/>
    <mergeCell ref="H24:I24"/>
    <mergeCell ref="H32:H33"/>
    <mergeCell ref="H42:I42"/>
    <mergeCell ref="H50:H5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6"/>
  <sheetViews>
    <sheetView topLeftCell="F1" workbookViewId="0">
      <selection activeCell="K2" sqref="K2:V2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6.875" customWidth="1"/>
  </cols>
  <sheetData>
    <row r="1" spans="1:23" x14ac:dyDescent="0.25">
      <c r="J1" s="61" t="s">
        <v>157</v>
      </c>
      <c r="K1" s="62" t="s">
        <v>162</v>
      </c>
    </row>
    <row r="2" spans="1:23" x14ac:dyDescent="0.25">
      <c r="J2" s="12" t="s">
        <v>139</v>
      </c>
      <c r="K2" s="39">
        <v>1394.0654356041343</v>
      </c>
      <c r="L2" s="40">
        <v>1410.4533202632863</v>
      </c>
      <c r="M2" s="40">
        <v>1702.1438344441153</v>
      </c>
      <c r="N2" s="40">
        <v>1832.1838630115997</v>
      </c>
      <c r="O2" s="40">
        <v>1490.426203749834</v>
      </c>
      <c r="P2" s="40">
        <v>1418.3403290732858</v>
      </c>
      <c r="Q2" s="40">
        <v>1399.3870188079236</v>
      </c>
      <c r="R2" s="40">
        <v>1853.110967795159</v>
      </c>
      <c r="S2" s="40">
        <v>2411.4689778696211</v>
      </c>
      <c r="T2" s="40">
        <v>2686.5222603297152</v>
      </c>
      <c r="U2" s="40">
        <v>2530.6988352112639</v>
      </c>
      <c r="V2" s="40">
        <v>1912.9185575978295</v>
      </c>
      <c r="W2" s="40">
        <f>SUM(K2:V2)</f>
        <v>22041.719603757767</v>
      </c>
    </row>
    <row r="3" spans="1:23" x14ac:dyDescent="0.25">
      <c r="A3" t="s">
        <v>1</v>
      </c>
      <c r="B3" t="s">
        <v>2</v>
      </c>
      <c r="J3" s="12" t="s">
        <v>160</v>
      </c>
      <c r="K3" s="39">
        <f>K2*($W3/$W2)</f>
        <v>1138.4401168317388</v>
      </c>
      <c r="L3" s="39">
        <f t="shared" ref="L3:V3" si="0">L2*($W3/$W2)</f>
        <v>1151.8230075121212</v>
      </c>
      <c r="M3" s="39">
        <f t="shared" si="0"/>
        <v>1390.0271653383468</v>
      </c>
      <c r="N3" s="39">
        <f t="shared" si="0"/>
        <v>1496.2221699157419</v>
      </c>
      <c r="O3" s="39">
        <f t="shared" si="0"/>
        <v>1217.1315192179161</v>
      </c>
      <c r="P3" s="39">
        <f t="shared" si="0"/>
        <v>1158.2638007502219</v>
      </c>
      <c r="Q3" s="39">
        <f t="shared" si="0"/>
        <v>1142.7858983492513</v>
      </c>
      <c r="R3" s="39">
        <f t="shared" si="0"/>
        <v>1513.3119384490394</v>
      </c>
      <c r="S3" s="39">
        <f t="shared" si="0"/>
        <v>1969.2856266193071</v>
      </c>
      <c r="T3" s="39">
        <f t="shared" si="0"/>
        <v>2193.9032686764917</v>
      </c>
      <c r="U3" s="39">
        <f t="shared" si="0"/>
        <v>2066.652686482626</v>
      </c>
      <c r="V3" s="39">
        <f t="shared" si="0"/>
        <v>1562.1528018571983</v>
      </c>
      <c r="W3">
        <f>1500*12</f>
        <v>18000</v>
      </c>
    </row>
    <row r="4" spans="1:23" x14ac:dyDescent="0.25">
      <c r="A4" t="s">
        <v>3</v>
      </c>
      <c r="B4" t="s">
        <v>4</v>
      </c>
    </row>
    <row r="5" spans="1:23" x14ac:dyDescent="0.25">
      <c r="A5" t="s">
        <v>5</v>
      </c>
      <c r="B5" t="s">
        <v>1</v>
      </c>
      <c r="C5" t="s">
        <v>2</v>
      </c>
    </row>
    <row r="6" spans="1:23" x14ac:dyDescent="0.25">
      <c r="A6" t="s">
        <v>0</v>
      </c>
      <c r="J6" s="12" t="s">
        <v>3</v>
      </c>
      <c r="K6" s="39">
        <v>1138.4401168317388</v>
      </c>
      <c r="L6" s="40">
        <v>1151.8230075121212</v>
      </c>
      <c r="M6" s="40">
        <v>1390.0271653383468</v>
      </c>
      <c r="N6" s="40">
        <v>1496.2221699157419</v>
      </c>
      <c r="O6" s="40">
        <v>1217.1315192179161</v>
      </c>
      <c r="P6" s="40">
        <v>1158.2638007502219</v>
      </c>
      <c r="Q6" s="40">
        <v>1142.7858983492513</v>
      </c>
      <c r="R6" s="40">
        <v>1513.3119384490394</v>
      </c>
      <c r="S6" s="40">
        <v>1969.2856266193071</v>
      </c>
      <c r="T6" s="40">
        <v>2193.9032686764917</v>
      </c>
      <c r="U6" s="40">
        <v>2066.652686482626</v>
      </c>
      <c r="V6" s="40">
        <v>1562.1528018571983</v>
      </c>
      <c r="W6" s="40">
        <f>SUM(K6:V6)</f>
        <v>18000</v>
      </c>
    </row>
    <row r="7" spans="1:23" ht="16.5" thickBot="1" x14ac:dyDescent="0.3">
      <c r="A7" t="s">
        <v>6</v>
      </c>
      <c r="B7" t="s">
        <v>7</v>
      </c>
      <c r="C7" t="s">
        <v>8</v>
      </c>
      <c r="H7" s="63" t="s">
        <v>117</v>
      </c>
      <c r="I7" s="63"/>
      <c r="J7" s="12" t="s">
        <v>136</v>
      </c>
      <c r="K7" s="37" t="s">
        <v>124</v>
      </c>
      <c r="L7" s="37" t="s">
        <v>125</v>
      </c>
      <c r="M7" s="37" t="s">
        <v>126</v>
      </c>
      <c r="N7" s="37" t="s">
        <v>127</v>
      </c>
      <c r="O7" s="37" t="s">
        <v>128</v>
      </c>
      <c r="P7" s="37" t="s">
        <v>129</v>
      </c>
      <c r="Q7" s="37" t="s">
        <v>130</v>
      </c>
      <c r="R7" s="37" t="s">
        <v>131</v>
      </c>
      <c r="S7" s="37" t="s">
        <v>132</v>
      </c>
      <c r="T7" s="37" t="s">
        <v>133</v>
      </c>
      <c r="U7" s="37" t="s">
        <v>134</v>
      </c>
      <c r="V7" s="37" t="s">
        <v>135</v>
      </c>
    </row>
    <row r="8" spans="1:23" x14ac:dyDescent="0.25">
      <c r="A8" t="s">
        <v>9</v>
      </c>
      <c r="B8" t="s">
        <v>1</v>
      </c>
      <c r="H8" s="32" t="s">
        <v>118</v>
      </c>
      <c r="I8" s="33">
        <v>10</v>
      </c>
      <c r="K8" s="11">
        <f>$I8</f>
        <v>10</v>
      </c>
      <c r="L8" s="11">
        <f t="shared" ref="L8:V8" si="1">$I8</f>
        <v>10</v>
      </c>
      <c r="M8" s="11">
        <f t="shared" si="1"/>
        <v>10</v>
      </c>
      <c r="N8" s="11">
        <f t="shared" si="1"/>
        <v>10</v>
      </c>
      <c r="O8" s="11">
        <f t="shared" si="1"/>
        <v>10</v>
      </c>
      <c r="P8" s="11">
        <f t="shared" si="1"/>
        <v>10</v>
      </c>
      <c r="Q8" s="11">
        <f t="shared" si="1"/>
        <v>10</v>
      </c>
      <c r="R8" s="11">
        <f t="shared" si="1"/>
        <v>10</v>
      </c>
      <c r="S8" s="11">
        <f t="shared" si="1"/>
        <v>10</v>
      </c>
      <c r="T8" s="11">
        <f t="shared" si="1"/>
        <v>10</v>
      </c>
      <c r="U8" s="11">
        <f t="shared" si="1"/>
        <v>10</v>
      </c>
      <c r="V8" s="11">
        <f t="shared" si="1"/>
        <v>10</v>
      </c>
    </row>
    <row r="9" spans="1:23" x14ac:dyDescent="0.25">
      <c r="A9" t="s">
        <v>2</v>
      </c>
      <c r="B9" t="s">
        <v>0</v>
      </c>
      <c r="H9" s="26" t="s">
        <v>119</v>
      </c>
      <c r="I9" s="27">
        <v>5.6582E-2</v>
      </c>
      <c r="K9" s="11">
        <f>650*$I9</f>
        <v>36.778300000000002</v>
      </c>
      <c r="L9" s="11">
        <f t="shared" ref="L9:R9" si="2">650*$I9</f>
        <v>36.778300000000002</v>
      </c>
      <c r="M9" s="11">
        <f t="shared" si="2"/>
        <v>36.778300000000002</v>
      </c>
      <c r="N9" s="11">
        <f t="shared" si="2"/>
        <v>36.778300000000002</v>
      </c>
      <c r="O9" s="11">
        <f t="shared" si="2"/>
        <v>36.778300000000002</v>
      </c>
      <c r="P9" s="11">
        <f t="shared" si="2"/>
        <v>36.778300000000002</v>
      </c>
      <c r="Q9" s="11">
        <f t="shared" si="2"/>
        <v>36.778300000000002</v>
      </c>
      <c r="R9" s="11">
        <f t="shared" si="2"/>
        <v>36.778300000000002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1</v>
      </c>
      <c r="B10" t="s">
        <v>2</v>
      </c>
      <c r="H10" s="26" t="s">
        <v>120</v>
      </c>
      <c r="I10" s="27">
        <v>4.8533E-2</v>
      </c>
      <c r="K10" s="11">
        <f t="shared" ref="K10:L10" si="3">(350)*$I10</f>
        <v>16.986550000000001</v>
      </c>
      <c r="L10" s="11">
        <f t="shared" si="3"/>
        <v>16.986550000000001</v>
      </c>
      <c r="M10" s="11">
        <f>(350)*$I10</f>
        <v>16.986550000000001</v>
      </c>
      <c r="N10" s="11">
        <f t="shared" ref="N10:R10" si="4">(350)*$I10</f>
        <v>16.986550000000001</v>
      </c>
      <c r="O10" s="11">
        <f t="shared" si="4"/>
        <v>16.986550000000001</v>
      </c>
      <c r="P10" s="11">
        <f t="shared" si="4"/>
        <v>16.986550000000001</v>
      </c>
      <c r="Q10" s="11">
        <f t="shared" si="4"/>
        <v>16.986550000000001</v>
      </c>
      <c r="R10" s="11">
        <f t="shared" si="4"/>
        <v>16.986550000000001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A11" t="s">
        <v>0</v>
      </c>
      <c r="B11" t="s">
        <v>10</v>
      </c>
      <c r="H11" s="35" t="s">
        <v>121</v>
      </c>
      <c r="I11" s="27">
        <v>4.7641000000000003E-2</v>
      </c>
      <c r="K11" s="11">
        <f t="shared" ref="K11:L11" si="5">(K6-1000)*$I11</f>
        <v>6.5954256059808687</v>
      </c>
      <c r="L11" s="11">
        <f t="shared" si="5"/>
        <v>7.2329999008849661</v>
      </c>
      <c r="M11" s="11">
        <f>(M6-1000)*$I11</f>
        <v>18.581284183884179</v>
      </c>
      <c r="N11" s="11">
        <f t="shared" ref="N11:R11" si="6">(N6-1000)*$I11</f>
        <v>23.640520396955861</v>
      </c>
      <c r="O11" s="11">
        <f t="shared" si="6"/>
        <v>10.344362707060741</v>
      </c>
      <c r="P11" s="11">
        <f t="shared" si="6"/>
        <v>7.5398457315413214</v>
      </c>
      <c r="Q11" s="11">
        <f t="shared" si="6"/>
        <v>6.8024629832566808</v>
      </c>
      <c r="R11" s="11">
        <f t="shared" si="6"/>
        <v>24.454694059650688</v>
      </c>
      <c r="S11" s="11">
        <v>0</v>
      </c>
      <c r="T11" s="11">
        <v>0</v>
      </c>
      <c r="U11" s="11">
        <v>0</v>
      </c>
      <c r="V11" s="11">
        <v>0</v>
      </c>
    </row>
    <row r="12" spans="1:23" x14ac:dyDescent="0.25">
      <c r="H12" s="26" t="s">
        <v>122</v>
      </c>
      <c r="I12" s="27">
        <v>5.6582E-2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>650*$I12</f>
        <v>36.778300000000002</v>
      </c>
      <c r="T12" s="11">
        <f t="shared" ref="T12:V12" si="7">650*$I12</f>
        <v>36.778300000000002</v>
      </c>
      <c r="U12" s="11">
        <f t="shared" si="7"/>
        <v>36.778300000000002</v>
      </c>
      <c r="V12" s="11">
        <f t="shared" si="7"/>
        <v>36.778300000000002</v>
      </c>
    </row>
    <row r="13" spans="1:23" x14ac:dyDescent="0.25">
      <c r="A13" s="21" t="s">
        <v>109</v>
      </c>
      <c r="B13" s="21" t="s">
        <v>110</v>
      </c>
      <c r="C13" s="22"/>
      <c r="D13" s="22"/>
      <c r="E13" s="22"/>
      <c r="F13" s="21" t="s">
        <v>111</v>
      </c>
      <c r="H13" s="26" t="s">
        <v>123</v>
      </c>
      <c r="I13" s="27">
        <v>9.3982999999999997E-2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f>350*$I13</f>
        <v>32.89405</v>
      </c>
      <c r="T13" s="11">
        <f t="shared" ref="T13:V13" si="8">350*$I13</f>
        <v>32.89405</v>
      </c>
      <c r="U13" s="11">
        <f t="shared" si="8"/>
        <v>32.89405</v>
      </c>
      <c r="V13" s="11">
        <f t="shared" si="8"/>
        <v>32.89405</v>
      </c>
    </row>
    <row r="14" spans="1:23" x14ac:dyDescent="0.25">
      <c r="A14" s="22" t="s">
        <v>11</v>
      </c>
      <c r="B14" s="22">
        <v>673</v>
      </c>
      <c r="C14" s="23">
        <v>83.88</v>
      </c>
      <c r="D14" s="23">
        <v>92.33</v>
      </c>
      <c r="E14" s="23">
        <v>8.4499999999999993</v>
      </c>
      <c r="F14" s="24">
        <f>D14/C14-1</f>
        <v>0.10073915116833576</v>
      </c>
      <c r="H14" s="35" t="s">
        <v>156</v>
      </c>
      <c r="I14" s="27">
        <v>9.7272999999999998E-2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(S6-1000)*$I14</f>
        <v>94.285320758139861</v>
      </c>
      <c r="T14" s="11">
        <f t="shared" ref="T14:V14" si="9">(T6-1000)*$I14</f>
        <v>116.13455265396838</v>
      </c>
      <c r="U14" s="11">
        <f t="shared" si="9"/>
        <v>103.75650677222448</v>
      </c>
      <c r="V14" s="11">
        <f t="shared" si="9"/>
        <v>54.682289495055244</v>
      </c>
    </row>
    <row r="15" spans="1:23" x14ac:dyDescent="0.25">
      <c r="A15" s="22" t="s">
        <v>12</v>
      </c>
      <c r="B15" s="25">
        <v>1000</v>
      </c>
      <c r="C15" s="23">
        <v>123.31</v>
      </c>
      <c r="D15" s="23">
        <v>133.09</v>
      </c>
      <c r="E15" s="23">
        <v>9.7799999999999994</v>
      </c>
      <c r="F15" s="24">
        <f t="shared" ref="F15:F16" si="10">D15/C15-1</f>
        <v>7.9312302327467332E-2</v>
      </c>
      <c r="H15" s="64" t="s">
        <v>112</v>
      </c>
      <c r="I15" s="27">
        <v>3.1718000000000003E-2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f>S6*$I15</f>
        <v>62.46180150511119</v>
      </c>
      <c r="T15" s="11">
        <f>T6*$I15</f>
        <v>69.586223875880975</v>
      </c>
      <c r="U15" s="11">
        <f>U6*$I15</f>
        <v>65.550089909855942</v>
      </c>
      <c r="V15" s="11">
        <f>V6*$I15</f>
        <v>49.548362569306619</v>
      </c>
    </row>
    <row r="16" spans="1:23" x14ac:dyDescent="0.25">
      <c r="A16" s="22" t="s">
        <v>13</v>
      </c>
      <c r="B16" s="25">
        <v>1837</v>
      </c>
      <c r="C16" s="23">
        <v>225.4</v>
      </c>
      <c r="D16" s="23">
        <v>238.64</v>
      </c>
      <c r="E16" s="23">
        <v>13.24</v>
      </c>
      <c r="F16" s="24">
        <f t="shared" si="10"/>
        <v>5.8740017746228945E-2</v>
      </c>
      <c r="H16" s="64"/>
      <c r="I16" s="27">
        <v>2.8812999999999998E-2</v>
      </c>
      <c r="K16" s="11">
        <f t="shared" ref="K16:R16" si="11">K6*$I16</f>
        <v>32.801875086272887</v>
      </c>
      <c r="L16" s="11">
        <f t="shared" si="11"/>
        <v>33.187476315446744</v>
      </c>
      <c r="M16" s="11">
        <f t="shared" si="11"/>
        <v>40.050852714893786</v>
      </c>
      <c r="N16" s="11">
        <f t="shared" si="11"/>
        <v>43.110649381782267</v>
      </c>
      <c r="O16" s="11">
        <f t="shared" si="11"/>
        <v>35.069210463225815</v>
      </c>
      <c r="P16" s="11">
        <f t="shared" si="11"/>
        <v>33.373054891016139</v>
      </c>
      <c r="Q16" s="11">
        <f t="shared" si="11"/>
        <v>32.927090089136975</v>
      </c>
      <c r="R16" s="11">
        <f t="shared" si="11"/>
        <v>43.603056882532172</v>
      </c>
      <c r="S16" s="11">
        <v>0</v>
      </c>
      <c r="T16" s="11">
        <v>0</v>
      </c>
      <c r="U16" s="11">
        <v>0</v>
      </c>
      <c r="V16" s="11">
        <v>0</v>
      </c>
    </row>
    <row r="17" spans="1:24" x14ac:dyDescent="0.25">
      <c r="F17" s="3"/>
      <c r="H17" s="28" t="s">
        <v>113</v>
      </c>
      <c r="I17" s="29">
        <v>1.6721E-2</v>
      </c>
      <c r="K17" s="11">
        <f t="shared" ref="K17:V17" si="12">SUM(K8:K14)*$I17</f>
        <v>1.1764941684076062</v>
      </c>
      <c r="L17" s="11">
        <f t="shared" si="12"/>
        <v>1.1871550481926976</v>
      </c>
      <c r="M17" s="11">
        <f t="shared" si="12"/>
        <v>1.3769097096887273</v>
      </c>
      <c r="N17" s="11">
        <f t="shared" si="12"/>
        <v>1.4615051984074989</v>
      </c>
      <c r="O17" s="11">
        <f t="shared" si="12"/>
        <v>1.2391801456747629</v>
      </c>
      <c r="P17" s="11">
        <f t="shared" si="12"/>
        <v>1.1922858173271025</v>
      </c>
      <c r="Q17" s="11">
        <f t="shared" si="12"/>
        <v>1.1799560403930349</v>
      </c>
      <c r="R17" s="11">
        <f t="shared" si="12"/>
        <v>1.4751189962214191</v>
      </c>
      <c r="S17" s="11">
        <f t="shared" si="12"/>
        <v>2.9087462127468564</v>
      </c>
      <c r="T17" s="11">
        <f t="shared" si="12"/>
        <v>3.2740872192770056</v>
      </c>
      <c r="U17" s="11">
        <f t="shared" si="12"/>
        <v>3.0671139140883659</v>
      </c>
      <c r="V17" s="11">
        <f t="shared" si="12"/>
        <v>2.2465439269968188</v>
      </c>
    </row>
    <row r="18" spans="1:24" x14ac:dyDescent="0.25">
      <c r="A18" t="s">
        <v>60</v>
      </c>
      <c r="B18">
        <v>1014</v>
      </c>
      <c r="C18" s="1">
        <v>122.26</v>
      </c>
      <c r="D18" s="1">
        <v>131.97999999999999</v>
      </c>
      <c r="E18" s="1">
        <f>D18-C18</f>
        <v>9.7199999999999847</v>
      </c>
      <c r="F18" s="3">
        <f>D18/C18-1</f>
        <v>7.9502699165712398E-2</v>
      </c>
      <c r="H18" s="30" t="s">
        <v>114</v>
      </c>
      <c r="I18" s="31">
        <v>0.12767999999999999</v>
      </c>
      <c r="K18" s="11">
        <f t="shared" ref="K18:V18" si="13">SUM(K8:K14)*$I18</f>
        <v>8.983599989371637</v>
      </c>
      <c r="L18" s="11">
        <f t="shared" si="13"/>
        <v>9.0650054753449929</v>
      </c>
      <c r="M18" s="11">
        <f t="shared" si="13"/>
        <v>10.513954412598331</v>
      </c>
      <c r="N18" s="11">
        <f t="shared" si="13"/>
        <v>11.159917692283322</v>
      </c>
      <c r="O18" s="11">
        <f t="shared" si="13"/>
        <v>9.4622642784375159</v>
      </c>
      <c r="P18" s="11">
        <f t="shared" si="13"/>
        <v>9.1041835510031959</v>
      </c>
      <c r="Q18" s="11">
        <f t="shared" si="13"/>
        <v>9.0100345217022131</v>
      </c>
      <c r="R18" s="11">
        <f t="shared" si="13"/>
        <v>11.263871385536198</v>
      </c>
      <c r="S18" s="11">
        <f t="shared" si="13"/>
        <v>22.210915402399294</v>
      </c>
      <c r="T18" s="11">
        <f t="shared" si="13"/>
        <v>25.000625330858682</v>
      </c>
      <c r="U18" s="11">
        <f t="shared" si="13"/>
        <v>23.420196432677621</v>
      </c>
      <c r="V18" s="11">
        <f t="shared" si="13"/>
        <v>17.154400370728652</v>
      </c>
    </row>
    <row r="19" spans="1:24" x14ac:dyDescent="0.25">
      <c r="B19">
        <v>1014</v>
      </c>
      <c r="C19" s="1">
        <v>122.26</v>
      </c>
      <c r="D19" s="1">
        <v>131.81</v>
      </c>
      <c r="E19" s="1">
        <f>D19-C19</f>
        <v>9.5499999999999972</v>
      </c>
      <c r="F19" s="3">
        <f>D19/C19-1</f>
        <v>7.8112219859316268E-2</v>
      </c>
      <c r="H19" s="30" t="s">
        <v>115</v>
      </c>
      <c r="I19" s="34">
        <v>0.10766199999999999</v>
      </c>
      <c r="K19" s="11">
        <f t="shared" ref="K19:V19" si="14">SUM(K8:K14)*$I19</f>
        <v>7.5751279922911126</v>
      </c>
      <c r="L19" s="11">
        <f t="shared" si="14"/>
        <v>7.6437705160290772</v>
      </c>
      <c r="M19" s="11">
        <f t="shared" si="14"/>
        <v>8.865549498505338</v>
      </c>
      <c r="N19" s="11">
        <f t="shared" si="14"/>
        <v>9.4102369876770613</v>
      </c>
      <c r="O19" s="11">
        <f t="shared" si="14"/>
        <v>7.978746058467574</v>
      </c>
      <c r="P19" s="11">
        <f t="shared" si="14"/>
        <v>7.6768061518492026</v>
      </c>
      <c r="Q19" s="11">
        <f t="shared" si="14"/>
        <v>7.5974180504033804</v>
      </c>
      <c r="R19" s="11">
        <f t="shared" si="14"/>
        <v>9.4978925525501126</v>
      </c>
      <c r="S19" s="11">
        <f t="shared" si="14"/>
        <v>18.72863074916285</v>
      </c>
      <c r="T19" s="11">
        <f t="shared" si="14"/>
        <v>21.080962753531544</v>
      </c>
      <c r="U19" s="11">
        <f t="shared" si="14"/>
        <v>19.748317577811232</v>
      </c>
      <c r="V19" s="11">
        <f t="shared" si="14"/>
        <v>14.464889197316635</v>
      </c>
    </row>
    <row r="20" spans="1:24" x14ac:dyDescent="0.25">
      <c r="E20" s="1"/>
      <c r="F20" s="3"/>
      <c r="H20" s="30" t="s">
        <v>116</v>
      </c>
      <c r="I20" s="31">
        <v>2.3050000000000001E-2</v>
      </c>
      <c r="K20" s="11">
        <f t="shared" ref="K20:V20" si="15">SUM(K8:K19)*$I20</f>
        <v>2.7866844440155711</v>
      </c>
      <c r="L20" s="11">
        <f t="shared" si="15"/>
        <v>2.8139729797484598</v>
      </c>
      <c r="M20" s="11">
        <f t="shared" si="15"/>
        <v>3.2996858819760972</v>
      </c>
      <c r="N20" s="11">
        <f t="shared" si="15"/>
        <v>3.5162240160962939</v>
      </c>
      <c r="O20" s="11">
        <f t="shared" si="15"/>
        <v>2.9471410446985713</v>
      </c>
      <c r="P20" s="11">
        <f t="shared" si="15"/>
        <v>2.8271061525900874</v>
      </c>
      <c r="Q20" s="11">
        <f t="shared" si="15"/>
        <v>2.795545759336767</v>
      </c>
      <c r="R20" s="11">
        <f t="shared" si="15"/>
        <v>3.551071103353109</v>
      </c>
      <c r="S20" s="11">
        <f t="shared" si="15"/>
        <v>6.4601719746652595</v>
      </c>
      <c r="T20" s="11">
        <f t="shared" si="15"/>
        <v>7.2549598822625585</v>
      </c>
      <c r="U20" s="11">
        <f t="shared" si="15"/>
        <v>6.8046959446834592</v>
      </c>
      <c r="V20" s="11">
        <f t="shared" si="15"/>
        <v>5.0195716596442619</v>
      </c>
    </row>
    <row r="21" spans="1:24" x14ac:dyDescent="0.25">
      <c r="A21" t="s">
        <v>61</v>
      </c>
      <c r="B21">
        <v>1267</v>
      </c>
      <c r="C21" s="1">
        <v>149.08000000000001</v>
      </c>
      <c r="D21" s="1">
        <v>159.66999999999999</v>
      </c>
      <c r="E21" s="1">
        <f t="shared" ref="E21" si="16">D21-C21</f>
        <v>10.589999999999975</v>
      </c>
      <c r="F21" s="3">
        <f t="shared" ref="F21" si="17">D21/C21-1</f>
        <v>7.1035685537965909E-2</v>
      </c>
      <c r="K21" s="11">
        <f>SUM(K8:K20)</f>
        <v>123.68405728633969</v>
      </c>
      <c r="L21" s="11">
        <f>SUM(L8:L20)</f>
        <v>124.89523023564693</v>
      </c>
      <c r="M21" s="41">
        <f>SUM(M8:M20)</f>
        <v>146.45308640154647</v>
      </c>
      <c r="N21" s="41">
        <f t="shared" ref="N21:U21" si="18">SUM(N8:N20)</f>
        <v>156.0639036732023</v>
      </c>
      <c r="O21" s="11">
        <f t="shared" si="18"/>
        <v>130.80575469756499</v>
      </c>
      <c r="P21" s="11">
        <f t="shared" si="18"/>
        <v>125.47813229532707</v>
      </c>
      <c r="Q21" s="11">
        <f t="shared" si="18"/>
        <v>124.07735744422904</v>
      </c>
      <c r="R21" s="11">
        <f t="shared" si="18"/>
        <v>157.61055497984373</v>
      </c>
      <c r="S21" s="11">
        <f t="shared" si="18"/>
        <v>286.72793660222533</v>
      </c>
      <c r="T21" s="11">
        <f t="shared" si="18"/>
        <v>322.00376171577915</v>
      </c>
      <c r="U21" s="11">
        <f t="shared" si="18"/>
        <v>302.01927055134115</v>
      </c>
      <c r="V21" s="11">
        <f>SUM(V8:V20)</f>
        <v>222.78840721904825</v>
      </c>
      <c r="W21" s="11">
        <f>SUM(K21:V21)/12</f>
        <v>185.21728775850784</v>
      </c>
      <c r="X21" s="11"/>
    </row>
    <row r="22" spans="1:24" x14ac:dyDescent="0.25">
      <c r="C22" s="1"/>
      <c r="D22" s="1"/>
      <c r="E22" s="1"/>
      <c r="F22" s="3"/>
      <c r="K22" s="11"/>
      <c r="L22" s="11"/>
      <c r="M22" s="41"/>
      <c r="N22" s="4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J23" s="12" t="s">
        <v>3</v>
      </c>
      <c r="K23" s="39">
        <v>1138.4401168317388</v>
      </c>
      <c r="L23" s="40">
        <v>1151.8230075121212</v>
      </c>
      <c r="M23" s="40">
        <v>1390.0271653383468</v>
      </c>
      <c r="N23" s="40">
        <v>1496.2221699157419</v>
      </c>
      <c r="O23" s="40">
        <v>1217.1315192179161</v>
      </c>
      <c r="P23" s="40">
        <v>1158.2638007502219</v>
      </c>
      <c r="Q23" s="40">
        <v>1142.7858983492513</v>
      </c>
      <c r="R23" s="40">
        <v>1513.3119384490394</v>
      </c>
      <c r="S23" s="40">
        <v>1969.2856266193071</v>
      </c>
      <c r="T23" s="40">
        <v>2193.9032686764917</v>
      </c>
      <c r="U23" s="40">
        <v>2066.652686482626</v>
      </c>
      <c r="V23" s="40">
        <v>1562.1528018571983</v>
      </c>
    </row>
    <row r="24" spans="1:24" ht="16.5" thickBot="1" x14ac:dyDescent="0.3">
      <c r="H24" s="63" t="s">
        <v>137</v>
      </c>
      <c r="I24" s="63"/>
      <c r="J24" s="12" t="s">
        <v>136</v>
      </c>
      <c r="K24" s="37" t="s">
        <v>124</v>
      </c>
      <c r="L24" s="37" t="s">
        <v>125</v>
      </c>
      <c r="M24" s="37" t="s">
        <v>126</v>
      </c>
      <c r="N24" s="37" t="s">
        <v>127</v>
      </c>
      <c r="O24" s="37" t="s">
        <v>128</v>
      </c>
      <c r="P24" s="37" t="s">
        <v>129</v>
      </c>
      <c r="Q24" s="37" t="s">
        <v>130</v>
      </c>
      <c r="R24" s="37" t="s">
        <v>131</v>
      </c>
      <c r="S24" s="37" t="s">
        <v>132</v>
      </c>
      <c r="T24" s="37" t="s">
        <v>133</v>
      </c>
      <c r="U24" s="37" t="s">
        <v>134</v>
      </c>
      <c r="V24" s="37" t="s">
        <v>135</v>
      </c>
    </row>
    <row r="25" spans="1:24" x14ac:dyDescent="0.25">
      <c r="H25" s="32" t="s">
        <v>118</v>
      </c>
      <c r="I25" s="33">
        <v>14.9</v>
      </c>
      <c r="K25" s="11">
        <f>$I25</f>
        <v>14.9</v>
      </c>
      <c r="L25" s="11">
        <f t="shared" ref="L25:V25" si="19">$I25</f>
        <v>14.9</v>
      </c>
      <c r="M25" s="11">
        <f t="shared" si="19"/>
        <v>14.9</v>
      </c>
      <c r="N25" s="11">
        <f t="shared" si="19"/>
        <v>14.9</v>
      </c>
      <c r="O25" s="11">
        <f t="shared" si="19"/>
        <v>14.9</v>
      </c>
      <c r="P25" s="11">
        <f t="shared" si="19"/>
        <v>14.9</v>
      </c>
      <c r="Q25" s="11">
        <f t="shared" si="19"/>
        <v>14.9</v>
      </c>
      <c r="R25" s="11">
        <f t="shared" si="19"/>
        <v>14.9</v>
      </c>
      <c r="S25" s="11">
        <f t="shared" si="19"/>
        <v>14.9</v>
      </c>
      <c r="T25" s="11">
        <f t="shared" si="19"/>
        <v>14.9</v>
      </c>
      <c r="U25" s="11">
        <f t="shared" si="19"/>
        <v>14.9</v>
      </c>
      <c r="V25" s="11">
        <f t="shared" si="19"/>
        <v>14.9</v>
      </c>
    </row>
    <row r="26" spans="1:24" x14ac:dyDescent="0.25">
      <c r="H26" s="26" t="s">
        <v>119</v>
      </c>
      <c r="I26" s="27">
        <v>5.7969E-2</v>
      </c>
      <c r="K26" s="11">
        <f>650*$I26</f>
        <v>37.679850000000002</v>
      </c>
      <c r="L26" s="11">
        <f t="shared" ref="L26:R26" si="20">650*$I26</f>
        <v>37.679850000000002</v>
      </c>
      <c r="M26" s="11">
        <f t="shared" si="20"/>
        <v>37.679850000000002</v>
      </c>
      <c r="N26" s="11">
        <f t="shared" si="20"/>
        <v>37.679850000000002</v>
      </c>
      <c r="O26" s="11">
        <f t="shared" si="20"/>
        <v>37.679850000000002</v>
      </c>
      <c r="P26" s="11">
        <f t="shared" si="20"/>
        <v>37.679850000000002</v>
      </c>
      <c r="Q26" s="11">
        <f t="shared" si="20"/>
        <v>37.679850000000002</v>
      </c>
      <c r="R26" s="11">
        <f t="shared" si="20"/>
        <v>37.679850000000002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26" t="s">
        <v>120</v>
      </c>
      <c r="I27" s="27">
        <v>4.972E-2</v>
      </c>
      <c r="K27" s="11">
        <f t="shared" ref="K27:L27" si="21">(350)*$I27</f>
        <v>17.402000000000001</v>
      </c>
      <c r="L27" s="11">
        <f t="shared" si="21"/>
        <v>17.402000000000001</v>
      </c>
      <c r="M27" s="11">
        <f>(350)*$I27</f>
        <v>17.402000000000001</v>
      </c>
      <c r="N27" s="11">
        <f t="shared" ref="N27:R27" si="22">(350)*$I27</f>
        <v>17.402000000000001</v>
      </c>
      <c r="O27" s="11">
        <f t="shared" si="22"/>
        <v>17.402000000000001</v>
      </c>
      <c r="P27" s="11">
        <f t="shared" si="22"/>
        <v>17.402000000000001</v>
      </c>
      <c r="Q27" s="11">
        <f t="shared" si="22"/>
        <v>17.402000000000001</v>
      </c>
      <c r="R27" s="11">
        <f t="shared" si="22"/>
        <v>17.402000000000001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35" t="s">
        <v>121</v>
      </c>
      <c r="I28" s="27">
        <v>4.8809999999999999E-2</v>
      </c>
      <c r="K28" s="11">
        <f t="shared" ref="K28:L28" si="23">(K23-1000)*$I28</f>
        <v>6.7572621025571706</v>
      </c>
      <c r="L28" s="11">
        <f t="shared" si="23"/>
        <v>7.4104809966666352</v>
      </c>
      <c r="M28" s="11">
        <f>(M23-1000)*$I28</f>
        <v>19.037225940164706</v>
      </c>
      <c r="N28" s="11">
        <f t="shared" ref="N28:R28" si="24">(N23-1000)*$I28</f>
        <v>24.220604113587363</v>
      </c>
      <c r="O28" s="11">
        <f t="shared" si="24"/>
        <v>10.598189453026484</v>
      </c>
      <c r="P28" s="11">
        <f t="shared" si="24"/>
        <v>7.7248561146183299</v>
      </c>
      <c r="Q28" s="11">
        <f t="shared" si="24"/>
        <v>6.9693796984269554</v>
      </c>
      <c r="R28" s="11">
        <f t="shared" si="24"/>
        <v>25.054755715697613</v>
      </c>
      <c r="S28" s="11">
        <v>0</v>
      </c>
      <c r="T28" s="11">
        <v>0</v>
      </c>
      <c r="U28" s="11">
        <v>0</v>
      </c>
      <c r="V28" s="11">
        <v>0</v>
      </c>
    </row>
    <row r="29" spans="1:24" x14ac:dyDescent="0.25">
      <c r="H29" s="26" t="s">
        <v>122</v>
      </c>
      <c r="I29" s="27">
        <v>5.7969E-2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>650*$I29</f>
        <v>37.679850000000002</v>
      </c>
      <c r="T29" s="11">
        <f t="shared" ref="T29:V29" si="25">650*$I29</f>
        <v>37.679850000000002</v>
      </c>
      <c r="U29" s="11">
        <f t="shared" si="25"/>
        <v>37.679850000000002</v>
      </c>
      <c r="V29" s="11">
        <f t="shared" si="25"/>
        <v>37.679850000000002</v>
      </c>
    </row>
    <row r="30" spans="1:24" x14ac:dyDescent="0.25">
      <c r="H30" s="26" t="s">
        <v>123</v>
      </c>
      <c r="I30" s="27">
        <v>9.6285999999999997E-2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>350*$I30</f>
        <v>33.700099999999999</v>
      </c>
      <c r="T30" s="11">
        <f t="shared" ref="T30:V30" si="26">350*$I30</f>
        <v>33.700099999999999</v>
      </c>
      <c r="U30" s="11">
        <f t="shared" si="26"/>
        <v>33.700099999999999</v>
      </c>
      <c r="V30" s="11">
        <f t="shared" si="26"/>
        <v>33.700099999999999</v>
      </c>
    </row>
    <row r="31" spans="1:24" x14ac:dyDescent="0.25">
      <c r="H31" s="35" t="s">
        <v>156</v>
      </c>
      <c r="I31" s="27">
        <v>9.9657999999999997E-2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(S23-1000)*$I31</f>
        <v>96.597066977626909</v>
      </c>
      <c r="T31" s="11">
        <f t="shared" ref="T31:V31" si="27">(T23-1000)*$I31</f>
        <v>118.98201194976181</v>
      </c>
      <c r="U31" s="11">
        <f t="shared" si="27"/>
        <v>106.30047342948554</v>
      </c>
      <c r="V31" s="11">
        <f t="shared" si="27"/>
        <v>56.023023927484665</v>
      </c>
    </row>
    <row r="32" spans="1:24" x14ac:dyDescent="0.25">
      <c r="H32" s="64" t="s">
        <v>112</v>
      </c>
      <c r="I32" s="27">
        <v>3.1718000000000003E-2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f>S23*$I32</f>
        <v>62.46180150511119</v>
      </c>
      <c r="T32" s="11">
        <f>T23*$I32</f>
        <v>69.586223875880975</v>
      </c>
      <c r="U32" s="11">
        <f>U23*$I32</f>
        <v>65.550089909855942</v>
      </c>
      <c r="V32" s="11">
        <f>V23*$I32</f>
        <v>49.548362569306619</v>
      </c>
    </row>
    <row r="33" spans="8:25" x14ac:dyDescent="0.25">
      <c r="H33" s="64"/>
      <c r="I33" s="27">
        <v>2.8812999999999998E-2</v>
      </c>
      <c r="K33" s="11">
        <f t="shared" ref="K33:R33" si="28">K23*$I33</f>
        <v>32.801875086272887</v>
      </c>
      <c r="L33" s="11">
        <f t="shared" si="28"/>
        <v>33.187476315446744</v>
      </c>
      <c r="M33" s="11">
        <f t="shared" si="28"/>
        <v>40.050852714893786</v>
      </c>
      <c r="N33" s="11">
        <f t="shared" si="28"/>
        <v>43.110649381782267</v>
      </c>
      <c r="O33" s="11">
        <f t="shared" si="28"/>
        <v>35.069210463225815</v>
      </c>
      <c r="P33" s="11">
        <f t="shared" si="28"/>
        <v>33.373054891016139</v>
      </c>
      <c r="Q33" s="11">
        <f t="shared" si="28"/>
        <v>32.927090089136975</v>
      </c>
      <c r="R33" s="11">
        <f t="shared" si="28"/>
        <v>43.603056882532172</v>
      </c>
      <c r="S33" s="11">
        <v>0</v>
      </c>
      <c r="T33" s="11">
        <v>0</v>
      </c>
      <c r="U33" s="11">
        <v>0</v>
      </c>
      <c r="V33" s="11">
        <v>0</v>
      </c>
    </row>
    <row r="34" spans="8:25" x14ac:dyDescent="0.25">
      <c r="H34" s="28" t="s">
        <v>113</v>
      </c>
      <c r="I34" s="29">
        <v>1.7947000000000001E-2</v>
      </c>
      <c r="K34" s="11">
        <f t="shared" ref="K34:V34" si="29">SUM(K25:K31)*$I34</f>
        <v>1.377236844904594</v>
      </c>
      <c r="L34" s="11">
        <f t="shared" si="29"/>
        <v>1.3889601643971763</v>
      </c>
      <c r="M34" s="11">
        <f t="shared" si="29"/>
        <v>1.5976253558981361</v>
      </c>
      <c r="N34" s="11">
        <f t="shared" si="29"/>
        <v>1.6906514439765528</v>
      </c>
      <c r="O34" s="11">
        <f t="shared" si="29"/>
        <v>1.4461699680634665</v>
      </c>
      <c r="P34" s="11">
        <f t="shared" si="29"/>
        <v>1.3946022546390555</v>
      </c>
      <c r="Q34" s="11">
        <f t="shared" si="29"/>
        <v>1.381043719397669</v>
      </c>
      <c r="R34" s="11">
        <f t="shared" si="29"/>
        <v>1.7056219627796252</v>
      </c>
      <c r="S34" s="11">
        <f t="shared" si="29"/>
        <v>3.2820938236974704</v>
      </c>
      <c r="T34" s="11">
        <f t="shared" si="29"/>
        <v>3.6838364311123759</v>
      </c>
      <c r="U34" s="11">
        <f t="shared" si="29"/>
        <v>3.4562408592889771</v>
      </c>
      <c r="V34" s="11">
        <f t="shared" si="29"/>
        <v>2.5539114730765675</v>
      </c>
    </row>
    <row r="35" spans="8:25" x14ac:dyDescent="0.25">
      <c r="H35" s="30" t="s">
        <v>114</v>
      </c>
      <c r="I35" s="31">
        <v>0.15357499999999999</v>
      </c>
      <c r="K35" s="11">
        <f t="shared" ref="K35:V35" si="30">SUM(K25:K31)*$I35</f>
        <v>11.785209141150219</v>
      </c>
      <c r="L35" s="11">
        <f t="shared" si="30"/>
        <v>11.885527232813079</v>
      </c>
      <c r="M35" s="11">
        <f t="shared" si="30"/>
        <v>13.671104587510795</v>
      </c>
      <c r="N35" s="11">
        <f t="shared" si="30"/>
        <v>14.467141890494181</v>
      </c>
      <c r="O35" s="11">
        <f t="shared" si="30"/>
        <v>12.375079558998541</v>
      </c>
      <c r="P35" s="11">
        <f t="shared" si="30"/>
        <v>11.933807391552511</v>
      </c>
      <c r="Q35" s="11">
        <f t="shared" si="30"/>
        <v>11.817785100935922</v>
      </c>
      <c r="R35" s="11">
        <f t="shared" si="30"/>
        <v>14.595246722788261</v>
      </c>
      <c r="S35" s="11">
        <f t="shared" si="30"/>
        <v>28.085337882339051</v>
      </c>
      <c r="T35" s="11">
        <f t="shared" si="30"/>
        <v>31.523105806434671</v>
      </c>
      <c r="U35" s="11">
        <f t="shared" si="30"/>
        <v>29.575538528183237</v>
      </c>
      <c r="V35" s="11">
        <f t="shared" si="30"/>
        <v>21.854179220913455</v>
      </c>
    </row>
    <row r="36" spans="8:25" x14ac:dyDescent="0.25">
      <c r="H36" s="30" t="s">
        <v>115</v>
      </c>
      <c r="I36" s="34">
        <v>0.10766199999999999</v>
      </c>
      <c r="K36" s="11">
        <f t="shared" ref="K36:V36" si="31">SUM(K25:K31)*$I36</f>
        <v>8.2618862871855114</v>
      </c>
      <c r="L36" s="11">
        <f t="shared" si="31"/>
        <v>8.3322131397631232</v>
      </c>
      <c r="M36" s="11">
        <f t="shared" si="31"/>
        <v>9.5839717538700118</v>
      </c>
      <c r="N36" s="11">
        <f t="shared" si="31"/>
        <v>10.142024614777045</v>
      </c>
      <c r="O36" s="11">
        <f t="shared" si="31"/>
        <v>8.6754082075917367</v>
      </c>
      <c r="P36" s="11">
        <f t="shared" si="31"/>
        <v>8.3660593937120389</v>
      </c>
      <c r="Q36" s="11">
        <f t="shared" si="31"/>
        <v>8.2847232917920444</v>
      </c>
      <c r="R36" s="11">
        <f t="shared" si="31"/>
        <v>10.231831044563437</v>
      </c>
      <c r="S36" s="11">
        <f t="shared" si="31"/>
        <v>19.688905401845268</v>
      </c>
      <c r="T36" s="11">
        <f t="shared" si="31"/>
        <v>22.098913347435257</v>
      </c>
      <c r="U36" s="11">
        <f t="shared" si="31"/>
        <v>20.733593547265272</v>
      </c>
      <c r="V36" s="11">
        <f t="shared" si="31"/>
        <v>15.320622778980852</v>
      </c>
    </row>
    <row r="37" spans="8:25" x14ac:dyDescent="0.25">
      <c r="H37" s="30" t="s">
        <v>116</v>
      </c>
      <c r="I37" s="31">
        <v>2.3567999999999999E-2</v>
      </c>
      <c r="K37" s="11">
        <f t="shared" ref="K37:V37" si="32">SUM(K25:K36)*$I37</f>
        <v>3.0865906490820749</v>
      </c>
      <c r="L37" s="11">
        <f t="shared" si="32"/>
        <v>3.1153716169872765</v>
      </c>
      <c r="M37" s="11">
        <f t="shared" si="32"/>
        <v>3.6276485521438886</v>
      </c>
      <c r="N37" s="11">
        <f t="shared" si="32"/>
        <v>3.8560293326067439</v>
      </c>
      <c r="O37" s="11">
        <f t="shared" si="32"/>
        <v>3.2558227515165536</v>
      </c>
      <c r="P37" s="11">
        <f t="shared" si="32"/>
        <v>3.1292230537132411</v>
      </c>
      <c r="Q37" s="11">
        <f t="shared" si="32"/>
        <v>3.0959365969318839</v>
      </c>
      <c r="R37" s="11">
        <f t="shared" si="32"/>
        <v>3.8927822353548147</v>
      </c>
      <c r="S37" s="11">
        <f t="shared" si="32"/>
        <v>6.9854410269597293</v>
      </c>
      <c r="T37" s="11">
        <f t="shared" si="32"/>
        <v>7.8282064479656119</v>
      </c>
      <c r="U37" s="11">
        <f t="shared" si="32"/>
        <v>7.3507622477074932</v>
      </c>
      <c r="V37" s="11">
        <f t="shared" si="32"/>
        <v>5.4578786176873546</v>
      </c>
    </row>
    <row r="38" spans="8:25" x14ac:dyDescent="0.25">
      <c r="K38" s="11">
        <f>SUM(K25:K37)</f>
        <v>134.05191011115247</v>
      </c>
      <c r="L38" s="11">
        <f>SUM(L25:L37)</f>
        <v>135.30187946607404</v>
      </c>
      <c r="M38" s="41">
        <f>SUM(M25:M37)</f>
        <v>157.55027890448133</v>
      </c>
      <c r="N38" s="41">
        <f t="shared" ref="N38:U38" si="33">SUM(N25:N37)</f>
        <v>167.46895077722419</v>
      </c>
      <c r="O38" s="11">
        <f t="shared" si="33"/>
        <v>141.4017304024226</v>
      </c>
      <c r="P38" s="11">
        <f t="shared" si="33"/>
        <v>135.90345309925132</v>
      </c>
      <c r="Q38" s="11">
        <f t="shared" si="33"/>
        <v>134.45780849662148</v>
      </c>
      <c r="R38" s="11">
        <f t="shared" si="33"/>
        <v>169.06514456371593</v>
      </c>
      <c r="S38" s="11">
        <f t="shared" si="33"/>
        <v>303.38059661757961</v>
      </c>
      <c r="T38" s="11">
        <f t="shared" si="33"/>
        <v>339.98224785859071</v>
      </c>
      <c r="U38" s="11">
        <f t="shared" si="33"/>
        <v>319.24664852178648</v>
      </c>
      <c r="V38" s="11">
        <f>SUM(V25:V37)</f>
        <v>237.03792858744953</v>
      </c>
      <c r="W38" s="11">
        <f>SUM(K38:V38)/12</f>
        <v>197.9040481171958</v>
      </c>
      <c r="X38" s="3">
        <f>W38/W21-1</f>
        <v>6.8496631778937278E-2</v>
      </c>
      <c r="Y38" s="11">
        <f>W38-W21</f>
        <v>12.686760358687962</v>
      </c>
    </row>
    <row r="39" spans="8:25" x14ac:dyDescent="0.25"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11"/>
      <c r="X39" s="3"/>
      <c r="Y39" s="11"/>
    </row>
    <row r="40" spans="8:25" x14ac:dyDescent="0.25"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3"/>
      <c r="Y40" s="11"/>
    </row>
    <row r="41" spans="8:25" x14ac:dyDescent="0.25">
      <c r="K41" s="11"/>
      <c r="L41" s="11"/>
      <c r="M41" s="41"/>
      <c r="N41" s="41"/>
      <c r="O41" s="11"/>
      <c r="P41" s="11"/>
      <c r="Q41" s="11"/>
      <c r="R41" s="11"/>
      <c r="S41" s="11"/>
      <c r="T41" s="11"/>
      <c r="U41" s="11"/>
      <c r="V41" s="11"/>
      <c r="W41" s="11"/>
      <c r="X41" s="3"/>
      <c r="Y41" s="11"/>
    </row>
    <row r="42" spans="8:25" x14ac:dyDescent="0.25">
      <c r="W42" s="42"/>
    </row>
    <row r="43" spans="8:25" x14ac:dyDescent="0.25">
      <c r="J43" s="12" t="s">
        <v>3</v>
      </c>
      <c r="K43" s="39">
        <v>1138.4401168317388</v>
      </c>
      <c r="L43" s="40">
        <v>1151.8230075121212</v>
      </c>
      <c r="M43" s="40">
        <v>1390.0271653383468</v>
      </c>
      <c r="N43" s="40">
        <v>1496.2221699157419</v>
      </c>
      <c r="O43" s="40">
        <v>1217.1315192179161</v>
      </c>
      <c r="P43" s="40">
        <v>1158.2638007502219</v>
      </c>
      <c r="Q43" s="40">
        <v>1142.7858983492513</v>
      </c>
      <c r="R43" s="40">
        <v>1513.3119384490394</v>
      </c>
      <c r="S43" s="40">
        <v>1969.2856266193071</v>
      </c>
      <c r="T43" s="40">
        <v>2193.9032686764917</v>
      </c>
      <c r="U43" s="40">
        <v>2066.652686482626</v>
      </c>
      <c r="V43" s="40">
        <v>1562.1528018571983</v>
      </c>
    </row>
    <row r="44" spans="8:25" ht="16.5" thickBot="1" x14ac:dyDescent="0.3">
      <c r="H44" s="63" t="s">
        <v>138</v>
      </c>
      <c r="I44" s="63"/>
      <c r="J44" s="12" t="s">
        <v>136</v>
      </c>
      <c r="K44" s="37" t="s">
        <v>124</v>
      </c>
      <c r="L44" s="37" t="s">
        <v>125</v>
      </c>
      <c r="M44" s="37" t="s">
        <v>126</v>
      </c>
      <c r="N44" s="37" t="s">
        <v>127</v>
      </c>
      <c r="O44" s="37" t="s">
        <v>128</v>
      </c>
      <c r="P44" s="37" t="s">
        <v>129</v>
      </c>
      <c r="Q44" s="37" t="s">
        <v>130</v>
      </c>
      <c r="R44" s="37" t="s">
        <v>131</v>
      </c>
      <c r="S44" s="37" t="s">
        <v>132</v>
      </c>
      <c r="T44" s="37" t="s">
        <v>133</v>
      </c>
      <c r="U44" s="37" t="s">
        <v>134</v>
      </c>
      <c r="V44" s="37" t="s">
        <v>135</v>
      </c>
    </row>
    <row r="45" spans="8:25" x14ac:dyDescent="0.25">
      <c r="H45" s="32" t="s">
        <v>118</v>
      </c>
      <c r="I45" s="33">
        <v>17.95</v>
      </c>
      <c r="K45" s="11">
        <f>$I45</f>
        <v>17.95</v>
      </c>
      <c r="L45" s="11">
        <f t="shared" ref="L45:V45" si="34">$I45</f>
        <v>17.95</v>
      </c>
      <c r="M45" s="11">
        <f t="shared" si="34"/>
        <v>17.95</v>
      </c>
      <c r="N45" s="11">
        <f t="shared" si="34"/>
        <v>17.95</v>
      </c>
      <c r="O45" s="11">
        <f t="shared" si="34"/>
        <v>17.95</v>
      </c>
      <c r="P45" s="11">
        <f t="shared" si="34"/>
        <v>17.95</v>
      </c>
      <c r="Q45" s="11">
        <f t="shared" si="34"/>
        <v>17.95</v>
      </c>
      <c r="R45" s="11">
        <f t="shared" si="34"/>
        <v>17.95</v>
      </c>
      <c r="S45" s="11">
        <f t="shared" si="34"/>
        <v>17.95</v>
      </c>
      <c r="T45" s="11">
        <f t="shared" si="34"/>
        <v>17.95</v>
      </c>
      <c r="U45" s="11">
        <f t="shared" si="34"/>
        <v>17.95</v>
      </c>
      <c r="V45" s="11">
        <f t="shared" si="34"/>
        <v>17.95</v>
      </c>
    </row>
    <row r="46" spans="8:25" x14ac:dyDescent="0.25">
      <c r="H46" s="26" t="s">
        <v>119</v>
      </c>
      <c r="I46" s="27">
        <v>4.9754E-2</v>
      </c>
      <c r="K46" s="11">
        <f>650*$I46</f>
        <v>32.3401</v>
      </c>
      <c r="L46" s="11">
        <f t="shared" ref="L46:R46" si="35">650*$I46</f>
        <v>32.3401</v>
      </c>
      <c r="M46" s="11">
        <f t="shared" si="35"/>
        <v>32.3401</v>
      </c>
      <c r="N46" s="11">
        <f t="shared" si="35"/>
        <v>32.3401</v>
      </c>
      <c r="O46" s="11">
        <f t="shared" si="35"/>
        <v>32.3401</v>
      </c>
      <c r="P46" s="11">
        <f t="shared" si="35"/>
        <v>32.3401</v>
      </c>
      <c r="Q46" s="11">
        <f t="shared" si="35"/>
        <v>32.3401</v>
      </c>
      <c r="R46" s="11">
        <f t="shared" si="35"/>
        <v>32.3401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26" t="s">
        <v>120</v>
      </c>
      <c r="I47" s="27">
        <v>4.2674999999999998E-2</v>
      </c>
      <c r="K47" s="11">
        <f t="shared" ref="K47:L47" si="36">(350)*$I47</f>
        <v>14.936249999999999</v>
      </c>
      <c r="L47" s="11">
        <f t="shared" si="36"/>
        <v>14.936249999999999</v>
      </c>
      <c r="M47" s="11">
        <f>(350)*$I47</f>
        <v>14.936249999999999</v>
      </c>
      <c r="N47" s="11">
        <f t="shared" ref="N47:R47" si="37">(350)*$I47</f>
        <v>14.936249999999999</v>
      </c>
      <c r="O47" s="11">
        <f t="shared" si="37"/>
        <v>14.936249999999999</v>
      </c>
      <c r="P47" s="11">
        <f t="shared" si="37"/>
        <v>14.936249999999999</v>
      </c>
      <c r="Q47" s="11">
        <f t="shared" si="37"/>
        <v>14.936249999999999</v>
      </c>
      <c r="R47" s="11">
        <f t="shared" si="37"/>
        <v>14.936249999999999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35" t="s">
        <v>121</v>
      </c>
      <c r="I48" s="27">
        <v>4.1890999999999998E-2</v>
      </c>
      <c r="K48" s="11">
        <f t="shared" ref="K48:L48" si="38">(K43-1000)*$I48</f>
        <v>5.7993949341983697</v>
      </c>
      <c r="L48" s="11">
        <f t="shared" si="38"/>
        <v>6.3600176076902688</v>
      </c>
      <c r="M48" s="11">
        <f>(M43-1000)*$I48</f>
        <v>16.338627983188683</v>
      </c>
      <c r="N48" s="11">
        <f t="shared" ref="N48:R48" si="39">(N43-1000)*$I48</f>
        <v>20.787242919940343</v>
      </c>
      <c r="O48" s="11">
        <f t="shared" si="39"/>
        <v>9.0958564715577221</v>
      </c>
      <c r="P48" s="11">
        <f t="shared" si="39"/>
        <v>6.6298288772275447</v>
      </c>
      <c r="Q48" s="11">
        <f t="shared" si="39"/>
        <v>5.9814440677484848</v>
      </c>
      <c r="R48" s="11">
        <f t="shared" si="39"/>
        <v>21.503150413568708</v>
      </c>
      <c r="S48" s="11">
        <v>0</v>
      </c>
      <c r="T48" s="11">
        <v>0</v>
      </c>
      <c r="U48" s="11">
        <v>0</v>
      </c>
      <c r="V48" s="11">
        <v>0</v>
      </c>
    </row>
    <row r="49" spans="8:25" x14ac:dyDescent="0.25">
      <c r="H49" s="26" t="s">
        <v>122</v>
      </c>
      <c r="I49" s="27">
        <v>4.9754E-2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f>650*$I49</f>
        <v>32.3401</v>
      </c>
      <c r="T49" s="11">
        <f t="shared" ref="T49:V49" si="40">650*$I49</f>
        <v>32.3401</v>
      </c>
      <c r="U49" s="11">
        <f t="shared" si="40"/>
        <v>32.3401</v>
      </c>
      <c r="V49" s="11">
        <f t="shared" si="40"/>
        <v>32.3401</v>
      </c>
    </row>
    <row r="50" spans="8:25" x14ac:dyDescent="0.25">
      <c r="H50" s="26" t="s">
        <v>123</v>
      </c>
      <c r="I50" s="27">
        <v>8.2639000000000004E-2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f>350*$I50</f>
        <v>28.923650000000002</v>
      </c>
      <c r="T50" s="11">
        <f t="shared" ref="T50:V50" si="41">350*$I50</f>
        <v>28.923650000000002</v>
      </c>
      <c r="U50" s="11">
        <f t="shared" si="41"/>
        <v>28.923650000000002</v>
      </c>
      <c r="V50" s="11">
        <f t="shared" si="41"/>
        <v>28.923650000000002</v>
      </c>
    </row>
    <row r="51" spans="8:25" x14ac:dyDescent="0.25">
      <c r="H51" s="35" t="s">
        <v>156</v>
      </c>
      <c r="I51" s="27">
        <v>8.5531999999999997E-2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f>(S43-1000)*$I51</f>
        <v>82.904938216002577</v>
      </c>
      <c r="T51" s="11">
        <f t="shared" ref="T51:V51" si="42">(T43-1000)*$I51</f>
        <v>102.11693437643768</v>
      </c>
      <c r="U51" s="11">
        <f t="shared" si="42"/>
        <v>91.232937580231962</v>
      </c>
      <c r="V51" s="11">
        <f t="shared" si="42"/>
        <v>48.082053448449876</v>
      </c>
    </row>
    <row r="52" spans="8:25" x14ac:dyDescent="0.25">
      <c r="H52" s="64" t="s">
        <v>112</v>
      </c>
      <c r="I52" s="27">
        <v>3.1718000000000003E-2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f>S43*$I52</f>
        <v>62.46180150511119</v>
      </c>
      <c r="T52" s="11">
        <f>T43*$I52</f>
        <v>69.586223875880975</v>
      </c>
      <c r="U52" s="11">
        <f>U43*$I52</f>
        <v>65.550089909855942</v>
      </c>
      <c r="V52" s="11">
        <f>V43*$I52</f>
        <v>49.548362569306619</v>
      </c>
    </row>
    <row r="53" spans="8:25" x14ac:dyDescent="0.25">
      <c r="H53" s="64"/>
      <c r="I53" s="27">
        <v>2.8812999999999998E-2</v>
      </c>
      <c r="K53" s="11">
        <f t="shared" ref="K53:R53" si="43">K43*$I53</f>
        <v>32.801875086272887</v>
      </c>
      <c r="L53" s="11">
        <f t="shared" si="43"/>
        <v>33.187476315446744</v>
      </c>
      <c r="M53" s="11">
        <f t="shared" si="43"/>
        <v>40.050852714893786</v>
      </c>
      <c r="N53" s="11">
        <f t="shared" si="43"/>
        <v>43.110649381782267</v>
      </c>
      <c r="O53" s="11">
        <f t="shared" si="43"/>
        <v>35.069210463225815</v>
      </c>
      <c r="P53" s="11">
        <f t="shared" si="43"/>
        <v>33.373054891016139</v>
      </c>
      <c r="Q53" s="11">
        <f t="shared" si="43"/>
        <v>32.927090089136975</v>
      </c>
      <c r="R53" s="11">
        <f t="shared" si="43"/>
        <v>43.603056882532172</v>
      </c>
      <c r="S53" s="11">
        <v>0</v>
      </c>
      <c r="T53" s="11">
        <v>0</v>
      </c>
      <c r="U53" s="11">
        <v>0</v>
      </c>
      <c r="V53" s="11">
        <v>0</v>
      </c>
    </row>
    <row r="54" spans="8:25" x14ac:dyDescent="0.25">
      <c r="H54" s="28" t="s">
        <v>144</v>
      </c>
      <c r="I54" s="29">
        <v>1.9511000000000001E-2</v>
      </c>
      <c r="K54" s="11">
        <f t="shared" ref="K54:V54" si="44">SUM(K45:K51)*$I54</f>
        <v>1.3857833094111445</v>
      </c>
      <c r="L54" s="11">
        <f t="shared" si="44"/>
        <v>1.3967216183936448</v>
      </c>
      <c r="M54" s="11">
        <f t="shared" si="44"/>
        <v>1.5914142854299944</v>
      </c>
      <c r="N54" s="11">
        <f t="shared" si="44"/>
        <v>1.678211211460956</v>
      </c>
      <c r="O54" s="11">
        <f t="shared" si="44"/>
        <v>1.4501005704665628</v>
      </c>
      <c r="P54" s="11">
        <f t="shared" si="44"/>
        <v>1.4019859060735864</v>
      </c>
      <c r="Q54" s="11">
        <f t="shared" si="44"/>
        <v>1.3893352700558406</v>
      </c>
      <c r="R54" s="11">
        <f t="shared" si="44"/>
        <v>1.6921792825691391</v>
      </c>
      <c r="S54" s="11">
        <f t="shared" si="44"/>
        <v>3.1630977257824262</v>
      </c>
      <c r="T54" s="11">
        <f t="shared" si="44"/>
        <v>3.5379429828686759</v>
      </c>
      <c r="U54" s="11">
        <f t="shared" si="44"/>
        <v>3.3255853213779063</v>
      </c>
      <c r="V54" s="11">
        <f t="shared" si="44"/>
        <v>2.4836684210827054</v>
      </c>
    </row>
    <row r="55" spans="8:25" x14ac:dyDescent="0.25">
      <c r="H55" s="30" t="s">
        <v>145</v>
      </c>
      <c r="I55" s="31">
        <v>0.16881399999999999</v>
      </c>
      <c r="K55" s="11">
        <f t="shared" ref="K55:V55" si="45">SUM(K45:K51)*$I55</f>
        <v>11.990140105321764</v>
      </c>
      <c r="L55" s="11">
        <f t="shared" si="45"/>
        <v>12.084781061324623</v>
      </c>
      <c r="M55" s="11">
        <f t="shared" si="45"/>
        <v>13.769310193254015</v>
      </c>
      <c r="N55" s="11">
        <f t="shared" si="45"/>
        <v>14.520298675186806</v>
      </c>
      <c r="O55" s="11">
        <f t="shared" si="45"/>
        <v>12.546628963289544</v>
      </c>
      <c r="P55" s="11">
        <f t="shared" si="45"/>
        <v>12.130328980980288</v>
      </c>
      <c r="Q55" s="11">
        <f t="shared" si="45"/>
        <v>12.020872547752891</v>
      </c>
      <c r="R55" s="11">
        <f t="shared" si="45"/>
        <v>14.641153882816186</v>
      </c>
      <c r="S55" s="11">
        <f t="shared" si="45"/>
        <v>27.367904232496254</v>
      </c>
      <c r="T55" s="11">
        <f t="shared" si="45"/>
        <v>30.611158152323949</v>
      </c>
      <c r="U55" s="11">
        <f t="shared" si="45"/>
        <v>28.773787117169281</v>
      </c>
      <c r="V55" s="11">
        <f t="shared" si="45"/>
        <v>21.489313763346615</v>
      </c>
    </row>
    <row r="56" spans="8:25" x14ac:dyDescent="0.25">
      <c r="H56" s="30" t="s">
        <v>115</v>
      </c>
      <c r="I56" s="34">
        <v>0.10766199999999999</v>
      </c>
      <c r="K56" s="11">
        <f t="shared" ref="K56:V56" si="46">SUM(K45:K51)*$I56</f>
        <v>7.6467737511056644</v>
      </c>
      <c r="L56" s="11">
        <f t="shared" si="46"/>
        <v>7.707131509379149</v>
      </c>
      <c r="M56" s="11">
        <f t="shared" si="46"/>
        <v>8.7814486596260597</v>
      </c>
      <c r="N56" s="11">
        <f t="shared" si="46"/>
        <v>9.2603954409466152</v>
      </c>
      <c r="O56" s="11">
        <f t="shared" si="46"/>
        <v>8.0016773931408469</v>
      </c>
      <c r="P56" s="11">
        <f t="shared" si="46"/>
        <v>7.7361799302800707</v>
      </c>
      <c r="Q56" s="11">
        <f t="shared" si="46"/>
        <v>7.6663735249219362</v>
      </c>
      <c r="R56" s="11">
        <f t="shared" si="46"/>
        <v>9.3374714735256337</v>
      </c>
      <c r="S56" s="11">
        <f t="shared" si="46"/>
        <v>17.454022210711269</v>
      </c>
      <c r="T56" s="11">
        <f t="shared" si="46"/>
        <v>19.522424141336032</v>
      </c>
      <c r="U56" s="11">
        <f t="shared" si="46"/>
        <v>18.350631278262934</v>
      </c>
      <c r="V56" s="11">
        <f t="shared" si="46"/>
        <v>13.704920790867009</v>
      </c>
    </row>
    <row r="57" spans="8:25" x14ac:dyDescent="0.25">
      <c r="H57" s="30" t="s">
        <v>116</v>
      </c>
      <c r="I57" s="31">
        <v>2.3567999999999999E-2</v>
      </c>
      <c r="K57" s="11">
        <f t="shared" ref="K57:V57" si="47">SUM(K45:K56)*$I57</f>
        <v>2.9424722754469497</v>
      </c>
      <c r="L57" s="11">
        <f t="shared" si="47"/>
        <v>2.9686836841491409</v>
      </c>
      <c r="M57" s="11">
        <f t="shared" si="47"/>
        <v>3.435224634416099</v>
      </c>
      <c r="N57" s="11">
        <f t="shared" si="47"/>
        <v>3.6432156233277424</v>
      </c>
      <c r="O57" s="11">
        <f t="shared" si="47"/>
        <v>3.096595368772086</v>
      </c>
      <c r="P57" s="11">
        <f t="shared" si="47"/>
        <v>2.9812984673048937</v>
      </c>
      <c r="Q57" s="11">
        <f t="shared" si="47"/>
        <v>2.9509838188949522</v>
      </c>
      <c r="R57" s="11">
        <f t="shared" si="47"/>
        <v>3.6766872340843579</v>
      </c>
      <c r="S57" s="11">
        <f t="shared" si="47"/>
        <v>6.4238240313619643</v>
      </c>
      <c r="T57" s="11">
        <f t="shared" si="47"/>
        <v>7.1785402014078725</v>
      </c>
      <c r="U57" s="11">
        <f t="shared" si="47"/>
        <v>6.7509777394841723</v>
      </c>
      <c r="V57" s="11">
        <f t="shared" si="47"/>
        <v>5.0558561220282687</v>
      </c>
    </row>
    <row r="58" spans="8:25" x14ac:dyDescent="0.25">
      <c r="K58" s="11">
        <f>SUM(K45:K57)</f>
        <v>127.79278946175677</v>
      </c>
      <c r="L58" s="11">
        <f>SUM(L45:L57)</f>
        <v>128.93116179638355</v>
      </c>
      <c r="M58" s="41">
        <f>SUM(M45:M57)</f>
        <v>149.19322847080863</v>
      </c>
      <c r="N58" s="41">
        <f t="shared" ref="N58:U58" si="48">SUM(N45:N57)</f>
        <v>158.22636325264472</v>
      </c>
      <c r="O58" s="11">
        <f t="shared" si="48"/>
        <v>134.48641923045258</v>
      </c>
      <c r="P58" s="11">
        <f t="shared" si="48"/>
        <v>129.47902705288251</v>
      </c>
      <c r="Q58" s="11">
        <f t="shared" si="48"/>
        <v>128.16244931851105</v>
      </c>
      <c r="R58" s="11">
        <f t="shared" si="48"/>
        <v>159.68004916909618</v>
      </c>
      <c r="S58" s="11">
        <f t="shared" si="48"/>
        <v>278.98933792146568</v>
      </c>
      <c r="T58" s="11">
        <f t="shared" si="48"/>
        <v>311.76697373025519</v>
      </c>
      <c r="U58" s="11">
        <f t="shared" si="48"/>
        <v>293.19775894638224</v>
      </c>
      <c r="V58" s="11">
        <f>SUM(V45:V57)</f>
        <v>219.57792511508111</v>
      </c>
      <c r="W58" s="11">
        <f>SUM(K58:V58)/12</f>
        <v>184.9569569554767</v>
      </c>
      <c r="X58" s="3">
        <f>W58/W21-1</f>
        <v>-1.4055426800686499E-3</v>
      </c>
      <c r="Y58" s="11">
        <f>W58-W21</f>
        <v>-0.2603308030311382</v>
      </c>
    </row>
    <row r="61" spans="8:25" x14ac:dyDescent="0.25">
      <c r="J61" s="12" t="s">
        <v>3</v>
      </c>
      <c r="K61" s="39">
        <v>1138.4401168317388</v>
      </c>
      <c r="L61" s="40">
        <v>1151.8230075121212</v>
      </c>
      <c r="M61" s="40">
        <v>1390.0271653383468</v>
      </c>
      <c r="N61" s="40">
        <v>1496.2221699157419</v>
      </c>
      <c r="O61" s="40">
        <v>1217.1315192179161</v>
      </c>
      <c r="P61" s="40">
        <v>1158.2638007502219</v>
      </c>
      <c r="Q61" s="40">
        <v>1142.7858983492513</v>
      </c>
      <c r="R61" s="40">
        <v>1513.3119384490394</v>
      </c>
      <c r="S61" s="40">
        <v>1969.2856266193071</v>
      </c>
      <c r="T61" s="40">
        <v>2193.9032686764917</v>
      </c>
      <c r="U61" s="40">
        <v>2066.652686482626</v>
      </c>
      <c r="V61" s="40">
        <v>1562.1528018571983</v>
      </c>
    </row>
    <row r="62" spans="8:25" ht="16.5" thickBot="1" x14ac:dyDescent="0.3">
      <c r="H62" s="63" t="s">
        <v>154</v>
      </c>
      <c r="I62" s="63"/>
      <c r="J62" s="12" t="s">
        <v>136</v>
      </c>
      <c r="K62" s="37" t="s">
        <v>124</v>
      </c>
      <c r="L62" s="37" t="s">
        <v>125</v>
      </c>
      <c r="M62" s="37" t="s">
        <v>126</v>
      </c>
      <c r="N62" s="37" t="s">
        <v>127</v>
      </c>
      <c r="O62" s="37" t="s">
        <v>128</v>
      </c>
      <c r="P62" s="37" t="s">
        <v>129</v>
      </c>
      <c r="Q62" s="37" t="s">
        <v>130</v>
      </c>
      <c r="R62" s="37" t="s">
        <v>131</v>
      </c>
      <c r="S62" s="37" t="s">
        <v>132</v>
      </c>
      <c r="T62" s="37" t="s">
        <v>133</v>
      </c>
      <c r="U62" s="37" t="s">
        <v>134</v>
      </c>
      <c r="V62" s="37" t="s">
        <v>135</v>
      </c>
    </row>
    <row r="63" spans="8:25" x14ac:dyDescent="0.25">
      <c r="H63" s="32" t="s">
        <v>118</v>
      </c>
      <c r="I63" s="33">
        <v>10</v>
      </c>
      <c r="K63" s="11">
        <f>$I63</f>
        <v>10</v>
      </c>
      <c r="L63" s="11">
        <f t="shared" ref="L63:V63" si="49">$I63</f>
        <v>10</v>
      </c>
      <c r="M63" s="11">
        <f t="shared" si="49"/>
        <v>10</v>
      </c>
      <c r="N63" s="11">
        <f t="shared" si="49"/>
        <v>10</v>
      </c>
      <c r="O63" s="11">
        <f t="shared" si="49"/>
        <v>10</v>
      </c>
      <c r="P63" s="11">
        <f t="shared" si="49"/>
        <v>10</v>
      </c>
      <c r="Q63" s="11">
        <f t="shared" si="49"/>
        <v>10</v>
      </c>
      <c r="R63" s="11">
        <f t="shared" si="49"/>
        <v>10</v>
      </c>
      <c r="S63" s="11">
        <f t="shared" si="49"/>
        <v>10</v>
      </c>
      <c r="T63" s="11">
        <f t="shared" si="49"/>
        <v>10</v>
      </c>
      <c r="U63" s="11">
        <f t="shared" si="49"/>
        <v>10</v>
      </c>
      <c r="V63" s="11">
        <f t="shared" si="49"/>
        <v>10</v>
      </c>
    </row>
    <row r="64" spans="8:25" x14ac:dyDescent="0.25">
      <c r="H64" s="26" t="s">
        <v>119</v>
      </c>
      <c r="I64" s="27">
        <v>5.755255297651591E-2</v>
      </c>
      <c r="K64" s="11">
        <f>650*$I64</f>
        <v>37.409159434735344</v>
      </c>
      <c r="L64" s="11">
        <f t="shared" ref="L64:R64" si="50">650*$I64</f>
        <v>37.409159434735344</v>
      </c>
      <c r="M64" s="11">
        <f t="shared" si="50"/>
        <v>37.409159434735344</v>
      </c>
      <c r="N64" s="11">
        <f t="shared" si="50"/>
        <v>37.409159434735344</v>
      </c>
      <c r="O64" s="11">
        <f t="shared" si="50"/>
        <v>37.409159434735344</v>
      </c>
      <c r="P64" s="11">
        <f t="shared" si="50"/>
        <v>37.409159434735344</v>
      </c>
      <c r="Q64" s="11">
        <f t="shared" si="50"/>
        <v>37.409159434735344</v>
      </c>
      <c r="R64" s="11">
        <f t="shared" si="50"/>
        <v>37.409159434735344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26" t="s">
        <v>120</v>
      </c>
      <c r="I65" s="27">
        <v>5.0473552976515908E-2</v>
      </c>
      <c r="K65" s="11">
        <f t="shared" ref="K65:L65" si="51">(350)*$I65</f>
        <v>17.665743541780568</v>
      </c>
      <c r="L65" s="11">
        <f t="shared" si="51"/>
        <v>17.665743541780568</v>
      </c>
      <c r="M65" s="11">
        <f>(350)*$I65</f>
        <v>17.665743541780568</v>
      </c>
      <c r="N65" s="11">
        <f t="shared" ref="N65:R65" si="52">(350)*$I65</f>
        <v>17.665743541780568</v>
      </c>
      <c r="O65" s="11">
        <f t="shared" si="52"/>
        <v>17.665743541780568</v>
      </c>
      <c r="P65" s="11">
        <f t="shared" si="52"/>
        <v>17.665743541780568</v>
      </c>
      <c r="Q65" s="11">
        <f t="shared" si="52"/>
        <v>17.665743541780568</v>
      </c>
      <c r="R65" s="11">
        <f t="shared" si="52"/>
        <v>17.665743541780568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35" t="s">
        <v>121</v>
      </c>
      <c r="I66" s="27">
        <v>4.9689552976515908E-2</v>
      </c>
      <c r="K66" s="11">
        <f t="shared" ref="K66:L66" si="53">(K61-1000)*$I66</f>
        <v>6.8790275193857369</v>
      </c>
      <c r="L66" s="11">
        <f t="shared" si="53"/>
        <v>7.5440173748275186</v>
      </c>
      <c r="M66" s="11">
        <f>(M61-1000)*$I66</f>
        <v>19.380275494360109</v>
      </c>
      <c r="N66" s="11">
        <f t="shared" ref="N66:R66" si="54">(N61-1000)*$I66</f>
        <v>24.657057800149936</v>
      </c>
      <c r="O66" s="11">
        <f t="shared" si="54"/>
        <v>10.789168127050024</v>
      </c>
      <c r="P66" s="11">
        <f t="shared" si="54"/>
        <v>7.8640575116429083</v>
      </c>
      <c r="Q66" s="11">
        <f t="shared" si="54"/>
        <v>7.0949674603245372</v>
      </c>
      <c r="R66" s="11">
        <f t="shared" si="54"/>
        <v>25.506240759041617</v>
      </c>
      <c r="S66" s="11">
        <v>0</v>
      </c>
      <c r="T66" s="11">
        <v>0</v>
      </c>
      <c r="U66" s="11">
        <v>0</v>
      </c>
      <c r="V66" s="11">
        <v>0</v>
      </c>
    </row>
    <row r="67" spans="8:25" x14ac:dyDescent="0.25">
      <c r="H67" s="26" t="s">
        <v>122</v>
      </c>
      <c r="I67" s="27">
        <v>5.755255297651591E-2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f>650*$I67</f>
        <v>37.409159434735344</v>
      </c>
      <c r="T67" s="11">
        <f t="shared" ref="T67:V67" si="55">650*$I67</f>
        <v>37.409159434735344</v>
      </c>
      <c r="U67" s="11">
        <f t="shared" si="55"/>
        <v>37.409159434735344</v>
      </c>
      <c r="V67" s="11">
        <f t="shared" si="55"/>
        <v>37.409159434735344</v>
      </c>
    </row>
    <row r="68" spans="8:25" x14ac:dyDescent="0.25">
      <c r="H68" s="26" t="s">
        <v>123</v>
      </c>
      <c r="I68" s="27">
        <v>9.0437552976515914E-2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f>350*$I68</f>
        <v>31.653143541780569</v>
      </c>
      <c r="T68" s="11">
        <f t="shared" ref="T68:V68" si="56">350*$I68</f>
        <v>31.653143541780569</v>
      </c>
      <c r="U68" s="11">
        <f t="shared" si="56"/>
        <v>31.653143541780569</v>
      </c>
      <c r="V68" s="11">
        <f t="shared" si="56"/>
        <v>31.653143541780569</v>
      </c>
    </row>
    <row r="69" spans="8:25" x14ac:dyDescent="0.25">
      <c r="H69" s="35" t="s">
        <v>156</v>
      </c>
      <c r="I69" s="27">
        <v>9.3330552976515907E-2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f>(S61-1000)*$I69</f>
        <v>90.463963524568655</v>
      </c>
      <c r="T69" s="11">
        <f t="shared" ref="T69:V69" si="57">(T61-1000)*$I69</f>
        <v>111.42765226604682</v>
      </c>
      <c r="U69" s="11">
        <f t="shared" si="57"/>
        <v>99.551285063309734</v>
      </c>
      <c r="V69" s="11">
        <f t="shared" si="57"/>
        <v>52.466031854630089</v>
      </c>
    </row>
    <row r="70" spans="8:25" x14ac:dyDescent="0.25">
      <c r="H70" s="64" t="s">
        <v>112</v>
      </c>
      <c r="I70" s="27">
        <v>3.1718000000000003E-2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f>S61*$I70</f>
        <v>62.46180150511119</v>
      </c>
      <c r="T70" s="11">
        <f>T61*$I70</f>
        <v>69.586223875880975</v>
      </c>
      <c r="U70" s="11">
        <f>U61*$I70</f>
        <v>65.550089909855942</v>
      </c>
      <c r="V70" s="11">
        <f>V61*$I70</f>
        <v>49.548362569306619</v>
      </c>
    </row>
    <row r="71" spans="8:25" x14ac:dyDescent="0.25">
      <c r="H71" s="64"/>
      <c r="I71" s="27">
        <v>2.8812999999999998E-2</v>
      </c>
      <c r="K71" s="11">
        <f t="shared" ref="K71:R71" si="58">K61*$I71</f>
        <v>32.801875086272887</v>
      </c>
      <c r="L71" s="11">
        <f t="shared" si="58"/>
        <v>33.187476315446744</v>
      </c>
      <c r="M71" s="11">
        <f t="shared" si="58"/>
        <v>40.050852714893786</v>
      </c>
      <c r="N71" s="11">
        <f t="shared" si="58"/>
        <v>43.110649381782267</v>
      </c>
      <c r="O71" s="11">
        <f t="shared" si="58"/>
        <v>35.069210463225815</v>
      </c>
      <c r="P71" s="11">
        <f t="shared" si="58"/>
        <v>33.373054891016139</v>
      </c>
      <c r="Q71" s="11">
        <f t="shared" si="58"/>
        <v>32.927090089136975</v>
      </c>
      <c r="R71" s="11">
        <f t="shared" si="58"/>
        <v>43.603056882532172</v>
      </c>
      <c r="S71" s="11">
        <v>0</v>
      </c>
      <c r="T71" s="11">
        <v>0</v>
      </c>
      <c r="U71" s="11">
        <v>0</v>
      </c>
      <c r="V71" s="11">
        <v>0</v>
      </c>
    </row>
    <row r="72" spans="8:25" x14ac:dyDescent="0.25">
      <c r="H72" s="28" t="s">
        <v>144</v>
      </c>
      <c r="I72" s="29">
        <v>1.9511000000000001E-2</v>
      </c>
      <c r="K72" s="11">
        <f t="shared" ref="K72:V72" si="59">SUM(K63:K69)*$I72</f>
        <v>1.4038931379055373</v>
      </c>
      <c r="L72" s="11">
        <f t="shared" si="59"/>
        <v>1.4168677549750617</v>
      </c>
      <c r="M72" s="11">
        <f t="shared" si="59"/>
        <v>1.647804987145262</v>
      </c>
      <c r="N72" s="11">
        <f t="shared" si="59"/>
        <v>1.7507602867135277</v>
      </c>
      <c r="O72" s="11">
        <f t="shared" si="59"/>
        <v>1.4801838913016749</v>
      </c>
      <c r="P72" s="11">
        <f t="shared" si="59"/>
        <v>1.4231120580844669</v>
      </c>
      <c r="Q72" s="11">
        <f t="shared" si="59"/>
        <v>1.4081063420931941</v>
      </c>
      <c r="R72" s="11">
        <f t="shared" si="59"/>
        <v>1.7673286954244631</v>
      </c>
      <c r="S72" s="11">
        <f t="shared" si="59"/>
        <v>3.3076269857026612</v>
      </c>
      <c r="T72" s="11">
        <f t="shared" si="59"/>
        <v>3.7166495167376414</v>
      </c>
      <c r="U72" s="11">
        <f t="shared" si="59"/>
        <v>3.4849297162450381</v>
      </c>
      <c r="V72" s="11">
        <f t="shared" si="59"/>
        <v>2.5662493408904896</v>
      </c>
    </row>
    <row r="73" spans="8:25" x14ac:dyDescent="0.25">
      <c r="H73" s="30" t="s">
        <v>145</v>
      </c>
      <c r="I73" s="31">
        <v>0.16881399999999999</v>
      </c>
      <c r="K73" s="11">
        <f t="shared" ref="K73:V73" si="60">SUM(K63:K69)*$I73</f>
        <v>12.146830822735142</v>
      </c>
      <c r="L73" s="11">
        <f t="shared" si="60"/>
        <v>12.25909042019169</v>
      </c>
      <c r="M73" s="11">
        <f t="shared" si="60"/>
        <v>14.257216498382464</v>
      </c>
      <c r="N73" s="11">
        <f t="shared" si="60"/>
        <v>15.14801122655207</v>
      </c>
      <c r="O73" s="11">
        <f t="shared" si="60"/>
        <v>12.806917299277378</v>
      </c>
      <c r="P73" s="11">
        <f t="shared" si="60"/>
        <v>12.313117675848044</v>
      </c>
      <c r="Q73" s="11">
        <f t="shared" si="60"/>
        <v>12.183284507924784</v>
      </c>
      <c r="R73" s="11">
        <f t="shared" si="60"/>
        <v>15.291365198574409</v>
      </c>
      <c r="S73" s="11">
        <f t="shared" si="60"/>
        <v>28.618407153114088</v>
      </c>
      <c r="T73" s="11">
        <f t="shared" si="60"/>
        <v>32.157371304317984</v>
      </c>
      <c r="U73" s="11">
        <f t="shared" si="60"/>
        <v>30.152474251355123</v>
      </c>
      <c r="V73" s="11">
        <f t="shared" si="60"/>
        <v>22.203824316185081</v>
      </c>
    </row>
    <row r="74" spans="8:25" x14ac:dyDescent="0.25">
      <c r="H74" s="30" t="s">
        <v>115</v>
      </c>
      <c r="I74" s="34">
        <v>0.10766199999999999</v>
      </c>
      <c r="K74" s="11">
        <f t="shared" ref="K74:V74" si="61">SUM(K63:K69)*$I74</f>
        <v>7.7467040650497641</v>
      </c>
      <c r="L74" s="11">
        <f t="shared" si="61"/>
        <v>7.8182982028663366</v>
      </c>
      <c r="M74" s="11">
        <f t="shared" si="61"/>
        <v>9.0926134245314536</v>
      </c>
      <c r="N74" s="11">
        <f t="shared" si="61"/>
        <v>9.6607223611373989</v>
      </c>
      <c r="O74" s="11">
        <f t="shared" si="61"/>
        <v>8.1676776231521142</v>
      </c>
      <c r="P74" s="11">
        <f t="shared" si="61"/>
        <v>7.852754364076155</v>
      </c>
      <c r="Q74" s="11">
        <f t="shared" si="61"/>
        <v>7.7699525909711165</v>
      </c>
      <c r="R74" s="11">
        <f t="shared" si="61"/>
        <v>9.7521470968575947</v>
      </c>
      <c r="S74" s="11">
        <f t="shared" si="61"/>
        <v>18.251536904039764</v>
      </c>
      <c r="T74" s="11">
        <f t="shared" si="61"/>
        <v>20.508529561324789</v>
      </c>
      <c r="U74" s="11">
        <f t="shared" si="61"/>
        <v>19.229896115543706</v>
      </c>
      <c r="V74" s="11">
        <f t="shared" si="61"/>
        <v>14.16060358459084</v>
      </c>
    </row>
    <row r="75" spans="8:25" x14ac:dyDescent="0.25">
      <c r="H75" s="30" t="s">
        <v>116</v>
      </c>
      <c r="I75" s="31">
        <v>2.3567999999999999E-2</v>
      </c>
      <c r="K75" s="11">
        <f t="shared" ref="K75:V75" si="62">SUM(K63:K74)*$I75</f>
        <v>2.970822609670162</v>
      </c>
      <c r="L75" s="11">
        <f t="shared" si="62"/>
        <v>3.0002217909603943</v>
      </c>
      <c r="M75" s="11">
        <f t="shared" si="62"/>
        <v>3.5235024025464976</v>
      </c>
      <c r="N75" s="11">
        <f t="shared" si="62"/>
        <v>3.7567887878462347</v>
      </c>
      <c r="O75" s="11">
        <f t="shared" si="62"/>
        <v>3.143689807048164</v>
      </c>
      <c r="P75" s="11">
        <f t="shared" si="62"/>
        <v>3.0143707556782635</v>
      </c>
      <c r="Q75" s="11">
        <f t="shared" si="62"/>
        <v>2.9803693078934668</v>
      </c>
      <c r="R75" s="11">
        <f t="shared" si="62"/>
        <v>3.7943311406396423</v>
      </c>
      <c r="S75" s="11">
        <f t="shared" si="62"/>
        <v>6.6500797811080643</v>
      </c>
      <c r="T75" s="11">
        <f t="shared" si="62"/>
        <v>7.4582993368754211</v>
      </c>
      <c r="U75" s="11">
        <f t="shared" si="62"/>
        <v>7.000426090277629</v>
      </c>
      <c r="V75" s="11">
        <f t="shared" si="62"/>
        <v>5.185133805565461</v>
      </c>
    </row>
    <row r="76" spans="8:25" x14ac:dyDescent="0.25">
      <c r="K76" s="11">
        <f>SUM(K63:K75)</f>
        <v>129.02405621753516</v>
      </c>
      <c r="L76" s="11">
        <f>SUM(L63:L75)</f>
        <v>130.30087483578365</v>
      </c>
      <c r="M76" s="41">
        <f>SUM(M63:M75)</f>
        <v>153.02716849837549</v>
      </c>
      <c r="N76" s="41">
        <f t="shared" ref="N76" si="63">SUM(N63:N75)</f>
        <v>163.15889282069733</v>
      </c>
      <c r="O76" s="11">
        <f t="shared" ref="O76" si="64">SUM(O63:O75)</f>
        <v>136.53175018757108</v>
      </c>
      <c r="P76" s="11">
        <f t="shared" ref="P76" si="65">SUM(P63:P75)</f>
        <v>130.9153702328619</v>
      </c>
      <c r="Q76" s="11">
        <f t="shared" ref="Q76" si="66">SUM(Q63:Q75)</f>
        <v>129.43867327485998</v>
      </c>
      <c r="R76" s="11">
        <f t="shared" ref="R76" si="67">SUM(R63:R75)</f>
        <v>164.78937274958579</v>
      </c>
      <c r="S76" s="11">
        <f t="shared" ref="S76" si="68">SUM(S63:S75)</f>
        <v>288.81571883016034</v>
      </c>
      <c r="T76" s="11">
        <f t="shared" ref="T76" si="69">SUM(T63:T75)</f>
        <v>323.91702883769949</v>
      </c>
      <c r="U76" s="11">
        <f t="shared" ref="U76" si="70">SUM(U63:U75)</f>
        <v>304.03140412310307</v>
      </c>
      <c r="V76" s="11">
        <f>SUM(V63:V75)</f>
        <v>225.1925084476845</v>
      </c>
      <c r="W76" s="11">
        <f>SUM(K76:V76)/12</f>
        <v>189.92856825465981</v>
      </c>
      <c r="X76" s="3">
        <f>W76/W21-1</f>
        <v>2.5436505161951617E-2</v>
      </c>
      <c r="Y76" s="11">
        <f>W76-W21</f>
        <v>4.7112804961519714</v>
      </c>
    </row>
  </sheetData>
  <mergeCells count="8">
    <mergeCell ref="H62:I62"/>
    <mergeCell ref="H70:H71"/>
    <mergeCell ref="H7:I7"/>
    <mergeCell ref="H15:H16"/>
    <mergeCell ref="H24:I24"/>
    <mergeCell ref="H32:H33"/>
    <mergeCell ref="H44:I44"/>
    <mergeCell ref="H52:H5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6"/>
  <sheetViews>
    <sheetView topLeftCell="G1" workbookViewId="0">
      <selection activeCell="J3" sqref="J3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6.875" customWidth="1"/>
  </cols>
  <sheetData>
    <row r="1" spans="1:23" x14ac:dyDescent="0.25">
      <c r="J1" s="61" t="s">
        <v>157</v>
      </c>
      <c r="K1" s="62" t="s">
        <v>159</v>
      </c>
    </row>
    <row r="2" spans="1:23" x14ac:dyDescent="0.25">
      <c r="J2" s="12" t="s">
        <v>139</v>
      </c>
      <c r="K2" s="39">
        <v>824</v>
      </c>
      <c r="L2" s="40">
        <v>812</v>
      </c>
      <c r="M2" s="40">
        <v>1054</v>
      </c>
      <c r="N2" s="40">
        <v>1098</v>
      </c>
      <c r="O2" s="40">
        <v>904</v>
      </c>
      <c r="P2" s="40">
        <v>849</v>
      </c>
      <c r="Q2" s="40">
        <v>744</v>
      </c>
      <c r="R2" s="40">
        <v>911</v>
      </c>
      <c r="S2" s="40">
        <v>1142</v>
      </c>
      <c r="T2" s="40">
        <v>1355</v>
      </c>
      <c r="U2" s="40">
        <v>1305</v>
      </c>
      <c r="V2" s="40">
        <v>1002</v>
      </c>
      <c r="W2" s="40">
        <f>SUM(K2:V2)</f>
        <v>12000</v>
      </c>
    </row>
    <row r="3" spans="1:23" x14ac:dyDescent="0.25">
      <c r="A3" t="s">
        <v>1</v>
      </c>
      <c r="B3" t="s">
        <v>2</v>
      </c>
      <c r="J3" s="12" t="s">
        <v>160</v>
      </c>
      <c r="K3" s="39">
        <f>K2*($W3/$W2)</f>
        <v>988.8</v>
      </c>
      <c r="L3" s="39">
        <f t="shared" ref="L3:V3" si="0">L2*($W3/$W2)</f>
        <v>974.4</v>
      </c>
      <c r="M3" s="39">
        <f t="shared" si="0"/>
        <v>1264.8</v>
      </c>
      <c r="N3" s="39">
        <f t="shared" si="0"/>
        <v>1317.6</v>
      </c>
      <c r="O3" s="39">
        <f t="shared" si="0"/>
        <v>1084.8</v>
      </c>
      <c r="P3" s="39">
        <f t="shared" si="0"/>
        <v>1018.8</v>
      </c>
      <c r="Q3" s="39">
        <f t="shared" si="0"/>
        <v>892.8</v>
      </c>
      <c r="R3" s="39">
        <f t="shared" si="0"/>
        <v>1093.2</v>
      </c>
      <c r="S3" s="39">
        <f t="shared" si="0"/>
        <v>1370.3999999999999</v>
      </c>
      <c r="T3" s="39">
        <f t="shared" si="0"/>
        <v>1626</v>
      </c>
      <c r="U3" s="39">
        <f t="shared" si="0"/>
        <v>1566</v>
      </c>
      <c r="V3" s="39">
        <f t="shared" si="0"/>
        <v>1202.3999999999999</v>
      </c>
      <c r="W3">
        <f>1200*12</f>
        <v>14400</v>
      </c>
    </row>
    <row r="4" spans="1:23" x14ac:dyDescent="0.25">
      <c r="A4" t="s">
        <v>3</v>
      </c>
      <c r="B4" t="s">
        <v>4</v>
      </c>
    </row>
    <row r="5" spans="1:23" x14ac:dyDescent="0.25">
      <c r="A5" t="s">
        <v>5</v>
      </c>
      <c r="B5" t="s">
        <v>1</v>
      </c>
      <c r="C5" t="s">
        <v>2</v>
      </c>
    </row>
    <row r="6" spans="1:23" x14ac:dyDescent="0.25">
      <c r="A6" t="s">
        <v>0</v>
      </c>
      <c r="J6" s="12" t="s">
        <v>3</v>
      </c>
      <c r="K6" s="39">
        <v>988.8</v>
      </c>
      <c r="L6" s="40">
        <v>974.4</v>
      </c>
      <c r="M6" s="40">
        <v>1264.8</v>
      </c>
      <c r="N6" s="40">
        <v>1317.6</v>
      </c>
      <c r="O6" s="40">
        <v>1084.8</v>
      </c>
      <c r="P6" s="40">
        <v>1018.8</v>
      </c>
      <c r="Q6" s="40">
        <v>892.8</v>
      </c>
      <c r="R6" s="40">
        <v>1093.2</v>
      </c>
      <c r="S6" s="40">
        <v>1370.3999999999999</v>
      </c>
      <c r="T6" s="40">
        <v>1626</v>
      </c>
      <c r="U6" s="40">
        <v>1566</v>
      </c>
      <c r="V6" s="40">
        <v>1202.3999999999999</v>
      </c>
      <c r="W6" s="40">
        <f>SUM(K6:V6)</f>
        <v>14400</v>
      </c>
    </row>
    <row r="7" spans="1:23" ht="16.5" thickBot="1" x14ac:dyDescent="0.3">
      <c r="A7" t="s">
        <v>6</v>
      </c>
      <c r="B7" t="s">
        <v>7</v>
      </c>
      <c r="C7" t="s">
        <v>8</v>
      </c>
      <c r="H7" s="63" t="s">
        <v>117</v>
      </c>
      <c r="I7" s="63"/>
      <c r="J7" s="12" t="s">
        <v>136</v>
      </c>
      <c r="K7" s="37" t="s">
        <v>124</v>
      </c>
      <c r="L7" s="37" t="s">
        <v>125</v>
      </c>
      <c r="M7" s="37" t="s">
        <v>126</v>
      </c>
      <c r="N7" s="37" t="s">
        <v>127</v>
      </c>
      <c r="O7" s="37" t="s">
        <v>128</v>
      </c>
      <c r="P7" s="37" t="s">
        <v>129</v>
      </c>
      <c r="Q7" s="37" t="s">
        <v>130</v>
      </c>
      <c r="R7" s="37" t="s">
        <v>131</v>
      </c>
      <c r="S7" s="37" t="s">
        <v>132</v>
      </c>
      <c r="T7" s="37" t="s">
        <v>133</v>
      </c>
      <c r="U7" s="37" t="s">
        <v>134</v>
      </c>
      <c r="V7" s="37" t="s">
        <v>135</v>
      </c>
    </row>
    <row r="8" spans="1:23" x14ac:dyDescent="0.25">
      <c r="A8" t="s">
        <v>9</v>
      </c>
      <c r="B8" t="s">
        <v>1</v>
      </c>
      <c r="H8" s="32" t="s">
        <v>118</v>
      </c>
      <c r="I8" s="33">
        <v>10</v>
      </c>
      <c r="K8" s="11">
        <f>$I8</f>
        <v>10</v>
      </c>
      <c r="L8" s="11">
        <f t="shared" ref="L8:V8" si="1">$I8</f>
        <v>10</v>
      </c>
      <c r="M8" s="11">
        <f t="shared" si="1"/>
        <v>10</v>
      </c>
      <c r="N8" s="11">
        <f t="shared" si="1"/>
        <v>10</v>
      </c>
      <c r="O8" s="11">
        <f t="shared" si="1"/>
        <v>10</v>
      </c>
      <c r="P8" s="11">
        <f t="shared" si="1"/>
        <v>10</v>
      </c>
      <c r="Q8" s="11">
        <f t="shared" si="1"/>
        <v>10</v>
      </c>
      <c r="R8" s="11">
        <f t="shared" si="1"/>
        <v>10</v>
      </c>
      <c r="S8" s="11">
        <f t="shared" si="1"/>
        <v>10</v>
      </c>
      <c r="T8" s="11">
        <f t="shared" si="1"/>
        <v>10</v>
      </c>
      <c r="U8" s="11">
        <f t="shared" si="1"/>
        <v>10</v>
      </c>
      <c r="V8" s="11">
        <f t="shared" si="1"/>
        <v>10</v>
      </c>
    </row>
    <row r="9" spans="1:23" x14ac:dyDescent="0.25">
      <c r="A9" t="s">
        <v>2</v>
      </c>
      <c r="B9" t="s">
        <v>0</v>
      </c>
      <c r="H9" s="26" t="s">
        <v>119</v>
      </c>
      <c r="I9" s="27">
        <v>5.6582E-2</v>
      </c>
      <c r="K9" s="11">
        <f>650*$I9</f>
        <v>36.778300000000002</v>
      </c>
      <c r="L9" s="11">
        <f t="shared" ref="L9:R9" si="2">650*$I9</f>
        <v>36.778300000000002</v>
      </c>
      <c r="M9" s="11">
        <f t="shared" si="2"/>
        <v>36.778300000000002</v>
      </c>
      <c r="N9" s="11">
        <f t="shared" si="2"/>
        <v>36.778300000000002</v>
      </c>
      <c r="O9" s="11">
        <f t="shared" si="2"/>
        <v>36.778300000000002</v>
      </c>
      <c r="P9" s="11">
        <f t="shared" si="2"/>
        <v>36.778300000000002</v>
      </c>
      <c r="Q9" s="11">
        <f t="shared" si="2"/>
        <v>36.778300000000002</v>
      </c>
      <c r="R9" s="11">
        <f t="shared" si="2"/>
        <v>36.778300000000002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1</v>
      </c>
      <c r="B10" t="s">
        <v>2</v>
      </c>
      <c r="H10" s="26" t="s">
        <v>120</v>
      </c>
      <c r="I10" s="27">
        <v>4.8533E-2</v>
      </c>
      <c r="K10" s="11">
        <f>(K6-650)*$I10</f>
        <v>16.442980399999996</v>
      </c>
      <c r="L10" s="11">
        <f>(L6-650)*$I10</f>
        <v>15.744105199999998</v>
      </c>
      <c r="M10" s="11">
        <f>(350)*$I10</f>
        <v>16.986550000000001</v>
      </c>
      <c r="N10" s="11">
        <f t="shared" ref="N10:P10" si="3">(350)*$I10</f>
        <v>16.986550000000001</v>
      </c>
      <c r="O10" s="11">
        <f t="shared" si="3"/>
        <v>16.986550000000001</v>
      </c>
      <c r="P10" s="11">
        <f t="shared" si="3"/>
        <v>16.986550000000001</v>
      </c>
      <c r="Q10" s="11">
        <f>(Q6-650)*I10</f>
        <v>11.783812399999997</v>
      </c>
      <c r="R10" s="11">
        <f>350*$I10</f>
        <v>16.986550000000001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A11" t="s">
        <v>0</v>
      </c>
      <c r="B11" t="s">
        <v>10</v>
      </c>
      <c r="H11" s="35" t="s">
        <v>121</v>
      </c>
      <c r="I11" s="27">
        <v>4.7641000000000003E-2</v>
      </c>
      <c r="K11" s="11">
        <v>0</v>
      </c>
      <c r="L11" s="11">
        <v>0</v>
      </c>
      <c r="M11" s="11">
        <f>(M6-1000)*$I11</f>
        <v>12.615336799999998</v>
      </c>
      <c r="N11" s="11">
        <f t="shared" ref="N11:R11" si="4">(N6-1000)*$I11</f>
        <v>15.130781599999997</v>
      </c>
      <c r="O11" s="11">
        <f t="shared" si="4"/>
        <v>4.0399567999999979</v>
      </c>
      <c r="P11" s="11">
        <f t="shared" si="4"/>
        <v>0.89565079999999786</v>
      </c>
      <c r="Q11" s="11">
        <v>0</v>
      </c>
      <c r="R11" s="11">
        <f t="shared" si="4"/>
        <v>4.440141200000002</v>
      </c>
      <c r="S11" s="11">
        <v>0</v>
      </c>
      <c r="T11" s="11">
        <v>0</v>
      </c>
      <c r="U11" s="11">
        <v>0</v>
      </c>
      <c r="V11" s="11">
        <v>0</v>
      </c>
    </row>
    <row r="12" spans="1:23" x14ac:dyDescent="0.25">
      <c r="H12" s="26" t="s">
        <v>122</v>
      </c>
      <c r="I12" s="27">
        <v>5.6582E-2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>650*$I12</f>
        <v>36.778300000000002</v>
      </c>
      <c r="T12" s="11">
        <f t="shared" ref="T12:V12" si="5">650*$I12</f>
        <v>36.778300000000002</v>
      </c>
      <c r="U12" s="11">
        <f t="shared" si="5"/>
        <v>36.778300000000002</v>
      </c>
      <c r="V12" s="11">
        <f t="shared" si="5"/>
        <v>36.778300000000002</v>
      </c>
    </row>
    <row r="13" spans="1:23" x14ac:dyDescent="0.25">
      <c r="A13" s="21" t="s">
        <v>109</v>
      </c>
      <c r="B13" s="21" t="s">
        <v>110</v>
      </c>
      <c r="C13" s="22"/>
      <c r="D13" s="22"/>
      <c r="E13" s="22"/>
      <c r="F13" s="21" t="s">
        <v>111</v>
      </c>
      <c r="H13" s="26" t="s">
        <v>123</v>
      </c>
      <c r="I13" s="27">
        <v>9.3982999999999997E-2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f>350*$I13</f>
        <v>32.89405</v>
      </c>
      <c r="T13" s="11">
        <f t="shared" ref="T13:V13" si="6">350*$I13</f>
        <v>32.89405</v>
      </c>
      <c r="U13" s="11">
        <f t="shared" si="6"/>
        <v>32.89405</v>
      </c>
      <c r="V13" s="11">
        <f t="shared" si="6"/>
        <v>32.89405</v>
      </c>
    </row>
    <row r="14" spans="1:23" x14ac:dyDescent="0.25">
      <c r="A14" s="22" t="s">
        <v>11</v>
      </c>
      <c r="B14" s="22">
        <v>673</v>
      </c>
      <c r="C14" s="23">
        <v>83.88</v>
      </c>
      <c r="D14" s="23">
        <v>92.33</v>
      </c>
      <c r="E14" s="23">
        <v>8.4499999999999993</v>
      </c>
      <c r="F14" s="24">
        <f>D14/C14-1</f>
        <v>0.10073915116833576</v>
      </c>
      <c r="H14" s="35" t="s">
        <v>156</v>
      </c>
      <c r="I14" s="27">
        <v>9.7272999999999998E-2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(S6-1000)*$I14</f>
        <v>36.029919199999988</v>
      </c>
      <c r="T14" s="11">
        <f>(T6-1000)*$I14</f>
        <v>60.892898000000002</v>
      </c>
      <c r="U14" s="11">
        <f>(U6-1000)*$I14</f>
        <v>55.056517999999997</v>
      </c>
      <c r="V14" s="11">
        <f>(V6-1000)*$I14</f>
        <v>19.688055199999987</v>
      </c>
    </row>
    <row r="15" spans="1:23" x14ac:dyDescent="0.25">
      <c r="A15" s="22" t="s">
        <v>12</v>
      </c>
      <c r="B15" s="25">
        <v>1000</v>
      </c>
      <c r="C15" s="23">
        <v>123.31</v>
      </c>
      <c r="D15" s="23">
        <v>133.09</v>
      </c>
      <c r="E15" s="23">
        <v>9.7799999999999994</v>
      </c>
      <c r="F15" s="24">
        <f t="shared" ref="F15:F16" si="7">D15/C15-1</f>
        <v>7.9312302327467332E-2</v>
      </c>
      <c r="H15" s="64" t="s">
        <v>112</v>
      </c>
      <c r="I15" s="27">
        <v>3.1718000000000003E-2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f>S6*$I15</f>
        <v>43.466347200000001</v>
      </c>
      <c r="T15" s="11">
        <f>T6*$I15</f>
        <v>51.573468000000005</v>
      </c>
      <c r="U15" s="11">
        <f>U6*$I15</f>
        <v>49.670388000000003</v>
      </c>
      <c r="V15" s="11">
        <f>V6*$I15</f>
        <v>38.137723199999996</v>
      </c>
    </row>
    <row r="16" spans="1:23" x14ac:dyDescent="0.25">
      <c r="A16" s="22" t="s">
        <v>13</v>
      </c>
      <c r="B16" s="25">
        <v>1837</v>
      </c>
      <c r="C16" s="23">
        <v>225.4</v>
      </c>
      <c r="D16" s="23">
        <v>238.64</v>
      </c>
      <c r="E16" s="23">
        <v>13.24</v>
      </c>
      <c r="F16" s="24">
        <f t="shared" si="7"/>
        <v>5.8740017746228945E-2</v>
      </c>
      <c r="H16" s="64"/>
      <c r="I16" s="27">
        <v>2.8812999999999998E-2</v>
      </c>
      <c r="K16" s="11">
        <f t="shared" ref="K16:R16" si="8">K6*$I16</f>
        <v>28.490294399999996</v>
      </c>
      <c r="L16" s="11">
        <f t="shared" si="8"/>
        <v>28.075387199999998</v>
      </c>
      <c r="M16" s="11">
        <f t="shared" si="8"/>
        <v>36.442682399999995</v>
      </c>
      <c r="N16" s="11">
        <f t="shared" si="8"/>
        <v>37.964008799999995</v>
      </c>
      <c r="O16" s="11">
        <f t="shared" si="8"/>
        <v>31.256342399999998</v>
      </c>
      <c r="P16" s="11">
        <f t="shared" si="8"/>
        <v>29.354684399999996</v>
      </c>
      <c r="Q16" s="11">
        <f t="shared" si="8"/>
        <v>25.724246399999998</v>
      </c>
      <c r="R16" s="11">
        <f t="shared" si="8"/>
        <v>31.498371599999999</v>
      </c>
      <c r="S16" s="11">
        <v>0</v>
      </c>
      <c r="T16" s="11">
        <v>0</v>
      </c>
      <c r="U16" s="11">
        <v>0</v>
      </c>
      <c r="V16" s="11">
        <v>0</v>
      </c>
    </row>
    <row r="17" spans="1:24" x14ac:dyDescent="0.25">
      <c r="F17" s="3"/>
      <c r="H17" s="28" t="s">
        <v>113</v>
      </c>
      <c r="I17" s="29">
        <v>1.6721E-2</v>
      </c>
      <c r="K17" s="11">
        <f t="shared" ref="K17:V17" si="9">SUM(K8:K14)*$I17</f>
        <v>1.0571230295684</v>
      </c>
      <c r="L17" s="11">
        <f t="shared" si="9"/>
        <v>1.0454371373492</v>
      </c>
      <c r="M17" s="11">
        <f t="shared" si="9"/>
        <v>1.2771531034828001</v>
      </c>
      <c r="N17" s="11">
        <f t="shared" si="9"/>
        <v>1.3192138559836</v>
      </c>
      <c r="O17" s="11">
        <f t="shared" si="9"/>
        <v>1.1337641745028</v>
      </c>
      <c r="P17" s="11">
        <f t="shared" si="9"/>
        <v>1.0811882338768</v>
      </c>
      <c r="Q17" s="11">
        <f t="shared" si="9"/>
        <v>0.97921708144039998</v>
      </c>
      <c r="R17" s="11">
        <f t="shared" si="9"/>
        <v>1.1404556578552001</v>
      </c>
      <c r="S17" s="11">
        <f t="shared" si="9"/>
        <v>1.9346576432931999</v>
      </c>
      <c r="T17" s="11">
        <f t="shared" si="9"/>
        <v>2.3503915118080001</v>
      </c>
      <c r="U17" s="11">
        <f t="shared" si="9"/>
        <v>2.2528014018279996</v>
      </c>
      <c r="V17" s="11">
        <f t="shared" si="9"/>
        <v>1.6614053353491995</v>
      </c>
    </row>
    <row r="18" spans="1:24" x14ac:dyDescent="0.25">
      <c r="A18" t="s">
        <v>60</v>
      </c>
      <c r="B18">
        <v>1014</v>
      </c>
      <c r="C18" s="1">
        <v>122.26</v>
      </c>
      <c r="D18" s="1">
        <v>131.97999999999999</v>
      </c>
      <c r="E18" s="1">
        <f>D18-C18</f>
        <v>9.7199999999999847</v>
      </c>
      <c r="F18" s="3">
        <f>D18/C18-1</f>
        <v>7.9502699165712398E-2</v>
      </c>
      <c r="H18" s="30" t="s">
        <v>114</v>
      </c>
      <c r="I18" s="31">
        <v>0.12767999999999999</v>
      </c>
      <c r="K18" s="11">
        <f t="shared" ref="K18:V18" si="10">SUM(K8:K14)*$I18</f>
        <v>8.0720930814719996</v>
      </c>
      <c r="L18" s="11">
        <f t="shared" si="10"/>
        <v>7.9828606959359991</v>
      </c>
      <c r="M18" s="11">
        <f t="shared" si="10"/>
        <v>9.7522222506239995</v>
      </c>
      <c r="N18" s="11">
        <f t="shared" si="10"/>
        <v>10.073394242688</v>
      </c>
      <c r="O18" s="11">
        <f t="shared" si="10"/>
        <v>8.6573177322239978</v>
      </c>
      <c r="P18" s="11">
        <f t="shared" si="10"/>
        <v>8.2558527421439987</v>
      </c>
      <c r="Q18" s="11">
        <f t="shared" si="10"/>
        <v>7.4772105112319984</v>
      </c>
      <c r="R18" s="11">
        <f t="shared" si="10"/>
        <v>8.7084132764159996</v>
      </c>
      <c r="S18" s="11">
        <f t="shared" si="10"/>
        <v>14.772865731455997</v>
      </c>
      <c r="T18" s="11">
        <f t="shared" si="10"/>
        <v>17.947370864639996</v>
      </c>
      <c r="U18" s="11">
        <f t="shared" si="10"/>
        <v>17.202181866239997</v>
      </c>
      <c r="V18" s="11">
        <f t="shared" si="10"/>
        <v>12.686336535935995</v>
      </c>
    </row>
    <row r="19" spans="1:24" x14ac:dyDescent="0.25">
      <c r="B19">
        <v>1014</v>
      </c>
      <c r="C19" s="1">
        <v>122.26</v>
      </c>
      <c r="D19" s="1">
        <v>131.81</v>
      </c>
      <c r="E19" s="1">
        <f>D19-C19</f>
        <v>9.5499999999999972</v>
      </c>
      <c r="F19" s="3">
        <f>D19/C19-1</f>
        <v>7.8112219859316268E-2</v>
      </c>
      <c r="H19" s="30" t="s">
        <v>115</v>
      </c>
      <c r="I19" s="34">
        <v>0.10766199999999999</v>
      </c>
      <c r="K19" s="11">
        <f t="shared" ref="K19:V19" si="11">SUM(K8:K14)*$I19</f>
        <v>6.8065294904247997</v>
      </c>
      <c r="L19" s="11">
        <f t="shared" si="11"/>
        <v>6.7312871886423995</v>
      </c>
      <c r="M19" s="11">
        <f t="shared" si="11"/>
        <v>8.2232436712615993</v>
      </c>
      <c r="N19" s="11">
        <f t="shared" si="11"/>
        <v>8.4940614893191988</v>
      </c>
      <c r="O19" s="11">
        <f t="shared" si="11"/>
        <v>7.3000011097015989</v>
      </c>
      <c r="P19" s="11">
        <f t="shared" si="11"/>
        <v>6.961478837129599</v>
      </c>
      <c r="Q19" s="11">
        <f t="shared" si="11"/>
        <v>6.3049141452087989</v>
      </c>
      <c r="R19" s="11">
        <f t="shared" si="11"/>
        <v>7.3430857625744004</v>
      </c>
      <c r="S19" s="11">
        <f t="shared" si="11"/>
        <v>12.456737706610397</v>
      </c>
      <c r="T19" s="11">
        <f t="shared" si="11"/>
        <v>15.133535730175998</v>
      </c>
      <c r="U19" s="11">
        <f t="shared" si="11"/>
        <v>14.505179386615996</v>
      </c>
      <c r="V19" s="11">
        <f t="shared" si="11"/>
        <v>10.697339944642396</v>
      </c>
    </row>
    <row r="20" spans="1:24" x14ac:dyDescent="0.25">
      <c r="E20" s="1"/>
      <c r="F20" s="3"/>
      <c r="H20" s="30" t="s">
        <v>116</v>
      </c>
      <c r="I20" s="31">
        <v>2.3050000000000001E-2</v>
      </c>
      <c r="K20" s="11">
        <f t="shared" ref="K20:V20" si="12">SUM(K8:K19)*$I20</f>
        <v>2.4812707352537728</v>
      </c>
      <c r="L20" s="11">
        <f t="shared" si="12"/>
        <v>2.451537549575431</v>
      </c>
      <c r="M20" s="11">
        <f t="shared" si="12"/>
        <v>3.0443400035947423</v>
      </c>
      <c r="N20" s="11">
        <f t="shared" si="12"/>
        <v>3.1520024452231881</v>
      </c>
      <c r="O20" s="11">
        <f t="shared" si="12"/>
        <v>2.6773089525886746</v>
      </c>
      <c r="P20" s="11">
        <f t="shared" si="12"/>
        <v>2.5427309005531167</v>
      </c>
      <c r="Q20" s="11">
        <f t="shared" si="12"/>
        <v>2.2830494973981614</v>
      </c>
      <c r="R20" s="11">
        <f t="shared" si="12"/>
        <v>2.6944370683022916</v>
      </c>
      <c r="S20" s="11">
        <f t="shared" si="12"/>
        <v>4.3410728259453384</v>
      </c>
      <c r="T20" s="11">
        <f t="shared" si="12"/>
        <v>5.2454888251576826</v>
      </c>
      <c r="U20" s="11">
        <f t="shared" si="12"/>
        <v>5.0331845999904665</v>
      </c>
      <c r="V20" s="11">
        <f t="shared" si="12"/>
        <v>3.746620995477131</v>
      </c>
    </row>
    <row r="21" spans="1:24" x14ac:dyDescent="0.25">
      <c r="A21" t="s">
        <v>61</v>
      </c>
      <c r="B21">
        <v>1267</v>
      </c>
      <c r="C21" s="1">
        <v>149.08000000000001</v>
      </c>
      <c r="D21" s="1">
        <v>159.66999999999999</v>
      </c>
      <c r="E21" s="1">
        <f t="shared" ref="E21" si="13">D21-C21</f>
        <v>10.589999999999975</v>
      </c>
      <c r="F21" s="3">
        <f t="shared" ref="F21" si="14">D21/C21-1</f>
        <v>7.1035685537965909E-2</v>
      </c>
      <c r="K21" s="11">
        <f>SUM(K8:K20)</f>
        <v>110.12859113671897</v>
      </c>
      <c r="L21" s="11">
        <f>SUM(L8:L20)</f>
        <v>108.80891497150303</v>
      </c>
      <c r="M21" s="41">
        <f>SUM(M8:M20)</f>
        <v>135.11982822896317</v>
      </c>
      <c r="N21" s="41">
        <f t="shared" ref="N21:U21" si="15">SUM(N8:N20)</f>
        <v>139.89831243321399</v>
      </c>
      <c r="O21" s="11">
        <f t="shared" si="15"/>
        <v>118.82954116901706</v>
      </c>
      <c r="P21" s="11">
        <f t="shared" si="15"/>
        <v>112.85643591370351</v>
      </c>
      <c r="Q21" s="11">
        <f t="shared" si="15"/>
        <v>101.33075003527935</v>
      </c>
      <c r="R21" s="11">
        <f t="shared" si="15"/>
        <v>119.5897545651479</v>
      </c>
      <c r="S21" s="11">
        <f t="shared" si="15"/>
        <v>192.67395030730492</v>
      </c>
      <c r="T21" s="11">
        <f t="shared" si="15"/>
        <v>232.81550293178165</v>
      </c>
      <c r="U21" s="11">
        <f t="shared" si="15"/>
        <v>223.39260325467447</v>
      </c>
      <c r="V21" s="11">
        <f>SUM(V8:V20)</f>
        <v>166.28983121140473</v>
      </c>
      <c r="W21" s="11">
        <f>SUM(K21:V21)/12</f>
        <v>146.81116801322608</v>
      </c>
      <c r="X21" s="11"/>
    </row>
    <row r="22" spans="1:24" x14ac:dyDescent="0.25">
      <c r="C22" s="1"/>
      <c r="D22" s="1"/>
      <c r="E22" s="1"/>
      <c r="F22" s="3"/>
      <c r="K22" s="11"/>
      <c r="L22" s="11"/>
      <c r="M22" s="41"/>
      <c r="N22" s="4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J23" s="12" t="s">
        <v>3</v>
      </c>
      <c r="K23" s="39">
        <v>988.8</v>
      </c>
      <c r="L23" s="40">
        <v>974.4</v>
      </c>
      <c r="M23" s="40">
        <v>1264.8</v>
      </c>
      <c r="N23" s="40">
        <v>1317.6</v>
      </c>
      <c r="O23" s="40">
        <v>1084.8</v>
      </c>
      <c r="P23" s="40">
        <v>1018.8</v>
      </c>
      <c r="Q23" s="40">
        <v>892.8</v>
      </c>
      <c r="R23" s="40">
        <v>1093.2</v>
      </c>
      <c r="S23" s="40">
        <v>1370.3999999999999</v>
      </c>
      <c r="T23" s="40">
        <v>1626</v>
      </c>
      <c r="U23" s="40">
        <v>1566</v>
      </c>
      <c r="V23" s="40">
        <v>1202.3999999999999</v>
      </c>
    </row>
    <row r="24" spans="1:24" ht="16.5" thickBot="1" x14ac:dyDescent="0.3">
      <c r="H24" s="63" t="s">
        <v>137</v>
      </c>
      <c r="I24" s="63"/>
      <c r="J24" s="12" t="s">
        <v>136</v>
      </c>
      <c r="K24" s="37" t="s">
        <v>124</v>
      </c>
      <c r="L24" s="37" t="s">
        <v>125</v>
      </c>
      <c r="M24" s="37" t="s">
        <v>126</v>
      </c>
      <c r="N24" s="37" t="s">
        <v>127</v>
      </c>
      <c r="O24" s="37" t="s">
        <v>128</v>
      </c>
      <c r="P24" s="37" t="s">
        <v>129</v>
      </c>
      <c r="Q24" s="37" t="s">
        <v>130</v>
      </c>
      <c r="R24" s="37" t="s">
        <v>131</v>
      </c>
      <c r="S24" s="37" t="s">
        <v>132</v>
      </c>
      <c r="T24" s="37" t="s">
        <v>133</v>
      </c>
      <c r="U24" s="37" t="s">
        <v>134</v>
      </c>
      <c r="V24" s="37" t="s">
        <v>135</v>
      </c>
    </row>
    <row r="25" spans="1:24" x14ac:dyDescent="0.25">
      <c r="H25" s="32" t="s">
        <v>118</v>
      </c>
      <c r="I25" s="33">
        <v>14.9</v>
      </c>
      <c r="K25" s="11">
        <f>$I25</f>
        <v>14.9</v>
      </c>
      <c r="L25" s="11">
        <f t="shared" ref="L25:V25" si="16">$I25</f>
        <v>14.9</v>
      </c>
      <c r="M25" s="11">
        <f t="shared" si="16"/>
        <v>14.9</v>
      </c>
      <c r="N25" s="11">
        <f t="shared" si="16"/>
        <v>14.9</v>
      </c>
      <c r="O25" s="11">
        <f t="shared" si="16"/>
        <v>14.9</v>
      </c>
      <c r="P25" s="11">
        <f t="shared" si="16"/>
        <v>14.9</v>
      </c>
      <c r="Q25" s="11">
        <f t="shared" si="16"/>
        <v>14.9</v>
      </c>
      <c r="R25" s="11">
        <f t="shared" si="16"/>
        <v>14.9</v>
      </c>
      <c r="S25" s="11">
        <f t="shared" si="16"/>
        <v>14.9</v>
      </c>
      <c r="T25" s="11">
        <f t="shared" si="16"/>
        <v>14.9</v>
      </c>
      <c r="U25" s="11">
        <f t="shared" si="16"/>
        <v>14.9</v>
      </c>
      <c r="V25" s="11">
        <f t="shared" si="16"/>
        <v>14.9</v>
      </c>
    </row>
    <row r="26" spans="1:24" x14ac:dyDescent="0.25">
      <c r="H26" s="26" t="s">
        <v>119</v>
      </c>
      <c r="I26" s="27">
        <v>5.7969E-2</v>
      </c>
      <c r="K26" s="11">
        <f>650*$I26</f>
        <v>37.679850000000002</v>
      </c>
      <c r="L26" s="11">
        <f t="shared" ref="L26:R26" si="17">650*$I26</f>
        <v>37.679850000000002</v>
      </c>
      <c r="M26" s="11">
        <f t="shared" si="17"/>
        <v>37.679850000000002</v>
      </c>
      <c r="N26" s="11">
        <f t="shared" si="17"/>
        <v>37.679850000000002</v>
      </c>
      <c r="O26" s="11">
        <f t="shared" si="17"/>
        <v>37.679850000000002</v>
      </c>
      <c r="P26" s="11">
        <f t="shared" si="17"/>
        <v>37.679850000000002</v>
      </c>
      <c r="Q26" s="11">
        <f t="shared" si="17"/>
        <v>37.679850000000002</v>
      </c>
      <c r="R26" s="11">
        <f t="shared" si="17"/>
        <v>37.679850000000002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26" t="s">
        <v>120</v>
      </c>
      <c r="I27" s="27">
        <v>4.972E-2</v>
      </c>
      <c r="K27" s="11">
        <f>(K23-650)*$I27</f>
        <v>16.845135999999997</v>
      </c>
      <c r="L27" s="11">
        <f>(L23-650)*$I27</f>
        <v>16.129168</v>
      </c>
      <c r="M27" s="11">
        <f>(350)*$I27</f>
        <v>17.402000000000001</v>
      </c>
      <c r="N27" s="11">
        <f t="shared" ref="N27:P27" si="18">(350)*$I27</f>
        <v>17.402000000000001</v>
      </c>
      <c r="O27" s="11">
        <f t="shared" si="18"/>
        <v>17.402000000000001</v>
      </c>
      <c r="P27" s="11">
        <f t="shared" si="18"/>
        <v>17.402000000000001</v>
      </c>
      <c r="Q27" s="11">
        <f>(Q23-650)*I27</f>
        <v>12.072015999999998</v>
      </c>
      <c r="R27" s="11">
        <f>350*$I27</f>
        <v>17.402000000000001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35" t="s">
        <v>121</v>
      </c>
      <c r="I28" s="27">
        <v>4.8809999999999999E-2</v>
      </c>
      <c r="K28" s="11">
        <v>0</v>
      </c>
      <c r="L28" s="11">
        <v>0</v>
      </c>
      <c r="M28" s="11">
        <f>(M23-1000)*$I28</f>
        <v>12.924887999999997</v>
      </c>
      <c r="N28" s="11">
        <f t="shared" ref="N28:P28" si="19">(N23-1000)*$I28</f>
        <v>15.502055999999996</v>
      </c>
      <c r="O28" s="11">
        <f t="shared" si="19"/>
        <v>4.1390879999999974</v>
      </c>
      <c r="P28" s="11">
        <f t="shared" si="19"/>
        <v>0.91762799999999778</v>
      </c>
      <c r="Q28" s="11">
        <v>0</v>
      </c>
      <c r="R28" s="11">
        <f t="shared" ref="R28" si="20">(R23-1000)*$I28</f>
        <v>4.5490920000000026</v>
      </c>
      <c r="S28" s="11">
        <v>0</v>
      </c>
      <c r="T28" s="11">
        <v>0</v>
      </c>
      <c r="U28" s="11">
        <v>0</v>
      </c>
      <c r="V28" s="11">
        <v>0</v>
      </c>
    </row>
    <row r="29" spans="1:24" x14ac:dyDescent="0.25">
      <c r="H29" s="26" t="s">
        <v>122</v>
      </c>
      <c r="I29" s="27">
        <v>5.7969E-2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>650*$I29</f>
        <v>37.679850000000002</v>
      </c>
      <c r="T29" s="11">
        <f t="shared" ref="T29:V29" si="21">650*$I29</f>
        <v>37.679850000000002</v>
      </c>
      <c r="U29" s="11">
        <f t="shared" si="21"/>
        <v>37.679850000000002</v>
      </c>
      <c r="V29" s="11">
        <f t="shared" si="21"/>
        <v>37.679850000000002</v>
      </c>
    </row>
    <row r="30" spans="1:24" x14ac:dyDescent="0.25">
      <c r="H30" s="26" t="s">
        <v>123</v>
      </c>
      <c r="I30" s="27">
        <v>9.6285999999999997E-2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>350*$I30</f>
        <v>33.700099999999999</v>
      </c>
      <c r="T30" s="11">
        <f t="shared" ref="T30:V30" si="22">350*$I30</f>
        <v>33.700099999999999</v>
      </c>
      <c r="U30" s="11">
        <f t="shared" si="22"/>
        <v>33.700099999999999</v>
      </c>
      <c r="V30" s="11">
        <f t="shared" si="22"/>
        <v>33.700099999999999</v>
      </c>
    </row>
    <row r="31" spans="1:24" x14ac:dyDescent="0.25">
      <c r="H31" s="35" t="s">
        <v>156</v>
      </c>
      <c r="I31" s="27">
        <v>9.9657999999999997E-2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(S23-1000)*$I31</f>
        <v>36.913323199999986</v>
      </c>
      <c r="T31" s="11">
        <f>(T23-1000)*$I31</f>
        <v>62.385908000000001</v>
      </c>
      <c r="U31" s="11">
        <f>(U23-1000)*$I31</f>
        <v>56.406427999999998</v>
      </c>
      <c r="V31" s="11">
        <f>(V23-1000)*$I31</f>
        <v>20.170779199999984</v>
      </c>
    </row>
    <row r="32" spans="1:24" x14ac:dyDescent="0.25">
      <c r="H32" s="64" t="s">
        <v>112</v>
      </c>
      <c r="I32" s="27">
        <v>3.1718000000000003E-2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f>S23*$I32</f>
        <v>43.466347200000001</v>
      </c>
      <c r="T32" s="11">
        <f>T23*$I32</f>
        <v>51.573468000000005</v>
      </c>
      <c r="U32" s="11">
        <f>U23*$I32</f>
        <v>49.670388000000003</v>
      </c>
      <c r="V32" s="11">
        <f>V23*$I32</f>
        <v>38.137723199999996</v>
      </c>
    </row>
    <row r="33" spans="8:25" x14ac:dyDescent="0.25">
      <c r="H33" s="64"/>
      <c r="I33" s="27">
        <v>2.8812999999999998E-2</v>
      </c>
      <c r="K33" s="11">
        <f t="shared" ref="K33:R33" si="23">K23*$I33</f>
        <v>28.490294399999996</v>
      </c>
      <c r="L33" s="11">
        <f t="shared" si="23"/>
        <v>28.075387199999998</v>
      </c>
      <c r="M33" s="11">
        <f t="shared" si="23"/>
        <v>36.442682399999995</v>
      </c>
      <c r="N33" s="11">
        <f t="shared" si="23"/>
        <v>37.964008799999995</v>
      </c>
      <c r="O33" s="11">
        <f t="shared" si="23"/>
        <v>31.256342399999998</v>
      </c>
      <c r="P33" s="11">
        <f t="shared" si="23"/>
        <v>29.354684399999996</v>
      </c>
      <c r="Q33" s="11">
        <f t="shared" si="23"/>
        <v>25.724246399999998</v>
      </c>
      <c r="R33" s="11">
        <f t="shared" si="23"/>
        <v>31.498371599999999</v>
      </c>
      <c r="S33" s="11">
        <v>0</v>
      </c>
      <c r="T33" s="11">
        <v>0</v>
      </c>
      <c r="U33" s="11">
        <v>0</v>
      </c>
      <c r="V33" s="11">
        <v>0</v>
      </c>
    </row>
    <row r="34" spans="8:25" x14ac:dyDescent="0.25">
      <c r="H34" s="28" t="s">
        <v>113</v>
      </c>
      <c r="I34" s="29">
        <v>1.7947000000000001E-2</v>
      </c>
      <c r="K34" s="11">
        <f t="shared" ref="K34:V34" si="24">SUM(K25:K31)*$I34</f>
        <v>1.2459702237419998</v>
      </c>
      <c r="L34" s="11">
        <f t="shared" si="24"/>
        <v>1.2331207460460001</v>
      </c>
      <c r="M34" s="11">
        <f t="shared" si="24"/>
        <v>1.4879272268860002</v>
      </c>
      <c r="N34" s="11">
        <f t="shared" si="24"/>
        <v>1.5341796609820002</v>
      </c>
      <c r="O34" s="11">
        <f t="shared" si="24"/>
        <v>1.3302484742860003</v>
      </c>
      <c r="P34" s="11">
        <f t="shared" si="24"/>
        <v>1.2724329316660001</v>
      </c>
      <c r="Q34" s="11">
        <f t="shared" si="24"/>
        <v>1.1603070391020001</v>
      </c>
      <c r="R34" s="11">
        <f t="shared" si="24"/>
        <v>1.3376068160740002</v>
      </c>
      <c r="S34" s="11">
        <f t="shared" si="24"/>
        <v>2.2109496741204002</v>
      </c>
      <c r="T34" s="11">
        <f t="shared" si="24"/>
        <v>2.6681061535260002</v>
      </c>
      <c r="U34" s="11">
        <f t="shared" si="24"/>
        <v>2.560792425966</v>
      </c>
      <c r="V34" s="11">
        <f t="shared" si="24"/>
        <v>1.9104712369523997</v>
      </c>
    </row>
    <row r="35" spans="8:25" x14ac:dyDescent="0.25">
      <c r="H35" s="30" t="s">
        <v>114</v>
      </c>
      <c r="I35" s="31">
        <v>0.15357499999999999</v>
      </c>
      <c r="K35" s="11">
        <f t="shared" ref="K35:V35" si="25">SUM(K25:K31)*$I35</f>
        <v>10.661942224949998</v>
      </c>
      <c r="L35" s="11">
        <f t="shared" si="25"/>
        <v>10.551987439349999</v>
      </c>
      <c r="M35" s="11">
        <f t="shared" si="25"/>
        <v>12.73240228835</v>
      </c>
      <c r="N35" s="11">
        <f t="shared" si="25"/>
        <v>13.12819086395</v>
      </c>
      <c r="O35" s="11">
        <f t="shared" si="25"/>
        <v>11.383123053350001</v>
      </c>
      <c r="P35" s="11">
        <f t="shared" si="25"/>
        <v>10.88838733385</v>
      </c>
      <c r="Q35" s="11">
        <f t="shared" si="25"/>
        <v>9.9289103209499991</v>
      </c>
      <c r="R35" s="11">
        <f t="shared" si="25"/>
        <v>11.446089417650001</v>
      </c>
      <c r="S35" s="11">
        <f t="shared" si="25"/>
        <v>18.919406931689998</v>
      </c>
      <c r="T35" s="11">
        <f t="shared" si="25"/>
        <v>22.831359142349999</v>
      </c>
      <c r="U35" s="11">
        <f t="shared" si="25"/>
        <v>21.913060501349996</v>
      </c>
      <c r="V35" s="11">
        <f t="shared" si="25"/>
        <v>16.348170736889998</v>
      </c>
    </row>
    <row r="36" spans="8:25" x14ac:dyDescent="0.25">
      <c r="H36" s="30" t="s">
        <v>115</v>
      </c>
      <c r="I36" s="34">
        <v>0.10766199999999999</v>
      </c>
      <c r="K36" s="11">
        <f t="shared" ref="K36:V36" si="26">SUM(K25:K31)*$I36</f>
        <v>7.4744328427319982</v>
      </c>
      <c r="L36" s="11">
        <f t="shared" si="26"/>
        <v>7.3973502959159996</v>
      </c>
      <c r="M36" s="11">
        <f t="shared" si="26"/>
        <v>8.9259052265560008</v>
      </c>
      <c r="N36" s="11">
        <f t="shared" si="26"/>
        <v>9.2033682877719993</v>
      </c>
      <c r="O36" s="11">
        <f t="shared" si="26"/>
        <v>7.980008426956001</v>
      </c>
      <c r="P36" s="11">
        <f t="shared" si="26"/>
        <v>7.6331796004359997</v>
      </c>
      <c r="Q36" s="11">
        <f t="shared" si="26"/>
        <v>6.9605491972919991</v>
      </c>
      <c r="R36" s="11">
        <f t="shared" si="26"/>
        <v>8.0241502776040008</v>
      </c>
      <c r="S36" s="11">
        <f t="shared" si="26"/>
        <v>13.263234179258399</v>
      </c>
      <c r="T36" s="11">
        <f t="shared" si="26"/>
        <v>16.005663603996002</v>
      </c>
      <c r="U36" s="11">
        <f t="shared" si="26"/>
        <v>15.361900828235997</v>
      </c>
      <c r="V36" s="11">
        <f t="shared" si="26"/>
        <v>11.460698407130398</v>
      </c>
    </row>
    <row r="37" spans="8:25" x14ac:dyDescent="0.25">
      <c r="H37" s="30" t="s">
        <v>116</v>
      </c>
      <c r="I37" s="31">
        <v>2.3567999999999999E-2</v>
      </c>
      <c r="K37" s="11">
        <f t="shared" ref="K37:V37" si="27">SUM(K25:K36)*$I37</f>
        <v>2.7644704422954804</v>
      </c>
      <c r="L37" s="11">
        <f t="shared" si="27"/>
        <v>2.7331070432411608</v>
      </c>
      <c r="M37" s="11">
        <f t="shared" si="27"/>
        <v>3.3583376003817538</v>
      </c>
      <c r="N37" s="11">
        <f t="shared" si="27"/>
        <v>3.4718881883442085</v>
      </c>
      <c r="O37" s="11">
        <f t="shared" si="27"/>
        <v>2.971233323237024</v>
      </c>
      <c r="P37" s="11">
        <f t="shared" si="27"/>
        <v>2.8292950882839567</v>
      </c>
      <c r="Q37" s="11">
        <f t="shared" si="27"/>
        <v>2.555381115266683</v>
      </c>
      <c r="R37" s="11">
        <f t="shared" si="27"/>
        <v>2.9892981895037787</v>
      </c>
      <c r="S37" s="11">
        <f t="shared" si="27"/>
        <v>4.7384220812097011</v>
      </c>
      <c r="T37" s="11">
        <f t="shared" si="27"/>
        <v>5.6974333130801833</v>
      </c>
      <c r="U37" s="11">
        <f t="shared" si="27"/>
        <v>5.4723133055988491</v>
      </c>
      <c r="V37" s="11">
        <f t="shared" si="27"/>
        <v>4.1080860602619662</v>
      </c>
    </row>
    <row r="38" spans="8:25" x14ac:dyDescent="0.25">
      <c r="K38" s="11">
        <f>SUM(K25:K37)</f>
        <v>120.06209613371946</v>
      </c>
      <c r="L38" s="11">
        <f>SUM(L25:L37)</f>
        <v>118.69997072455315</v>
      </c>
      <c r="M38" s="41">
        <f>SUM(M25:M37)</f>
        <v>145.85399274217377</v>
      </c>
      <c r="N38" s="41">
        <f t="shared" ref="N38:U38" si="28">SUM(N25:N37)</f>
        <v>150.78554180104823</v>
      </c>
      <c r="O38" s="11">
        <f t="shared" si="28"/>
        <v>129.04189367782902</v>
      </c>
      <c r="P38" s="11">
        <f t="shared" si="28"/>
        <v>122.87745735423596</v>
      </c>
      <c r="Q38" s="11">
        <f t="shared" si="28"/>
        <v>110.98126007261067</v>
      </c>
      <c r="R38" s="11">
        <f t="shared" si="28"/>
        <v>129.8264583008318</v>
      </c>
      <c r="S38" s="11">
        <f t="shared" si="28"/>
        <v>205.7916332662785</v>
      </c>
      <c r="T38" s="11">
        <f t="shared" si="28"/>
        <v>247.44188821295219</v>
      </c>
      <c r="U38" s="11">
        <f t="shared" si="28"/>
        <v>237.66483306115086</v>
      </c>
      <c r="V38" s="11">
        <f>SUM(V25:V37)</f>
        <v>178.41587884123473</v>
      </c>
      <c r="W38" s="11">
        <f>SUM(K38:V38)/12</f>
        <v>158.12024201571816</v>
      </c>
      <c r="X38" s="3">
        <f>W38/W21-1</f>
        <v>7.703142857274492E-2</v>
      </c>
      <c r="Y38" s="11">
        <f>W38-W21</f>
        <v>11.309074002492082</v>
      </c>
    </row>
    <row r="39" spans="8:25" x14ac:dyDescent="0.25"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11"/>
      <c r="X39" s="3"/>
      <c r="Y39" s="11"/>
    </row>
    <row r="40" spans="8:25" x14ac:dyDescent="0.25"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3"/>
      <c r="Y40" s="11"/>
    </row>
    <row r="41" spans="8:25" x14ac:dyDescent="0.25">
      <c r="K41" s="11"/>
      <c r="L41" s="11"/>
      <c r="M41" s="41"/>
      <c r="N41" s="41"/>
      <c r="O41" s="11"/>
      <c r="P41" s="11"/>
      <c r="Q41" s="11"/>
      <c r="R41" s="11"/>
      <c r="S41" s="11"/>
      <c r="T41" s="11"/>
      <c r="U41" s="11"/>
      <c r="V41" s="11"/>
      <c r="W41" s="11"/>
      <c r="X41" s="3"/>
      <c r="Y41" s="11"/>
    </row>
    <row r="42" spans="8:25" x14ac:dyDescent="0.25">
      <c r="W42" s="42"/>
    </row>
    <row r="43" spans="8:25" x14ac:dyDescent="0.25">
      <c r="J43" s="12" t="s">
        <v>3</v>
      </c>
      <c r="K43" s="39">
        <v>988.8</v>
      </c>
      <c r="L43" s="40">
        <v>974.4</v>
      </c>
      <c r="M43" s="40">
        <v>1264.8</v>
      </c>
      <c r="N43" s="40">
        <v>1317.6</v>
      </c>
      <c r="O43" s="40">
        <v>1084.8</v>
      </c>
      <c r="P43" s="40">
        <v>1018.8</v>
      </c>
      <c r="Q43" s="40">
        <v>892.8</v>
      </c>
      <c r="R43" s="40">
        <v>1093.2</v>
      </c>
      <c r="S43" s="40">
        <v>1370.3999999999999</v>
      </c>
      <c r="T43" s="40">
        <v>1626</v>
      </c>
      <c r="U43" s="40">
        <v>1566</v>
      </c>
      <c r="V43" s="40">
        <v>1202.3999999999999</v>
      </c>
    </row>
    <row r="44" spans="8:25" ht="16.5" thickBot="1" x14ac:dyDescent="0.3">
      <c r="H44" s="63" t="s">
        <v>138</v>
      </c>
      <c r="I44" s="63"/>
      <c r="J44" s="12" t="s">
        <v>136</v>
      </c>
      <c r="K44" s="37" t="s">
        <v>124</v>
      </c>
      <c r="L44" s="37" t="s">
        <v>125</v>
      </c>
      <c r="M44" s="37" t="s">
        <v>126</v>
      </c>
      <c r="N44" s="37" t="s">
        <v>127</v>
      </c>
      <c r="O44" s="37" t="s">
        <v>128</v>
      </c>
      <c r="P44" s="37" t="s">
        <v>129</v>
      </c>
      <c r="Q44" s="37" t="s">
        <v>130</v>
      </c>
      <c r="R44" s="37" t="s">
        <v>131</v>
      </c>
      <c r="S44" s="37" t="s">
        <v>132</v>
      </c>
      <c r="T44" s="37" t="s">
        <v>133</v>
      </c>
      <c r="U44" s="37" t="s">
        <v>134</v>
      </c>
      <c r="V44" s="37" t="s">
        <v>135</v>
      </c>
    </row>
    <row r="45" spans="8:25" x14ac:dyDescent="0.25">
      <c r="H45" s="32" t="s">
        <v>118</v>
      </c>
      <c r="I45" s="33">
        <v>17.95</v>
      </c>
      <c r="K45" s="11">
        <f>$I45</f>
        <v>17.95</v>
      </c>
      <c r="L45" s="11">
        <f t="shared" ref="L45:V45" si="29">$I45</f>
        <v>17.95</v>
      </c>
      <c r="M45" s="11">
        <f t="shared" si="29"/>
        <v>17.95</v>
      </c>
      <c r="N45" s="11">
        <f t="shared" si="29"/>
        <v>17.95</v>
      </c>
      <c r="O45" s="11">
        <f t="shared" si="29"/>
        <v>17.95</v>
      </c>
      <c r="P45" s="11">
        <f t="shared" si="29"/>
        <v>17.95</v>
      </c>
      <c r="Q45" s="11">
        <f t="shared" si="29"/>
        <v>17.95</v>
      </c>
      <c r="R45" s="11">
        <f t="shared" si="29"/>
        <v>17.95</v>
      </c>
      <c r="S45" s="11">
        <f t="shared" si="29"/>
        <v>17.95</v>
      </c>
      <c r="T45" s="11">
        <f t="shared" si="29"/>
        <v>17.95</v>
      </c>
      <c r="U45" s="11">
        <f t="shared" si="29"/>
        <v>17.95</v>
      </c>
      <c r="V45" s="11">
        <f t="shared" si="29"/>
        <v>17.95</v>
      </c>
    </row>
    <row r="46" spans="8:25" x14ac:dyDescent="0.25">
      <c r="H46" s="26" t="s">
        <v>119</v>
      </c>
      <c r="I46" s="27">
        <v>4.9754E-2</v>
      </c>
      <c r="K46" s="11">
        <f>650*$I46</f>
        <v>32.3401</v>
      </c>
      <c r="L46" s="11">
        <f t="shared" ref="L46:R46" si="30">650*$I46</f>
        <v>32.3401</v>
      </c>
      <c r="M46" s="11">
        <f t="shared" si="30"/>
        <v>32.3401</v>
      </c>
      <c r="N46" s="11">
        <f t="shared" si="30"/>
        <v>32.3401</v>
      </c>
      <c r="O46" s="11">
        <f t="shared" si="30"/>
        <v>32.3401</v>
      </c>
      <c r="P46" s="11">
        <f t="shared" si="30"/>
        <v>32.3401</v>
      </c>
      <c r="Q46" s="11">
        <f t="shared" si="30"/>
        <v>32.3401</v>
      </c>
      <c r="R46" s="11">
        <f t="shared" si="30"/>
        <v>32.3401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26" t="s">
        <v>120</v>
      </c>
      <c r="I47" s="27">
        <v>4.2674999999999998E-2</v>
      </c>
      <c r="K47" s="11">
        <f>(K43-650)*$I47</f>
        <v>14.458289999999998</v>
      </c>
      <c r="L47" s="11">
        <f>(L43-650)*$I47</f>
        <v>13.843769999999997</v>
      </c>
      <c r="M47" s="11">
        <f>(350)*$I47</f>
        <v>14.936249999999999</v>
      </c>
      <c r="N47" s="11">
        <f t="shared" ref="N47:P47" si="31">(350)*$I47</f>
        <v>14.936249999999999</v>
      </c>
      <c r="O47" s="11">
        <f t="shared" si="31"/>
        <v>14.936249999999999</v>
      </c>
      <c r="P47" s="11">
        <f t="shared" si="31"/>
        <v>14.936249999999999</v>
      </c>
      <c r="Q47" s="11">
        <f>(Q43-650)*I47</f>
        <v>10.361489999999998</v>
      </c>
      <c r="R47" s="11">
        <f>350*$I47</f>
        <v>14.936249999999999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35" t="s">
        <v>121</v>
      </c>
      <c r="I48" s="27">
        <v>4.1890999999999998E-2</v>
      </c>
      <c r="K48" s="11">
        <v>0</v>
      </c>
      <c r="L48" s="11">
        <v>0</v>
      </c>
      <c r="M48" s="11">
        <f>(M43-1000)*$I48</f>
        <v>11.092736799999997</v>
      </c>
      <c r="N48" s="11">
        <f t="shared" ref="N48:P48" si="32">(N43-1000)*$I48</f>
        <v>13.304581599999995</v>
      </c>
      <c r="O48" s="11">
        <f t="shared" si="32"/>
        <v>3.5523567999999979</v>
      </c>
      <c r="P48" s="11">
        <f t="shared" si="32"/>
        <v>0.787550799999998</v>
      </c>
      <c r="Q48" s="11">
        <v>0</v>
      </c>
      <c r="R48" s="11">
        <f t="shared" ref="R48" si="33">(R43-1000)*$I48</f>
        <v>3.9042412000000017</v>
      </c>
      <c r="S48" s="11">
        <v>0</v>
      </c>
      <c r="T48" s="11">
        <v>0</v>
      </c>
      <c r="U48" s="11">
        <v>0</v>
      </c>
      <c r="V48" s="11">
        <v>0</v>
      </c>
    </row>
    <row r="49" spans="8:25" x14ac:dyDescent="0.25">
      <c r="H49" s="26" t="s">
        <v>122</v>
      </c>
      <c r="I49" s="27">
        <v>4.9754E-2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f>650*$I49</f>
        <v>32.3401</v>
      </c>
      <c r="T49" s="11">
        <f t="shared" ref="T49:V49" si="34">650*$I49</f>
        <v>32.3401</v>
      </c>
      <c r="U49" s="11">
        <f t="shared" si="34"/>
        <v>32.3401</v>
      </c>
      <c r="V49" s="11">
        <f t="shared" si="34"/>
        <v>32.3401</v>
      </c>
    </row>
    <row r="50" spans="8:25" x14ac:dyDescent="0.25">
      <c r="H50" s="26" t="s">
        <v>123</v>
      </c>
      <c r="I50" s="27">
        <v>8.2639000000000004E-2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f>350*$I50</f>
        <v>28.923650000000002</v>
      </c>
      <c r="T50" s="11">
        <f t="shared" ref="T50:V50" si="35">350*$I50</f>
        <v>28.923650000000002</v>
      </c>
      <c r="U50" s="11">
        <f t="shared" si="35"/>
        <v>28.923650000000002</v>
      </c>
      <c r="V50" s="11">
        <f t="shared" si="35"/>
        <v>28.923650000000002</v>
      </c>
    </row>
    <row r="51" spans="8:25" x14ac:dyDescent="0.25">
      <c r="H51" s="35" t="s">
        <v>156</v>
      </c>
      <c r="I51" s="27">
        <v>8.5531999999999997E-2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f>(S43-1000)*$I51</f>
        <v>31.681052799999986</v>
      </c>
      <c r="T51" s="11">
        <f>(T43-1000)*$I51</f>
        <v>53.543031999999997</v>
      </c>
      <c r="U51" s="11">
        <f>(U43-1000)*$I51</f>
        <v>48.411111999999996</v>
      </c>
      <c r="V51" s="11">
        <f>(V43-1000)*$I51</f>
        <v>17.311676799999987</v>
      </c>
    </row>
    <row r="52" spans="8:25" x14ac:dyDescent="0.25">
      <c r="H52" s="64" t="s">
        <v>112</v>
      </c>
      <c r="I52" s="27">
        <v>3.1718000000000003E-2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f>S43*$I52</f>
        <v>43.466347200000001</v>
      </c>
      <c r="T52" s="11">
        <f>T43*$I52</f>
        <v>51.573468000000005</v>
      </c>
      <c r="U52" s="11">
        <f>U43*$I52</f>
        <v>49.670388000000003</v>
      </c>
      <c r="V52" s="11">
        <f>V43*$I52</f>
        <v>38.137723199999996</v>
      </c>
    </row>
    <row r="53" spans="8:25" x14ac:dyDescent="0.25">
      <c r="H53" s="64"/>
      <c r="I53" s="27">
        <v>2.8812999999999998E-2</v>
      </c>
      <c r="K53" s="11">
        <f t="shared" ref="K53:R53" si="36">K43*$I53</f>
        <v>28.490294399999996</v>
      </c>
      <c r="L53" s="11">
        <f t="shared" si="36"/>
        <v>28.075387199999998</v>
      </c>
      <c r="M53" s="11">
        <f t="shared" si="36"/>
        <v>36.442682399999995</v>
      </c>
      <c r="N53" s="11">
        <f t="shared" si="36"/>
        <v>37.964008799999995</v>
      </c>
      <c r="O53" s="11">
        <f t="shared" si="36"/>
        <v>31.256342399999998</v>
      </c>
      <c r="P53" s="11">
        <f t="shared" si="36"/>
        <v>29.354684399999996</v>
      </c>
      <c r="Q53" s="11">
        <f t="shared" si="36"/>
        <v>25.724246399999998</v>
      </c>
      <c r="R53" s="11">
        <f t="shared" si="36"/>
        <v>31.498371599999999</v>
      </c>
      <c r="S53" s="11">
        <v>0</v>
      </c>
      <c r="T53" s="11">
        <v>0</v>
      </c>
      <c r="U53" s="11">
        <v>0</v>
      </c>
      <c r="V53" s="11">
        <v>0</v>
      </c>
    </row>
    <row r="54" spans="8:25" x14ac:dyDescent="0.25">
      <c r="H54" s="28" t="s">
        <v>144</v>
      </c>
      <c r="I54" s="29">
        <v>1.9511000000000001E-2</v>
      </c>
      <c r="K54" s="11">
        <f t="shared" ref="K54:V54" si="37">SUM(K45:K51)*$I54</f>
        <v>1.2633058372900001</v>
      </c>
      <c r="L54" s="11">
        <f t="shared" si="37"/>
        <v>1.2513159375699998</v>
      </c>
      <c r="M54" s="11">
        <f t="shared" si="37"/>
        <v>1.4890617025547999</v>
      </c>
      <c r="N54" s="11">
        <f t="shared" si="37"/>
        <v>1.5322170064475997</v>
      </c>
      <c r="O54" s="11">
        <f t="shared" si="37"/>
        <v>1.3419413483747999</v>
      </c>
      <c r="P54" s="11">
        <f t="shared" si="37"/>
        <v>1.2879972185087998</v>
      </c>
      <c r="Q54" s="11">
        <f t="shared" si="37"/>
        <v>1.1833731724899998</v>
      </c>
      <c r="R54" s="11">
        <f t="shared" si="37"/>
        <v>1.3488069649032</v>
      </c>
      <c r="S54" s="11">
        <f t="shared" si="37"/>
        <v>2.1636684974308</v>
      </c>
      <c r="T54" s="11">
        <f t="shared" si="37"/>
        <v>2.5902175736019997</v>
      </c>
      <c r="U54" s="11">
        <f t="shared" si="37"/>
        <v>2.4900886824820003</v>
      </c>
      <c r="V54" s="11">
        <f t="shared" si="37"/>
        <v>1.8833076022947999</v>
      </c>
    </row>
    <row r="55" spans="8:25" x14ac:dyDescent="0.25">
      <c r="H55" s="30" t="s">
        <v>145</v>
      </c>
      <c r="I55" s="31">
        <v>0.16881399999999999</v>
      </c>
      <c r="K55" s="11">
        <f t="shared" ref="K55:V55" si="38">SUM(K45:K51)*$I55</f>
        <v>10.93043470946</v>
      </c>
      <c r="L55" s="11">
        <f t="shared" si="38"/>
        <v>10.826695130179997</v>
      </c>
      <c r="M55" s="11">
        <f t="shared" si="38"/>
        <v>12.883730319055198</v>
      </c>
      <c r="N55" s="11">
        <f t="shared" si="38"/>
        <v>13.257120687122397</v>
      </c>
      <c r="O55" s="11">
        <f t="shared" si="38"/>
        <v>11.610808609735198</v>
      </c>
      <c r="P55" s="11">
        <f t="shared" si="38"/>
        <v>11.144070649651198</v>
      </c>
      <c r="Q55" s="11">
        <f t="shared" si="38"/>
        <v>10.238837514259998</v>
      </c>
      <c r="R55" s="11">
        <f t="shared" si="38"/>
        <v>11.670211622836799</v>
      </c>
      <c r="S55" s="11">
        <f t="shared" si="38"/>
        <v>18.720595239879199</v>
      </c>
      <c r="T55" s="11">
        <f t="shared" si="38"/>
        <v>22.411203396547997</v>
      </c>
      <c r="U55" s="11">
        <f t="shared" si="38"/>
        <v>21.544863453668</v>
      </c>
      <c r="V55" s="11">
        <f t="shared" si="38"/>
        <v>16.294843399815196</v>
      </c>
    </row>
    <row r="56" spans="8:25" x14ac:dyDescent="0.25">
      <c r="H56" s="30" t="s">
        <v>115</v>
      </c>
      <c r="I56" s="34">
        <v>0.10766199999999999</v>
      </c>
      <c r="K56" s="11">
        <f t="shared" ref="K56:V56" si="39">SUM(K45:K51)*$I56</f>
        <v>6.9709411641800001</v>
      </c>
      <c r="L56" s="11">
        <f t="shared" si="39"/>
        <v>6.9047807119399982</v>
      </c>
      <c r="M56" s="11">
        <f t="shared" si="39"/>
        <v>8.2166655230615984</v>
      </c>
      <c r="N56" s="11">
        <f t="shared" si="39"/>
        <v>8.4547971579191987</v>
      </c>
      <c r="O56" s="11">
        <f t="shared" si="39"/>
        <v>7.4048531315015991</v>
      </c>
      <c r="P56" s="11">
        <f t="shared" si="39"/>
        <v>7.1071885879295982</v>
      </c>
      <c r="Q56" s="11">
        <f t="shared" si="39"/>
        <v>6.5298714825799991</v>
      </c>
      <c r="R56" s="11">
        <f t="shared" si="39"/>
        <v>7.4427377097743994</v>
      </c>
      <c r="S56" s="11">
        <f t="shared" si="39"/>
        <v>11.939156259053599</v>
      </c>
      <c r="T56" s="11">
        <f t="shared" si="39"/>
        <v>14.292860663683998</v>
      </c>
      <c r="U56" s="11">
        <f t="shared" si="39"/>
        <v>13.740347892643999</v>
      </c>
      <c r="V56" s="11">
        <f t="shared" si="39"/>
        <v>10.392120500141598</v>
      </c>
    </row>
    <row r="57" spans="8:25" x14ac:dyDescent="0.25">
      <c r="H57" s="30" t="s">
        <v>116</v>
      </c>
      <c r="I57" s="31">
        <v>2.3567999999999999E-2</v>
      </c>
      <c r="K57" s="11">
        <f t="shared" ref="K57:V57" si="40">SUM(K45:K56)*$I57</f>
        <v>2.6491225325023984</v>
      </c>
      <c r="L57" s="11">
        <f t="shared" si="40"/>
        <v>2.6205742103533329</v>
      </c>
      <c r="M57" s="11">
        <f t="shared" si="40"/>
        <v>3.1899577119184204</v>
      </c>
      <c r="N57" s="11">
        <f t="shared" si="40"/>
        <v>3.2933705255270964</v>
      </c>
      <c r="O57" s="11">
        <f t="shared" si="40"/>
        <v>2.8374140291615659</v>
      </c>
      <c r="P57" s="11">
        <f t="shared" si="40"/>
        <v>2.7081480121507191</v>
      </c>
      <c r="Q57" s="11">
        <f t="shared" si="40"/>
        <v>2.4588003848419691</v>
      </c>
      <c r="R57" s="11">
        <f t="shared" si="40"/>
        <v>2.8538660676902192</v>
      </c>
      <c r="S57" s="11">
        <f t="shared" si="40"/>
        <v>4.4115659456742966</v>
      </c>
      <c r="T57" s="11">
        <f t="shared" si="40"/>
        <v>5.2703829615461979</v>
      </c>
      <c r="U57" s="11">
        <f t="shared" si="40"/>
        <v>5.0687827230786171</v>
      </c>
      <c r="V57" s="11">
        <f t="shared" si="40"/>
        <v>3.8470852779650646</v>
      </c>
    </row>
    <row r="58" spans="8:25" x14ac:dyDescent="0.25">
      <c r="K58" s="11">
        <f>SUM(K45:K57)</f>
        <v>115.05248864343241</v>
      </c>
      <c r="L58" s="11">
        <f>SUM(L45:L57)</f>
        <v>113.81262319004331</v>
      </c>
      <c r="M58" s="41">
        <f>SUM(M45:M57)</f>
        <v>138.54118445659003</v>
      </c>
      <c r="N58" s="41">
        <f t="shared" ref="N58:U58" si="41">SUM(N45:N57)</f>
        <v>143.03244577701628</v>
      </c>
      <c r="O58" s="11">
        <f t="shared" si="41"/>
        <v>123.23006631877315</v>
      </c>
      <c r="P58" s="11">
        <f t="shared" si="41"/>
        <v>117.6159896682403</v>
      </c>
      <c r="Q58" s="11">
        <f t="shared" si="41"/>
        <v>106.78671895417196</v>
      </c>
      <c r="R58" s="11">
        <f t="shared" si="41"/>
        <v>123.94458516520463</v>
      </c>
      <c r="S58" s="11">
        <f t="shared" si="41"/>
        <v>191.59613594203788</v>
      </c>
      <c r="T58" s="11">
        <f t="shared" si="41"/>
        <v>228.89491459538016</v>
      </c>
      <c r="U58" s="11">
        <f t="shared" si="41"/>
        <v>220.13933275187262</v>
      </c>
      <c r="V58" s="11">
        <f>SUM(V45:V57)</f>
        <v>167.08050678021664</v>
      </c>
      <c r="W58" s="11">
        <f>SUM(K58:V58)/12</f>
        <v>149.1439160202483</v>
      </c>
      <c r="X58" s="3">
        <f>W58/W21-1</f>
        <v>1.5889445187249329E-2</v>
      </c>
      <c r="Y58" s="11">
        <f>W58-W21</f>
        <v>2.332748007022218</v>
      </c>
    </row>
    <row r="61" spans="8:25" x14ac:dyDescent="0.25">
      <c r="J61" s="12" t="s">
        <v>3</v>
      </c>
      <c r="K61" s="39">
        <v>988.8</v>
      </c>
      <c r="L61" s="40">
        <v>974.4</v>
      </c>
      <c r="M61" s="40">
        <v>1264.8</v>
      </c>
      <c r="N61" s="40">
        <v>1317.6</v>
      </c>
      <c r="O61" s="40">
        <v>1084.8</v>
      </c>
      <c r="P61" s="40">
        <v>1018.8</v>
      </c>
      <c r="Q61" s="40">
        <v>892.8</v>
      </c>
      <c r="R61" s="40">
        <v>1093.2</v>
      </c>
      <c r="S61" s="40">
        <v>1370.3999999999999</v>
      </c>
      <c r="T61" s="40">
        <v>1626</v>
      </c>
      <c r="U61" s="40">
        <v>1566</v>
      </c>
      <c r="V61" s="40">
        <v>1202.3999999999999</v>
      </c>
    </row>
    <row r="62" spans="8:25" ht="16.5" thickBot="1" x14ac:dyDescent="0.3">
      <c r="H62" s="63" t="s">
        <v>154</v>
      </c>
      <c r="I62" s="63"/>
      <c r="J62" s="12" t="s">
        <v>136</v>
      </c>
      <c r="K62" s="37" t="s">
        <v>124</v>
      </c>
      <c r="L62" s="37" t="s">
        <v>125</v>
      </c>
      <c r="M62" s="37" t="s">
        <v>126</v>
      </c>
      <c r="N62" s="37" t="s">
        <v>127</v>
      </c>
      <c r="O62" s="37" t="s">
        <v>128</v>
      </c>
      <c r="P62" s="37" t="s">
        <v>129</v>
      </c>
      <c r="Q62" s="37" t="s">
        <v>130</v>
      </c>
      <c r="R62" s="37" t="s">
        <v>131</v>
      </c>
      <c r="S62" s="37" t="s">
        <v>132</v>
      </c>
      <c r="T62" s="37" t="s">
        <v>133</v>
      </c>
      <c r="U62" s="37" t="s">
        <v>134</v>
      </c>
      <c r="V62" s="37" t="s">
        <v>135</v>
      </c>
    </row>
    <row r="63" spans="8:25" x14ac:dyDescent="0.25">
      <c r="H63" s="32" t="s">
        <v>118</v>
      </c>
      <c r="I63" s="33">
        <v>10</v>
      </c>
      <c r="K63" s="11">
        <f>$I63</f>
        <v>10</v>
      </c>
      <c r="L63" s="11">
        <f t="shared" ref="L63:V63" si="42">$I63</f>
        <v>10</v>
      </c>
      <c r="M63" s="11">
        <f t="shared" si="42"/>
        <v>10</v>
      </c>
      <c r="N63" s="11">
        <f t="shared" si="42"/>
        <v>10</v>
      </c>
      <c r="O63" s="11">
        <f t="shared" si="42"/>
        <v>10</v>
      </c>
      <c r="P63" s="11">
        <f t="shared" si="42"/>
        <v>10</v>
      </c>
      <c r="Q63" s="11">
        <f t="shared" si="42"/>
        <v>10</v>
      </c>
      <c r="R63" s="11">
        <f t="shared" si="42"/>
        <v>10</v>
      </c>
      <c r="S63" s="11">
        <f t="shared" si="42"/>
        <v>10</v>
      </c>
      <c r="T63" s="11">
        <f t="shared" si="42"/>
        <v>10</v>
      </c>
      <c r="U63" s="11">
        <f t="shared" si="42"/>
        <v>10</v>
      </c>
      <c r="V63" s="11">
        <f t="shared" si="42"/>
        <v>10</v>
      </c>
    </row>
    <row r="64" spans="8:25" x14ac:dyDescent="0.25">
      <c r="H64" s="26" t="s">
        <v>119</v>
      </c>
      <c r="I64" s="27">
        <v>5.755255297651591E-2</v>
      </c>
      <c r="K64" s="11">
        <f>650*$I64</f>
        <v>37.409159434735344</v>
      </c>
      <c r="L64" s="11">
        <f t="shared" ref="L64:R64" si="43">650*$I64</f>
        <v>37.409159434735344</v>
      </c>
      <c r="M64" s="11">
        <f t="shared" si="43"/>
        <v>37.409159434735344</v>
      </c>
      <c r="N64" s="11">
        <f t="shared" si="43"/>
        <v>37.409159434735344</v>
      </c>
      <c r="O64" s="11">
        <f t="shared" si="43"/>
        <v>37.409159434735344</v>
      </c>
      <c r="P64" s="11">
        <f t="shared" si="43"/>
        <v>37.409159434735344</v>
      </c>
      <c r="Q64" s="11">
        <f t="shared" si="43"/>
        <v>37.409159434735344</v>
      </c>
      <c r="R64" s="11">
        <f t="shared" si="43"/>
        <v>37.409159434735344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26" t="s">
        <v>120</v>
      </c>
      <c r="I65" s="27">
        <v>5.0473552976515908E-2</v>
      </c>
      <c r="K65" s="11">
        <f>(K61-650)*$I65</f>
        <v>17.100439748443588</v>
      </c>
      <c r="L65" s="11">
        <f>(L61-650)*$I65</f>
        <v>16.373620585581758</v>
      </c>
      <c r="M65" s="11">
        <f>(350)*$I65</f>
        <v>17.665743541780568</v>
      </c>
      <c r="N65" s="11">
        <f t="shared" ref="N65:P65" si="44">(350)*$I65</f>
        <v>17.665743541780568</v>
      </c>
      <c r="O65" s="11">
        <f t="shared" si="44"/>
        <v>17.665743541780568</v>
      </c>
      <c r="P65" s="11">
        <f t="shared" si="44"/>
        <v>17.665743541780568</v>
      </c>
      <c r="Q65" s="11">
        <f>(Q61-650)*I65</f>
        <v>12.254978662698059</v>
      </c>
      <c r="R65" s="11">
        <f>350*$I65</f>
        <v>17.665743541780568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35" t="s">
        <v>121</v>
      </c>
      <c r="I66" s="27">
        <v>4.9689552976515908E-2</v>
      </c>
      <c r="K66" s="11">
        <v>0</v>
      </c>
      <c r="L66" s="11">
        <v>0</v>
      </c>
      <c r="M66" s="11">
        <f>(M61-1000)*$I66</f>
        <v>13.157793628181411</v>
      </c>
      <c r="N66" s="11">
        <f t="shared" ref="N66:P66" si="45">(N61-1000)*$I66</f>
        <v>15.781402025341448</v>
      </c>
      <c r="O66" s="11">
        <f t="shared" si="45"/>
        <v>4.2136740924085467</v>
      </c>
      <c r="P66" s="11">
        <f t="shared" si="45"/>
        <v>0.93416359595849685</v>
      </c>
      <c r="Q66" s="11">
        <v>0</v>
      </c>
      <c r="R66" s="11">
        <f t="shared" ref="R66" si="46">(R61-1000)*$I66</f>
        <v>4.6310663374112853</v>
      </c>
      <c r="S66" s="11">
        <v>0</v>
      </c>
      <c r="T66" s="11">
        <v>0</v>
      </c>
      <c r="U66" s="11">
        <v>0</v>
      </c>
      <c r="V66" s="11">
        <v>0</v>
      </c>
    </row>
    <row r="67" spans="8:25" x14ac:dyDescent="0.25">
      <c r="H67" s="26" t="s">
        <v>122</v>
      </c>
      <c r="I67" s="27">
        <v>5.755255297651591E-2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f>650*$I67</f>
        <v>37.409159434735344</v>
      </c>
      <c r="T67" s="11">
        <f t="shared" ref="T67:V67" si="47">650*$I67</f>
        <v>37.409159434735344</v>
      </c>
      <c r="U67" s="11">
        <f t="shared" si="47"/>
        <v>37.409159434735344</v>
      </c>
      <c r="V67" s="11">
        <f t="shared" si="47"/>
        <v>37.409159434735344</v>
      </c>
    </row>
    <row r="68" spans="8:25" x14ac:dyDescent="0.25">
      <c r="H68" s="26" t="s">
        <v>123</v>
      </c>
      <c r="I68" s="27">
        <v>9.0437552976515914E-2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f>350*$I68</f>
        <v>31.653143541780569</v>
      </c>
      <c r="T68" s="11">
        <f t="shared" ref="T68:V68" si="48">350*$I68</f>
        <v>31.653143541780569</v>
      </c>
      <c r="U68" s="11">
        <f t="shared" si="48"/>
        <v>31.653143541780569</v>
      </c>
      <c r="V68" s="11">
        <f t="shared" si="48"/>
        <v>31.653143541780569</v>
      </c>
    </row>
    <row r="69" spans="8:25" x14ac:dyDescent="0.25">
      <c r="H69" s="35" t="s">
        <v>156</v>
      </c>
      <c r="I69" s="27">
        <v>9.3330552976515907E-2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f>(S61-1000)*$I69</f>
        <v>34.569636822501479</v>
      </c>
      <c r="T69" s="11">
        <f>(T61-1000)*$I69</f>
        <v>58.424926163298956</v>
      </c>
      <c r="U69" s="11">
        <f>(U61-1000)*$I69</f>
        <v>52.825092984708</v>
      </c>
      <c r="V69" s="11">
        <f>(V61-1000)*$I69</f>
        <v>18.890103922446809</v>
      </c>
    </row>
    <row r="70" spans="8:25" x14ac:dyDescent="0.25">
      <c r="H70" s="64" t="s">
        <v>112</v>
      </c>
      <c r="I70" s="27">
        <v>3.1718000000000003E-2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f>S61*$I70</f>
        <v>43.466347200000001</v>
      </c>
      <c r="T70" s="11">
        <f>T61*$I70</f>
        <v>51.573468000000005</v>
      </c>
      <c r="U70" s="11">
        <f>U61*$I70</f>
        <v>49.670388000000003</v>
      </c>
      <c r="V70" s="11">
        <f>V61*$I70</f>
        <v>38.137723199999996</v>
      </c>
    </row>
    <row r="71" spans="8:25" x14ac:dyDescent="0.25">
      <c r="H71" s="64"/>
      <c r="I71" s="27">
        <v>2.8812999999999998E-2</v>
      </c>
      <c r="K71" s="11">
        <f t="shared" ref="K71:R71" si="49">K61*$I71</f>
        <v>28.490294399999996</v>
      </c>
      <c r="L71" s="11">
        <f t="shared" si="49"/>
        <v>28.075387199999998</v>
      </c>
      <c r="M71" s="11">
        <f t="shared" si="49"/>
        <v>36.442682399999995</v>
      </c>
      <c r="N71" s="11">
        <f t="shared" si="49"/>
        <v>37.964008799999995</v>
      </c>
      <c r="O71" s="11">
        <f t="shared" si="49"/>
        <v>31.256342399999998</v>
      </c>
      <c r="P71" s="11">
        <f t="shared" si="49"/>
        <v>29.354684399999996</v>
      </c>
      <c r="Q71" s="11">
        <f t="shared" si="49"/>
        <v>25.724246399999998</v>
      </c>
      <c r="R71" s="11">
        <f t="shared" si="49"/>
        <v>31.498371599999999</v>
      </c>
      <c r="S71" s="11">
        <v>0</v>
      </c>
      <c r="T71" s="11">
        <v>0</v>
      </c>
      <c r="U71" s="11">
        <v>0</v>
      </c>
      <c r="V71" s="11">
        <v>0</v>
      </c>
    </row>
    <row r="72" spans="8:25" x14ac:dyDescent="0.25">
      <c r="H72" s="28" t="s">
        <v>144</v>
      </c>
      <c r="I72" s="29">
        <v>1.9511000000000001E-2</v>
      </c>
      <c r="K72" s="11">
        <f t="shared" ref="K72:V72" si="50">SUM(K63:K69)*$I72</f>
        <v>1.2586467896630043</v>
      </c>
      <c r="L72" s="11">
        <f t="shared" si="50"/>
        <v>1.244465820976407</v>
      </c>
      <c r="M72" s="11">
        <f t="shared" si="50"/>
        <v>1.5263981434542495</v>
      </c>
      <c r="N72" s="11">
        <f t="shared" si="50"/>
        <v>1.577587366891239</v>
      </c>
      <c r="O72" s="11">
        <f t="shared" si="50"/>
        <v>1.3518894271917854</v>
      </c>
      <c r="P72" s="11">
        <f t="shared" si="50"/>
        <v>1.2879028978955482</v>
      </c>
      <c r="Q72" s="11">
        <f t="shared" si="50"/>
        <v>1.1641069984190231</v>
      </c>
      <c r="R72" s="11">
        <f t="shared" si="50"/>
        <v>1.3600331672840336</v>
      </c>
      <c r="S72" s="11">
        <f t="shared" si="50"/>
        <v>2.2170727774186285</v>
      </c>
      <c r="T72" s="11">
        <f t="shared" si="50"/>
        <v>2.682513327746928</v>
      </c>
      <c r="U72" s="11">
        <f t="shared" si="50"/>
        <v>2.57325498259944</v>
      </c>
      <c r="V72" s="11">
        <f t="shared" si="50"/>
        <v>1.9111494110056617</v>
      </c>
    </row>
    <row r="73" spans="8:25" x14ac:dyDescent="0.25">
      <c r="H73" s="30" t="s">
        <v>145</v>
      </c>
      <c r="I73" s="31">
        <v>0.16881399999999999</v>
      </c>
      <c r="K73" s="11">
        <f t="shared" ref="K73:V73" si="51">SUM(K63:K69)*$I73</f>
        <v>10.890123476509169</v>
      </c>
      <c r="L73" s="11">
        <f t="shared" si="51"/>
        <v>10.76742622634981</v>
      </c>
      <c r="M73" s="11">
        <f t="shared" si="51"/>
        <v>13.206774444625374</v>
      </c>
      <c r="N73" s="11">
        <f t="shared" si="51"/>
        <v>13.649676272583548</v>
      </c>
      <c r="O73" s="11">
        <f t="shared" si="51"/>
        <v>11.696881849313415</v>
      </c>
      <c r="P73" s="11">
        <f t="shared" si="51"/>
        <v>11.143254564365694</v>
      </c>
      <c r="Q73" s="11">
        <f t="shared" si="51"/>
        <v>10.072141808780122</v>
      </c>
      <c r="R73" s="11">
        <f t="shared" si="51"/>
        <v>11.767343503761305</v>
      </c>
      <c r="S73" s="11">
        <f t="shared" si="51"/>
        <v>19.18266228523132</v>
      </c>
      <c r="T73" s="11">
        <f t="shared" si="51"/>
        <v>23.209769100008707</v>
      </c>
      <c r="U73" s="11">
        <f t="shared" si="51"/>
        <v>22.264438861798052</v>
      </c>
      <c r="V73" s="11">
        <f t="shared" si="51"/>
        <v>16.535737618241491</v>
      </c>
    </row>
    <row r="74" spans="8:25" x14ac:dyDescent="0.25">
      <c r="H74" s="30" t="s">
        <v>115</v>
      </c>
      <c r="I74" s="34">
        <v>0.10766199999999999</v>
      </c>
      <c r="K74" s="11">
        <f t="shared" ref="K74:V74" si="52">SUM(K63:K69)*$I74</f>
        <v>6.9452324672594097</v>
      </c>
      <c r="L74" s="11">
        <f t="shared" si="52"/>
        <v>6.8669816625473796</v>
      </c>
      <c r="M74" s="11">
        <f t="shared" si="52"/>
        <v>8.4226885818549224</v>
      </c>
      <c r="N74" s="11">
        <f t="shared" si="52"/>
        <v>8.7051515091099674</v>
      </c>
      <c r="O74" s="11">
        <f t="shared" si="52"/>
        <v>7.4597467843945457</v>
      </c>
      <c r="P74" s="11">
        <f t="shared" si="52"/>
        <v>7.1066681253257391</v>
      </c>
      <c r="Q74" s="11">
        <f t="shared" si="52"/>
        <v>6.4235604358458742</v>
      </c>
      <c r="R74" s="11">
        <f t="shared" si="52"/>
        <v>7.5046840682760294</v>
      </c>
      <c r="S74" s="11">
        <f t="shared" si="52"/>
        <v>12.23384190264181</v>
      </c>
      <c r="T74" s="11">
        <f t="shared" si="52"/>
        <v>14.802150063650748</v>
      </c>
      <c r="U74" s="11">
        <f t="shared" si="52"/>
        <v>14.199260823977289</v>
      </c>
      <c r="V74" s="11">
        <f t="shared" si="52"/>
        <v>10.545752031556123</v>
      </c>
    </row>
    <row r="75" spans="8:25" x14ac:dyDescent="0.25">
      <c r="H75" s="30" t="s">
        <v>116</v>
      </c>
      <c r="I75" s="31">
        <v>2.3567999999999999E-2</v>
      </c>
      <c r="K75" s="11">
        <f t="shared" ref="K75:V75" si="53">SUM(K63:K74)*$I75</f>
        <v>2.6418289483898767</v>
      </c>
      <c r="L75" s="11">
        <f t="shared" si="53"/>
        <v>2.6098505806427341</v>
      </c>
      <c r="M75" s="11">
        <f t="shared" si="53"/>
        <v>3.2484066684357233</v>
      </c>
      <c r="N75" s="11">
        <f t="shared" si="53"/>
        <v>3.36439631590402</v>
      </c>
      <c r="O75" s="11">
        <f t="shared" si="53"/>
        <v>2.8529874157028963</v>
      </c>
      <c r="P75" s="11">
        <f t="shared" si="53"/>
        <v>2.7080003563675268</v>
      </c>
      <c r="Q75" s="11">
        <f t="shared" si="53"/>
        <v>2.4286398300755954</v>
      </c>
      <c r="R75" s="11">
        <f t="shared" si="53"/>
        <v>2.8714403141637623</v>
      </c>
      <c r="S75" s="11">
        <f t="shared" si="53"/>
        <v>4.4951685699108372</v>
      </c>
      <c r="T75" s="11">
        <f t="shared" si="53"/>
        <v>5.4148688951486221</v>
      </c>
      <c r="U75" s="11">
        <f t="shared" si="53"/>
        <v>5.1989768000223817</v>
      </c>
      <c r="V75" s="11">
        <f t="shared" si="53"/>
        <v>3.8906707035573649</v>
      </c>
    </row>
    <row r="76" spans="8:25" x14ac:dyDescent="0.25">
      <c r="K76" s="11">
        <f>SUM(K63:K75)</f>
        <v>114.7357252650004</v>
      </c>
      <c r="L76" s="11">
        <f>SUM(L63:L75)</f>
        <v>113.34689151083342</v>
      </c>
      <c r="M76" s="41">
        <f>SUM(M63:M75)</f>
        <v>141.07964684306759</v>
      </c>
      <c r="N76" s="41">
        <f t="shared" ref="N76" si="54">SUM(N63:N75)</f>
        <v>146.11712526634616</v>
      </c>
      <c r="O76" s="11">
        <f t="shared" ref="O76" si="55">SUM(O63:O75)</f>
        <v>123.90642494552709</v>
      </c>
      <c r="P76" s="11">
        <f t="shared" ref="P76" si="56">SUM(P63:P75)</f>
        <v>117.60957691642891</v>
      </c>
      <c r="Q76" s="11">
        <f t="shared" ref="Q76" si="57">SUM(Q63:Q75)</f>
        <v>105.47683357055402</v>
      </c>
      <c r="R76" s="11">
        <f t="shared" ref="R76" si="58">SUM(R63:R75)</f>
        <v>124.70784196741234</v>
      </c>
      <c r="S76" s="11">
        <f t="shared" ref="S76" si="59">SUM(S63:S75)</f>
        <v>195.22703253421997</v>
      </c>
      <c r="T76" s="11">
        <f t="shared" ref="T76" si="60">SUM(T63:T75)</f>
        <v>235.16999852636988</v>
      </c>
      <c r="U76" s="11">
        <f t="shared" ref="U76" si="61">SUM(U63:U75)</f>
        <v>225.7937154296211</v>
      </c>
      <c r="V76" s="11">
        <f>SUM(V63:V75)</f>
        <v>168.97343986332336</v>
      </c>
      <c r="W76" s="11">
        <f>SUM(K76:V76)/12</f>
        <v>151.01202105322537</v>
      </c>
      <c r="X76" s="3">
        <f>W76/W21-1</f>
        <v>2.861398827384054E-2</v>
      </c>
      <c r="Y76" s="11">
        <f>W76-W21</f>
        <v>4.2008530399992878</v>
      </c>
    </row>
  </sheetData>
  <mergeCells count="8">
    <mergeCell ref="H62:I62"/>
    <mergeCell ref="H70:H71"/>
    <mergeCell ref="H7:I7"/>
    <mergeCell ref="H15:H16"/>
    <mergeCell ref="H24:I24"/>
    <mergeCell ref="H32:H33"/>
    <mergeCell ref="H44:I44"/>
    <mergeCell ref="H52:H5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7"/>
  <sheetViews>
    <sheetView workbookViewId="0">
      <selection activeCell="J10" sqref="J10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6.875" customWidth="1"/>
  </cols>
  <sheetData>
    <row r="1" spans="1:23" x14ac:dyDescent="0.25">
      <c r="J1" s="61" t="s">
        <v>157</v>
      </c>
      <c r="K1" s="62" t="s">
        <v>159</v>
      </c>
    </row>
    <row r="2" spans="1:23" x14ac:dyDescent="0.25">
      <c r="J2" s="12" t="s">
        <v>139</v>
      </c>
      <c r="K2" s="39">
        <v>824</v>
      </c>
      <c r="L2" s="40">
        <v>812</v>
      </c>
      <c r="M2" s="40">
        <v>1054</v>
      </c>
      <c r="N2" s="40">
        <v>1098</v>
      </c>
      <c r="O2" s="40">
        <v>904</v>
      </c>
      <c r="P2" s="40">
        <v>849</v>
      </c>
      <c r="Q2" s="40">
        <v>744</v>
      </c>
      <c r="R2" s="40">
        <v>911</v>
      </c>
      <c r="S2" s="40">
        <v>1142</v>
      </c>
      <c r="T2" s="40">
        <v>1355</v>
      </c>
      <c r="U2" s="40">
        <v>1305</v>
      </c>
      <c r="V2" s="40">
        <v>1002</v>
      </c>
      <c r="W2" s="40">
        <f>SUM(K2:V2)</f>
        <v>12000</v>
      </c>
    </row>
    <row r="3" spans="1:23" x14ac:dyDescent="0.25">
      <c r="A3" t="s">
        <v>1</v>
      </c>
      <c r="B3" t="s">
        <v>2</v>
      </c>
      <c r="J3" s="12" t="s">
        <v>160</v>
      </c>
      <c r="K3" s="39">
        <f>K2*($W3/$W2)</f>
        <v>659.2</v>
      </c>
      <c r="L3" s="39">
        <f t="shared" ref="L3:V3" si="0">L2*($W3/$W2)</f>
        <v>649.6</v>
      </c>
      <c r="M3" s="39">
        <f t="shared" si="0"/>
        <v>843.2</v>
      </c>
      <c r="N3" s="39">
        <f t="shared" si="0"/>
        <v>878.40000000000009</v>
      </c>
      <c r="O3" s="39">
        <f t="shared" si="0"/>
        <v>723.2</v>
      </c>
      <c r="P3" s="39">
        <f t="shared" si="0"/>
        <v>679.2</v>
      </c>
      <c r="Q3" s="39">
        <f t="shared" si="0"/>
        <v>595.20000000000005</v>
      </c>
      <c r="R3" s="39">
        <f t="shared" si="0"/>
        <v>728.80000000000007</v>
      </c>
      <c r="S3" s="39">
        <f t="shared" si="0"/>
        <v>913.6</v>
      </c>
      <c r="T3" s="39">
        <f t="shared" si="0"/>
        <v>1084</v>
      </c>
      <c r="U3" s="39">
        <f t="shared" si="0"/>
        <v>1044</v>
      </c>
      <c r="V3" s="39">
        <f t="shared" si="0"/>
        <v>801.6</v>
      </c>
      <c r="W3">
        <f>800*12</f>
        <v>9600</v>
      </c>
    </row>
    <row r="4" spans="1:23" x14ac:dyDescent="0.25">
      <c r="A4" t="s">
        <v>3</v>
      </c>
      <c r="B4" t="s">
        <v>4</v>
      </c>
    </row>
    <row r="5" spans="1:23" x14ac:dyDescent="0.25">
      <c r="A5" t="s">
        <v>5</v>
      </c>
      <c r="B5" t="s">
        <v>1</v>
      </c>
      <c r="C5" t="s">
        <v>2</v>
      </c>
    </row>
    <row r="6" spans="1:23" x14ac:dyDescent="0.25">
      <c r="A6" t="s">
        <v>0</v>
      </c>
      <c r="J6" s="12" t="s">
        <v>3</v>
      </c>
      <c r="K6" s="39">
        <v>659.2</v>
      </c>
      <c r="L6" s="40">
        <v>649.6</v>
      </c>
      <c r="M6" s="40">
        <v>843.2</v>
      </c>
      <c r="N6" s="40">
        <v>878.40000000000009</v>
      </c>
      <c r="O6" s="40">
        <v>723.2</v>
      </c>
      <c r="P6" s="40">
        <v>679.2</v>
      </c>
      <c r="Q6" s="40">
        <v>595.20000000000005</v>
      </c>
      <c r="R6" s="40">
        <v>728.80000000000007</v>
      </c>
      <c r="S6" s="40">
        <v>913.6</v>
      </c>
      <c r="T6" s="40">
        <v>1084</v>
      </c>
      <c r="U6" s="40">
        <v>1044</v>
      </c>
      <c r="V6" s="40">
        <v>801.6</v>
      </c>
      <c r="W6" s="40">
        <f>SUM(K6:V6)</f>
        <v>9600.0000000000018</v>
      </c>
    </row>
    <row r="7" spans="1:23" ht="16.5" thickBot="1" x14ac:dyDescent="0.3">
      <c r="A7" t="s">
        <v>6</v>
      </c>
      <c r="B7" t="s">
        <v>7</v>
      </c>
      <c r="C7" t="s">
        <v>8</v>
      </c>
      <c r="H7" s="63" t="s">
        <v>117</v>
      </c>
      <c r="I7" s="63"/>
      <c r="J7" s="12" t="s">
        <v>136</v>
      </c>
      <c r="K7" s="37" t="s">
        <v>124</v>
      </c>
      <c r="L7" s="37" t="s">
        <v>125</v>
      </c>
      <c r="M7" s="37" t="s">
        <v>126</v>
      </c>
      <c r="N7" s="37" t="s">
        <v>127</v>
      </c>
      <c r="O7" s="37" t="s">
        <v>128</v>
      </c>
      <c r="P7" s="37" t="s">
        <v>129</v>
      </c>
      <c r="Q7" s="37" t="s">
        <v>130</v>
      </c>
      <c r="R7" s="37" t="s">
        <v>131</v>
      </c>
      <c r="S7" s="37" t="s">
        <v>132</v>
      </c>
      <c r="T7" s="37" t="s">
        <v>133</v>
      </c>
      <c r="U7" s="37" t="s">
        <v>134</v>
      </c>
      <c r="V7" s="37" t="s">
        <v>135</v>
      </c>
    </row>
    <row r="8" spans="1:23" x14ac:dyDescent="0.25">
      <c r="A8" t="s">
        <v>9</v>
      </c>
      <c r="B8" t="s">
        <v>1</v>
      </c>
      <c r="H8" s="32" t="s">
        <v>118</v>
      </c>
      <c r="I8" s="33">
        <v>10</v>
      </c>
      <c r="K8" s="11">
        <f>$I8</f>
        <v>10</v>
      </c>
      <c r="L8" s="11">
        <f t="shared" ref="L8:V8" si="1">$I8</f>
        <v>10</v>
      </c>
      <c r="M8" s="11">
        <f t="shared" si="1"/>
        <v>10</v>
      </c>
      <c r="N8" s="11">
        <f t="shared" si="1"/>
        <v>10</v>
      </c>
      <c r="O8" s="11">
        <f t="shared" si="1"/>
        <v>10</v>
      </c>
      <c r="P8" s="11">
        <f t="shared" si="1"/>
        <v>10</v>
      </c>
      <c r="Q8" s="11">
        <f t="shared" si="1"/>
        <v>10</v>
      </c>
      <c r="R8" s="11">
        <f t="shared" si="1"/>
        <v>10</v>
      </c>
      <c r="S8" s="11">
        <f t="shared" si="1"/>
        <v>10</v>
      </c>
      <c r="T8" s="11">
        <f t="shared" si="1"/>
        <v>10</v>
      </c>
      <c r="U8" s="11">
        <f t="shared" si="1"/>
        <v>10</v>
      </c>
      <c r="V8" s="11">
        <f t="shared" si="1"/>
        <v>10</v>
      </c>
    </row>
    <row r="9" spans="1:23" x14ac:dyDescent="0.25">
      <c r="A9" t="s">
        <v>2</v>
      </c>
      <c r="B9" t="s">
        <v>0</v>
      </c>
      <c r="H9" s="26" t="s">
        <v>119</v>
      </c>
      <c r="I9" s="27">
        <v>5.6582E-2</v>
      </c>
      <c r="K9" s="11">
        <f>650*$I9</f>
        <v>36.778300000000002</v>
      </c>
      <c r="L9" s="11">
        <f>L6*$I9</f>
        <v>36.755667200000005</v>
      </c>
      <c r="M9" s="11">
        <f t="shared" ref="M9:R9" si="2">650*$I9</f>
        <v>36.778300000000002</v>
      </c>
      <c r="N9" s="11">
        <f t="shared" si="2"/>
        <v>36.778300000000002</v>
      </c>
      <c r="O9" s="11">
        <f t="shared" si="2"/>
        <v>36.778300000000002</v>
      </c>
      <c r="P9" s="11">
        <f t="shared" si="2"/>
        <v>36.778300000000002</v>
      </c>
      <c r="Q9" s="11">
        <f>Q6*$I9</f>
        <v>33.677606400000002</v>
      </c>
      <c r="R9" s="11">
        <f t="shared" si="2"/>
        <v>36.778300000000002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1</v>
      </c>
      <c r="B10" t="s">
        <v>2</v>
      </c>
      <c r="H10" s="26" t="s">
        <v>120</v>
      </c>
      <c r="I10" s="27">
        <v>4.8533E-2</v>
      </c>
      <c r="K10" s="11">
        <f>(K6-650)*$I10</f>
        <v>0.44650360000000222</v>
      </c>
      <c r="L10" s="11">
        <v>0</v>
      </c>
      <c r="M10" s="11">
        <f t="shared" ref="M10:P10" si="3">(M6-650)*$I10</f>
        <v>9.3765756000000025</v>
      </c>
      <c r="N10" s="11">
        <f t="shared" si="3"/>
        <v>11.084937200000004</v>
      </c>
      <c r="O10" s="11">
        <f t="shared" si="3"/>
        <v>3.552615600000002</v>
      </c>
      <c r="P10" s="11">
        <f t="shared" si="3"/>
        <v>1.4171636000000023</v>
      </c>
      <c r="Q10" s="11">
        <v>0</v>
      </c>
      <c r="R10" s="11">
        <f>(R6-650)*$I10</f>
        <v>3.8244004000000031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A11" t="s">
        <v>0</v>
      </c>
      <c r="B11" t="s">
        <v>10</v>
      </c>
      <c r="H11" s="35" t="s">
        <v>121</v>
      </c>
      <c r="I11" s="27">
        <v>4.7641000000000003E-2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</row>
    <row r="12" spans="1:23" x14ac:dyDescent="0.25">
      <c r="H12" s="26" t="s">
        <v>122</v>
      </c>
      <c r="I12" s="27">
        <v>5.6582E-2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f>650*$I12</f>
        <v>36.778300000000002</v>
      </c>
      <c r="T12" s="11">
        <f t="shared" ref="T12:V12" si="4">650*$I12</f>
        <v>36.778300000000002</v>
      </c>
      <c r="U12" s="11">
        <f t="shared" si="4"/>
        <v>36.778300000000002</v>
      </c>
      <c r="V12" s="11">
        <f t="shared" si="4"/>
        <v>36.778300000000002</v>
      </c>
    </row>
    <row r="13" spans="1:23" x14ac:dyDescent="0.25">
      <c r="A13" s="21" t="s">
        <v>109</v>
      </c>
      <c r="B13" s="21" t="s">
        <v>110</v>
      </c>
      <c r="C13" s="22"/>
      <c r="D13" s="22"/>
      <c r="E13" s="22"/>
      <c r="F13" s="21" t="s">
        <v>111</v>
      </c>
      <c r="H13" s="26" t="s">
        <v>123</v>
      </c>
      <c r="I13" s="27">
        <v>9.3982999999999997E-2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f>(S6-650)*$I13</f>
        <v>24.773918800000001</v>
      </c>
      <c r="T13" s="11">
        <f t="shared" ref="T13:U13" si="5">350*$I13</f>
        <v>32.89405</v>
      </c>
      <c r="U13" s="11">
        <f t="shared" si="5"/>
        <v>32.89405</v>
      </c>
      <c r="V13" s="11">
        <f>(V6-650)*$I13</f>
        <v>14.247822800000002</v>
      </c>
    </row>
    <row r="14" spans="1:23" x14ac:dyDescent="0.25">
      <c r="A14" s="22" t="s">
        <v>11</v>
      </c>
      <c r="B14" s="22">
        <v>673</v>
      </c>
      <c r="C14" s="23">
        <v>83.88</v>
      </c>
      <c r="D14" s="23">
        <v>92.33</v>
      </c>
      <c r="E14" s="23">
        <v>8.4499999999999993</v>
      </c>
      <c r="F14" s="24">
        <f>D14/C14-1</f>
        <v>0.10073915116833576</v>
      </c>
      <c r="H14" s="35" t="s">
        <v>156</v>
      </c>
      <c r="I14" s="27">
        <v>9.7272999999999998E-2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f>(T6-1000)*$I14</f>
        <v>8.1709320000000005</v>
      </c>
      <c r="U14" s="11">
        <f t="shared" ref="U14" si="6">(U6-1000)*$I14</f>
        <v>4.2800120000000001</v>
      </c>
      <c r="V14" s="11">
        <v>0</v>
      </c>
    </row>
    <row r="15" spans="1:23" x14ac:dyDescent="0.25">
      <c r="A15" s="22" t="s">
        <v>12</v>
      </c>
      <c r="B15" s="25">
        <v>1000</v>
      </c>
      <c r="C15" s="23">
        <v>123.31</v>
      </c>
      <c r="D15" s="23">
        <v>133.09</v>
      </c>
      <c r="E15" s="23">
        <v>9.7799999999999994</v>
      </c>
      <c r="F15" s="24">
        <f t="shared" ref="F15:F16" si="7">D15/C15-1</f>
        <v>7.9312302327467332E-2</v>
      </c>
      <c r="H15" s="64" t="s">
        <v>112</v>
      </c>
      <c r="I15" s="27">
        <v>3.1718000000000003E-2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f>S6*$I15</f>
        <v>28.977564800000003</v>
      </c>
      <c r="T15" s="11">
        <f>T6*$I15</f>
        <v>34.382312000000006</v>
      </c>
      <c r="U15" s="11">
        <f>U6*$I15</f>
        <v>33.113592000000004</v>
      </c>
      <c r="V15" s="11">
        <f>V6*$I15</f>
        <v>25.425148800000002</v>
      </c>
    </row>
    <row r="16" spans="1:23" x14ac:dyDescent="0.25">
      <c r="A16" s="22" t="s">
        <v>13</v>
      </c>
      <c r="B16" s="25">
        <v>1837</v>
      </c>
      <c r="C16" s="23">
        <v>225.4</v>
      </c>
      <c r="D16" s="23">
        <v>238.64</v>
      </c>
      <c r="E16" s="23">
        <v>13.24</v>
      </c>
      <c r="F16" s="24">
        <f t="shared" si="7"/>
        <v>5.8740017746228945E-2</v>
      </c>
      <c r="H16" s="64"/>
      <c r="I16" s="27">
        <v>2.8812999999999998E-2</v>
      </c>
      <c r="K16" s="11">
        <f t="shared" ref="K16:R16" si="8">K6*$I16</f>
        <v>18.993529599999999</v>
      </c>
      <c r="L16" s="11">
        <f t="shared" si="8"/>
        <v>18.716924800000001</v>
      </c>
      <c r="M16" s="11">
        <f t="shared" si="8"/>
        <v>24.295121600000002</v>
      </c>
      <c r="N16" s="11">
        <f t="shared" si="8"/>
        <v>25.3093392</v>
      </c>
      <c r="O16" s="11">
        <f t="shared" si="8"/>
        <v>20.837561600000001</v>
      </c>
      <c r="P16" s="11">
        <f t="shared" si="8"/>
        <v>19.5697896</v>
      </c>
      <c r="Q16" s="11">
        <f t="shared" si="8"/>
        <v>17.1494976</v>
      </c>
      <c r="R16" s="11">
        <f t="shared" si="8"/>
        <v>20.9989144</v>
      </c>
      <c r="S16" s="11">
        <v>0</v>
      </c>
      <c r="T16" s="11">
        <v>0</v>
      </c>
      <c r="U16" s="11">
        <v>0</v>
      </c>
      <c r="V16" s="11">
        <v>0</v>
      </c>
    </row>
    <row r="17" spans="1:24" x14ac:dyDescent="0.25">
      <c r="F17" s="3"/>
      <c r="H17" s="28" t="s">
        <v>113</v>
      </c>
      <c r="I17" s="29">
        <v>1.6721E-2</v>
      </c>
      <c r="K17" s="11">
        <f t="shared" ref="K17:V17" si="9">SUM(K8:K14)*$I17</f>
        <v>0.78964594099560004</v>
      </c>
      <c r="L17" s="11">
        <f t="shared" si="9"/>
        <v>0.78180151125120012</v>
      </c>
      <c r="M17" s="11">
        <f t="shared" si="9"/>
        <v>0.93896567490760008</v>
      </c>
      <c r="N17" s="11">
        <f t="shared" si="9"/>
        <v>0.96753118922120007</v>
      </c>
      <c r="O17" s="11">
        <f t="shared" si="9"/>
        <v>0.84158323974760008</v>
      </c>
      <c r="P17" s="11">
        <f t="shared" si="9"/>
        <v>0.80587634685560006</v>
      </c>
      <c r="Q17" s="11">
        <f t="shared" si="9"/>
        <v>0.73033325661440007</v>
      </c>
      <c r="R17" s="11">
        <f t="shared" si="9"/>
        <v>0.84612775338840007</v>
      </c>
      <c r="S17" s="11">
        <f t="shared" si="9"/>
        <v>1.1964246505548002</v>
      </c>
      <c r="T17" s="11">
        <f t="shared" si="9"/>
        <v>1.4688275183219999</v>
      </c>
      <c r="U17" s="11">
        <f t="shared" si="9"/>
        <v>1.4037674450019999</v>
      </c>
      <c r="V17" s="11">
        <f t="shared" si="9"/>
        <v>1.0204177993387999</v>
      </c>
    </row>
    <row r="18" spans="1:24" x14ac:dyDescent="0.25">
      <c r="A18" t="s">
        <v>60</v>
      </c>
      <c r="B18">
        <v>1014</v>
      </c>
      <c r="C18" s="1">
        <v>122.26</v>
      </c>
      <c r="D18" s="1">
        <v>131.97999999999999</v>
      </c>
      <c r="E18" s="1">
        <f>D18-C18</f>
        <v>9.7199999999999847</v>
      </c>
      <c r="F18" s="3">
        <f>D18/C18-1</f>
        <v>7.9502699165712398E-2</v>
      </c>
      <c r="H18" s="30" t="s">
        <v>114</v>
      </c>
      <c r="I18" s="31">
        <v>0.12767999999999999</v>
      </c>
      <c r="K18" s="11">
        <f t="shared" ref="K18:V18" si="10">SUM(K8:K14)*$I18</f>
        <v>6.0296629236479999</v>
      </c>
      <c r="L18" s="11">
        <f t="shared" si="10"/>
        <v>5.9697635880959998</v>
      </c>
      <c r="M18" s="11">
        <f t="shared" si="10"/>
        <v>7.1698545166079999</v>
      </c>
      <c r="N18" s="11">
        <f t="shared" si="10"/>
        <v>7.3879781256960007</v>
      </c>
      <c r="O18" s="11">
        <f t="shared" si="10"/>
        <v>6.4262513038079998</v>
      </c>
      <c r="P18" s="11">
        <f t="shared" si="10"/>
        <v>6.153596792448</v>
      </c>
      <c r="Q18" s="11">
        <f t="shared" si="10"/>
        <v>5.5767567851519999</v>
      </c>
      <c r="R18" s="11">
        <f t="shared" si="10"/>
        <v>6.4609527870719994</v>
      </c>
      <c r="S18" s="11">
        <f t="shared" si="10"/>
        <v>9.1357872963840006</v>
      </c>
      <c r="T18" s="11">
        <f t="shared" si="10"/>
        <v>11.215830245759998</v>
      </c>
      <c r="U18" s="11">
        <f t="shared" si="10"/>
        <v>10.719037580159998</v>
      </c>
      <c r="V18" s="11">
        <f t="shared" si="10"/>
        <v>7.7918153591039996</v>
      </c>
    </row>
    <row r="19" spans="1:24" x14ac:dyDescent="0.25">
      <c r="B19">
        <v>1014</v>
      </c>
      <c r="C19" s="1">
        <v>122.26</v>
      </c>
      <c r="D19" s="1">
        <v>131.81</v>
      </c>
      <c r="E19" s="1">
        <f>D19-C19</f>
        <v>9.5499999999999972</v>
      </c>
      <c r="F19" s="3">
        <f>D19/C19-1</f>
        <v>7.8112219859316268E-2</v>
      </c>
      <c r="H19" s="30" t="s">
        <v>115</v>
      </c>
      <c r="I19" s="34">
        <v>0.10766199999999999</v>
      </c>
      <c r="K19" s="11">
        <f t="shared" ref="K19:V19" si="11">SUM(K8:K14)*$I19</f>
        <v>5.0843168051831995</v>
      </c>
      <c r="L19" s="11">
        <f t="shared" si="11"/>
        <v>5.0338086420864006</v>
      </c>
      <c r="M19" s="11">
        <f t="shared" si="11"/>
        <v>6.0457462168472</v>
      </c>
      <c r="N19" s="11">
        <f t="shared" si="11"/>
        <v>6.2296718434264005</v>
      </c>
      <c r="O19" s="11">
        <f t="shared" si="11"/>
        <v>5.4187270353272003</v>
      </c>
      <c r="P19" s="11">
        <f t="shared" si="11"/>
        <v>5.1888200021032</v>
      </c>
      <c r="Q19" s="11">
        <f t="shared" si="11"/>
        <v>4.7024184602367995</v>
      </c>
      <c r="R19" s="11">
        <f t="shared" si="11"/>
        <v>5.4479879304647998</v>
      </c>
      <c r="S19" s="11">
        <f t="shared" si="11"/>
        <v>7.7034549804456001</v>
      </c>
      <c r="T19" s="11">
        <f t="shared" si="11"/>
        <v>9.4573834266839985</v>
      </c>
      <c r="U19" s="11">
        <f t="shared" si="11"/>
        <v>9.0384791976439995</v>
      </c>
      <c r="V19" s="11">
        <f t="shared" si="11"/>
        <v>6.5701944328935999</v>
      </c>
    </row>
    <row r="20" spans="1:24" x14ac:dyDescent="0.25">
      <c r="E20" s="1"/>
      <c r="F20" s="3"/>
      <c r="H20" s="30" t="s">
        <v>116</v>
      </c>
      <c r="I20" s="31">
        <v>2.3050000000000001E-2</v>
      </c>
      <c r="K20" s="11">
        <f t="shared" ref="K20:V20" si="12">SUM(K8:K19)*$I20</f>
        <v>1.800711151949508</v>
      </c>
      <c r="L20" s="11">
        <f t="shared" si="12"/>
        <v>1.7807961103400447</v>
      </c>
      <c r="M20" s="11">
        <f t="shared" si="12"/>
        <v>2.1806351911727631</v>
      </c>
      <c r="N20" s="11">
        <f t="shared" si="12"/>
        <v>2.2533163117198205</v>
      </c>
      <c r="O20" s="11">
        <f t="shared" si="12"/>
        <v>1.9328586438532489</v>
      </c>
      <c r="P20" s="11">
        <f t="shared" si="12"/>
        <v>1.8420072431694268</v>
      </c>
      <c r="Q20" s="11">
        <f t="shared" si="12"/>
        <v>1.6558339181711739</v>
      </c>
      <c r="R20" s="11">
        <f t="shared" si="12"/>
        <v>1.9444215493948263</v>
      </c>
      <c r="S20" s="11">
        <f t="shared" si="12"/>
        <v>2.7329336346562108</v>
      </c>
      <c r="T20" s="11">
        <f t="shared" si="12"/>
        <v>3.3276739911471567</v>
      </c>
      <c r="U20" s="11">
        <f t="shared" si="12"/>
        <v>3.1861378410356784</v>
      </c>
      <c r="V20" s="11">
        <f t="shared" si="12"/>
        <v>2.3472667663603044</v>
      </c>
    </row>
    <row r="21" spans="1:24" x14ac:dyDescent="0.25">
      <c r="A21" t="s">
        <v>61</v>
      </c>
      <c r="B21">
        <v>1267</v>
      </c>
      <c r="C21" s="1">
        <v>149.08000000000001</v>
      </c>
      <c r="D21" s="1">
        <v>159.66999999999999</v>
      </c>
      <c r="E21" s="1">
        <f t="shared" ref="E21" si="13">D21-C21</f>
        <v>10.589999999999975</v>
      </c>
      <c r="F21" s="3">
        <f t="shared" ref="F21" si="14">D21/C21-1</f>
        <v>7.1035685537965909E-2</v>
      </c>
      <c r="K21" s="11">
        <f>SUM(K8:K20)</f>
        <v>79.922670021776327</v>
      </c>
      <c r="L21" s="11">
        <f>SUM(L8:L20)</f>
        <v>79.038761851773657</v>
      </c>
      <c r="M21" s="41">
        <f>SUM(M8:M20)</f>
        <v>96.785198799535593</v>
      </c>
      <c r="N21" s="41">
        <f t="shared" ref="N21:U21" si="15">SUM(N8:N20)</f>
        <v>100.01107387006343</v>
      </c>
      <c r="O21" s="11">
        <f t="shared" si="15"/>
        <v>85.787897422736066</v>
      </c>
      <c r="P21" s="11">
        <f t="shared" si="15"/>
        <v>81.755553584576234</v>
      </c>
      <c r="Q21" s="11">
        <f t="shared" si="15"/>
        <v>73.492446420174375</v>
      </c>
      <c r="R21" s="11">
        <f t="shared" si="15"/>
        <v>86.301104820320049</v>
      </c>
      <c r="S21" s="11">
        <f t="shared" si="15"/>
        <v>121.29838416204061</v>
      </c>
      <c r="T21" s="11">
        <f t="shared" si="15"/>
        <v>147.69530918191316</v>
      </c>
      <c r="U21" s="11">
        <f t="shared" si="15"/>
        <v>141.41337606384167</v>
      </c>
      <c r="V21" s="11">
        <f>SUM(V8:V20)</f>
        <v>104.18096595769673</v>
      </c>
      <c r="W21" s="11">
        <f>SUM(K21:V21)/12</f>
        <v>99.806895179704</v>
      </c>
      <c r="X21" s="11"/>
    </row>
    <row r="22" spans="1:24" x14ac:dyDescent="0.25">
      <c r="C22" s="1"/>
      <c r="D22" s="1"/>
      <c r="E22" s="1"/>
      <c r="F22" s="3"/>
      <c r="K22" s="11"/>
      <c r="L22" s="11"/>
      <c r="M22" s="41"/>
      <c r="N22" s="4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J23" s="12" t="s">
        <v>3</v>
      </c>
      <c r="K23" s="39">
        <v>659.2</v>
      </c>
      <c r="L23" s="40">
        <v>649.6</v>
      </c>
      <c r="M23" s="40">
        <v>843.2</v>
      </c>
      <c r="N23" s="40">
        <v>878.40000000000009</v>
      </c>
      <c r="O23" s="40">
        <v>723.2</v>
      </c>
      <c r="P23" s="40">
        <v>679.2</v>
      </c>
      <c r="Q23" s="40">
        <v>595.20000000000005</v>
      </c>
      <c r="R23" s="40">
        <v>728.80000000000007</v>
      </c>
      <c r="S23" s="40">
        <v>913.6</v>
      </c>
      <c r="T23" s="40">
        <v>1084</v>
      </c>
      <c r="U23" s="40">
        <v>1044</v>
      </c>
      <c r="V23" s="40">
        <v>801.6</v>
      </c>
    </row>
    <row r="24" spans="1:24" ht="16.5" thickBot="1" x14ac:dyDescent="0.3">
      <c r="H24" s="63" t="s">
        <v>137</v>
      </c>
      <c r="I24" s="63"/>
      <c r="J24" s="12" t="s">
        <v>136</v>
      </c>
      <c r="K24" s="37" t="s">
        <v>124</v>
      </c>
      <c r="L24" s="37" t="s">
        <v>125</v>
      </c>
      <c r="M24" s="37" t="s">
        <v>126</v>
      </c>
      <c r="N24" s="37" t="s">
        <v>127</v>
      </c>
      <c r="O24" s="37" t="s">
        <v>128</v>
      </c>
      <c r="P24" s="37" t="s">
        <v>129</v>
      </c>
      <c r="Q24" s="37" t="s">
        <v>130</v>
      </c>
      <c r="R24" s="37" t="s">
        <v>131</v>
      </c>
      <c r="S24" s="37" t="s">
        <v>132</v>
      </c>
      <c r="T24" s="37" t="s">
        <v>133</v>
      </c>
      <c r="U24" s="37" t="s">
        <v>134</v>
      </c>
      <c r="V24" s="37" t="s">
        <v>135</v>
      </c>
    </row>
    <row r="25" spans="1:24" x14ac:dyDescent="0.25">
      <c r="H25" s="32" t="s">
        <v>118</v>
      </c>
      <c r="I25" s="33">
        <v>14.9</v>
      </c>
      <c r="K25" s="11">
        <f>$I25</f>
        <v>14.9</v>
      </c>
      <c r="L25" s="11">
        <f t="shared" ref="L25:V25" si="16">$I25</f>
        <v>14.9</v>
      </c>
      <c r="M25" s="11">
        <f t="shared" si="16"/>
        <v>14.9</v>
      </c>
      <c r="N25" s="11">
        <f t="shared" si="16"/>
        <v>14.9</v>
      </c>
      <c r="O25" s="11">
        <f t="shared" si="16"/>
        <v>14.9</v>
      </c>
      <c r="P25" s="11">
        <f t="shared" si="16"/>
        <v>14.9</v>
      </c>
      <c r="Q25" s="11">
        <f t="shared" si="16"/>
        <v>14.9</v>
      </c>
      <c r="R25" s="11">
        <f t="shared" si="16"/>
        <v>14.9</v>
      </c>
      <c r="S25" s="11">
        <f t="shared" si="16"/>
        <v>14.9</v>
      </c>
      <c r="T25" s="11">
        <f t="shared" si="16"/>
        <v>14.9</v>
      </c>
      <c r="U25" s="11">
        <f t="shared" si="16"/>
        <v>14.9</v>
      </c>
      <c r="V25" s="11">
        <f t="shared" si="16"/>
        <v>14.9</v>
      </c>
    </row>
    <row r="26" spans="1:24" x14ac:dyDescent="0.25">
      <c r="H26" s="26" t="s">
        <v>119</v>
      </c>
      <c r="I26" s="27">
        <v>5.7969E-2</v>
      </c>
      <c r="K26" s="11">
        <f>650*$I26</f>
        <v>37.679850000000002</v>
      </c>
      <c r="L26" s="11">
        <f>L23*$I26</f>
        <v>37.656662400000002</v>
      </c>
      <c r="M26" s="11">
        <f t="shared" ref="M26:R26" si="17">650*$I26</f>
        <v>37.679850000000002</v>
      </c>
      <c r="N26" s="11">
        <f t="shared" si="17"/>
        <v>37.679850000000002</v>
      </c>
      <c r="O26" s="11">
        <f t="shared" si="17"/>
        <v>37.679850000000002</v>
      </c>
      <c r="P26" s="11">
        <f t="shared" si="17"/>
        <v>37.679850000000002</v>
      </c>
      <c r="Q26" s="11">
        <f>Q23*$I26</f>
        <v>34.503148800000005</v>
      </c>
      <c r="R26" s="11">
        <f t="shared" si="17"/>
        <v>37.679850000000002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26" t="s">
        <v>120</v>
      </c>
      <c r="I27" s="27">
        <v>4.972E-2</v>
      </c>
      <c r="K27" s="11">
        <f>(K23-650)*$I27</f>
        <v>0.45742400000000227</v>
      </c>
      <c r="L27" s="11">
        <v>0</v>
      </c>
      <c r="M27" s="11">
        <f t="shared" ref="M27:P27" si="18">(M23-650)*$I27</f>
        <v>9.6059040000000024</v>
      </c>
      <c r="N27" s="11">
        <f t="shared" si="18"/>
        <v>11.356048000000005</v>
      </c>
      <c r="O27" s="11">
        <f t="shared" si="18"/>
        <v>3.6395040000000023</v>
      </c>
      <c r="P27" s="11">
        <f t="shared" si="18"/>
        <v>1.4518240000000022</v>
      </c>
      <c r="Q27" s="11">
        <v>0</v>
      </c>
      <c r="R27" s="11">
        <f>(R23-650)*$I27</f>
        <v>3.9179360000000032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35" t="s">
        <v>121</v>
      </c>
      <c r="I28" s="27">
        <v>4.8809999999999999E-2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</row>
    <row r="29" spans="1:24" x14ac:dyDescent="0.25">
      <c r="H29" s="26" t="s">
        <v>122</v>
      </c>
      <c r="I29" s="27">
        <v>5.7969E-2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>650*$I29</f>
        <v>37.679850000000002</v>
      </c>
      <c r="T29" s="11">
        <f t="shared" ref="T29:V29" si="19">650*$I29</f>
        <v>37.679850000000002</v>
      </c>
      <c r="U29" s="11">
        <f t="shared" si="19"/>
        <v>37.679850000000002</v>
      </c>
      <c r="V29" s="11">
        <f t="shared" si="19"/>
        <v>37.679850000000002</v>
      </c>
    </row>
    <row r="30" spans="1:24" x14ac:dyDescent="0.25">
      <c r="H30" s="26" t="s">
        <v>123</v>
      </c>
      <c r="I30" s="27">
        <v>9.6285999999999997E-2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>(S23-650)*$I30</f>
        <v>25.380989600000003</v>
      </c>
      <c r="T30" s="11">
        <f t="shared" ref="T30:U30" si="20">350*$I30</f>
        <v>33.700099999999999</v>
      </c>
      <c r="U30" s="11">
        <f t="shared" si="20"/>
        <v>33.700099999999999</v>
      </c>
      <c r="V30" s="11">
        <f>(V23-650)*$I30</f>
        <v>14.596957600000001</v>
      </c>
    </row>
    <row r="31" spans="1:24" x14ac:dyDescent="0.25">
      <c r="H31" s="35" t="s">
        <v>156</v>
      </c>
      <c r="I31" s="27">
        <v>9.9657999999999997E-2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f>(T23-1000)*$I31</f>
        <v>8.3712719999999994</v>
      </c>
      <c r="U31" s="11">
        <f t="shared" ref="U31" si="21">(U23-1000)*$I31</f>
        <v>4.3849520000000002</v>
      </c>
      <c r="V31" s="11">
        <v>0</v>
      </c>
    </row>
    <row r="32" spans="1:24" x14ac:dyDescent="0.25">
      <c r="H32" s="64" t="s">
        <v>112</v>
      </c>
      <c r="I32" s="27">
        <v>3.1718000000000003E-2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f>S23*$I32</f>
        <v>28.977564800000003</v>
      </c>
      <c r="T32" s="11">
        <f>T23*$I32</f>
        <v>34.382312000000006</v>
      </c>
      <c r="U32" s="11">
        <f>U23*$I32</f>
        <v>33.113592000000004</v>
      </c>
      <c r="V32" s="11">
        <f>V23*$I32</f>
        <v>25.425148800000002</v>
      </c>
    </row>
    <row r="33" spans="8:25" x14ac:dyDescent="0.25">
      <c r="H33" s="64"/>
      <c r="I33" s="27">
        <v>2.8812999999999998E-2</v>
      </c>
      <c r="K33" s="11">
        <f t="shared" ref="K33:R33" si="22">K23*$I33</f>
        <v>18.993529599999999</v>
      </c>
      <c r="L33" s="11">
        <f t="shared" si="22"/>
        <v>18.716924800000001</v>
      </c>
      <c r="M33" s="11">
        <f t="shared" si="22"/>
        <v>24.295121600000002</v>
      </c>
      <c r="N33" s="11">
        <f t="shared" si="22"/>
        <v>25.3093392</v>
      </c>
      <c r="O33" s="11">
        <f t="shared" si="22"/>
        <v>20.837561600000001</v>
      </c>
      <c r="P33" s="11">
        <f t="shared" si="22"/>
        <v>19.5697896</v>
      </c>
      <c r="Q33" s="11">
        <f t="shared" si="22"/>
        <v>17.1494976</v>
      </c>
      <c r="R33" s="11">
        <f t="shared" si="22"/>
        <v>20.9989144</v>
      </c>
      <c r="S33" s="11">
        <v>0</v>
      </c>
      <c r="T33" s="11">
        <v>0</v>
      </c>
      <c r="U33" s="11">
        <v>0</v>
      </c>
      <c r="V33" s="11">
        <v>0</v>
      </c>
    </row>
    <row r="34" spans="8:25" x14ac:dyDescent="0.25">
      <c r="H34" s="28" t="s">
        <v>113</v>
      </c>
      <c r="I34" s="29">
        <v>1.7947000000000001E-2</v>
      </c>
      <c r="K34" s="11">
        <f t="shared" ref="K34:V34" si="23">SUM(K25:K31)*$I34</f>
        <v>0.95185995647800015</v>
      </c>
      <c r="L34" s="11">
        <f t="shared" si="23"/>
        <v>0.94323442009280012</v>
      </c>
      <c r="M34" s="11">
        <f t="shared" si="23"/>
        <v>1.116047727038</v>
      </c>
      <c r="N34" s="11">
        <f t="shared" si="23"/>
        <v>1.1474575614060003</v>
      </c>
      <c r="O34" s="11">
        <f t="shared" si="23"/>
        <v>1.0089687462380001</v>
      </c>
      <c r="P34" s="11">
        <f t="shared" si="23"/>
        <v>0.96970645327800009</v>
      </c>
      <c r="Q34" s="11">
        <f t="shared" si="23"/>
        <v>0.88663831151360017</v>
      </c>
      <c r="R34" s="11">
        <f t="shared" si="23"/>
        <v>1.0139657653420002</v>
      </c>
      <c r="S34" s="11">
        <f t="shared" si="23"/>
        <v>1.3991631883012001</v>
      </c>
      <c r="T34" s="11">
        <f t="shared" si="23"/>
        <v>1.6987054812340001</v>
      </c>
      <c r="U34" s="11">
        <f t="shared" si="23"/>
        <v>1.627162996194</v>
      </c>
      <c r="V34" s="11">
        <f t="shared" si="23"/>
        <v>1.2056221659972002</v>
      </c>
    </row>
    <row r="35" spans="8:25" x14ac:dyDescent="0.25">
      <c r="H35" s="30" t="s">
        <v>114</v>
      </c>
      <c r="I35" s="31">
        <v>0.15357499999999999</v>
      </c>
      <c r="K35" s="11">
        <f t="shared" ref="K35:V35" si="24">SUM(K25:K31)*$I35</f>
        <v>8.1451993545499999</v>
      </c>
      <c r="L35" s="11">
        <f t="shared" si="24"/>
        <v>8.0713894280799998</v>
      </c>
      <c r="M35" s="11">
        <f t="shared" si="24"/>
        <v>9.5501771705500005</v>
      </c>
      <c r="N35" s="11">
        <f t="shared" si="24"/>
        <v>9.8189555353500015</v>
      </c>
      <c r="O35" s="11">
        <f t="shared" si="24"/>
        <v>8.6338872905499997</v>
      </c>
      <c r="P35" s="11">
        <f t="shared" si="24"/>
        <v>8.2979143345500006</v>
      </c>
      <c r="Q35" s="11">
        <f t="shared" si="24"/>
        <v>7.5870885769600003</v>
      </c>
      <c r="R35" s="11">
        <f t="shared" si="24"/>
        <v>8.6766474849499993</v>
      </c>
      <c r="S35" s="11">
        <f t="shared" si="24"/>
        <v>11.972835941569999</v>
      </c>
      <c r="T35" s="11">
        <f t="shared" si="24"/>
        <v>14.53606141865</v>
      </c>
      <c r="U35" s="11">
        <f t="shared" si="24"/>
        <v>13.923862324649999</v>
      </c>
      <c r="V35" s="11">
        <f t="shared" si="24"/>
        <v>10.31667822717</v>
      </c>
    </row>
    <row r="36" spans="8:25" x14ac:dyDescent="0.25">
      <c r="H36" s="30" t="s">
        <v>115</v>
      </c>
      <c r="I36" s="34">
        <v>0.10766199999999999</v>
      </c>
      <c r="K36" s="11">
        <f t="shared" ref="K36:V36" si="25">SUM(K25:K31)*$I36</f>
        <v>5.7100989933879998</v>
      </c>
      <c r="L36" s="11">
        <f t="shared" si="25"/>
        <v>5.6583553873087995</v>
      </c>
      <c r="M36" s="11">
        <f t="shared" si="25"/>
        <v>6.695042647148</v>
      </c>
      <c r="N36" s="11">
        <f t="shared" si="25"/>
        <v>6.8834666504760005</v>
      </c>
      <c r="O36" s="11">
        <f t="shared" si="25"/>
        <v>6.052688090348</v>
      </c>
      <c r="P36" s="11">
        <f t="shared" si="25"/>
        <v>5.8171580861879999</v>
      </c>
      <c r="Q36" s="11">
        <f t="shared" si="25"/>
        <v>5.3188418061056</v>
      </c>
      <c r="R36" s="11">
        <f t="shared" si="25"/>
        <v>6.0826646363319998</v>
      </c>
      <c r="S36" s="11">
        <f t="shared" si="25"/>
        <v>8.3934199130151992</v>
      </c>
      <c r="T36" s="11">
        <f t="shared" si="25"/>
        <v>10.190339862964001</v>
      </c>
      <c r="U36" s="11">
        <f t="shared" si="25"/>
        <v>9.7611646791239988</v>
      </c>
      <c r="V36" s="11">
        <f t="shared" si="25"/>
        <v>7.2323894598312002</v>
      </c>
    </row>
    <row r="37" spans="8:25" x14ac:dyDescent="0.25">
      <c r="H37" s="30" t="s">
        <v>116</v>
      </c>
      <c r="I37" s="31">
        <v>2.3567999999999999E-2</v>
      </c>
      <c r="K37" s="11">
        <f t="shared" ref="K37:V37" si="26">SUM(K25:K36)*$I37</f>
        <v>2.0465970861632763</v>
      </c>
      <c r="L37" s="11">
        <f t="shared" si="26"/>
        <v>2.0255886777514305</v>
      </c>
      <c r="M37" s="11">
        <f t="shared" si="26"/>
        <v>2.4473516296351381</v>
      </c>
      <c r="N37" s="11">
        <f t="shared" si="26"/>
        <v>2.5240177162123638</v>
      </c>
      <c r="O37" s="11">
        <f t="shared" si="26"/>
        <v>2.1859899708491413</v>
      </c>
      <c r="P37" s="11">
        <f t="shared" si="26"/>
        <v>2.0901573626276089</v>
      </c>
      <c r="Q37" s="11">
        <f t="shared" si="26"/>
        <v>1.8935760293490422</v>
      </c>
      <c r="R37" s="11">
        <f t="shared" si="26"/>
        <v>2.1981868482591542</v>
      </c>
      <c r="S37" s="11">
        <f t="shared" si="26"/>
        <v>3.0332917109019464</v>
      </c>
      <c r="T37" s="11">
        <f t="shared" si="26"/>
        <v>3.6638492454988016</v>
      </c>
      <c r="U37" s="11">
        <f t="shared" si="26"/>
        <v>3.5137692405112451</v>
      </c>
      <c r="V37" s="11">
        <f t="shared" si="26"/>
        <v>2.6244534388906664</v>
      </c>
    </row>
    <row r="38" spans="8:25" x14ac:dyDescent="0.25">
      <c r="K38" s="11">
        <f>SUM(K25:K37)</f>
        <v>88.884558990579279</v>
      </c>
      <c r="L38" s="11">
        <f>SUM(L25:L37)</f>
        <v>87.972155113233043</v>
      </c>
      <c r="M38" s="41">
        <f>SUM(M25:M37)</f>
        <v>106.28949477437114</v>
      </c>
      <c r="N38" s="41">
        <f t="shared" ref="N38:U38" si="27">SUM(N25:N37)</f>
        <v>109.61913466344437</v>
      </c>
      <c r="O38" s="11">
        <f t="shared" si="27"/>
        <v>94.938449697985135</v>
      </c>
      <c r="P38" s="11">
        <f t="shared" si="27"/>
        <v>90.776399836643606</v>
      </c>
      <c r="Q38" s="11">
        <f t="shared" si="27"/>
        <v>82.238791123928237</v>
      </c>
      <c r="R38" s="11">
        <f t="shared" si="27"/>
        <v>95.468165134883151</v>
      </c>
      <c r="S38" s="11">
        <f t="shared" si="27"/>
        <v>131.73711515378835</v>
      </c>
      <c r="T38" s="11">
        <f t="shared" si="27"/>
        <v>159.1224900083468</v>
      </c>
      <c r="U38" s="11">
        <f t="shared" si="27"/>
        <v>152.60445324047922</v>
      </c>
      <c r="V38" s="11">
        <f>SUM(V25:V37)</f>
        <v>113.98109969188907</v>
      </c>
      <c r="W38" s="11">
        <f>SUM(K38:V38)/12</f>
        <v>109.46935895246429</v>
      </c>
      <c r="X38" s="3">
        <f>W38/W21-1</f>
        <v>9.6811585565935721E-2</v>
      </c>
      <c r="Y38" s="11">
        <f>W38-W21</f>
        <v>9.6624637727602902</v>
      </c>
    </row>
    <row r="39" spans="8:25" x14ac:dyDescent="0.25"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11"/>
      <c r="X39" s="3"/>
      <c r="Y39" s="11"/>
    </row>
    <row r="40" spans="8:25" x14ac:dyDescent="0.25"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3"/>
      <c r="Y40" s="11"/>
    </row>
    <row r="41" spans="8:25" x14ac:dyDescent="0.25">
      <c r="K41" s="11"/>
      <c r="L41" s="11"/>
      <c r="M41" s="41"/>
      <c r="N41" s="41"/>
      <c r="O41" s="11"/>
      <c r="P41" s="11"/>
      <c r="Q41" s="11"/>
      <c r="R41" s="11"/>
      <c r="S41" s="11"/>
      <c r="T41" s="11"/>
      <c r="U41" s="11"/>
      <c r="V41" s="11"/>
      <c r="W41" s="11"/>
      <c r="X41" s="3"/>
      <c r="Y41" s="11"/>
    </row>
    <row r="42" spans="8:25" x14ac:dyDescent="0.25">
      <c r="W42" s="42"/>
    </row>
    <row r="43" spans="8:25" x14ac:dyDescent="0.25">
      <c r="J43" s="12" t="s">
        <v>3</v>
      </c>
      <c r="K43" s="39">
        <v>659.2</v>
      </c>
      <c r="L43" s="40">
        <v>649.6</v>
      </c>
      <c r="M43" s="40">
        <v>843.2</v>
      </c>
      <c r="N43" s="40">
        <v>878.40000000000009</v>
      </c>
      <c r="O43" s="40">
        <v>723.2</v>
      </c>
      <c r="P43" s="40">
        <v>679.2</v>
      </c>
      <c r="Q43" s="40">
        <v>595.20000000000005</v>
      </c>
      <c r="R43" s="40">
        <v>728.80000000000007</v>
      </c>
      <c r="S43" s="40">
        <v>913.6</v>
      </c>
      <c r="T43" s="40">
        <v>1084</v>
      </c>
      <c r="U43" s="40">
        <v>1044</v>
      </c>
      <c r="V43" s="40">
        <v>801.6</v>
      </c>
    </row>
    <row r="44" spans="8:25" ht="16.5" thickBot="1" x14ac:dyDescent="0.3">
      <c r="H44" s="63" t="s">
        <v>138</v>
      </c>
      <c r="I44" s="63"/>
      <c r="J44" s="12" t="s">
        <v>136</v>
      </c>
      <c r="K44" s="37" t="s">
        <v>124</v>
      </c>
      <c r="L44" s="37" t="s">
        <v>125</v>
      </c>
      <c r="M44" s="37" t="s">
        <v>126</v>
      </c>
      <c r="N44" s="37" t="s">
        <v>127</v>
      </c>
      <c r="O44" s="37" t="s">
        <v>128</v>
      </c>
      <c r="P44" s="37" t="s">
        <v>129</v>
      </c>
      <c r="Q44" s="37" t="s">
        <v>130</v>
      </c>
      <c r="R44" s="37" t="s">
        <v>131</v>
      </c>
      <c r="S44" s="37" t="s">
        <v>132</v>
      </c>
      <c r="T44" s="37" t="s">
        <v>133</v>
      </c>
      <c r="U44" s="37" t="s">
        <v>134</v>
      </c>
      <c r="V44" s="37" t="s">
        <v>135</v>
      </c>
    </row>
    <row r="45" spans="8:25" x14ac:dyDescent="0.25">
      <c r="H45" s="32" t="s">
        <v>118</v>
      </c>
      <c r="I45" s="33">
        <v>17.95</v>
      </c>
      <c r="K45" s="11">
        <f>$I45</f>
        <v>17.95</v>
      </c>
      <c r="L45" s="11">
        <f t="shared" ref="L45:V45" si="28">$I45</f>
        <v>17.95</v>
      </c>
      <c r="M45" s="11">
        <f t="shared" si="28"/>
        <v>17.95</v>
      </c>
      <c r="N45" s="11">
        <f t="shared" si="28"/>
        <v>17.95</v>
      </c>
      <c r="O45" s="11">
        <f t="shared" si="28"/>
        <v>17.95</v>
      </c>
      <c r="P45" s="11">
        <f t="shared" si="28"/>
        <v>17.95</v>
      </c>
      <c r="Q45" s="11">
        <f t="shared" si="28"/>
        <v>17.95</v>
      </c>
      <c r="R45" s="11">
        <f t="shared" si="28"/>
        <v>17.95</v>
      </c>
      <c r="S45" s="11">
        <f t="shared" si="28"/>
        <v>17.95</v>
      </c>
      <c r="T45" s="11">
        <f t="shared" si="28"/>
        <v>17.95</v>
      </c>
      <c r="U45" s="11">
        <f t="shared" si="28"/>
        <v>17.95</v>
      </c>
      <c r="V45" s="11">
        <f t="shared" si="28"/>
        <v>17.95</v>
      </c>
    </row>
    <row r="46" spans="8:25" x14ac:dyDescent="0.25">
      <c r="H46" s="26" t="s">
        <v>119</v>
      </c>
      <c r="I46" s="27">
        <v>4.9754E-2</v>
      </c>
      <c r="K46" s="11">
        <f>650*$I46</f>
        <v>32.3401</v>
      </c>
      <c r="L46" s="11">
        <f>L43*$I46</f>
        <v>32.320198400000002</v>
      </c>
      <c r="M46" s="11">
        <f t="shared" ref="M46:R46" si="29">650*$I46</f>
        <v>32.3401</v>
      </c>
      <c r="N46" s="11">
        <f t="shared" si="29"/>
        <v>32.3401</v>
      </c>
      <c r="O46" s="11">
        <f t="shared" si="29"/>
        <v>32.3401</v>
      </c>
      <c r="P46" s="11">
        <f t="shared" si="29"/>
        <v>32.3401</v>
      </c>
      <c r="Q46" s="11">
        <f>Q43*$I46</f>
        <v>29.613580800000001</v>
      </c>
      <c r="R46" s="11">
        <f t="shared" si="29"/>
        <v>32.3401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26" t="s">
        <v>120</v>
      </c>
      <c r="I47" s="27">
        <v>4.2674999999999998E-2</v>
      </c>
      <c r="K47" s="11">
        <f>(K43-650)*$I47</f>
        <v>0.3926100000000019</v>
      </c>
      <c r="L47" s="11">
        <v>0</v>
      </c>
      <c r="M47" s="11">
        <f t="shared" ref="M47:P47" si="30">(M43-650)*$I47</f>
        <v>8.2448100000000011</v>
      </c>
      <c r="N47" s="11">
        <f t="shared" si="30"/>
        <v>9.7469700000000028</v>
      </c>
      <c r="O47" s="11">
        <f t="shared" si="30"/>
        <v>3.123810000000002</v>
      </c>
      <c r="P47" s="11">
        <f t="shared" si="30"/>
        <v>1.2461100000000018</v>
      </c>
      <c r="Q47" s="11">
        <v>0</v>
      </c>
      <c r="R47" s="11">
        <f>(R43-650)*$I47</f>
        <v>3.3627900000000026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35" t="s">
        <v>121</v>
      </c>
      <c r="I48" s="27">
        <v>4.1890999999999998E-2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</row>
    <row r="49" spans="8:25" x14ac:dyDescent="0.25">
      <c r="H49" s="26" t="s">
        <v>122</v>
      </c>
      <c r="I49" s="27">
        <v>4.9754E-2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f>650*$I49</f>
        <v>32.3401</v>
      </c>
      <c r="T49" s="11">
        <f t="shared" ref="T49:V49" si="31">650*$I49</f>
        <v>32.3401</v>
      </c>
      <c r="U49" s="11">
        <f t="shared" si="31"/>
        <v>32.3401</v>
      </c>
      <c r="V49" s="11">
        <f t="shared" si="31"/>
        <v>32.3401</v>
      </c>
    </row>
    <row r="50" spans="8:25" x14ac:dyDescent="0.25">
      <c r="H50" s="26" t="s">
        <v>123</v>
      </c>
      <c r="I50" s="27">
        <v>8.2639000000000004E-2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f>(S43-650)*$I50</f>
        <v>21.783640400000003</v>
      </c>
      <c r="T50" s="11">
        <f t="shared" ref="T50:U50" si="32">350*$I50</f>
        <v>28.923650000000002</v>
      </c>
      <c r="U50" s="11">
        <f t="shared" si="32"/>
        <v>28.923650000000002</v>
      </c>
      <c r="V50" s="11">
        <f>(V43-650)*$I50</f>
        <v>12.528072400000003</v>
      </c>
    </row>
    <row r="51" spans="8:25" x14ac:dyDescent="0.25">
      <c r="H51" s="35" t="s">
        <v>156</v>
      </c>
      <c r="I51" s="27">
        <v>8.5531999999999997E-2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f>(T43-1000)*$I51</f>
        <v>7.1846879999999995</v>
      </c>
      <c r="U51" s="11">
        <f t="shared" ref="U51" si="33">(U43-1000)*$I51</f>
        <v>3.7634080000000001</v>
      </c>
      <c r="V51" s="11">
        <v>0</v>
      </c>
    </row>
    <row r="52" spans="8:25" x14ac:dyDescent="0.25">
      <c r="H52" s="64" t="s">
        <v>112</v>
      </c>
      <c r="I52" s="27">
        <v>3.1718000000000003E-2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f>S43*$I52</f>
        <v>28.977564800000003</v>
      </c>
      <c r="T52" s="11">
        <f>T43*$I52</f>
        <v>34.382312000000006</v>
      </c>
      <c r="U52" s="11">
        <f>U43*$I52</f>
        <v>33.113592000000004</v>
      </c>
      <c r="V52" s="11">
        <f>V43*$I52</f>
        <v>25.425148800000002</v>
      </c>
    </row>
    <row r="53" spans="8:25" x14ac:dyDescent="0.25">
      <c r="H53" s="64"/>
      <c r="I53" s="27">
        <v>2.8812999999999998E-2</v>
      </c>
      <c r="K53" s="11">
        <f t="shared" ref="K53:R53" si="34">K43*$I53</f>
        <v>18.993529599999999</v>
      </c>
      <c r="L53" s="11">
        <f t="shared" si="34"/>
        <v>18.716924800000001</v>
      </c>
      <c r="M53" s="11">
        <f t="shared" si="34"/>
        <v>24.295121600000002</v>
      </c>
      <c r="N53" s="11">
        <f t="shared" si="34"/>
        <v>25.3093392</v>
      </c>
      <c r="O53" s="11">
        <f t="shared" si="34"/>
        <v>20.837561600000001</v>
      </c>
      <c r="P53" s="11">
        <f t="shared" si="34"/>
        <v>19.5697896</v>
      </c>
      <c r="Q53" s="11">
        <f t="shared" si="34"/>
        <v>17.1494976</v>
      </c>
      <c r="R53" s="11">
        <f t="shared" si="34"/>
        <v>20.9989144</v>
      </c>
      <c r="S53" s="11">
        <v>0</v>
      </c>
      <c r="T53" s="11">
        <v>0</v>
      </c>
      <c r="U53" s="11">
        <v>0</v>
      </c>
      <c r="V53" s="11">
        <v>0</v>
      </c>
    </row>
    <row r="54" spans="8:25" x14ac:dyDescent="0.25">
      <c r="H54" s="28" t="s">
        <v>144</v>
      </c>
      <c r="I54" s="29">
        <v>1.9511000000000001E-2</v>
      </c>
      <c r="K54" s="11">
        <f t="shared" ref="K54:V54" si="35">SUM(K45:K51)*$I54</f>
        <v>0.98887035481000007</v>
      </c>
      <c r="L54" s="11">
        <f t="shared" si="35"/>
        <v>0.9808218409824</v>
      </c>
      <c r="M54" s="11">
        <f t="shared" si="35"/>
        <v>1.1420746290099999</v>
      </c>
      <c r="N54" s="11">
        <f t="shared" si="35"/>
        <v>1.17138327277</v>
      </c>
      <c r="O54" s="11">
        <f t="shared" si="35"/>
        <v>1.04215879801</v>
      </c>
      <c r="P54" s="11">
        <f t="shared" si="35"/>
        <v>1.0055229933100001</v>
      </c>
      <c r="Q54" s="11">
        <f t="shared" si="35"/>
        <v>0.92801302498880001</v>
      </c>
      <c r="R54" s="11">
        <f t="shared" si="35"/>
        <v>1.04682153679</v>
      </c>
      <c r="S54" s="11">
        <f t="shared" si="35"/>
        <v>1.4062307489443999</v>
      </c>
      <c r="T54" s="11">
        <f t="shared" si="35"/>
        <v>1.6857199238180001</v>
      </c>
      <c r="U54" s="11">
        <f t="shared" si="35"/>
        <v>1.6189673297380001</v>
      </c>
      <c r="V54" s="11">
        <f t="shared" si="35"/>
        <v>1.2256453616964</v>
      </c>
    </row>
    <row r="55" spans="8:25" x14ac:dyDescent="0.25">
      <c r="H55" s="30" t="s">
        <v>145</v>
      </c>
      <c r="I55" s="31">
        <v>0.16881399999999999</v>
      </c>
      <c r="K55" s="11">
        <f t="shared" ref="K55:V55" si="36">SUM(K45:K51)*$I55</f>
        <v>8.555951005939999</v>
      </c>
      <c r="L55" s="11">
        <f t="shared" si="36"/>
        <v>8.4863132726975987</v>
      </c>
      <c r="M55" s="11">
        <f t="shared" si="36"/>
        <v>9.8815122967399986</v>
      </c>
      <c r="N55" s="11">
        <f t="shared" si="36"/>
        <v>10.135097934979999</v>
      </c>
      <c r="O55" s="11">
        <f t="shared" si="36"/>
        <v>9.0170158027399978</v>
      </c>
      <c r="P55" s="11">
        <f t="shared" si="36"/>
        <v>8.7000337549399998</v>
      </c>
      <c r="Q55" s="11">
        <f t="shared" si="36"/>
        <v>8.0293983291711992</v>
      </c>
      <c r="R55" s="11">
        <f t="shared" si="36"/>
        <v>9.0573589724599994</v>
      </c>
      <c r="S55" s="11">
        <f t="shared" si="36"/>
        <v>12.167056411885598</v>
      </c>
      <c r="T55" s="11">
        <f t="shared" si="36"/>
        <v>14.585265912532</v>
      </c>
      <c r="U55" s="11">
        <f t="shared" si="36"/>
        <v>14.007705950611999</v>
      </c>
      <c r="V55" s="11">
        <f t="shared" si="36"/>
        <v>10.604586955533598</v>
      </c>
    </row>
    <row r="56" spans="8:25" x14ac:dyDescent="0.25">
      <c r="H56" s="30" t="s">
        <v>115</v>
      </c>
      <c r="I56" s="34">
        <v>0.10766199999999999</v>
      </c>
      <c r="K56" s="11">
        <f t="shared" ref="K56:V56" si="37">SUM(K45:K51)*$I56</f>
        <v>5.4566019240200001</v>
      </c>
      <c r="L56" s="11">
        <f t="shared" si="37"/>
        <v>5.4121901001407995</v>
      </c>
      <c r="M56" s="11">
        <f t="shared" si="37"/>
        <v>6.3019854804199991</v>
      </c>
      <c r="N56" s="11">
        <f t="shared" si="37"/>
        <v>6.4637110303399998</v>
      </c>
      <c r="O56" s="11">
        <f t="shared" si="37"/>
        <v>5.7506483784199993</v>
      </c>
      <c r="P56" s="11">
        <f t="shared" si="37"/>
        <v>5.5484914410199995</v>
      </c>
      <c r="Q56" s="11">
        <f t="shared" si="37"/>
        <v>5.1207902360895989</v>
      </c>
      <c r="R56" s="11">
        <f t="shared" si="37"/>
        <v>5.7763774431799995</v>
      </c>
      <c r="S56" s="11">
        <f t="shared" si="37"/>
        <v>7.7596030389447987</v>
      </c>
      <c r="T56" s="11">
        <f t="shared" si="37"/>
        <v>9.3018286319559991</v>
      </c>
      <c r="U56" s="11">
        <f t="shared" si="37"/>
        <v>8.9334867845959991</v>
      </c>
      <c r="V56" s="11">
        <f t="shared" si="37"/>
        <v>6.7631300769287988</v>
      </c>
    </row>
    <row r="57" spans="8:25" x14ac:dyDescent="0.25">
      <c r="H57" s="30" t="s">
        <v>116</v>
      </c>
      <c r="I57" s="31">
        <v>2.3567999999999999E-2</v>
      </c>
      <c r="K57" s="11">
        <f t="shared" ref="K57:V57" si="38">SUM(K45:K56)*$I57</f>
        <v>1.9956831588682595</v>
      </c>
      <c r="L57" s="11">
        <f t="shared" si="38"/>
        <v>1.9765644562169287</v>
      </c>
      <c r="M57" s="11">
        <f t="shared" si="38"/>
        <v>2.3604672752174145</v>
      </c>
      <c r="N57" s="11">
        <f t="shared" si="38"/>
        <v>2.4302520626929045</v>
      </c>
      <c r="O57" s="11">
        <f t="shared" si="38"/>
        <v>2.1225645906418782</v>
      </c>
      <c r="P57" s="11">
        <f t="shared" si="38"/>
        <v>2.0353336062975149</v>
      </c>
      <c r="Q57" s="11">
        <f t="shared" si="38"/>
        <v>1.8569528868102025</v>
      </c>
      <c r="R57" s="11">
        <f t="shared" si="38"/>
        <v>2.1336667159220699</v>
      </c>
      <c r="S57" s="11">
        <f t="shared" si="38"/>
        <v>2.8843507171818921</v>
      </c>
      <c r="T57" s="11">
        <f t="shared" si="38"/>
        <v>3.4492608073890358</v>
      </c>
      <c r="U57" s="11">
        <f t="shared" si="38"/>
        <v>3.3148606484106473</v>
      </c>
      <c r="V57" s="11">
        <f t="shared" si="38"/>
        <v>2.5179269589471343</v>
      </c>
    </row>
    <row r="58" spans="8:25" x14ac:dyDescent="0.25">
      <c r="K58" s="11">
        <f>SUM(K45:K57)</f>
        <v>86.673346043638276</v>
      </c>
      <c r="L58" s="11">
        <f>SUM(L45:L57)</f>
        <v>85.84301287003774</v>
      </c>
      <c r="M58" s="41">
        <f>SUM(M45:M57)</f>
        <v>102.51607128138741</v>
      </c>
      <c r="N58" s="41">
        <f t="shared" ref="N58:U58" si="39">SUM(N45:N57)</f>
        <v>105.54685350078289</v>
      </c>
      <c r="O58" s="11">
        <f t="shared" si="39"/>
        <v>92.183859169811868</v>
      </c>
      <c r="P58" s="11">
        <f t="shared" si="39"/>
        <v>88.395381395567497</v>
      </c>
      <c r="Q58" s="11">
        <f t="shared" si="39"/>
        <v>80.648232877059812</v>
      </c>
      <c r="R58" s="11">
        <f t="shared" si="39"/>
        <v>92.666029068352074</v>
      </c>
      <c r="S58" s="11">
        <f t="shared" si="39"/>
        <v>125.26854611695668</v>
      </c>
      <c r="T58" s="11">
        <f t="shared" si="39"/>
        <v>149.80282527569506</v>
      </c>
      <c r="U58" s="11">
        <f t="shared" si="39"/>
        <v>143.96577071335665</v>
      </c>
      <c r="V58" s="11">
        <f>SUM(V45:V57)</f>
        <v>109.35461055310591</v>
      </c>
      <c r="W58" s="11">
        <f>SUM(K58:V58)/12</f>
        <v>105.23871157214599</v>
      </c>
      <c r="X58" s="3">
        <f>W58/W21-1</f>
        <v>5.4423257858707164E-2</v>
      </c>
      <c r="Y58" s="11">
        <f>W58-W21</f>
        <v>5.4318163924419878</v>
      </c>
    </row>
    <row r="62" spans="8:25" x14ac:dyDescent="0.25">
      <c r="J62" s="12" t="s">
        <v>3</v>
      </c>
      <c r="K62" s="39">
        <v>659.2</v>
      </c>
      <c r="L62" s="40">
        <v>649.6</v>
      </c>
      <c r="M62" s="40">
        <v>843.2</v>
      </c>
      <c r="N62" s="40">
        <v>878.40000000000009</v>
      </c>
      <c r="O62" s="40">
        <v>723.2</v>
      </c>
      <c r="P62" s="40">
        <v>679.2</v>
      </c>
      <c r="Q62" s="40">
        <v>595.20000000000005</v>
      </c>
      <c r="R62" s="40">
        <v>728.80000000000007</v>
      </c>
      <c r="S62" s="40">
        <v>913.6</v>
      </c>
      <c r="T62" s="40">
        <v>1084</v>
      </c>
      <c r="U62" s="40">
        <v>1044</v>
      </c>
      <c r="V62" s="40">
        <v>801.6</v>
      </c>
    </row>
    <row r="63" spans="8:25" ht="16.5" thickBot="1" x14ac:dyDescent="0.3">
      <c r="H63" s="63" t="s">
        <v>154</v>
      </c>
      <c r="I63" s="63"/>
      <c r="J63" s="12" t="s">
        <v>136</v>
      </c>
      <c r="K63" s="37" t="s">
        <v>124</v>
      </c>
      <c r="L63" s="37" t="s">
        <v>125</v>
      </c>
      <c r="M63" s="37" t="s">
        <v>126</v>
      </c>
      <c r="N63" s="37" t="s">
        <v>127</v>
      </c>
      <c r="O63" s="37" t="s">
        <v>128</v>
      </c>
      <c r="P63" s="37" t="s">
        <v>129</v>
      </c>
      <c r="Q63" s="37" t="s">
        <v>130</v>
      </c>
      <c r="R63" s="37" t="s">
        <v>131</v>
      </c>
      <c r="S63" s="37" t="s">
        <v>132</v>
      </c>
      <c r="T63" s="37" t="s">
        <v>133</v>
      </c>
      <c r="U63" s="37" t="s">
        <v>134</v>
      </c>
      <c r="V63" s="37" t="s">
        <v>135</v>
      </c>
    </row>
    <row r="64" spans="8:25" x14ac:dyDescent="0.25">
      <c r="H64" s="32" t="s">
        <v>118</v>
      </c>
      <c r="I64" s="33">
        <v>10</v>
      </c>
      <c r="K64" s="11">
        <f>$I64</f>
        <v>10</v>
      </c>
      <c r="L64" s="11">
        <f t="shared" ref="L64:V64" si="40">$I64</f>
        <v>10</v>
      </c>
      <c r="M64" s="11">
        <f t="shared" si="40"/>
        <v>10</v>
      </c>
      <c r="N64" s="11">
        <f t="shared" si="40"/>
        <v>10</v>
      </c>
      <c r="O64" s="11">
        <f t="shared" si="40"/>
        <v>10</v>
      </c>
      <c r="P64" s="11">
        <f t="shared" si="40"/>
        <v>10</v>
      </c>
      <c r="Q64" s="11">
        <f t="shared" si="40"/>
        <v>10</v>
      </c>
      <c r="R64" s="11">
        <f t="shared" si="40"/>
        <v>10</v>
      </c>
      <c r="S64" s="11">
        <f t="shared" si="40"/>
        <v>10</v>
      </c>
      <c r="T64" s="11">
        <f t="shared" si="40"/>
        <v>10</v>
      </c>
      <c r="U64" s="11">
        <f t="shared" si="40"/>
        <v>10</v>
      </c>
      <c r="V64" s="11">
        <f t="shared" si="40"/>
        <v>10</v>
      </c>
    </row>
    <row r="65" spans="8:25" x14ac:dyDescent="0.25">
      <c r="H65" s="26" t="s">
        <v>119</v>
      </c>
      <c r="I65" s="27">
        <v>5.755255297651591E-2</v>
      </c>
      <c r="K65" s="11">
        <f>650*$I65</f>
        <v>37.409159434735344</v>
      </c>
      <c r="L65" s="11">
        <f>L62*$I65</f>
        <v>37.386138413544735</v>
      </c>
      <c r="M65" s="11">
        <f t="shared" ref="M65:R65" si="41">650*$I65</f>
        <v>37.409159434735344</v>
      </c>
      <c r="N65" s="11">
        <f t="shared" si="41"/>
        <v>37.409159434735344</v>
      </c>
      <c r="O65" s="11">
        <f t="shared" si="41"/>
        <v>37.409159434735344</v>
      </c>
      <c r="P65" s="11">
        <f t="shared" si="41"/>
        <v>37.409159434735344</v>
      </c>
      <c r="Q65" s="11">
        <f>Q62*$I65</f>
        <v>34.255279531622271</v>
      </c>
      <c r="R65" s="11">
        <f t="shared" si="41"/>
        <v>37.409159434735344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26" t="s">
        <v>120</v>
      </c>
      <c r="I66" s="27">
        <v>5.0473552976515908E-2</v>
      </c>
      <c r="K66" s="11">
        <f>(K62-650)*$I66</f>
        <v>0.46435668738394864</v>
      </c>
      <c r="L66" s="11">
        <v>0</v>
      </c>
      <c r="M66" s="11">
        <f t="shared" ref="M66:P66" si="42">(M62-650)*$I66</f>
        <v>9.7514904350628751</v>
      </c>
      <c r="N66" s="11">
        <f t="shared" si="42"/>
        <v>11.528159499836239</v>
      </c>
      <c r="O66" s="11">
        <f t="shared" si="42"/>
        <v>3.694664077880967</v>
      </c>
      <c r="P66" s="11">
        <f t="shared" si="42"/>
        <v>1.4738277469142669</v>
      </c>
      <c r="Q66" s="11">
        <v>0</v>
      </c>
      <c r="R66" s="11">
        <f>(R62-650)*$I66</f>
        <v>3.9773159745494571</v>
      </c>
      <c r="S66" s="11">
        <v>0</v>
      </c>
      <c r="T66" s="11">
        <v>0</v>
      </c>
      <c r="U66" s="11">
        <v>0</v>
      </c>
      <c r="V66" s="11">
        <v>0</v>
      </c>
    </row>
    <row r="67" spans="8:25" x14ac:dyDescent="0.25">
      <c r="H67" s="35" t="s">
        <v>121</v>
      </c>
      <c r="I67" s="27">
        <v>4.9689552976515908E-2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</row>
    <row r="68" spans="8:25" x14ac:dyDescent="0.25">
      <c r="H68" s="26" t="s">
        <v>122</v>
      </c>
      <c r="I68" s="27">
        <v>5.755255297651591E-2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f>650*$I68</f>
        <v>37.409159434735344</v>
      </c>
      <c r="T68" s="11">
        <f t="shared" ref="T68:V68" si="43">650*$I68</f>
        <v>37.409159434735344</v>
      </c>
      <c r="U68" s="11">
        <f t="shared" si="43"/>
        <v>37.409159434735344</v>
      </c>
      <c r="V68" s="11">
        <f t="shared" si="43"/>
        <v>37.409159434735344</v>
      </c>
    </row>
    <row r="69" spans="8:25" x14ac:dyDescent="0.25">
      <c r="H69" s="26" t="s">
        <v>123</v>
      </c>
      <c r="I69" s="27">
        <v>9.0437552976515914E-2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f>(S62-650)*$I69</f>
        <v>23.839338964609595</v>
      </c>
      <c r="T69" s="11">
        <f t="shared" ref="T69:U69" si="44">350*$I69</f>
        <v>31.653143541780569</v>
      </c>
      <c r="U69" s="11">
        <f t="shared" si="44"/>
        <v>31.653143541780569</v>
      </c>
      <c r="V69" s="11">
        <f>(V62-650)*$I69</f>
        <v>13.710333031239815</v>
      </c>
    </row>
    <row r="70" spans="8:25" x14ac:dyDescent="0.25">
      <c r="H70" s="35" t="s">
        <v>156</v>
      </c>
      <c r="I70" s="27">
        <v>9.3330552976515907E-2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f>(T62-1000)*$I70</f>
        <v>7.8397664500273363</v>
      </c>
      <c r="U70" s="11">
        <f t="shared" ref="U70" si="45">(U62-1000)*$I70</f>
        <v>4.1065443309666998</v>
      </c>
      <c r="V70" s="11">
        <v>0</v>
      </c>
    </row>
    <row r="71" spans="8:25" x14ac:dyDescent="0.25">
      <c r="H71" s="64" t="s">
        <v>112</v>
      </c>
      <c r="I71" s="27">
        <v>3.1718000000000003E-2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f>S62*$I71</f>
        <v>28.977564800000003</v>
      </c>
      <c r="T71" s="11">
        <f>T62*$I71</f>
        <v>34.382312000000006</v>
      </c>
      <c r="U71" s="11">
        <f>U62*$I71</f>
        <v>33.113592000000004</v>
      </c>
      <c r="V71" s="11">
        <f>V62*$I71</f>
        <v>25.425148800000002</v>
      </c>
    </row>
    <row r="72" spans="8:25" x14ac:dyDescent="0.25">
      <c r="H72" s="64"/>
      <c r="I72" s="27">
        <v>2.8812999999999998E-2</v>
      </c>
      <c r="K72" s="11">
        <f t="shared" ref="K72:R72" si="46">K62*$I72</f>
        <v>18.993529599999999</v>
      </c>
      <c r="L72" s="11">
        <f t="shared" si="46"/>
        <v>18.716924800000001</v>
      </c>
      <c r="M72" s="11">
        <f t="shared" si="46"/>
        <v>24.295121600000002</v>
      </c>
      <c r="N72" s="11">
        <f t="shared" si="46"/>
        <v>25.3093392</v>
      </c>
      <c r="O72" s="11">
        <f t="shared" si="46"/>
        <v>20.837561600000001</v>
      </c>
      <c r="P72" s="11">
        <f t="shared" si="46"/>
        <v>19.5697896</v>
      </c>
      <c r="Q72" s="11">
        <f t="shared" si="46"/>
        <v>17.1494976</v>
      </c>
      <c r="R72" s="11">
        <f t="shared" si="46"/>
        <v>20.9989144</v>
      </c>
      <c r="S72" s="11">
        <v>0</v>
      </c>
      <c r="T72" s="11">
        <v>0</v>
      </c>
      <c r="U72" s="11">
        <v>0</v>
      </c>
      <c r="V72" s="11">
        <v>0</v>
      </c>
    </row>
    <row r="73" spans="8:25" x14ac:dyDescent="0.25">
      <c r="H73" s="28" t="s">
        <v>144</v>
      </c>
      <c r="I73" s="29">
        <v>1.9511000000000001E-2</v>
      </c>
      <c r="K73" s="11">
        <f t="shared" ref="K73:V73" si="47">SUM(K64:K70)*$I73</f>
        <v>0.93406017305866951</v>
      </c>
      <c r="L73" s="11">
        <f t="shared" si="47"/>
        <v>0.92455094658667136</v>
      </c>
      <c r="M73" s="11">
        <f t="shared" si="47"/>
        <v>1.1152614396096332</v>
      </c>
      <c r="N73" s="11">
        <f t="shared" si="47"/>
        <v>1.1499260297324261</v>
      </c>
      <c r="O73" s="11">
        <f t="shared" si="47"/>
        <v>0.99708670055465687</v>
      </c>
      <c r="P73" s="11">
        <f t="shared" si="47"/>
        <v>0.9537559629011656</v>
      </c>
      <c r="Q73" s="11">
        <f t="shared" si="47"/>
        <v>0.86346475894148211</v>
      </c>
      <c r="R73" s="11">
        <f t="shared" si="47"/>
        <v>1.0026015217105557</v>
      </c>
      <c r="S73" s="11">
        <f t="shared" si="47"/>
        <v>1.390129452269619</v>
      </c>
      <c r="T73" s="11">
        <f t="shared" si="47"/>
        <v>1.6955462765812854</v>
      </c>
      <c r="U73" s="11">
        <f t="shared" si="47"/>
        <v>1.6227073798162932</v>
      </c>
      <c r="V73" s="11">
        <f t="shared" si="47"/>
        <v>1.1925024175036414</v>
      </c>
    </row>
    <row r="74" spans="8:25" x14ac:dyDescent="0.25">
      <c r="H74" s="30" t="s">
        <v>145</v>
      </c>
      <c r="I74" s="31">
        <v>0.16881399999999999</v>
      </c>
      <c r="K74" s="11">
        <f t="shared" ref="K74:V74" si="48">SUM(K64:K70)*$I74</f>
        <v>8.0817197506394454</v>
      </c>
      <c r="L74" s="11">
        <f t="shared" si="48"/>
        <v>7.9994435701441402</v>
      </c>
      <c r="M74" s="11">
        <f t="shared" si="48"/>
        <v>9.6495179471201169</v>
      </c>
      <c r="N74" s="11">
        <f t="shared" si="48"/>
        <v>9.9494445586207654</v>
      </c>
      <c r="O74" s="11">
        <f t="shared" si="48"/>
        <v>8.6270408624588093</v>
      </c>
      <c r="P74" s="11">
        <f t="shared" si="48"/>
        <v>8.2521325980829978</v>
      </c>
      <c r="Q74" s="11">
        <f t="shared" si="48"/>
        <v>7.4709107588512822</v>
      </c>
      <c r="R74" s="11">
        <f t="shared" si="48"/>
        <v>8.6747564597430031</v>
      </c>
      <c r="S74" s="11">
        <f t="shared" si="48"/>
        <v>12.027744008787016</v>
      </c>
      <c r="T74" s="11">
        <f t="shared" si="48"/>
        <v>14.670285948172472</v>
      </c>
      <c r="U74" s="11">
        <f t="shared" si="48"/>
        <v>14.040065789365368</v>
      </c>
      <c r="V74" s="11">
        <f t="shared" si="48"/>
        <v>10.317826001151129</v>
      </c>
    </row>
    <row r="75" spans="8:25" x14ac:dyDescent="0.25">
      <c r="H75" s="30" t="s">
        <v>115</v>
      </c>
      <c r="I75" s="34">
        <v>0.10766199999999999</v>
      </c>
      <c r="K75" s="11">
        <f t="shared" ref="K75:V75" si="49">SUM(K64:K70)*$I75</f>
        <v>5.1541584927396071</v>
      </c>
      <c r="L75" s="11">
        <f t="shared" si="49"/>
        <v>5.1016864338790526</v>
      </c>
      <c r="M75" s="11">
        <f t="shared" si="49"/>
        <v>6.154029886282216</v>
      </c>
      <c r="N75" s="11">
        <f t="shared" si="49"/>
        <v>6.3453096311338451</v>
      </c>
      <c r="O75" s="11">
        <f t="shared" si="49"/>
        <v>5.5019398470152971</v>
      </c>
      <c r="P75" s="11">
        <f t="shared" si="49"/>
        <v>5.2628401659507604</v>
      </c>
      <c r="Q75" s="11">
        <f t="shared" si="49"/>
        <v>4.7646119049335169</v>
      </c>
      <c r="R75" s="11">
        <f t="shared" si="49"/>
        <v>5.5323707155144195</v>
      </c>
      <c r="S75" s="11">
        <f t="shared" si="49"/>
        <v>7.670755834670274</v>
      </c>
      <c r="T75" s="11">
        <f t="shared" si="49"/>
        <v>9.3560505986004987</v>
      </c>
      <c r="U75" s="11">
        <f t="shared" si="49"/>
        <v>8.9541244388181926</v>
      </c>
      <c r="V75" s="11">
        <f t="shared" si="49"/>
        <v>6.5802467978718173</v>
      </c>
    </row>
    <row r="76" spans="8:25" x14ac:dyDescent="0.25">
      <c r="H76" s="30" t="s">
        <v>116</v>
      </c>
      <c r="I76" s="31">
        <v>2.3567999999999999E-2</v>
      </c>
      <c r="K76" s="11">
        <f t="shared" ref="K76:V76" si="50">SUM(K64:K75)*$I76</f>
        <v>1.9098796421775117</v>
      </c>
      <c r="L76" s="11">
        <f t="shared" si="50"/>
        <v>1.8884742424607959</v>
      </c>
      <c r="M76" s="11">
        <f t="shared" si="50"/>
        <v>2.3184921189465504</v>
      </c>
      <c r="N76" s="11">
        <f t="shared" si="50"/>
        <v>2.3966614623284532</v>
      </c>
      <c r="O76" s="11">
        <f t="shared" si="50"/>
        <v>2.0520057210536988</v>
      </c>
      <c r="P76" s="11">
        <f t="shared" si="50"/>
        <v>1.9542940418263204</v>
      </c>
      <c r="Q76" s="11">
        <f t="shared" si="50"/>
        <v>1.7559047230168865</v>
      </c>
      <c r="R76" s="11">
        <f t="shared" si="50"/>
        <v>2.0644417529553656</v>
      </c>
      <c r="S76" s="11">
        <f t="shared" si="50"/>
        <v>2.8591446727238528</v>
      </c>
      <c r="T76" s="11">
        <f t="shared" si="50"/>
        <v>3.464643635841584</v>
      </c>
      <c r="U76" s="11">
        <f t="shared" si="50"/>
        <v>3.3207155724240902</v>
      </c>
      <c r="V76" s="11">
        <f t="shared" si="50"/>
        <v>2.4660427820596014</v>
      </c>
    </row>
    <row r="77" spans="8:25" x14ac:dyDescent="0.25">
      <c r="K77" s="11">
        <f>SUM(K64:K76)</f>
        <v>82.946863780734532</v>
      </c>
      <c r="L77" s="11">
        <f>SUM(L64:L76)</f>
        <v>82.017218406615413</v>
      </c>
      <c r="M77" s="41">
        <f>SUM(M64:M76)</f>
        <v>100.69307286175675</v>
      </c>
      <c r="N77" s="41">
        <f t="shared" ref="N77" si="51">SUM(N64:N76)</f>
        <v>104.08799981638707</v>
      </c>
      <c r="O77" s="11">
        <f t="shared" ref="O77" si="52">SUM(O64:O76)</f>
        <v>89.119458243698773</v>
      </c>
      <c r="P77" s="11">
        <f t="shared" ref="P77" si="53">SUM(P64:P76)</f>
        <v>84.875799550410861</v>
      </c>
      <c r="Q77" s="11">
        <f t="shared" ref="Q77" si="54">SUM(Q64:Q76)</f>
        <v>76.259669277365433</v>
      </c>
      <c r="R77" s="11">
        <f t="shared" ref="R77" si="55">SUM(R64:R76)</f>
        <v>89.659560259208149</v>
      </c>
      <c r="S77" s="11">
        <f t="shared" ref="S77" si="56">SUM(S64:S76)</f>
        <v>124.1738371677957</v>
      </c>
      <c r="T77" s="11">
        <f t="shared" ref="T77" si="57">SUM(T64:T76)</f>
        <v>150.47090788573908</v>
      </c>
      <c r="U77" s="11">
        <f t="shared" ref="U77" si="58">SUM(U64:U76)</f>
        <v>144.22005248790654</v>
      </c>
      <c r="V77" s="11">
        <f>SUM(V64:V76)</f>
        <v>107.10125926456136</v>
      </c>
      <c r="W77" s="11">
        <f>SUM(K77:V77)/12</f>
        <v>102.96880825018162</v>
      </c>
      <c r="X77" s="3">
        <f>W77/W21-1</f>
        <v>3.1680306904493305E-2</v>
      </c>
      <c r="Y77" s="11">
        <f>W77-W21</f>
        <v>3.1619130704776239</v>
      </c>
    </row>
  </sheetData>
  <mergeCells count="8">
    <mergeCell ref="H63:I63"/>
    <mergeCell ref="H71:H72"/>
    <mergeCell ref="H7:I7"/>
    <mergeCell ref="H15:H16"/>
    <mergeCell ref="H24:I24"/>
    <mergeCell ref="H32:H33"/>
    <mergeCell ref="H44:I44"/>
    <mergeCell ref="H52:H5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2"/>
  <sheetViews>
    <sheetView topLeftCell="G40" workbookViewId="0">
      <selection activeCell="J3" sqref="J3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8.5" customWidth="1"/>
  </cols>
  <sheetData>
    <row r="1" spans="1:23" x14ac:dyDescent="0.25">
      <c r="J1" s="12" t="s">
        <v>157</v>
      </c>
      <c r="K1" t="s">
        <v>158</v>
      </c>
    </row>
    <row r="2" spans="1:23" x14ac:dyDescent="0.25">
      <c r="A2" t="s">
        <v>1</v>
      </c>
      <c r="B2" t="s">
        <v>2</v>
      </c>
      <c r="J2" s="12" t="s">
        <v>139</v>
      </c>
      <c r="K2" s="39">
        <v>493.43775365861472</v>
      </c>
      <c r="L2" s="40">
        <v>569.53252769105154</v>
      </c>
      <c r="M2" s="40">
        <v>711.03080351469112</v>
      </c>
      <c r="N2" s="40">
        <v>863.50946022279993</v>
      </c>
      <c r="O2" s="40">
        <v>690.92815939217587</v>
      </c>
      <c r="P2" s="40">
        <v>587.63157420267532</v>
      </c>
      <c r="Q2" s="40">
        <v>483.93538498370373</v>
      </c>
      <c r="R2" s="40">
        <v>586.66398103381505</v>
      </c>
      <c r="S2" s="40">
        <v>756.1500447743922</v>
      </c>
      <c r="T2" s="40">
        <v>867.09107818983591</v>
      </c>
      <c r="U2" s="40">
        <v>827.75995468814881</v>
      </c>
      <c r="V2" s="40">
        <v>633.3448621202715</v>
      </c>
      <c r="W2" s="40">
        <f>SUM(K2:V2)</f>
        <v>8071.0155844721758</v>
      </c>
    </row>
    <row r="3" spans="1:23" x14ac:dyDescent="0.25">
      <c r="A3" t="s">
        <v>3</v>
      </c>
      <c r="B3" t="s">
        <v>4</v>
      </c>
      <c r="J3" s="12" t="s">
        <v>160</v>
      </c>
      <c r="K3" s="39">
        <f>K2*($W3/$W2)</f>
        <v>73.364410983114368</v>
      </c>
      <c r="L3" s="39">
        <f t="shared" ref="L3:V3" si="0">L2*($W3/$W2)</f>
        <v>84.678195213020032</v>
      </c>
      <c r="M3" s="39">
        <f t="shared" si="0"/>
        <v>105.71618345765205</v>
      </c>
      <c r="N3" s="39">
        <f t="shared" si="0"/>
        <v>128.38673664079235</v>
      </c>
      <c r="O3" s="39">
        <f t="shared" si="0"/>
        <v>102.72731883528299</v>
      </c>
      <c r="P3" s="39">
        <f t="shared" si="0"/>
        <v>87.369164594337235</v>
      </c>
      <c r="Q3" s="39">
        <f t="shared" si="0"/>
        <v>71.951597156830701</v>
      </c>
      <c r="R3" s="39">
        <f t="shared" si="0"/>
        <v>87.225302673804421</v>
      </c>
      <c r="S3" s="39">
        <f t="shared" si="0"/>
        <v>112.42452009075275</v>
      </c>
      <c r="T3" s="39">
        <f t="shared" si="0"/>
        <v>128.91925222268665</v>
      </c>
      <c r="U3" s="39">
        <f t="shared" si="0"/>
        <v>123.07149394393578</v>
      </c>
      <c r="V3" s="39">
        <f t="shared" si="0"/>
        <v>94.165824187790719</v>
      </c>
      <c r="W3">
        <f>100*12</f>
        <v>1200</v>
      </c>
    </row>
    <row r="4" spans="1:23" x14ac:dyDescent="0.25">
      <c r="A4" t="s">
        <v>5</v>
      </c>
      <c r="B4" t="s">
        <v>1</v>
      </c>
      <c r="C4" t="s">
        <v>2</v>
      </c>
    </row>
    <row r="5" spans="1:23" x14ac:dyDescent="0.25">
      <c r="A5" t="s">
        <v>0</v>
      </c>
      <c r="J5" s="12" t="s">
        <v>3</v>
      </c>
      <c r="K5" s="39">
        <v>73.364410983114368</v>
      </c>
      <c r="L5" s="40">
        <v>84.678195213020032</v>
      </c>
      <c r="M5" s="40">
        <v>105.71618345765205</v>
      </c>
      <c r="N5" s="40">
        <v>128.38673664079235</v>
      </c>
      <c r="O5" s="40">
        <v>102.72731883528299</v>
      </c>
      <c r="P5" s="40">
        <v>87.369164594337235</v>
      </c>
      <c r="Q5" s="40">
        <v>71.951597156830701</v>
      </c>
      <c r="R5" s="40">
        <v>87.225302673804421</v>
      </c>
      <c r="S5" s="40">
        <v>112.42452009075275</v>
      </c>
      <c r="T5" s="40">
        <v>128.91925222268665</v>
      </c>
      <c r="U5" s="40">
        <v>123.07149394393578</v>
      </c>
      <c r="V5" s="40">
        <v>94.165824187790719</v>
      </c>
      <c r="W5" s="40">
        <f>SUM(K5:V5)</f>
        <v>1200</v>
      </c>
    </row>
    <row r="6" spans="1:23" ht="16.5" thickBot="1" x14ac:dyDescent="0.3">
      <c r="A6" t="s">
        <v>6</v>
      </c>
      <c r="B6" t="s">
        <v>7</v>
      </c>
      <c r="C6" t="s">
        <v>8</v>
      </c>
      <c r="H6" s="63" t="s">
        <v>117</v>
      </c>
      <c r="I6" s="63"/>
      <c r="J6" s="12" t="s">
        <v>136</v>
      </c>
      <c r="K6" s="37" t="s">
        <v>124</v>
      </c>
      <c r="L6" s="37" t="s">
        <v>125</v>
      </c>
      <c r="M6" s="37" t="s">
        <v>126</v>
      </c>
      <c r="N6" s="37" t="s">
        <v>127</v>
      </c>
      <c r="O6" s="37" t="s">
        <v>128</v>
      </c>
      <c r="P6" s="37" t="s">
        <v>129</v>
      </c>
      <c r="Q6" s="37" t="s">
        <v>130</v>
      </c>
      <c r="R6" s="37" t="s">
        <v>131</v>
      </c>
      <c r="S6" s="37" t="s">
        <v>132</v>
      </c>
      <c r="T6" s="37" t="s">
        <v>133</v>
      </c>
      <c r="U6" s="37" t="s">
        <v>134</v>
      </c>
      <c r="V6" s="37" t="s">
        <v>135</v>
      </c>
    </row>
    <row r="7" spans="1:23" x14ac:dyDescent="0.25">
      <c r="A7" t="s">
        <v>9</v>
      </c>
      <c r="B7" t="s">
        <v>1</v>
      </c>
      <c r="H7" s="32" t="s">
        <v>118</v>
      </c>
      <c r="I7" s="33">
        <v>10</v>
      </c>
      <c r="K7" s="11">
        <f>$I7</f>
        <v>10</v>
      </c>
      <c r="L7" s="11">
        <f t="shared" ref="L7:V7" si="1">$I7</f>
        <v>10</v>
      </c>
      <c r="M7" s="11">
        <f t="shared" si="1"/>
        <v>10</v>
      </c>
      <c r="N7" s="11">
        <f t="shared" si="1"/>
        <v>10</v>
      </c>
      <c r="O7" s="11">
        <f t="shared" si="1"/>
        <v>10</v>
      </c>
      <c r="P7" s="11">
        <f t="shared" si="1"/>
        <v>10</v>
      </c>
      <c r="Q7" s="11">
        <f t="shared" si="1"/>
        <v>10</v>
      </c>
      <c r="R7" s="11">
        <f t="shared" si="1"/>
        <v>10</v>
      </c>
      <c r="S7" s="11">
        <f t="shared" si="1"/>
        <v>10</v>
      </c>
      <c r="T7" s="11">
        <f t="shared" si="1"/>
        <v>10</v>
      </c>
      <c r="U7" s="11">
        <f t="shared" si="1"/>
        <v>10</v>
      </c>
      <c r="V7" s="11">
        <f t="shared" si="1"/>
        <v>10</v>
      </c>
    </row>
    <row r="8" spans="1:23" x14ac:dyDescent="0.25">
      <c r="A8" t="s">
        <v>2</v>
      </c>
      <c r="B8" t="s">
        <v>0</v>
      </c>
      <c r="H8" s="26" t="s">
        <v>119</v>
      </c>
      <c r="I8" s="27">
        <v>5.6582E-2</v>
      </c>
      <c r="K8" s="11">
        <f>K5*$I8</f>
        <v>4.1511051022465768</v>
      </c>
      <c r="L8" s="11">
        <f t="shared" ref="L8:R8" si="2">L5*$I8</f>
        <v>4.7912616415430991</v>
      </c>
      <c r="M8" s="11">
        <f t="shared" si="2"/>
        <v>5.9816330924008687</v>
      </c>
      <c r="N8" s="11">
        <f t="shared" si="2"/>
        <v>7.2643783326093132</v>
      </c>
      <c r="O8" s="11">
        <f t="shared" si="2"/>
        <v>5.8125171543379821</v>
      </c>
      <c r="P8" s="11">
        <f t="shared" si="2"/>
        <v>4.9435220710767895</v>
      </c>
      <c r="Q8" s="11">
        <f t="shared" si="2"/>
        <v>4.0711652703277945</v>
      </c>
      <c r="R8" s="11">
        <f t="shared" si="2"/>
        <v>4.9353820758892022</v>
      </c>
      <c r="S8" s="11">
        <v>0</v>
      </c>
      <c r="T8" s="11">
        <v>0</v>
      </c>
      <c r="U8" s="11">
        <v>0</v>
      </c>
      <c r="V8" s="11">
        <v>0</v>
      </c>
    </row>
    <row r="9" spans="1:23" x14ac:dyDescent="0.25">
      <c r="A9" t="s">
        <v>1</v>
      </c>
      <c r="B9" t="s">
        <v>2</v>
      </c>
      <c r="H9" s="26" t="s">
        <v>120</v>
      </c>
      <c r="I9" s="27">
        <v>4.8533E-2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0</v>
      </c>
      <c r="B10" t="s">
        <v>10</v>
      </c>
      <c r="H10" s="35" t="s">
        <v>121</v>
      </c>
      <c r="I10" s="27">
        <v>4.7641000000000003E-2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H11" s="26" t="s">
        <v>122</v>
      </c>
      <c r="I11" s="27">
        <v>5.6582E-2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 t="shared" ref="S11:U11" si="3">S5*$I11</f>
        <v>6.3612041957749721</v>
      </c>
      <c r="T11" s="11">
        <f t="shared" si="3"/>
        <v>7.294509129264056</v>
      </c>
      <c r="U11" s="11">
        <f t="shared" si="3"/>
        <v>6.9636312703357746</v>
      </c>
      <c r="V11" s="11">
        <f>V5*$I11</f>
        <v>5.3280906641935744</v>
      </c>
    </row>
    <row r="12" spans="1:23" x14ac:dyDescent="0.25">
      <c r="A12" s="21" t="s">
        <v>109</v>
      </c>
      <c r="B12" s="21" t="s">
        <v>110</v>
      </c>
      <c r="C12" s="22"/>
      <c r="D12" s="22"/>
      <c r="E12" s="22"/>
      <c r="F12" s="21" t="s">
        <v>111</v>
      </c>
      <c r="H12" s="26" t="s">
        <v>123</v>
      </c>
      <c r="I12" s="27">
        <v>9.3982999999999997E-2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3" x14ac:dyDescent="0.25">
      <c r="A13" s="22" t="s">
        <v>11</v>
      </c>
      <c r="B13" s="22">
        <v>673</v>
      </c>
      <c r="C13" s="23">
        <v>83.88</v>
      </c>
      <c r="D13" s="23">
        <v>92.33</v>
      </c>
      <c r="E13" s="23">
        <v>8.4499999999999993</v>
      </c>
      <c r="F13" s="24">
        <f>D13/C13-1</f>
        <v>0.10073915116833576</v>
      </c>
      <c r="H13" s="35" t="s">
        <v>156</v>
      </c>
      <c r="I13" s="27">
        <v>9.7272999999999998E-2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3" x14ac:dyDescent="0.25">
      <c r="A14" s="22" t="s">
        <v>12</v>
      </c>
      <c r="B14" s="25">
        <v>1000</v>
      </c>
      <c r="C14" s="23">
        <v>123.31</v>
      </c>
      <c r="D14" s="23">
        <v>133.09</v>
      </c>
      <c r="E14" s="23">
        <v>9.7799999999999994</v>
      </c>
      <c r="F14" s="24">
        <f t="shared" ref="F14:F15" si="4">D14/C14-1</f>
        <v>7.9312302327467332E-2</v>
      </c>
      <c r="H14" s="64" t="s">
        <v>112</v>
      </c>
      <c r="I14" s="27">
        <v>3.1718000000000003E-2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S5*$I14</f>
        <v>3.5658809282384962</v>
      </c>
      <c r="T14" s="11">
        <f>T5*$I14</f>
        <v>4.0890608419991752</v>
      </c>
      <c r="U14" s="11">
        <f>U5*$I14</f>
        <v>3.9035816449137553</v>
      </c>
      <c r="V14" s="11">
        <f>V5*$I14</f>
        <v>2.9867516115883461</v>
      </c>
    </row>
    <row r="15" spans="1:23" x14ac:dyDescent="0.25">
      <c r="A15" s="22" t="s">
        <v>13</v>
      </c>
      <c r="B15" s="25">
        <v>1837</v>
      </c>
      <c r="C15" s="23">
        <v>225.4</v>
      </c>
      <c r="D15" s="23">
        <v>238.64</v>
      </c>
      <c r="E15" s="23">
        <v>13.24</v>
      </c>
      <c r="F15" s="24">
        <f t="shared" si="4"/>
        <v>5.8740017746228945E-2</v>
      </c>
      <c r="H15" s="64"/>
      <c r="I15" s="27">
        <v>2.8812999999999998E-2</v>
      </c>
      <c r="K15" s="11">
        <f t="shared" ref="K15:R15" si="5">K5*$I15</f>
        <v>2.1138487736564739</v>
      </c>
      <c r="L15" s="11">
        <f t="shared" si="5"/>
        <v>2.4398328386727459</v>
      </c>
      <c r="M15" s="11">
        <f t="shared" si="5"/>
        <v>3.0460003939653282</v>
      </c>
      <c r="N15" s="11">
        <f t="shared" si="5"/>
        <v>3.6992070428311496</v>
      </c>
      <c r="O15" s="11">
        <f t="shared" si="5"/>
        <v>2.9598822376010085</v>
      </c>
      <c r="P15" s="11">
        <f t="shared" si="5"/>
        <v>2.5173677394566387</v>
      </c>
      <c r="Q15" s="11">
        <f t="shared" si="5"/>
        <v>2.0731413688797629</v>
      </c>
      <c r="R15" s="11">
        <f t="shared" si="5"/>
        <v>2.5132226459403268</v>
      </c>
      <c r="S15" s="11">
        <v>0</v>
      </c>
      <c r="T15" s="11">
        <v>0</v>
      </c>
      <c r="U15" s="11">
        <v>0</v>
      </c>
      <c r="V15" s="11">
        <v>0</v>
      </c>
    </row>
    <row r="16" spans="1:23" x14ac:dyDescent="0.25">
      <c r="F16" s="3"/>
      <c r="H16" s="28" t="s">
        <v>147</v>
      </c>
      <c r="I16" s="29">
        <v>1.6721E-2</v>
      </c>
      <c r="K16" s="11">
        <f t="shared" ref="K16:V16" si="6">SUM(K7:K13)*$I16</f>
        <v>0.236620628414665</v>
      </c>
      <c r="L16" s="11">
        <f t="shared" si="6"/>
        <v>0.24732468590824214</v>
      </c>
      <c r="M16" s="11">
        <f t="shared" si="6"/>
        <v>0.26722888693803493</v>
      </c>
      <c r="N16" s="11">
        <f t="shared" si="6"/>
        <v>0.2886776700995603</v>
      </c>
      <c r="O16" s="11">
        <f t="shared" si="6"/>
        <v>0.26440109933768541</v>
      </c>
      <c r="P16" s="11">
        <f t="shared" si="6"/>
        <v>0.24987063255047498</v>
      </c>
      <c r="Q16" s="11">
        <f t="shared" si="6"/>
        <v>0.23528395448515105</v>
      </c>
      <c r="R16" s="11">
        <f t="shared" si="6"/>
        <v>0.24973452369094334</v>
      </c>
      <c r="S16" s="11">
        <f t="shared" si="6"/>
        <v>0.27357569535755333</v>
      </c>
      <c r="T16" s="11">
        <f t="shared" si="6"/>
        <v>0.2891814871504243</v>
      </c>
      <c r="U16" s="11">
        <f t="shared" si="6"/>
        <v>0.2836488784712845</v>
      </c>
      <c r="V16" s="11">
        <f t="shared" si="6"/>
        <v>0.25630100399598077</v>
      </c>
    </row>
    <row r="17" spans="1:24" x14ac:dyDescent="0.25">
      <c r="A17" t="s">
        <v>60</v>
      </c>
      <c r="B17">
        <v>1014</v>
      </c>
      <c r="C17" s="1">
        <v>122.26</v>
      </c>
      <c r="D17" s="1">
        <v>131.97999999999999</v>
      </c>
      <c r="E17" s="1">
        <f>D17-C17</f>
        <v>9.7199999999999847</v>
      </c>
      <c r="F17" s="3">
        <f>D17/C17-1</f>
        <v>7.9502699165712398E-2</v>
      </c>
      <c r="H17" s="30" t="s">
        <v>148</v>
      </c>
      <c r="I17" s="31">
        <v>0.12767999999999999</v>
      </c>
      <c r="K17" s="11">
        <f t="shared" ref="K17:V17" si="7">SUM(K7:K13)*$I17</f>
        <v>1.8068130994548428</v>
      </c>
      <c r="L17" s="11">
        <f t="shared" si="7"/>
        <v>1.8885482863922225</v>
      </c>
      <c r="M17" s="11">
        <f t="shared" si="7"/>
        <v>2.0405349132377428</v>
      </c>
      <c r="N17" s="11">
        <f t="shared" si="7"/>
        <v>2.2043158255075568</v>
      </c>
      <c r="O17" s="11">
        <f t="shared" si="7"/>
        <v>2.0189421902658733</v>
      </c>
      <c r="P17" s="11">
        <f t="shared" si="7"/>
        <v>1.9079888980350841</v>
      </c>
      <c r="Q17" s="11">
        <f t="shared" si="7"/>
        <v>1.7966063817154527</v>
      </c>
      <c r="R17" s="11">
        <f t="shared" si="7"/>
        <v>1.9069495834495331</v>
      </c>
      <c r="S17" s="11">
        <f t="shared" si="7"/>
        <v>2.0889985517165486</v>
      </c>
      <c r="T17" s="11">
        <f t="shared" si="7"/>
        <v>2.2081629256244346</v>
      </c>
      <c r="U17" s="11">
        <f t="shared" si="7"/>
        <v>2.1659164405964715</v>
      </c>
      <c r="V17" s="11">
        <f t="shared" si="7"/>
        <v>1.9570906160042354</v>
      </c>
    </row>
    <row r="18" spans="1:24" x14ac:dyDescent="0.25">
      <c r="B18">
        <v>1014</v>
      </c>
      <c r="C18" s="1">
        <v>122.26</v>
      </c>
      <c r="D18" s="1">
        <v>131.81</v>
      </c>
      <c r="E18" s="1">
        <f>D18-C18</f>
        <v>9.5499999999999972</v>
      </c>
      <c r="F18" s="3">
        <f>D18/C18-1</f>
        <v>7.8112219859316268E-2</v>
      </c>
      <c r="H18" s="30" t="s">
        <v>115</v>
      </c>
      <c r="I18" s="34">
        <v>0.10766199999999999</v>
      </c>
      <c r="K18" s="11">
        <f t="shared" ref="K18:V18" si="8">SUM(K7:K13)*$I18</f>
        <v>1.523536277518071</v>
      </c>
      <c r="L18" s="11">
        <f t="shared" si="8"/>
        <v>1.5924568108518129</v>
      </c>
      <c r="M18" s="11">
        <f t="shared" si="8"/>
        <v>1.7206145819940624</v>
      </c>
      <c r="N18" s="11">
        <f t="shared" si="8"/>
        <v>1.8587175000453835</v>
      </c>
      <c r="O18" s="11">
        <f t="shared" si="8"/>
        <v>1.7024072218703357</v>
      </c>
      <c r="P18" s="11">
        <f t="shared" si="8"/>
        <v>1.608849473216269</v>
      </c>
      <c r="Q18" s="11">
        <f t="shared" si="8"/>
        <v>1.5149297953340308</v>
      </c>
      <c r="R18" s="11">
        <f t="shared" si="8"/>
        <v>1.6079731050543831</v>
      </c>
      <c r="S18" s="11">
        <f t="shared" si="8"/>
        <v>1.7614799661255252</v>
      </c>
      <c r="T18" s="11">
        <f t="shared" si="8"/>
        <v>1.8619614418748267</v>
      </c>
      <c r="U18" s="11">
        <f t="shared" si="8"/>
        <v>1.8263384698268901</v>
      </c>
      <c r="V18" s="11">
        <f t="shared" si="8"/>
        <v>1.6502528970884085</v>
      </c>
    </row>
    <row r="19" spans="1:24" x14ac:dyDescent="0.25">
      <c r="E19" s="1"/>
      <c r="F19" s="3"/>
      <c r="H19" s="30" t="s">
        <v>146</v>
      </c>
      <c r="I19" s="31">
        <v>2.3050000000000001E-2</v>
      </c>
      <c r="K19" s="11">
        <f t="shared" ref="K19:V19" si="9">SUM(K7:K18)*$I19</f>
        <v>0.45712584546374907</v>
      </c>
      <c r="L19" s="11">
        <f t="shared" si="9"/>
        <v>0.48311472927063526</v>
      </c>
      <c r="M19" s="11">
        <f t="shared" si="9"/>
        <v>0.53144107356975578</v>
      </c>
      <c r="N19" s="11">
        <f t="shared" si="9"/>
        <v>0.58351758135369269</v>
      </c>
      <c r="O19" s="11">
        <f t="shared" si="9"/>
        <v>0.52457535527366694</v>
      </c>
      <c r="P19" s="11">
        <f t="shared" si="9"/>
        <v>0.48929615267042759</v>
      </c>
      <c r="Q19" s="11">
        <f t="shared" si="9"/>
        <v>0.4538804720656075</v>
      </c>
      <c r="R19" s="11">
        <f t="shared" si="9"/>
        <v>0.48896568757926218</v>
      </c>
      <c r="S19" s="11">
        <f t="shared" si="9"/>
        <v>0.5543787617227619</v>
      </c>
      <c r="T19" s="11">
        <f t="shared" si="9"/>
        <v>0.59337328778729281</v>
      </c>
      <c r="U19" s="11">
        <f t="shared" si="9"/>
        <v>0.57954884003052332</v>
      </c>
      <c r="V19" s="11">
        <f t="shared" si="9"/>
        <v>0.51121412057566606</v>
      </c>
    </row>
    <row r="20" spans="1:24" x14ac:dyDescent="0.25">
      <c r="A20" t="s">
        <v>61</v>
      </c>
      <c r="B20">
        <v>1267</v>
      </c>
      <c r="C20" s="1">
        <v>149.08000000000001</v>
      </c>
      <c r="D20" s="1">
        <v>159.66999999999999</v>
      </c>
      <c r="E20" s="1">
        <f t="shared" ref="E20" si="10">D20-C20</f>
        <v>10.589999999999975</v>
      </c>
      <c r="F20" s="3">
        <f t="shared" ref="F20" si="11">D20/C20-1</f>
        <v>7.1035685537965909E-2</v>
      </c>
      <c r="K20" s="11">
        <f>SUM(K7:K19)</f>
        <v>20.289049726754381</v>
      </c>
      <c r="L20" s="11">
        <f>SUM(L7:L19)</f>
        <v>21.44253899263876</v>
      </c>
      <c r="M20" s="41">
        <f>SUM(M7:M19)</f>
        <v>23.587452942105795</v>
      </c>
      <c r="N20" s="41">
        <f t="shared" ref="N20:U20" si="12">SUM(N7:N19)</f>
        <v>25.898813952446652</v>
      </c>
      <c r="O20" s="11">
        <f t="shared" si="12"/>
        <v>23.282725258686547</v>
      </c>
      <c r="P20" s="11">
        <f t="shared" si="12"/>
        <v>21.716894967005679</v>
      </c>
      <c r="Q20" s="11">
        <f t="shared" si="12"/>
        <v>20.145007242807797</v>
      </c>
      <c r="R20" s="11">
        <f t="shared" si="12"/>
        <v>21.702227621603651</v>
      </c>
      <c r="S20" s="11">
        <f t="shared" si="12"/>
        <v>24.60551809893586</v>
      </c>
      <c r="T20" s="11">
        <f t="shared" si="12"/>
        <v>26.336249113700212</v>
      </c>
      <c r="U20" s="11">
        <f t="shared" si="12"/>
        <v>25.722665544174699</v>
      </c>
      <c r="V20" s="11">
        <f>SUM(V7:V19)</f>
        <v>22.68970091344621</v>
      </c>
      <c r="W20" s="11">
        <f>SUM(K20:V20)/12</f>
        <v>23.118237031192191</v>
      </c>
      <c r="X20" s="11"/>
    </row>
    <row r="21" spans="1:24" x14ac:dyDescent="0.25">
      <c r="C21" s="1"/>
      <c r="D21" s="1"/>
      <c r="E21" s="1"/>
      <c r="F21" s="3"/>
      <c r="K21" s="11"/>
      <c r="L21" s="11"/>
      <c r="M21" s="41"/>
      <c r="N21" s="4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J22" s="12" t="s">
        <v>3</v>
      </c>
      <c r="K22" s="39">
        <v>73.364410983114368</v>
      </c>
      <c r="L22" s="40">
        <v>84.678195213020032</v>
      </c>
      <c r="M22" s="40">
        <v>105.71618345765205</v>
      </c>
      <c r="N22" s="40">
        <v>128.38673664079235</v>
      </c>
      <c r="O22" s="40">
        <v>102.72731883528299</v>
      </c>
      <c r="P22" s="40">
        <v>87.369164594337235</v>
      </c>
      <c r="Q22" s="40">
        <v>71.951597156830701</v>
      </c>
      <c r="R22" s="40">
        <v>87.225302673804421</v>
      </c>
      <c r="S22" s="40">
        <v>112.42452009075275</v>
      </c>
      <c r="T22" s="40">
        <v>128.91925222268665</v>
      </c>
      <c r="U22" s="40">
        <v>123.07149394393578</v>
      </c>
      <c r="V22" s="40">
        <v>94.165824187790719</v>
      </c>
    </row>
    <row r="23" spans="1:24" ht="16.5" thickBot="1" x14ac:dyDescent="0.3">
      <c r="H23" s="63" t="s">
        <v>137</v>
      </c>
      <c r="I23" s="63"/>
      <c r="J23" s="12" t="s">
        <v>136</v>
      </c>
      <c r="K23" s="37" t="s">
        <v>124</v>
      </c>
      <c r="L23" s="37" t="s">
        <v>125</v>
      </c>
      <c r="M23" s="37" t="s">
        <v>126</v>
      </c>
      <c r="N23" s="37" t="s">
        <v>127</v>
      </c>
      <c r="O23" s="37" t="s">
        <v>128</v>
      </c>
      <c r="P23" s="37" t="s">
        <v>129</v>
      </c>
      <c r="Q23" s="37" t="s">
        <v>130</v>
      </c>
      <c r="R23" s="37" t="s">
        <v>131</v>
      </c>
      <c r="S23" s="37" t="s">
        <v>132</v>
      </c>
      <c r="T23" s="37" t="s">
        <v>133</v>
      </c>
      <c r="U23" s="37" t="s">
        <v>134</v>
      </c>
      <c r="V23" s="37" t="s">
        <v>135</v>
      </c>
    </row>
    <row r="24" spans="1:24" x14ac:dyDescent="0.25">
      <c r="H24" s="32" t="s">
        <v>118</v>
      </c>
      <c r="I24" s="33">
        <v>14.9</v>
      </c>
      <c r="K24" s="11">
        <f>$I24</f>
        <v>14.9</v>
      </c>
      <c r="L24" s="11">
        <f t="shared" ref="L24:V24" si="13">$I24</f>
        <v>14.9</v>
      </c>
      <c r="M24" s="11">
        <f t="shared" si="13"/>
        <v>14.9</v>
      </c>
      <c r="N24" s="11">
        <f t="shared" si="13"/>
        <v>14.9</v>
      </c>
      <c r="O24" s="11">
        <f t="shared" si="13"/>
        <v>14.9</v>
      </c>
      <c r="P24" s="11">
        <f t="shared" si="13"/>
        <v>14.9</v>
      </c>
      <c r="Q24" s="11">
        <f t="shared" si="13"/>
        <v>14.9</v>
      </c>
      <c r="R24" s="11">
        <f t="shared" si="13"/>
        <v>14.9</v>
      </c>
      <c r="S24" s="11">
        <f t="shared" si="13"/>
        <v>14.9</v>
      </c>
      <c r="T24" s="11">
        <f t="shared" si="13"/>
        <v>14.9</v>
      </c>
      <c r="U24" s="11">
        <f t="shared" si="13"/>
        <v>14.9</v>
      </c>
      <c r="V24" s="11">
        <f t="shared" si="13"/>
        <v>14.9</v>
      </c>
    </row>
    <row r="25" spans="1:24" x14ac:dyDescent="0.25">
      <c r="H25" s="26" t="s">
        <v>119</v>
      </c>
      <c r="I25" s="27">
        <v>5.7969E-2</v>
      </c>
      <c r="K25" s="11">
        <f>K22*$I25</f>
        <v>4.2528615402801568</v>
      </c>
      <c r="L25" s="11">
        <f t="shared" ref="L25:R25" si="14">L22*$I25</f>
        <v>4.908710298303558</v>
      </c>
      <c r="M25" s="11">
        <f t="shared" si="14"/>
        <v>6.1282614388566321</v>
      </c>
      <c r="N25" s="11">
        <f t="shared" si="14"/>
        <v>7.442450736330092</v>
      </c>
      <c r="O25" s="11">
        <f t="shared" si="14"/>
        <v>5.9549999455625198</v>
      </c>
      <c r="P25" s="11">
        <f t="shared" si="14"/>
        <v>5.0647031023691351</v>
      </c>
      <c r="Q25" s="11">
        <f t="shared" si="14"/>
        <v>4.1709621355843192</v>
      </c>
      <c r="R25" s="11">
        <f t="shared" si="14"/>
        <v>5.0563635706977683</v>
      </c>
      <c r="S25" s="11">
        <v>0</v>
      </c>
      <c r="T25" s="11">
        <v>0</v>
      </c>
      <c r="U25" s="11">
        <v>0</v>
      </c>
      <c r="V25" s="11">
        <v>0</v>
      </c>
    </row>
    <row r="26" spans="1:24" x14ac:dyDescent="0.25">
      <c r="H26" s="26" t="s">
        <v>120</v>
      </c>
      <c r="I26" s="27">
        <v>4.972E-2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35" t="s">
        <v>121</v>
      </c>
      <c r="I27" s="27">
        <v>4.8809999999999999E-2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26" t="s">
        <v>122</v>
      </c>
      <c r="I28" s="27">
        <v>5.7969E-2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 t="shared" ref="S28:U28" si="15">S22*$I28</f>
        <v>6.5171370051408459</v>
      </c>
      <c r="T28" s="11">
        <f t="shared" si="15"/>
        <v>7.473320132096922</v>
      </c>
      <c r="U28" s="11">
        <f t="shared" si="15"/>
        <v>7.1343314324360128</v>
      </c>
      <c r="V28" s="11">
        <f>V22*$I28</f>
        <v>5.4586986623420399</v>
      </c>
    </row>
    <row r="29" spans="1:24" x14ac:dyDescent="0.25">
      <c r="H29" s="26" t="s">
        <v>123</v>
      </c>
      <c r="I29" s="27">
        <v>9.6285999999999997E-2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4" x14ac:dyDescent="0.25">
      <c r="H30" s="35" t="s">
        <v>156</v>
      </c>
      <c r="I30" s="27">
        <v>9.9657999999999997E-2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4" x14ac:dyDescent="0.25">
      <c r="H31" s="64" t="s">
        <v>112</v>
      </c>
      <c r="I31" s="27">
        <v>3.1718000000000003E-2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S22*$I31</f>
        <v>3.5658809282384962</v>
      </c>
      <c r="T31" s="11">
        <f>T22*$I31</f>
        <v>4.0890608419991752</v>
      </c>
      <c r="U31" s="11">
        <f>U22*$I31</f>
        <v>3.9035816449137553</v>
      </c>
      <c r="V31" s="11">
        <f>V22*$I31</f>
        <v>2.9867516115883461</v>
      </c>
    </row>
    <row r="32" spans="1:24" x14ac:dyDescent="0.25">
      <c r="H32" s="64"/>
      <c r="I32" s="27">
        <v>2.8812999999999998E-2</v>
      </c>
      <c r="K32" s="11">
        <f t="shared" ref="K32:R32" si="16">K22*$I32</f>
        <v>2.1138487736564739</v>
      </c>
      <c r="L32" s="11">
        <f t="shared" si="16"/>
        <v>2.4398328386727459</v>
      </c>
      <c r="M32" s="11">
        <f t="shared" si="16"/>
        <v>3.0460003939653282</v>
      </c>
      <c r="N32" s="11">
        <f t="shared" si="16"/>
        <v>3.6992070428311496</v>
      </c>
      <c r="O32" s="11">
        <f t="shared" si="16"/>
        <v>2.9598822376010085</v>
      </c>
      <c r="P32" s="11">
        <f t="shared" si="16"/>
        <v>2.5173677394566387</v>
      </c>
      <c r="Q32" s="11">
        <f t="shared" si="16"/>
        <v>2.0731413688797629</v>
      </c>
      <c r="R32" s="11">
        <f t="shared" si="16"/>
        <v>2.5132226459403268</v>
      </c>
      <c r="S32" s="11">
        <v>0</v>
      </c>
      <c r="T32" s="11">
        <v>0</v>
      </c>
      <c r="U32" s="11">
        <v>0</v>
      </c>
      <c r="V32" s="11">
        <v>0</v>
      </c>
    </row>
    <row r="33" spans="8:25" x14ac:dyDescent="0.25">
      <c r="H33" s="28" t="s">
        <v>113</v>
      </c>
      <c r="I33" s="29">
        <v>1.7947000000000001E-2</v>
      </c>
      <c r="K33" s="11">
        <f t="shared" ref="K33:V33" si="17">SUM(K24:K30)*$I33</f>
        <v>0.343736406063408</v>
      </c>
      <c r="L33" s="11">
        <f t="shared" si="17"/>
        <v>0.355506923723654</v>
      </c>
      <c r="M33" s="11">
        <f t="shared" si="17"/>
        <v>0.37739420804315998</v>
      </c>
      <c r="N33" s="11">
        <f t="shared" si="17"/>
        <v>0.4009799633649162</v>
      </c>
      <c r="O33" s="11">
        <f t="shared" si="17"/>
        <v>0.37428468402301052</v>
      </c>
      <c r="P33" s="11">
        <f t="shared" si="17"/>
        <v>0.35830652657821888</v>
      </c>
      <c r="Q33" s="11">
        <f t="shared" si="17"/>
        <v>0.34226655744733181</v>
      </c>
      <c r="R33" s="11">
        <f t="shared" si="17"/>
        <v>0.35815685700331285</v>
      </c>
      <c r="S33" s="11">
        <f t="shared" si="17"/>
        <v>0.38437335783126275</v>
      </c>
      <c r="T33" s="11">
        <f t="shared" si="17"/>
        <v>0.40153397641074345</v>
      </c>
      <c r="U33" s="11">
        <f t="shared" si="17"/>
        <v>0.39545014621792912</v>
      </c>
      <c r="V33" s="11">
        <f t="shared" si="17"/>
        <v>0.36537756489305262</v>
      </c>
    </row>
    <row r="34" spans="8:25" x14ac:dyDescent="0.25">
      <c r="H34" s="30" t="s">
        <v>114</v>
      </c>
      <c r="I34" s="31">
        <v>0.15357499999999999</v>
      </c>
      <c r="K34" s="11">
        <f t="shared" ref="K34:V34" si="18">SUM(K24:K30)*$I34</f>
        <v>2.9414007110485247</v>
      </c>
      <c r="L34" s="11">
        <f t="shared" si="18"/>
        <v>3.0421226840619688</v>
      </c>
      <c r="M34" s="11">
        <f t="shared" si="18"/>
        <v>3.2294152504724072</v>
      </c>
      <c r="N34" s="11">
        <f t="shared" si="18"/>
        <v>3.4312418718318938</v>
      </c>
      <c r="O34" s="11">
        <f t="shared" si="18"/>
        <v>3.2028066166397635</v>
      </c>
      <c r="P34" s="11">
        <f t="shared" si="18"/>
        <v>3.0660792789463396</v>
      </c>
      <c r="Q34" s="11">
        <f t="shared" si="18"/>
        <v>2.928823009972362</v>
      </c>
      <c r="R34" s="11">
        <f t="shared" si="18"/>
        <v>3.0647985353699094</v>
      </c>
      <c r="S34" s="11">
        <f t="shared" si="18"/>
        <v>3.2891368155645049</v>
      </c>
      <c r="T34" s="11">
        <f t="shared" si="18"/>
        <v>3.4359826392867845</v>
      </c>
      <c r="U34" s="11">
        <f t="shared" si="18"/>
        <v>3.3839224497363602</v>
      </c>
      <c r="V34" s="11">
        <f t="shared" si="18"/>
        <v>3.1265871470691784</v>
      </c>
    </row>
    <row r="35" spans="8:25" x14ac:dyDescent="0.25">
      <c r="H35" s="30" t="s">
        <v>115</v>
      </c>
      <c r="I35" s="34">
        <v>0.10766199999999999</v>
      </c>
      <c r="K35" s="11">
        <f t="shared" ref="K35:V35" si="19">SUM(K24:K30)*$I35</f>
        <v>2.0620353791496422</v>
      </c>
      <c r="L35" s="11">
        <f t="shared" si="19"/>
        <v>2.1326453681359578</v>
      </c>
      <c r="M35" s="11">
        <f t="shared" si="19"/>
        <v>2.2639446830301826</v>
      </c>
      <c r="N35" s="11">
        <f t="shared" si="19"/>
        <v>2.4054329311747704</v>
      </c>
      <c r="O35" s="11">
        <f t="shared" si="19"/>
        <v>2.2452910041391516</v>
      </c>
      <c r="P35" s="11">
        <f t="shared" si="19"/>
        <v>2.1494398654072659</v>
      </c>
      <c r="Q35" s="11">
        <f t="shared" si="19"/>
        <v>2.0532179254412788</v>
      </c>
      <c r="R35" s="11">
        <f t="shared" si="19"/>
        <v>2.1485420147484628</v>
      </c>
      <c r="S35" s="11">
        <f t="shared" si="19"/>
        <v>2.3058118042474733</v>
      </c>
      <c r="T35" s="11">
        <f t="shared" si="19"/>
        <v>2.4087563920618185</v>
      </c>
      <c r="U35" s="11">
        <f t="shared" si="19"/>
        <v>2.3722601906789258</v>
      </c>
      <c r="V35" s="11">
        <f t="shared" si="19"/>
        <v>2.1918582153850683</v>
      </c>
    </row>
    <row r="36" spans="8:25" x14ac:dyDescent="0.25">
      <c r="H36" s="30" t="s">
        <v>116</v>
      </c>
      <c r="I36" s="31">
        <v>2.3567999999999999E-2</v>
      </c>
      <c r="K36" s="11">
        <f t="shared" ref="K36:V36" si="20">SUM(K24:K35)*$I36</f>
        <v>0.62723599007075126</v>
      </c>
      <c r="L36" s="11">
        <f t="shared" si="20"/>
        <v>0.65469118528477732</v>
      </c>
      <c r="M36" s="11">
        <f t="shared" si="20"/>
        <v>0.70574413648389811</v>
      </c>
      <c r="N36" s="11">
        <f t="shared" si="20"/>
        <v>0.76075883807311739</v>
      </c>
      <c r="O36" s="11">
        <f t="shared" si="20"/>
        <v>0.69849104945236973</v>
      </c>
      <c r="P36" s="11">
        <f t="shared" si="20"/>
        <v>0.66122136901267103</v>
      </c>
      <c r="Q36" s="11">
        <f t="shared" si="20"/>
        <v>0.62380751038495685</v>
      </c>
      <c r="R36" s="11">
        <f t="shared" si="20"/>
        <v>0.66087225884477052</v>
      </c>
      <c r="S36" s="11">
        <f t="shared" si="20"/>
        <v>0.72972042702298012</v>
      </c>
      <c r="T36" s="11">
        <f t="shared" si="20"/>
        <v>0.770877557044369</v>
      </c>
      <c r="U36" s="11">
        <f t="shared" si="20"/>
        <v>0.75628641692235088</v>
      </c>
      <c r="V36" s="11">
        <f t="shared" si="20"/>
        <v>0.68416191080771238</v>
      </c>
    </row>
    <row r="37" spans="8:25" x14ac:dyDescent="0.25">
      <c r="K37" s="11">
        <f>SUM(K24:K36)</f>
        <v>27.241118800268957</v>
      </c>
      <c r="L37" s="11">
        <f>SUM(L24:L36)</f>
        <v>28.43350929818266</v>
      </c>
      <c r="M37" s="41">
        <f>SUM(M24:M36)</f>
        <v>30.650760110851607</v>
      </c>
      <c r="N37" s="41">
        <f t="shared" ref="N37:U37" si="21">SUM(N24:N36)</f>
        <v>33.040071383605934</v>
      </c>
      <c r="O37" s="11">
        <f t="shared" si="21"/>
        <v>30.335755537417818</v>
      </c>
      <c r="P37" s="11">
        <f t="shared" si="21"/>
        <v>28.717117881770271</v>
      </c>
      <c r="Q37" s="11">
        <f t="shared" si="21"/>
        <v>27.092218507710012</v>
      </c>
      <c r="R37" s="11">
        <f t="shared" si="21"/>
        <v>28.701955882604551</v>
      </c>
      <c r="S37" s="11">
        <f t="shared" si="21"/>
        <v>31.692060338045557</v>
      </c>
      <c r="T37" s="11">
        <f t="shared" si="21"/>
        <v>33.479531538899813</v>
      </c>
      <c r="U37" s="11">
        <f t="shared" si="21"/>
        <v>32.845832280905334</v>
      </c>
      <c r="V37" s="11">
        <f>SUM(V24:V36)</f>
        <v>29.713435112085396</v>
      </c>
      <c r="W37" s="11">
        <f>SUM(K37:V37)/12</f>
        <v>30.161947222695659</v>
      </c>
      <c r="X37" s="3">
        <f>W37/W20-1</f>
        <v>0.30468197821485132</v>
      </c>
      <c r="Y37" s="11">
        <f>W37-W20</f>
        <v>7.0437101915034681</v>
      </c>
    </row>
    <row r="38" spans="8:25" x14ac:dyDescent="0.25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8:25" x14ac:dyDescent="0.25">
      <c r="J39" s="12" t="s">
        <v>3</v>
      </c>
      <c r="K39" s="39">
        <v>73.364410983114368</v>
      </c>
      <c r="L39" s="40">
        <v>84.678195213020032</v>
      </c>
      <c r="M39" s="40">
        <v>105.71618345765205</v>
      </c>
      <c r="N39" s="40">
        <v>128.38673664079235</v>
      </c>
      <c r="O39" s="40">
        <v>102.72731883528299</v>
      </c>
      <c r="P39" s="40">
        <v>87.369164594337235</v>
      </c>
      <c r="Q39" s="40">
        <v>71.951597156830701</v>
      </c>
      <c r="R39" s="40">
        <v>87.225302673804421</v>
      </c>
      <c r="S39" s="40">
        <v>112.42452009075275</v>
      </c>
      <c r="T39" s="40">
        <v>128.91925222268665</v>
      </c>
      <c r="U39" s="40">
        <v>123.07149394393578</v>
      </c>
      <c r="V39" s="40">
        <v>94.165824187790719</v>
      </c>
    </row>
    <row r="40" spans="8:25" ht="16.5" thickBot="1" x14ac:dyDescent="0.3">
      <c r="H40" s="63" t="s">
        <v>138</v>
      </c>
      <c r="I40" s="63"/>
      <c r="J40" s="12" t="s">
        <v>136</v>
      </c>
      <c r="K40" s="37" t="s">
        <v>124</v>
      </c>
      <c r="L40" s="37" t="s">
        <v>125</v>
      </c>
      <c r="M40" s="37" t="s">
        <v>126</v>
      </c>
      <c r="N40" s="37" t="s">
        <v>127</v>
      </c>
      <c r="O40" s="37" t="s">
        <v>128</v>
      </c>
      <c r="P40" s="37" t="s">
        <v>129</v>
      </c>
      <c r="Q40" s="37" t="s">
        <v>130</v>
      </c>
      <c r="R40" s="37" t="s">
        <v>131</v>
      </c>
      <c r="S40" s="37" t="s">
        <v>132</v>
      </c>
      <c r="T40" s="37" t="s">
        <v>133</v>
      </c>
      <c r="U40" s="37" t="s">
        <v>134</v>
      </c>
      <c r="V40" s="37" t="s">
        <v>135</v>
      </c>
    </row>
    <row r="41" spans="8:25" x14ac:dyDescent="0.25">
      <c r="H41" s="32" t="s">
        <v>118</v>
      </c>
      <c r="I41" s="33">
        <v>17.95</v>
      </c>
      <c r="K41" s="11">
        <f>$I41</f>
        <v>17.95</v>
      </c>
      <c r="L41" s="11">
        <f t="shared" ref="L41:V41" si="22">$I41</f>
        <v>17.95</v>
      </c>
      <c r="M41" s="11">
        <f t="shared" si="22"/>
        <v>17.95</v>
      </c>
      <c r="N41" s="11">
        <f t="shared" si="22"/>
        <v>17.95</v>
      </c>
      <c r="O41" s="11">
        <f t="shared" si="22"/>
        <v>17.95</v>
      </c>
      <c r="P41" s="11">
        <f t="shared" si="22"/>
        <v>17.95</v>
      </c>
      <c r="Q41" s="11">
        <f t="shared" si="22"/>
        <v>17.95</v>
      </c>
      <c r="R41" s="11">
        <f t="shared" si="22"/>
        <v>17.95</v>
      </c>
      <c r="S41" s="11">
        <f t="shared" si="22"/>
        <v>17.95</v>
      </c>
      <c r="T41" s="11">
        <f t="shared" si="22"/>
        <v>17.95</v>
      </c>
      <c r="U41" s="11">
        <f t="shared" si="22"/>
        <v>17.95</v>
      </c>
      <c r="V41" s="11">
        <f t="shared" si="22"/>
        <v>17.95</v>
      </c>
    </row>
    <row r="42" spans="8:25" x14ac:dyDescent="0.25">
      <c r="H42" s="26" t="s">
        <v>119</v>
      </c>
      <c r="I42" s="27">
        <v>4.9754E-2</v>
      </c>
      <c r="K42" s="11">
        <f>K39*$I42</f>
        <v>3.6501729040538722</v>
      </c>
      <c r="L42" s="11">
        <f t="shared" ref="L42:R42" si="23">L39*$I42</f>
        <v>4.2130789246285989</v>
      </c>
      <c r="M42" s="11">
        <f t="shared" si="23"/>
        <v>5.2598029917520197</v>
      </c>
      <c r="N42" s="11">
        <f t="shared" si="23"/>
        <v>6.3877536948259825</v>
      </c>
      <c r="O42" s="11">
        <f t="shared" si="23"/>
        <v>5.1110950213306694</v>
      </c>
      <c r="P42" s="11">
        <f t="shared" si="23"/>
        <v>4.3469654152266548</v>
      </c>
      <c r="Q42" s="11">
        <f t="shared" si="23"/>
        <v>3.5798797649409546</v>
      </c>
      <c r="R42" s="11">
        <f t="shared" si="23"/>
        <v>4.3398077092324652</v>
      </c>
      <c r="S42" s="11">
        <v>0</v>
      </c>
      <c r="T42" s="11">
        <v>0</v>
      </c>
      <c r="U42" s="11">
        <v>0</v>
      </c>
      <c r="V42" s="11">
        <v>0</v>
      </c>
    </row>
    <row r="43" spans="8:25" x14ac:dyDescent="0.25">
      <c r="H43" s="26" t="s">
        <v>120</v>
      </c>
      <c r="I43" s="27">
        <v>4.2674999999999998E-2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8:25" x14ac:dyDescent="0.25">
      <c r="H44" s="35" t="s">
        <v>121</v>
      </c>
      <c r="I44" s="27">
        <v>4.1890999999999998E-2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8:25" x14ac:dyDescent="0.25">
      <c r="H45" s="26" t="s">
        <v>122</v>
      </c>
      <c r="I45" s="27">
        <v>4.9754E-2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f t="shared" ref="S45:U45" si="24">S39*$I45</f>
        <v>5.5935695725953121</v>
      </c>
      <c r="T45" s="11">
        <f t="shared" si="24"/>
        <v>6.4142484750875512</v>
      </c>
      <c r="U45" s="11">
        <f t="shared" si="24"/>
        <v>6.123299109686581</v>
      </c>
      <c r="V45" s="11">
        <f>V39*$I45</f>
        <v>4.6851264166393394</v>
      </c>
    </row>
    <row r="46" spans="8:25" x14ac:dyDescent="0.25">
      <c r="H46" s="26" t="s">
        <v>123</v>
      </c>
      <c r="I46" s="27">
        <v>8.2639000000000004E-2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35" t="s">
        <v>156</v>
      </c>
      <c r="I47" s="27">
        <v>8.5531999999999997E-2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64" t="s">
        <v>112</v>
      </c>
      <c r="I48" s="27">
        <v>3.1718000000000003E-2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S39*$I48</f>
        <v>3.5658809282384962</v>
      </c>
      <c r="T48" s="11">
        <f>T39*$I48</f>
        <v>4.0890608419991752</v>
      </c>
      <c r="U48" s="11">
        <f>U39*$I48</f>
        <v>3.9035816449137553</v>
      </c>
      <c r="V48" s="11">
        <f>V39*$I48</f>
        <v>2.9867516115883461</v>
      </c>
    </row>
    <row r="49" spans="8:25" x14ac:dyDescent="0.25">
      <c r="H49" s="64"/>
      <c r="I49" s="27">
        <v>2.8812999999999998E-2</v>
      </c>
      <c r="K49" s="11">
        <f t="shared" ref="K49:R49" si="25">K39*$I49</f>
        <v>2.1138487736564739</v>
      </c>
      <c r="L49" s="11">
        <f t="shared" si="25"/>
        <v>2.4398328386727459</v>
      </c>
      <c r="M49" s="11">
        <f t="shared" si="25"/>
        <v>3.0460003939653282</v>
      </c>
      <c r="N49" s="11">
        <f t="shared" si="25"/>
        <v>3.6992070428311496</v>
      </c>
      <c r="O49" s="11">
        <f t="shared" si="25"/>
        <v>2.9598822376010085</v>
      </c>
      <c r="P49" s="11">
        <f t="shared" si="25"/>
        <v>2.5173677394566387</v>
      </c>
      <c r="Q49" s="11">
        <f t="shared" si="25"/>
        <v>2.0731413688797629</v>
      </c>
      <c r="R49" s="11">
        <f t="shared" si="25"/>
        <v>2.5132226459403268</v>
      </c>
      <c r="S49" s="11">
        <v>0</v>
      </c>
      <c r="T49" s="11">
        <v>0</v>
      </c>
      <c r="U49" s="11">
        <v>0</v>
      </c>
      <c r="V49" s="11">
        <v>0</v>
      </c>
    </row>
    <row r="50" spans="8:25" x14ac:dyDescent="0.25">
      <c r="H50" s="28" t="s">
        <v>144</v>
      </c>
      <c r="I50" s="29">
        <v>1.9511000000000001E-2</v>
      </c>
      <c r="K50" s="11">
        <f t="shared" ref="K50:V50" si="26">SUM(K41:K47)*$I50</f>
        <v>0.42144097353099508</v>
      </c>
      <c r="L50" s="11">
        <f t="shared" si="26"/>
        <v>0.43242383289842862</v>
      </c>
      <c r="M50" s="11">
        <f t="shared" si="26"/>
        <v>0.45284646617207369</v>
      </c>
      <c r="N50" s="11">
        <f t="shared" si="26"/>
        <v>0.47485391233974972</v>
      </c>
      <c r="O50" s="11">
        <f t="shared" si="26"/>
        <v>0.44994502496118272</v>
      </c>
      <c r="P50" s="11">
        <f t="shared" si="26"/>
        <v>0.43503609221648726</v>
      </c>
      <c r="Q50" s="11">
        <f t="shared" si="26"/>
        <v>0.42006948409376299</v>
      </c>
      <c r="R50" s="11">
        <f t="shared" si="26"/>
        <v>0.43489643821483459</v>
      </c>
      <c r="S50" s="11">
        <f t="shared" si="26"/>
        <v>0.45935858593090712</v>
      </c>
      <c r="T50" s="11">
        <f t="shared" si="26"/>
        <v>0.47537085199743317</v>
      </c>
      <c r="U50" s="11">
        <f t="shared" si="26"/>
        <v>0.4696941389290949</v>
      </c>
      <c r="V50" s="11">
        <f t="shared" si="26"/>
        <v>0.44163395151505014</v>
      </c>
    </row>
    <row r="51" spans="8:25" x14ac:dyDescent="0.25">
      <c r="H51" s="30" t="s">
        <v>145</v>
      </c>
      <c r="I51" s="31">
        <v>0.16881399999999999</v>
      </c>
      <c r="K51" s="11">
        <f t="shared" ref="K51:V51" si="27">SUM(K41:K47)*$I51</f>
        <v>3.6464115886249497</v>
      </c>
      <c r="L51" s="11">
        <f t="shared" si="27"/>
        <v>3.7414380055822525</v>
      </c>
      <c r="M51" s="11">
        <f t="shared" si="27"/>
        <v>3.9181396822496253</v>
      </c>
      <c r="N51" s="11">
        <f t="shared" si="27"/>
        <v>4.1085535522383534</v>
      </c>
      <c r="O51" s="11">
        <f t="shared" si="27"/>
        <v>3.8930356949309153</v>
      </c>
      <c r="P51" s="11">
        <f t="shared" si="27"/>
        <v>3.7640399196060725</v>
      </c>
      <c r="Q51" s="11">
        <f t="shared" si="27"/>
        <v>3.634545122638742</v>
      </c>
      <c r="R51" s="11">
        <f t="shared" si="27"/>
        <v>3.7628315986263687</v>
      </c>
      <c r="S51" s="11">
        <f t="shared" si="27"/>
        <v>3.9744841538281044</v>
      </c>
      <c r="T51" s="11">
        <f t="shared" si="27"/>
        <v>4.1130262420734294</v>
      </c>
      <c r="U51" s="11">
        <f t="shared" si="27"/>
        <v>4.06390991590263</v>
      </c>
      <c r="V51" s="11">
        <f t="shared" si="27"/>
        <v>3.8211262308985532</v>
      </c>
    </row>
    <row r="52" spans="8:25" x14ac:dyDescent="0.25">
      <c r="H52" s="30" t="s">
        <v>115</v>
      </c>
      <c r="I52" s="34">
        <v>0.10766199999999999</v>
      </c>
      <c r="K52" s="11">
        <f t="shared" ref="K52:V52" si="28">SUM(K41:K47)*$I52</f>
        <v>2.3255178151962479</v>
      </c>
      <c r="L52" s="11">
        <f t="shared" si="28"/>
        <v>2.3861214031833642</v>
      </c>
      <c r="M52" s="11">
        <f t="shared" si="28"/>
        <v>2.4988138096980057</v>
      </c>
      <c r="N52" s="11">
        <f t="shared" si="28"/>
        <v>2.6202512382923544</v>
      </c>
      <c r="O52" s="11">
        <f t="shared" si="28"/>
        <v>2.4828036121865025</v>
      </c>
      <c r="P52" s="11">
        <f t="shared" si="28"/>
        <v>2.4005358905341319</v>
      </c>
      <c r="Q52" s="11">
        <f t="shared" si="28"/>
        <v>2.3179499152530729</v>
      </c>
      <c r="R52" s="11">
        <f t="shared" si="28"/>
        <v>2.3997652775913854</v>
      </c>
      <c r="S52" s="11">
        <f t="shared" si="28"/>
        <v>2.5347477873247559</v>
      </c>
      <c r="T52" s="11">
        <f t="shared" si="28"/>
        <v>2.6231037193248756</v>
      </c>
      <c r="U52" s="11">
        <f t="shared" si="28"/>
        <v>2.5917795287470766</v>
      </c>
      <c r="V52" s="11">
        <f t="shared" si="28"/>
        <v>2.4369429802682241</v>
      </c>
    </row>
    <row r="53" spans="8:25" x14ac:dyDescent="0.25">
      <c r="H53" s="30" t="s">
        <v>116</v>
      </c>
      <c r="I53" s="31">
        <v>2.3567999999999999E-2</v>
      </c>
      <c r="K53" s="11">
        <f t="shared" ref="K53:V53" si="29">SUM(K41:K52)*$I53</f>
        <v>0.70957101595371386</v>
      </c>
      <c r="L53" s="11">
        <f t="shared" si="29"/>
        <v>0.7344471094770243</v>
      </c>
      <c r="M53" s="11">
        <f t="shared" si="29"/>
        <v>0.78070421960755154</v>
      </c>
      <c r="N53" s="11">
        <f t="shared" si="29"/>
        <v>0.83055091897435418</v>
      </c>
      <c r="O53" s="11">
        <f t="shared" si="29"/>
        <v>0.77413247717693023</v>
      </c>
      <c r="P53" s="11">
        <f t="shared" si="29"/>
        <v>0.7403638571043184</v>
      </c>
      <c r="Q53" s="11">
        <f t="shared" si="29"/>
        <v>0.70646460273604272</v>
      </c>
      <c r="R53" s="11">
        <f t="shared" si="29"/>
        <v>0.74004754184525956</v>
      </c>
      <c r="S53" s="11">
        <f t="shared" si="29"/>
        <v>0.80315127094596128</v>
      </c>
      <c r="T53" s="11">
        <f t="shared" si="29"/>
        <v>0.84054824515521054</v>
      </c>
      <c r="U53" s="11">
        <f t="shared" si="29"/>
        <v>0.82729016592220594</v>
      </c>
      <c r="V53" s="11">
        <f t="shared" si="29"/>
        <v>0.7617550255073553</v>
      </c>
    </row>
    <row r="54" spans="8:25" x14ac:dyDescent="0.25">
      <c r="K54" s="11">
        <f>SUM(K41:K53)</f>
        <v>30.816963071016254</v>
      </c>
      <c r="L54" s="11">
        <f>SUM(L41:L53)</f>
        <v>31.897342114442417</v>
      </c>
      <c r="M54" s="41">
        <f>SUM(M41:M53)</f>
        <v>33.906307563444599</v>
      </c>
      <c r="N54" s="41">
        <f t="shared" ref="N54:U54" si="30">SUM(N41:N53)</f>
        <v>36.071170359501942</v>
      </c>
      <c r="O54" s="11">
        <f t="shared" si="30"/>
        <v>33.620894068187205</v>
      </c>
      <c r="P54" s="11">
        <f t="shared" si="30"/>
        <v>32.154308914144309</v>
      </c>
      <c r="Q54" s="11">
        <f t="shared" si="30"/>
        <v>30.682050258542336</v>
      </c>
      <c r="R54" s="11">
        <f t="shared" si="30"/>
        <v>32.140571211450641</v>
      </c>
      <c r="S54" s="11">
        <f t="shared" si="30"/>
        <v>34.881192298863532</v>
      </c>
      <c r="T54" s="11">
        <f t="shared" si="30"/>
        <v>36.50535837563767</v>
      </c>
      <c r="U54" s="11">
        <f t="shared" si="30"/>
        <v>35.929554504101347</v>
      </c>
      <c r="V54" s="11">
        <f>SUM(V41:V53)</f>
        <v>33.083336216416868</v>
      </c>
      <c r="W54" s="11">
        <f>SUM(K54:V54)/12</f>
        <v>33.474087412979095</v>
      </c>
      <c r="X54" s="3">
        <f>W54/W20-1</f>
        <v>0.44795156169626238</v>
      </c>
      <c r="Y54" s="11">
        <f>W54-W20</f>
        <v>10.355850381786905</v>
      </c>
    </row>
    <row r="57" spans="8:25" x14ac:dyDescent="0.25">
      <c r="J57" s="12" t="s">
        <v>3</v>
      </c>
      <c r="K57" s="39">
        <v>73.364410983114368</v>
      </c>
      <c r="L57" s="40">
        <v>84.678195213020032</v>
      </c>
      <c r="M57" s="40">
        <v>105.71618345765205</v>
      </c>
      <c r="N57" s="40">
        <v>128.38673664079235</v>
      </c>
      <c r="O57" s="40">
        <v>102.72731883528299</v>
      </c>
      <c r="P57" s="40">
        <v>87.369164594337235</v>
      </c>
      <c r="Q57" s="40">
        <v>71.951597156830701</v>
      </c>
      <c r="R57" s="40">
        <v>87.225302673804421</v>
      </c>
      <c r="S57" s="40">
        <v>112.42452009075275</v>
      </c>
      <c r="T57" s="40">
        <v>128.91925222268665</v>
      </c>
      <c r="U57" s="40">
        <v>123.07149394393578</v>
      </c>
      <c r="V57" s="40">
        <v>94.165824187790719</v>
      </c>
    </row>
    <row r="58" spans="8:25" ht="16.5" thickBot="1" x14ac:dyDescent="0.3">
      <c r="H58" s="63" t="s">
        <v>154</v>
      </c>
      <c r="I58" s="63"/>
      <c r="J58" s="12" t="s">
        <v>136</v>
      </c>
      <c r="K58" s="37" t="s">
        <v>124</v>
      </c>
      <c r="L58" s="37" t="s">
        <v>125</v>
      </c>
      <c r="M58" s="37" t="s">
        <v>126</v>
      </c>
      <c r="N58" s="37" t="s">
        <v>127</v>
      </c>
      <c r="O58" s="37" t="s">
        <v>128</v>
      </c>
      <c r="P58" s="37" t="s">
        <v>129</v>
      </c>
      <c r="Q58" s="37" t="s">
        <v>130</v>
      </c>
      <c r="R58" s="37" t="s">
        <v>131</v>
      </c>
      <c r="S58" s="37" t="s">
        <v>132</v>
      </c>
      <c r="T58" s="37" t="s">
        <v>133</v>
      </c>
      <c r="U58" s="37" t="s">
        <v>134</v>
      </c>
      <c r="V58" s="37" t="s">
        <v>135</v>
      </c>
    </row>
    <row r="59" spans="8:25" x14ac:dyDescent="0.25">
      <c r="H59" s="32" t="s">
        <v>118</v>
      </c>
      <c r="I59" s="33">
        <v>10</v>
      </c>
      <c r="K59" s="11">
        <f>$I59</f>
        <v>10</v>
      </c>
      <c r="L59" s="11">
        <f t="shared" ref="L59:V59" si="31">$I59</f>
        <v>10</v>
      </c>
      <c r="M59" s="11">
        <f t="shared" si="31"/>
        <v>10</v>
      </c>
      <c r="N59" s="11">
        <f t="shared" si="31"/>
        <v>10</v>
      </c>
      <c r="O59" s="11">
        <f t="shared" si="31"/>
        <v>10</v>
      </c>
      <c r="P59" s="11">
        <f t="shared" si="31"/>
        <v>10</v>
      </c>
      <c r="Q59" s="11">
        <f t="shared" si="31"/>
        <v>10</v>
      </c>
      <c r="R59" s="11">
        <f t="shared" si="31"/>
        <v>10</v>
      </c>
      <c r="S59" s="11">
        <f t="shared" si="31"/>
        <v>10</v>
      </c>
      <c r="T59" s="11">
        <f t="shared" si="31"/>
        <v>10</v>
      </c>
      <c r="U59" s="11">
        <f t="shared" si="31"/>
        <v>10</v>
      </c>
      <c r="V59" s="11">
        <f t="shared" si="31"/>
        <v>10</v>
      </c>
    </row>
    <row r="60" spans="8:25" x14ac:dyDescent="0.25">
      <c r="H60" s="26" t="s">
        <v>119</v>
      </c>
      <c r="I60" s="27">
        <v>5.755255297651591E-2</v>
      </c>
      <c r="K60" s="11">
        <f>K57*$I60</f>
        <v>4.2223091496965752</v>
      </c>
      <c r="L60" s="11">
        <f t="shared" ref="L60:R60" si="32">L57*$I60</f>
        <v>4.8734463159530916</v>
      </c>
      <c r="M60" s="11">
        <f t="shared" si="32"/>
        <v>6.0842362489215942</v>
      </c>
      <c r="N60" s="11">
        <f t="shared" si="32"/>
        <v>7.388984462001198</v>
      </c>
      <c r="O60" s="11">
        <f t="shared" si="32"/>
        <v>5.9122194594030644</v>
      </c>
      <c r="P60" s="11">
        <f t="shared" si="32"/>
        <v>5.0283184738295317</v>
      </c>
      <c r="Q60" s="11">
        <f t="shared" si="32"/>
        <v>4.1409981071134307</v>
      </c>
      <c r="R60" s="11">
        <f t="shared" si="32"/>
        <v>5.0200388530267634</v>
      </c>
      <c r="S60" s="11">
        <v>0</v>
      </c>
      <c r="T60" s="11">
        <v>0</v>
      </c>
      <c r="U60" s="11">
        <v>0</v>
      </c>
      <c r="V60" s="11">
        <v>0</v>
      </c>
    </row>
    <row r="61" spans="8:25" x14ac:dyDescent="0.25">
      <c r="H61" s="26" t="s">
        <v>120</v>
      </c>
      <c r="I61" s="27">
        <v>5.0473552976515908E-2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</row>
    <row r="62" spans="8:25" x14ac:dyDescent="0.25">
      <c r="H62" s="35" t="s">
        <v>121</v>
      </c>
      <c r="I62" s="27">
        <v>4.9689552976515908E-2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</row>
    <row r="63" spans="8:25" x14ac:dyDescent="0.25">
      <c r="H63" s="26" t="s">
        <v>122</v>
      </c>
      <c r="I63" s="27">
        <v>5.755255297651591E-2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f t="shared" ref="S63:U63" si="33">S57*$I63</f>
        <v>6.4703181483824252</v>
      </c>
      <c r="T63" s="11">
        <f t="shared" si="33"/>
        <v>7.4196320932389899</v>
      </c>
      <c r="U63" s="11">
        <f t="shared" si="33"/>
        <v>7.0830786751073207</v>
      </c>
      <c r="V63" s="11">
        <f>V57*$I63</f>
        <v>5.4194835851451089</v>
      </c>
    </row>
    <row r="64" spans="8:25" x14ac:dyDescent="0.25">
      <c r="H64" s="26" t="s">
        <v>123</v>
      </c>
      <c r="I64" s="27">
        <v>9.0437552976515914E-2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35" t="s">
        <v>156</v>
      </c>
      <c r="I65" s="27">
        <v>9.3330552976515907E-2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64" t="s">
        <v>112</v>
      </c>
      <c r="I66" s="27">
        <v>3.1718000000000003E-2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f>S57*$I66</f>
        <v>3.5658809282384962</v>
      </c>
      <c r="T66" s="11">
        <f>T57*$I66</f>
        <v>4.0890608419991752</v>
      </c>
      <c r="U66" s="11">
        <f>U57*$I66</f>
        <v>3.9035816449137553</v>
      </c>
      <c r="V66" s="11">
        <f>V57*$I66</f>
        <v>2.9867516115883461</v>
      </c>
    </row>
    <row r="67" spans="8:25" x14ac:dyDescent="0.25">
      <c r="H67" s="64"/>
      <c r="I67" s="27">
        <v>2.8812999999999998E-2</v>
      </c>
      <c r="K67" s="11">
        <f t="shared" ref="K67:R67" si="34">K57*$I67</f>
        <v>2.1138487736564739</v>
      </c>
      <c r="L67" s="11">
        <f t="shared" si="34"/>
        <v>2.4398328386727459</v>
      </c>
      <c r="M67" s="11">
        <f t="shared" si="34"/>
        <v>3.0460003939653282</v>
      </c>
      <c r="N67" s="11">
        <f t="shared" si="34"/>
        <v>3.6992070428311496</v>
      </c>
      <c r="O67" s="11">
        <f t="shared" si="34"/>
        <v>2.9598822376010085</v>
      </c>
      <c r="P67" s="11">
        <f t="shared" si="34"/>
        <v>2.5173677394566387</v>
      </c>
      <c r="Q67" s="11">
        <f t="shared" si="34"/>
        <v>2.0731413688797629</v>
      </c>
      <c r="R67" s="11">
        <f t="shared" si="34"/>
        <v>2.5132226459403268</v>
      </c>
      <c r="S67" s="11">
        <v>0</v>
      </c>
      <c r="T67" s="11">
        <v>0</v>
      </c>
      <c r="U67" s="11">
        <v>0</v>
      </c>
      <c r="V67" s="11">
        <v>0</v>
      </c>
    </row>
    <row r="68" spans="8:25" x14ac:dyDescent="0.25">
      <c r="H68" s="28" t="s">
        <v>144</v>
      </c>
      <c r="I68" s="29">
        <v>1.9511000000000001E-2</v>
      </c>
      <c r="K68" s="11">
        <f t="shared" ref="K68:V68" si="35">SUM(K59:K65)*$I68</f>
        <v>0.27749147381972988</v>
      </c>
      <c r="L68" s="11">
        <f t="shared" si="35"/>
        <v>0.29019581107056081</v>
      </c>
      <c r="M68" s="11">
        <f t="shared" si="35"/>
        <v>0.31381953345270924</v>
      </c>
      <c r="N68" s="11">
        <f t="shared" si="35"/>
        <v>0.33927647583810538</v>
      </c>
      <c r="O68" s="11">
        <f t="shared" si="35"/>
        <v>0.31046331387241322</v>
      </c>
      <c r="P68" s="11">
        <f t="shared" si="35"/>
        <v>0.29321752174288801</v>
      </c>
      <c r="Q68" s="11">
        <f t="shared" si="35"/>
        <v>0.27590501406789014</v>
      </c>
      <c r="R68" s="11">
        <f t="shared" si="35"/>
        <v>0.29305597806140521</v>
      </c>
      <c r="S68" s="11">
        <f t="shared" si="35"/>
        <v>0.32135237739308953</v>
      </c>
      <c r="T68" s="11">
        <f t="shared" si="35"/>
        <v>0.33987444177118592</v>
      </c>
      <c r="U68" s="11">
        <f t="shared" si="35"/>
        <v>0.33330794803001895</v>
      </c>
      <c r="V68" s="11">
        <f t="shared" si="35"/>
        <v>0.30084954422976623</v>
      </c>
    </row>
    <row r="69" spans="8:25" x14ac:dyDescent="0.25">
      <c r="H69" s="30" t="s">
        <v>145</v>
      </c>
      <c r="I69" s="31">
        <v>0.16881399999999999</v>
      </c>
      <c r="K69" s="11">
        <f t="shared" ref="K69:V69" si="36">SUM(K59:K65)*$I69</f>
        <v>2.4009248967968775</v>
      </c>
      <c r="L69" s="11">
        <f t="shared" si="36"/>
        <v>2.5108459663813054</v>
      </c>
      <c r="M69" s="11">
        <f t="shared" si="36"/>
        <v>2.7152442581254501</v>
      </c>
      <c r="N69" s="11">
        <f t="shared" si="36"/>
        <v>2.9355040229682698</v>
      </c>
      <c r="O69" s="11">
        <f t="shared" si="36"/>
        <v>2.6862054158196691</v>
      </c>
      <c r="P69" s="11">
        <f t="shared" si="36"/>
        <v>2.5369905548410587</v>
      </c>
      <c r="Q69" s="11">
        <f t="shared" si="36"/>
        <v>2.3871984544542464</v>
      </c>
      <c r="R69" s="11">
        <f t="shared" si="36"/>
        <v>2.5355928389348601</v>
      </c>
      <c r="S69" s="11">
        <f t="shared" si="36"/>
        <v>2.7804202879010305</v>
      </c>
      <c r="T69" s="11">
        <f t="shared" si="36"/>
        <v>2.9406777721880464</v>
      </c>
      <c r="U69" s="11">
        <f t="shared" si="36"/>
        <v>2.8838628434595668</v>
      </c>
      <c r="V69" s="11">
        <f t="shared" si="36"/>
        <v>2.6030247019426862</v>
      </c>
    </row>
    <row r="70" spans="8:25" x14ac:dyDescent="0.25">
      <c r="H70" s="30" t="s">
        <v>115</v>
      </c>
      <c r="I70" s="34">
        <v>0.10766199999999999</v>
      </c>
      <c r="K70" s="11">
        <f t="shared" ref="K70:V70" si="37">SUM(K59:K65)*$I70</f>
        <v>1.5312022476746325</v>
      </c>
      <c r="L70" s="11">
        <f t="shared" si="37"/>
        <v>1.6013049772681418</v>
      </c>
      <c r="M70" s="11">
        <f t="shared" si="37"/>
        <v>1.7316610430313966</v>
      </c>
      <c r="N70" s="11">
        <f t="shared" si="37"/>
        <v>1.8721328451479728</v>
      </c>
      <c r="O70" s="11">
        <f t="shared" si="37"/>
        <v>1.7131413714382526</v>
      </c>
      <c r="P70" s="11">
        <f t="shared" si="37"/>
        <v>1.617978823529435</v>
      </c>
      <c r="Q70" s="11">
        <f t="shared" si="37"/>
        <v>1.5224481382080461</v>
      </c>
      <c r="R70" s="11">
        <f t="shared" si="37"/>
        <v>1.6170874229945673</v>
      </c>
      <c r="S70" s="11">
        <f t="shared" si="37"/>
        <v>1.7732273924911486</v>
      </c>
      <c r="T70" s="11">
        <f t="shared" si="37"/>
        <v>1.8754324304222958</v>
      </c>
      <c r="U70" s="11">
        <f t="shared" si="37"/>
        <v>1.8391984163194042</v>
      </c>
      <c r="V70" s="11">
        <f t="shared" si="37"/>
        <v>1.6600924417438927</v>
      </c>
    </row>
    <row r="71" spans="8:25" x14ac:dyDescent="0.25">
      <c r="H71" s="30" t="s">
        <v>116</v>
      </c>
      <c r="I71" s="31">
        <v>2.3567999999999999E-2</v>
      </c>
      <c r="K71" s="11">
        <f t="shared" ref="K71:V71" si="38">SUM(K59:K70)*$I71</f>
        <v>0.48422286153347255</v>
      </c>
      <c r="L71" s="11">
        <f t="shared" si="38"/>
        <v>0.51179387143146282</v>
      </c>
      <c r="M71" s="11">
        <f t="shared" si="38"/>
        <v>0.563062180101637</v>
      </c>
      <c r="N71" s="11">
        <f t="shared" si="38"/>
        <v>0.61830895107620476</v>
      </c>
      <c r="O71" s="11">
        <f t="shared" si="38"/>
        <v>0.55577849725843165</v>
      </c>
      <c r="P71" s="11">
        <f t="shared" si="38"/>
        <v>0.51835160153660065</v>
      </c>
      <c r="Q71" s="11">
        <f t="shared" si="38"/>
        <v>0.48077991943762449</v>
      </c>
      <c r="R71" s="11">
        <f t="shared" si="38"/>
        <v>0.51800101871176041</v>
      </c>
      <c r="S71" s="11">
        <f t="shared" si="38"/>
        <v>0.58710714119968499</v>
      </c>
      <c r="T71" s="11">
        <f t="shared" si="38"/>
        <v>0.62843312119647687</v>
      </c>
      <c r="U71" s="11">
        <f t="shared" si="38"/>
        <v>0.6137821199118989</v>
      </c>
      <c r="V71" s="11">
        <f t="shared" si="38"/>
        <v>0.5413617180174265</v>
      </c>
    </row>
    <row r="72" spans="8:25" x14ac:dyDescent="0.25">
      <c r="K72" s="11">
        <f>SUM(K59:K71)</f>
        <v>21.029999403177758</v>
      </c>
      <c r="L72" s="11">
        <f>SUM(L59:L71)</f>
        <v>22.227419780777307</v>
      </c>
      <c r="M72" s="41">
        <f>SUM(M59:M71)</f>
        <v>24.454023657598114</v>
      </c>
      <c r="N72" s="41">
        <f t="shared" ref="N72" si="39">SUM(N59:N71)</f>
        <v>26.853413799862899</v>
      </c>
      <c r="O72" s="11">
        <f t="shared" ref="O72" si="40">SUM(O59:O71)</f>
        <v>24.137690295392837</v>
      </c>
      <c r="P72" s="11">
        <f t="shared" ref="P72" si="41">SUM(P59:P71)</f>
        <v>22.512224714936153</v>
      </c>
      <c r="Q72" s="11">
        <f t="shared" ref="Q72" si="42">SUM(Q59:Q71)</f>
        <v>20.880471002160998</v>
      </c>
      <c r="R72" s="11">
        <f t="shared" ref="R72" si="43">SUM(R59:R71)</f>
        <v>22.496998757669687</v>
      </c>
      <c r="S72" s="11">
        <f t="shared" ref="S72" si="44">SUM(S59:S71)</f>
        <v>25.498306275605874</v>
      </c>
      <c r="T72" s="11">
        <f t="shared" ref="T72" si="45">SUM(T59:T71)</f>
        <v>27.293110700816168</v>
      </c>
      <c r="U72" s="11">
        <f t="shared" ref="U72" si="46">SUM(U59:U71)</f>
        <v>26.656811647741964</v>
      </c>
      <c r="V72" s="11">
        <f>SUM(V59:V71)</f>
        <v>23.511563602667227</v>
      </c>
      <c r="W72" s="11">
        <f>SUM(K72:V72)/12</f>
        <v>23.962669469867251</v>
      </c>
      <c r="X72" s="3">
        <f>W72/W20-1</f>
        <v>3.6526679674393492E-2</v>
      </c>
      <c r="Y72" s="11">
        <f>W72-W20</f>
        <v>0.84443243867506013</v>
      </c>
    </row>
  </sheetData>
  <mergeCells count="8">
    <mergeCell ref="H58:I58"/>
    <mergeCell ref="H66:H67"/>
    <mergeCell ref="H6:I6"/>
    <mergeCell ref="H14:H15"/>
    <mergeCell ref="H23:I23"/>
    <mergeCell ref="H31:H32"/>
    <mergeCell ref="H40:I40"/>
    <mergeCell ref="H48:H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2"/>
  <sheetViews>
    <sheetView topLeftCell="F1" workbookViewId="0">
      <selection activeCell="J8" sqref="J8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8.5" customWidth="1"/>
  </cols>
  <sheetData>
    <row r="1" spans="1:23" x14ac:dyDescent="0.25">
      <c r="J1" s="12" t="s">
        <v>157</v>
      </c>
      <c r="K1" t="s">
        <v>158</v>
      </c>
    </row>
    <row r="2" spans="1:23" x14ac:dyDescent="0.25">
      <c r="A2" t="s">
        <v>1</v>
      </c>
      <c r="B2" t="s">
        <v>2</v>
      </c>
      <c r="J2" s="12" t="s">
        <v>139</v>
      </c>
      <c r="K2" s="39">
        <v>493.43775365861472</v>
      </c>
      <c r="L2" s="40">
        <v>569.53252769105154</v>
      </c>
      <c r="M2" s="40">
        <v>711.03080351469112</v>
      </c>
      <c r="N2" s="40">
        <v>863.50946022279993</v>
      </c>
      <c r="O2" s="40">
        <v>690.92815939217587</v>
      </c>
      <c r="P2" s="40">
        <v>587.63157420267532</v>
      </c>
      <c r="Q2" s="40">
        <v>483.93538498370373</v>
      </c>
      <c r="R2" s="40">
        <v>586.66398103381505</v>
      </c>
      <c r="S2" s="40">
        <v>756.1500447743922</v>
      </c>
      <c r="T2" s="40">
        <v>867.09107818983591</v>
      </c>
      <c r="U2" s="40">
        <v>827.75995468814881</v>
      </c>
      <c r="V2" s="40">
        <v>633.3448621202715</v>
      </c>
      <c r="W2" s="40">
        <f>SUM(K2:V2)</f>
        <v>8071.0155844721758</v>
      </c>
    </row>
    <row r="3" spans="1:23" x14ac:dyDescent="0.25">
      <c r="A3" t="s">
        <v>3</v>
      </c>
      <c r="B3" t="s">
        <v>4</v>
      </c>
      <c r="J3" s="12" t="s">
        <v>160</v>
      </c>
      <c r="K3" s="39">
        <f>K2*($W3/$W2)</f>
        <v>146.72882196622874</v>
      </c>
      <c r="L3" s="39">
        <f t="shared" ref="L3:V3" si="0">L2*($W3/$W2)</f>
        <v>169.35639042604006</v>
      </c>
      <c r="M3" s="39">
        <f t="shared" si="0"/>
        <v>211.4323669153041</v>
      </c>
      <c r="N3" s="39">
        <f t="shared" si="0"/>
        <v>256.7734732815847</v>
      </c>
      <c r="O3" s="39">
        <f t="shared" si="0"/>
        <v>205.45463767056597</v>
      </c>
      <c r="P3" s="39">
        <f t="shared" si="0"/>
        <v>174.73832918867447</v>
      </c>
      <c r="Q3" s="39">
        <f t="shared" si="0"/>
        <v>143.9031943136614</v>
      </c>
      <c r="R3" s="39">
        <f t="shared" si="0"/>
        <v>174.45060534760884</v>
      </c>
      <c r="S3" s="39">
        <f t="shared" si="0"/>
        <v>224.8490401815055</v>
      </c>
      <c r="T3" s="39">
        <f t="shared" si="0"/>
        <v>257.8385044453733</v>
      </c>
      <c r="U3" s="39">
        <f t="shared" si="0"/>
        <v>246.14298788787156</v>
      </c>
      <c r="V3" s="39">
        <f t="shared" si="0"/>
        <v>188.33164837558144</v>
      </c>
      <c r="W3">
        <f>200*12</f>
        <v>2400</v>
      </c>
    </row>
    <row r="4" spans="1:23" x14ac:dyDescent="0.25">
      <c r="A4" t="s">
        <v>5</v>
      </c>
      <c r="B4" t="s">
        <v>1</v>
      </c>
      <c r="C4" t="s">
        <v>2</v>
      </c>
    </row>
    <row r="5" spans="1:23" x14ac:dyDescent="0.25">
      <c r="A5" t="s">
        <v>0</v>
      </c>
      <c r="J5" s="12" t="s">
        <v>3</v>
      </c>
      <c r="K5" s="39">
        <v>146.72882196622874</v>
      </c>
      <c r="L5" s="40">
        <v>169.35639042604006</v>
      </c>
      <c r="M5" s="40">
        <v>211.4323669153041</v>
      </c>
      <c r="N5" s="40">
        <v>256.7734732815847</v>
      </c>
      <c r="O5" s="40">
        <v>205.45463767056597</v>
      </c>
      <c r="P5" s="40">
        <v>174.73832918867447</v>
      </c>
      <c r="Q5" s="40">
        <v>143.9031943136614</v>
      </c>
      <c r="R5" s="40">
        <v>174.45060534760884</v>
      </c>
      <c r="S5" s="40">
        <v>224.8490401815055</v>
      </c>
      <c r="T5" s="40">
        <v>257.8385044453733</v>
      </c>
      <c r="U5" s="40">
        <v>246.14298788787156</v>
      </c>
      <c r="V5" s="40">
        <v>188.33164837558144</v>
      </c>
      <c r="W5" s="40">
        <f>SUM(K5:V5)</f>
        <v>2400</v>
      </c>
    </row>
    <row r="6" spans="1:23" ht="16.5" thickBot="1" x14ac:dyDescent="0.3">
      <c r="A6" t="s">
        <v>6</v>
      </c>
      <c r="B6" t="s">
        <v>7</v>
      </c>
      <c r="C6" t="s">
        <v>8</v>
      </c>
      <c r="H6" s="63" t="s">
        <v>117</v>
      </c>
      <c r="I6" s="63"/>
      <c r="J6" s="12" t="s">
        <v>136</v>
      </c>
      <c r="K6" s="37" t="s">
        <v>124</v>
      </c>
      <c r="L6" s="37" t="s">
        <v>125</v>
      </c>
      <c r="M6" s="37" t="s">
        <v>126</v>
      </c>
      <c r="N6" s="37" t="s">
        <v>127</v>
      </c>
      <c r="O6" s="37" t="s">
        <v>128</v>
      </c>
      <c r="P6" s="37" t="s">
        <v>129</v>
      </c>
      <c r="Q6" s="37" t="s">
        <v>130</v>
      </c>
      <c r="R6" s="37" t="s">
        <v>131</v>
      </c>
      <c r="S6" s="37" t="s">
        <v>132</v>
      </c>
      <c r="T6" s="37" t="s">
        <v>133</v>
      </c>
      <c r="U6" s="37" t="s">
        <v>134</v>
      </c>
      <c r="V6" s="37" t="s">
        <v>135</v>
      </c>
    </row>
    <row r="7" spans="1:23" x14ac:dyDescent="0.25">
      <c r="A7" t="s">
        <v>9</v>
      </c>
      <c r="B7" t="s">
        <v>1</v>
      </c>
      <c r="H7" s="32" t="s">
        <v>118</v>
      </c>
      <c r="I7" s="33">
        <v>10</v>
      </c>
      <c r="K7" s="11">
        <f>$I7</f>
        <v>10</v>
      </c>
      <c r="L7" s="11">
        <f t="shared" ref="L7:V7" si="1">$I7</f>
        <v>10</v>
      </c>
      <c r="M7" s="11">
        <f t="shared" si="1"/>
        <v>10</v>
      </c>
      <c r="N7" s="11">
        <f t="shared" si="1"/>
        <v>10</v>
      </c>
      <c r="O7" s="11">
        <f t="shared" si="1"/>
        <v>10</v>
      </c>
      <c r="P7" s="11">
        <f t="shared" si="1"/>
        <v>10</v>
      </c>
      <c r="Q7" s="11">
        <f t="shared" si="1"/>
        <v>10</v>
      </c>
      <c r="R7" s="11">
        <f t="shared" si="1"/>
        <v>10</v>
      </c>
      <c r="S7" s="11">
        <f t="shared" si="1"/>
        <v>10</v>
      </c>
      <c r="T7" s="11">
        <f t="shared" si="1"/>
        <v>10</v>
      </c>
      <c r="U7" s="11">
        <f t="shared" si="1"/>
        <v>10</v>
      </c>
      <c r="V7" s="11">
        <f t="shared" si="1"/>
        <v>10</v>
      </c>
    </row>
    <row r="8" spans="1:23" x14ac:dyDescent="0.25">
      <c r="A8" t="s">
        <v>2</v>
      </c>
      <c r="B8" t="s">
        <v>0</v>
      </c>
      <c r="H8" s="26" t="s">
        <v>119</v>
      </c>
      <c r="I8" s="27">
        <v>5.6582E-2</v>
      </c>
      <c r="K8" s="11">
        <f>K5*$I8</f>
        <v>8.3022102044931536</v>
      </c>
      <c r="L8" s="11">
        <f t="shared" ref="L8:R8" si="2">L5*$I8</f>
        <v>9.5825232830861982</v>
      </c>
      <c r="M8" s="11">
        <f t="shared" si="2"/>
        <v>11.963266184801737</v>
      </c>
      <c r="N8" s="11">
        <f t="shared" si="2"/>
        <v>14.528756665218626</v>
      </c>
      <c r="O8" s="11">
        <f t="shared" si="2"/>
        <v>11.625034308675964</v>
      </c>
      <c r="P8" s="11">
        <f t="shared" si="2"/>
        <v>9.8870441421535791</v>
      </c>
      <c r="Q8" s="11">
        <f t="shared" si="2"/>
        <v>8.142330540655589</v>
      </c>
      <c r="R8" s="11">
        <f t="shared" si="2"/>
        <v>9.8707641517784044</v>
      </c>
      <c r="S8" s="11">
        <v>0</v>
      </c>
      <c r="T8" s="11">
        <v>0</v>
      </c>
      <c r="U8" s="11">
        <v>0</v>
      </c>
      <c r="V8" s="11">
        <v>0</v>
      </c>
    </row>
    <row r="9" spans="1:23" x14ac:dyDescent="0.25">
      <c r="A9" t="s">
        <v>1</v>
      </c>
      <c r="B9" t="s">
        <v>2</v>
      </c>
      <c r="H9" s="26" t="s">
        <v>120</v>
      </c>
      <c r="I9" s="27">
        <v>4.8533E-2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0</v>
      </c>
      <c r="B10" t="s">
        <v>10</v>
      </c>
      <c r="H10" s="35" t="s">
        <v>121</v>
      </c>
      <c r="I10" s="27">
        <v>4.7641000000000003E-2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H11" s="26" t="s">
        <v>122</v>
      </c>
      <c r="I11" s="27">
        <v>5.6582E-2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 t="shared" ref="S11:U11" si="3">S5*$I11</f>
        <v>12.722408391549944</v>
      </c>
      <c r="T11" s="11">
        <f t="shared" si="3"/>
        <v>14.589018258528112</v>
      </c>
      <c r="U11" s="11">
        <f t="shared" si="3"/>
        <v>13.927262540671549</v>
      </c>
      <c r="V11" s="11">
        <f>V5*$I11</f>
        <v>10.656181328387149</v>
      </c>
    </row>
    <row r="12" spans="1:23" x14ac:dyDescent="0.25">
      <c r="A12" s="21" t="s">
        <v>109</v>
      </c>
      <c r="B12" s="21" t="s">
        <v>110</v>
      </c>
      <c r="C12" s="22"/>
      <c r="D12" s="22"/>
      <c r="E12" s="22"/>
      <c r="F12" s="21" t="s">
        <v>111</v>
      </c>
      <c r="H12" s="26" t="s">
        <v>123</v>
      </c>
      <c r="I12" s="27">
        <v>9.3982999999999997E-2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3" x14ac:dyDescent="0.25">
      <c r="A13" s="22" t="s">
        <v>11</v>
      </c>
      <c r="B13" s="22">
        <v>673</v>
      </c>
      <c r="C13" s="23">
        <v>83.88</v>
      </c>
      <c r="D13" s="23">
        <v>92.33</v>
      </c>
      <c r="E13" s="23">
        <v>8.4499999999999993</v>
      </c>
      <c r="F13" s="24">
        <f>D13/C13-1</f>
        <v>0.10073915116833576</v>
      </c>
      <c r="H13" s="35" t="s">
        <v>156</v>
      </c>
      <c r="I13" s="27">
        <v>9.7272999999999998E-2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3" x14ac:dyDescent="0.25">
      <c r="A14" s="22" t="s">
        <v>12</v>
      </c>
      <c r="B14" s="25">
        <v>1000</v>
      </c>
      <c r="C14" s="23">
        <v>123.31</v>
      </c>
      <c r="D14" s="23">
        <v>133.09</v>
      </c>
      <c r="E14" s="23">
        <v>9.7799999999999994</v>
      </c>
      <c r="F14" s="24">
        <f t="shared" ref="F14:F15" si="4">D14/C14-1</f>
        <v>7.9312302327467332E-2</v>
      </c>
      <c r="H14" s="64" t="s">
        <v>112</v>
      </c>
      <c r="I14" s="27">
        <v>3.1718000000000003E-2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S5*$I14</f>
        <v>7.1317618564769925</v>
      </c>
      <c r="T14" s="11">
        <f>T5*$I14</f>
        <v>8.1781216839983504</v>
      </c>
      <c r="U14" s="11">
        <f>U5*$I14</f>
        <v>7.8071632898275105</v>
      </c>
      <c r="V14" s="11">
        <f>V5*$I14</f>
        <v>5.9735032231766922</v>
      </c>
    </row>
    <row r="15" spans="1:23" x14ac:dyDescent="0.25">
      <c r="A15" s="22" t="s">
        <v>13</v>
      </c>
      <c r="B15" s="25">
        <v>1837</v>
      </c>
      <c r="C15" s="23">
        <v>225.4</v>
      </c>
      <c r="D15" s="23">
        <v>238.64</v>
      </c>
      <c r="E15" s="23">
        <v>13.24</v>
      </c>
      <c r="F15" s="24">
        <f t="shared" si="4"/>
        <v>5.8740017746228945E-2</v>
      </c>
      <c r="H15" s="64"/>
      <c r="I15" s="27">
        <v>2.8812999999999998E-2</v>
      </c>
      <c r="K15" s="11">
        <f t="shared" ref="K15:R15" si="5">K5*$I15</f>
        <v>4.2276975473129479</v>
      </c>
      <c r="L15" s="11">
        <f t="shared" si="5"/>
        <v>4.8796656773454918</v>
      </c>
      <c r="M15" s="11">
        <f t="shared" si="5"/>
        <v>6.0920007879306564</v>
      </c>
      <c r="N15" s="11">
        <f t="shared" si="5"/>
        <v>7.3984140856622993</v>
      </c>
      <c r="O15" s="11">
        <f t="shared" si="5"/>
        <v>5.9197644752020171</v>
      </c>
      <c r="P15" s="11">
        <f t="shared" si="5"/>
        <v>5.0347354789132774</v>
      </c>
      <c r="Q15" s="11">
        <f t="shared" si="5"/>
        <v>4.1462827377595257</v>
      </c>
      <c r="R15" s="11">
        <f t="shared" si="5"/>
        <v>5.0264452918806537</v>
      </c>
      <c r="S15" s="11">
        <v>0</v>
      </c>
      <c r="T15" s="11">
        <v>0</v>
      </c>
      <c r="U15" s="11">
        <v>0</v>
      </c>
      <c r="V15" s="11">
        <v>0</v>
      </c>
    </row>
    <row r="16" spans="1:23" x14ac:dyDescent="0.25">
      <c r="F16" s="3"/>
      <c r="H16" s="28" t="s">
        <v>113</v>
      </c>
      <c r="I16" s="29">
        <v>1.6721E-2</v>
      </c>
      <c r="K16" s="11">
        <f t="shared" ref="K16:V16" si="6">SUM(K7:K13)*$I16</f>
        <v>0.30603125682933002</v>
      </c>
      <c r="L16" s="11">
        <f t="shared" si="6"/>
        <v>0.3274393718164843</v>
      </c>
      <c r="M16" s="11">
        <f t="shared" si="6"/>
        <v>0.36724777387606988</v>
      </c>
      <c r="N16" s="11">
        <f t="shared" si="6"/>
        <v>0.41014534019912063</v>
      </c>
      <c r="O16" s="11">
        <f t="shared" si="6"/>
        <v>0.36159219867537079</v>
      </c>
      <c r="P16" s="11">
        <f t="shared" si="6"/>
        <v>0.33253126510094994</v>
      </c>
      <c r="Q16" s="11">
        <f t="shared" si="6"/>
        <v>0.30335790897030213</v>
      </c>
      <c r="R16" s="11">
        <f t="shared" si="6"/>
        <v>0.33225904738188666</v>
      </c>
      <c r="S16" s="11">
        <f t="shared" si="6"/>
        <v>0.37994139071510663</v>
      </c>
      <c r="T16" s="11">
        <f t="shared" si="6"/>
        <v>0.41115297430084857</v>
      </c>
      <c r="U16" s="11">
        <f t="shared" si="6"/>
        <v>0.40008775694256898</v>
      </c>
      <c r="V16" s="11">
        <f t="shared" si="6"/>
        <v>0.34539200799196151</v>
      </c>
    </row>
    <row r="17" spans="1:24" x14ac:dyDescent="0.25">
      <c r="A17" t="s">
        <v>60</v>
      </c>
      <c r="B17">
        <v>1014</v>
      </c>
      <c r="C17" s="1">
        <v>122.26</v>
      </c>
      <c r="D17" s="1">
        <v>131.97999999999999</v>
      </c>
      <c r="E17" s="1">
        <f>D17-C17</f>
        <v>9.7199999999999847</v>
      </c>
      <c r="F17" s="3">
        <f>D17/C17-1</f>
        <v>7.9502699165712398E-2</v>
      </c>
      <c r="H17" s="30" t="s">
        <v>114</v>
      </c>
      <c r="I17" s="31">
        <v>0.12767999999999999</v>
      </c>
      <c r="K17" s="11">
        <f t="shared" ref="K17:V17" si="7">SUM(K7:K13)*$I17</f>
        <v>2.3368261989096855</v>
      </c>
      <c r="L17" s="11">
        <f t="shared" si="7"/>
        <v>2.5002965727844453</v>
      </c>
      <c r="M17" s="11">
        <f t="shared" si="7"/>
        <v>2.8042698264754859</v>
      </c>
      <c r="N17" s="11">
        <f t="shared" si="7"/>
        <v>3.1318316510151138</v>
      </c>
      <c r="O17" s="11">
        <f t="shared" si="7"/>
        <v>2.7610843805317469</v>
      </c>
      <c r="P17" s="11">
        <f t="shared" si="7"/>
        <v>2.5391777960701685</v>
      </c>
      <c r="Q17" s="11">
        <f t="shared" si="7"/>
        <v>2.3164127634309053</v>
      </c>
      <c r="R17" s="11">
        <f t="shared" si="7"/>
        <v>2.5370991668990661</v>
      </c>
      <c r="S17" s="11">
        <f t="shared" si="7"/>
        <v>2.9011971034330966</v>
      </c>
      <c r="T17" s="11">
        <f t="shared" si="7"/>
        <v>3.1395258512488691</v>
      </c>
      <c r="U17" s="11">
        <f t="shared" si="7"/>
        <v>3.0550328811929433</v>
      </c>
      <c r="V17" s="11">
        <f t="shared" si="7"/>
        <v>2.6373812320084711</v>
      </c>
    </row>
    <row r="18" spans="1:24" x14ac:dyDescent="0.25">
      <c r="B18">
        <v>1014</v>
      </c>
      <c r="C18" s="1">
        <v>122.26</v>
      </c>
      <c r="D18" s="1">
        <v>131.81</v>
      </c>
      <c r="E18" s="1">
        <f>D18-C18</f>
        <v>9.5499999999999972</v>
      </c>
      <c r="F18" s="3">
        <f>D18/C18-1</f>
        <v>7.8112219859316268E-2</v>
      </c>
      <c r="H18" s="30" t="s">
        <v>115</v>
      </c>
      <c r="I18" s="34">
        <v>0.10766199999999999</v>
      </c>
      <c r="K18" s="11">
        <f t="shared" ref="K18:V18" si="8">SUM(K7:K13)*$I18</f>
        <v>1.9704525550361418</v>
      </c>
      <c r="L18" s="11">
        <f t="shared" si="8"/>
        <v>2.1082936217036261</v>
      </c>
      <c r="M18" s="11">
        <f t="shared" si="8"/>
        <v>2.3646091639881246</v>
      </c>
      <c r="N18" s="11">
        <f t="shared" si="8"/>
        <v>2.6408150000907678</v>
      </c>
      <c r="O18" s="11">
        <f t="shared" si="8"/>
        <v>2.3281944437406716</v>
      </c>
      <c r="P18" s="11">
        <f t="shared" si="8"/>
        <v>2.1410789464325384</v>
      </c>
      <c r="Q18" s="11">
        <f t="shared" si="8"/>
        <v>1.953239590668062</v>
      </c>
      <c r="R18" s="11">
        <f t="shared" si="8"/>
        <v>2.1393262101087664</v>
      </c>
      <c r="S18" s="11">
        <f t="shared" si="8"/>
        <v>2.4463399322510497</v>
      </c>
      <c r="T18" s="11">
        <f t="shared" si="8"/>
        <v>2.6473028837496537</v>
      </c>
      <c r="U18" s="11">
        <f t="shared" si="8"/>
        <v>2.57605693965378</v>
      </c>
      <c r="V18" s="11">
        <f t="shared" si="8"/>
        <v>2.2238857941768169</v>
      </c>
    </row>
    <row r="19" spans="1:24" x14ac:dyDescent="0.25">
      <c r="E19" s="1"/>
      <c r="F19" s="3"/>
      <c r="H19" s="30" t="s">
        <v>116</v>
      </c>
      <c r="I19" s="31">
        <v>2.3050000000000001E-2</v>
      </c>
      <c r="K19" s="11">
        <f t="shared" ref="K19:V19" si="9">SUM(K7:K18)*$I19</f>
        <v>0.62565116942749799</v>
      </c>
      <c r="L19" s="11">
        <f t="shared" si="9"/>
        <v>0.67762893704127058</v>
      </c>
      <c r="M19" s="11">
        <f t="shared" si="9"/>
        <v>0.77428162563951153</v>
      </c>
      <c r="N19" s="11">
        <f t="shared" si="9"/>
        <v>0.87843464120738568</v>
      </c>
      <c r="O19" s="11">
        <f t="shared" si="9"/>
        <v>0.76055018904733396</v>
      </c>
      <c r="P19" s="11">
        <f t="shared" si="9"/>
        <v>0.68999178384085535</v>
      </c>
      <c r="Q19" s="11">
        <f t="shared" si="9"/>
        <v>0.61916042263121496</v>
      </c>
      <c r="R19" s="11">
        <f t="shared" si="9"/>
        <v>0.68933085365852431</v>
      </c>
      <c r="S19" s="11">
        <f t="shared" si="9"/>
        <v>0.82015700194552377</v>
      </c>
      <c r="T19" s="11">
        <f t="shared" si="9"/>
        <v>0.89814605407458548</v>
      </c>
      <c r="U19" s="11">
        <f t="shared" si="9"/>
        <v>0.8704971585610467</v>
      </c>
      <c r="V19" s="11">
        <f t="shared" si="9"/>
        <v>0.7338277196513322</v>
      </c>
    </row>
    <row r="20" spans="1:24" x14ac:dyDescent="0.25">
      <c r="A20" t="s">
        <v>61</v>
      </c>
      <c r="B20">
        <v>1267</v>
      </c>
      <c r="C20" s="1">
        <v>149.08000000000001</v>
      </c>
      <c r="D20" s="1">
        <v>159.66999999999999</v>
      </c>
      <c r="E20" s="1">
        <f t="shared" ref="E20" si="10">D20-C20</f>
        <v>10.589999999999975</v>
      </c>
      <c r="F20" s="3">
        <f t="shared" ref="F20" si="11">D20/C20-1</f>
        <v>7.1035685537965909E-2</v>
      </c>
      <c r="K20" s="11">
        <f>SUM(K7:K19)</f>
        <v>27.768868932008754</v>
      </c>
      <c r="L20" s="11">
        <f>SUM(L7:L19)</f>
        <v>30.075847463777517</v>
      </c>
      <c r="M20" s="41">
        <f>SUM(M7:M19)</f>
        <v>34.365675362711592</v>
      </c>
      <c r="N20" s="41">
        <f t="shared" ref="N20:U20" si="12">SUM(N7:N19)</f>
        <v>38.988397383393313</v>
      </c>
      <c r="O20" s="11">
        <f t="shared" si="12"/>
        <v>33.756219995873103</v>
      </c>
      <c r="P20" s="11">
        <f t="shared" si="12"/>
        <v>30.624559412511367</v>
      </c>
      <c r="Q20" s="11">
        <f t="shared" si="12"/>
        <v>27.480783964115595</v>
      </c>
      <c r="R20" s="11">
        <f t="shared" si="12"/>
        <v>30.5952247217073</v>
      </c>
      <c r="S20" s="11">
        <f t="shared" si="12"/>
        <v>36.401805676371715</v>
      </c>
      <c r="T20" s="11">
        <f t="shared" si="12"/>
        <v>39.863267705900419</v>
      </c>
      <c r="U20" s="11">
        <f t="shared" si="12"/>
        <v>38.6361005668494</v>
      </c>
      <c r="V20" s="11">
        <f>SUM(V7:V19)</f>
        <v>32.570171305392421</v>
      </c>
      <c r="W20" s="11">
        <f>SUM(K20:V20)/12</f>
        <v>33.427243540884369</v>
      </c>
      <c r="X20" s="11"/>
    </row>
    <row r="21" spans="1:24" x14ac:dyDescent="0.25">
      <c r="C21" s="1"/>
      <c r="D21" s="1"/>
      <c r="E21" s="1"/>
      <c r="F21" s="3"/>
      <c r="K21" s="11"/>
      <c r="L21" s="11"/>
      <c r="M21" s="41"/>
      <c r="N21" s="4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J22" s="12" t="s">
        <v>3</v>
      </c>
      <c r="K22" s="39">
        <v>146.72882196622874</v>
      </c>
      <c r="L22" s="40">
        <v>169.35639042604006</v>
      </c>
      <c r="M22" s="40">
        <v>211.4323669153041</v>
      </c>
      <c r="N22" s="40">
        <v>256.7734732815847</v>
      </c>
      <c r="O22" s="40">
        <v>205.45463767056597</v>
      </c>
      <c r="P22" s="40">
        <v>174.73832918867447</v>
      </c>
      <c r="Q22" s="40">
        <v>143.9031943136614</v>
      </c>
      <c r="R22" s="40">
        <v>174.45060534760884</v>
      </c>
      <c r="S22" s="40">
        <v>224.8490401815055</v>
      </c>
      <c r="T22" s="40">
        <v>257.8385044453733</v>
      </c>
      <c r="U22" s="40">
        <v>246.14298788787156</v>
      </c>
      <c r="V22" s="40">
        <v>188.33164837558144</v>
      </c>
    </row>
    <row r="23" spans="1:24" ht="16.5" thickBot="1" x14ac:dyDescent="0.3">
      <c r="H23" s="63" t="s">
        <v>137</v>
      </c>
      <c r="I23" s="63"/>
      <c r="J23" s="12" t="s">
        <v>136</v>
      </c>
      <c r="K23" s="37" t="s">
        <v>124</v>
      </c>
      <c r="L23" s="37" t="s">
        <v>125</v>
      </c>
      <c r="M23" s="37" t="s">
        <v>126</v>
      </c>
      <c r="N23" s="37" t="s">
        <v>127</v>
      </c>
      <c r="O23" s="37" t="s">
        <v>128</v>
      </c>
      <c r="P23" s="37" t="s">
        <v>129</v>
      </c>
      <c r="Q23" s="37" t="s">
        <v>130</v>
      </c>
      <c r="R23" s="37" t="s">
        <v>131</v>
      </c>
      <c r="S23" s="37" t="s">
        <v>132</v>
      </c>
      <c r="T23" s="37" t="s">
        <v>133</v>
      </c>
      <c r="U23" s="37" t="s">
        <v>134</v>
      </c>
      <c r="V23" s="37" t="s">
        <v>135</v>
      </c>
    </row>
    <row r="24" spans="1:24" x14ac:dyDescent="0.25">
      <c r="H24" s="32" t="s">
        <v>118</v>
      </c>
      <c r="I24" s="33">
        <v>14.9</v>
      </c>
      <c r="K24" s="11">
        <f>$I24</f>
        <v>14.9</v>
      </c>
      <c r="L24" s="11">
        <f t="shared" ref="L24:V24" si="13">$I24</f>
        <v>14.9</v>
      </c>
      <c r="M24" s="11">
        <f t="shared" si="13"/>
        <v>14.9</v>
      </c>
      <c r="N24" s="11">
        <f t="shared" si="13"/>
        <v>14.9</v>
      </c>
      <c r="O24" s="11">
        <f t="shared" si="13"/>
        <v>14.9</v>
      </c>
      <c r="P24" s="11">
        <f t="shared" si="13"/>
        <v>14.9</v>
      </c>
      <c r="Q24" s="11">
        <f t="shared" si="13"/>
        <v>14.9</v>
      </c>
      <c r="R24" s="11">
        <f t="shared" si="13"/>
        <v>14.9</v>
      </c>
      <c r="S24" s="11">
        <f t="shared" si="13"/>
        <v>14.9</v>
      </c>
      <c r="T24" s="11">
        <f t="shared" si="13"/>
        <v>14.9</v>
      </c>
      <c r="U24" s="11">
        <f t="shared" si="13"/>
        <v>14.9</v>
      </c>
      <c r="V24" s="11">
        <f t="shared" si="13"/>
        <v>14.9</v>
      </c>
    </row>
    <row r="25" spans="1:24" x14ac:dyDescent="0.25">
      <c r="H25" s="26" t="s">
        <v>119</v>
      </c>
      <c r="I25" s="27">
        <v>5.7969E-2</v>
      </c>
      <c r="K25" s="11">
        <f>K22*$I25</f>
        <v>8.5057230805603137</v>
      </c>
      <c r="L25" s="11">
        <f t="shared" ref="L25:R25" si="14">L22*$I25</f>
        <v>9.817420596607116</v>
      </c>
      <c r="M25" s="11">
        <f t="shared" si="14"/>
        <v>12.256522877713264</v>
      </c>
      <c r="N25" s="11">
        <f t="shared" si="14"/>
        <v>14.884901472660184</v>
      </c>
      <c r="O25" s="11">
        <f t="shared" si="14"/>
        <v>11.90999989112504</v>
      </c>
      <c r="P25" s="11">
        <f t="shared" si="14"/>
        <v>10.12940620473827</v>
      </c>
      <c r="Q25" s="11">
        <f t="shared" si="14"/>
        <v>8.3419242711686383</v>
      </c>
      <c r="R25" s="11">
        <f t="shared" si="14"/>
        <v>10.112727141395537</v>
      </c>
      <c r="S25" s="11">
        <v>0</v>
      </c>
      <c r="T25" s="11">
        <v>0</v>
      </c>
      <c r="U25" s="11">
        <v>0</v>
      </c>
      <c r="V25" s="11">
        <v>0</v>
      </c>
    </row>
    <row r="26" spans="1:24" x14ac:dyDescent="0.25">
      <c r="H26" s="26" t="s">
        <v>120</v>
      </c>
      <c r="I26" s="27">
        <v>4.972E-2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35" t="s">
        <v>121</v>
      </c>
      <c r="I27" s="27">
        <v>4.8809999999999999E-2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26" t="s">
        <v>122</v>
      </c>
      <c r="I28" s="27">
        <v>5.7969E-2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 t="shared" ref="S28:U28" si="15">S22*$I28</f>
        <v>13.034274010281692</v>
      </c>
      <c r="T28" s="11">
        <f t="shared" si="15"/>
        <v>14.946640264193844</v>
      </c>
      <c r="U28" s="11">
        <f t="shared" si="15"/>
        <v>14.268662864872026</v>
      </c>
      <c r="V28" s="11">
        <f>V22*$I28</f>
        <v>10.91739732468408</v>
      </c>
    </row>
    <row r="29" spans="1:24" x14ac:dyDescent="0.25">
      <c r="H29" s="26" t="s">
        <v>123</v>
      </c>
      <c r="I29" s="27">
        <v>9.6285999999999997E-2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4" x14ac:dyDescent="0.25">
      <c r="H30" s="35" t="s">
        <v>156</v>
      </c>
      <c r="I30" s="27">
        <v>9.9657999999999997E-2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4" x14ac:dyDescent="0.25">
      <c r="H31" s="64" t="s">
        <v>112</v>
      </c>
      <c r="I31" s="27">
        <v>3.1718000000000003E-2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S22*$I31</f>
        <v>7.1317618564769925</v>
      </c>
      <c r="T31" s="11">
        <f>T22*$I31</f>
        <v>8.1781216839983504</v>
      </c>
      <c r="U31" s="11">
        <f>U22*$I31</f>
        <v>7.8071632898275105</v>
      </c>
      <c r="V31" s="11">
        <f>V22*$I31</f>
        <v>5.9735032231766922</v>
      </c>
    </row>
    <row r="32" spans="1:24" x14ac:dyDescent="0.25">
      <c r="H32" s="64"/>
      <c r="I32" s="27">
        <v>2.8812999999999998E-2</v>
      </c>
      <c r="K32" s="11">
        <f t="shared" ref="K32:R32" si="16">K22*$I32</f>
        <v>4.2276975473129479</v>
      </c>
      <c r="L32" s="11">
        <f t="shared" si="16"/>
        <v>4.8796656773454918</v>
      </c>
      <c r="M32" s="11">
        <f t="shared" si="16"/>
        <v>6.0920007879306564</v>
      </c>
      <c r="N32" s="11">
        <f t="shared" si="16"/>
        <v>7.3984140856622993</v>
      </c>
      <c r="O32" s="11">
        <f t="shared" si="16"/>
        <v>5.9197644752020171</v>
      </c>
      <c r="P32" s="11">
        <f t="shared" si="16"/>
        <v>5.0347354789132774</v>
      </c>
      <c r="Q32" s="11">
        <f t="shared" si="16"/>
        <v>4.1462827377595257</v>
      </c>
      <c r="R32" s="11">
        <f t="shared" si="16"/>
        <v>5.0264452918806537</v>
      </c>
      <c r="S32" s="11">
        <v>0</v>
      </c>
      <c r="T32" s="11">
        <v>0</v>
      </c>
      <c r="U32" s="11">
        <v>0</v>
      </c>
      <c r="V32" s="11">
        <v>0</v>
      </c>
    </row>
    <row r="33" spans="8:25" x14ac:dyDescent="0.25">
      <c r="H33" s="28" t="s">
        <v>113</v>
      </c>
      <c r="I33" s="29">
        <v>1.7947000000000001E-2</v>
      </c>
      <c r="K33" s="11">
        <f t="shared" ref="K33:V33" si="17">SUM(K24:K30)*$I33</f>
        <v>0.420062512126816</v>
      </c>
      <c r="L33" s="11">
        <f t="shared" si="17"/>
        <v>0.44360354744730796</v>
      </c>
      <c r="M33" s="11">
        <f t="shared" si="17"/>
        <v>0.48737811608631998</v>
      </c>
      <c r="N33" s="11">
        <f t="shared" si="17"/>
        <v>0.53454962672983242</v>
      </c>
      <c r="O33" s="11">
        <f t="shared" si="17"/>
        <v>0.4811590680460211</v>
      </c>
      <c r="P33" s="11">
        <f t="shared" si="17"/>
        <v>0.44920275315643782</v>
      </c>
      <c r="Q33" s="11">
        <f t="shared" si="17"/>
        <v>0.41712281489466357</v>
      </c>
      <c r="R33" s="11">
        <f t="shared" si="17"/>
        <v>0.44890341400662576</v>
      </c>
      <c r="S33" s="11">
        <f t="shared" si="17"/>
        <v>0.50133641566252551</v>
      </c>
      <c r="T33" s="11">
        <f t="shared" si="17"/>
        <v>0.53565765282148692</v>
      </c>
      <c r="U33" s="11">
        <f t="shared" si="17"/>
        <v>0.52348999243585825</v>
      </c>
      <c r="V33" s="11">
        <f t="shared" si="17"/>
        <v>0.46334482978610519</v>
      </c>
    </row>
    <row r="34" spans="8:25" x14ac:dyDescent="0.25">
      <c r="H34" s="30" t="s">
        <v>114</v>
      </c>
      <c r="I34" s="31">
        <v>0.15357499999999999</v>
      </c>
      <c r="K34" s="11">
        <f t="shared" ref="K34:V34" si="18">SUM(K24:K30)*$I34</f>
        <v>3.59453392209705</v>
      </c>
      <c r="L34" s="11">
        <f t="shared" si="18"/>
        <v>3.7959778681239378</v>
      </c>
      <c r="M34" s="11">
        <f t="shared" si="18"/>
        <v>4.1705630009448145</v>
      </c>
      <c r="N34" s="11">
        <f t="shared" si="18"/>
        <v>4.5742162436637877</v>
      </c>
      <c r="O34" s="11">
        <f t="shared" si="18"/>
        <v>4.1173457332795271</v>
      </c>
      <c r="P34" s="11">
        <f t="shared" si="18"/>
        <v>3.8438910578926797</v>
      </c>
      <c r="Q34" s="11">
        <f t="shared" si="18"/>
        <v>3.5693785199447232</v>
      </c>
      <c r="R34" s="11">
        <f t="shared" si="18"/>
        <v>3.8413295707398194</v>
      </c>
      <c r="S34" s="11">
        <f t="shared" si="18"/>
        <v>4.2900061311290107</v>
      </c>
      <c r="T34" s="11">
        <f t="shared" si="18"/>
        <v>4.5836977785735691</v>
      </c>
      <c r="U34" s="11">
        <f t="shared" si="18"/>
        <v>4.4795773994727215</v>
      </c>
      <c r="V34" s="11">
        <f t="shared" si="18"/>
        <v>3.9649067941383573</v>
      </c>
    </row>
    <row r="35" spans="8:25" x14ac:dyDescent="0.25">
      <c r="H35" s="30" t="s">
        <v>115</v>
      </c>
      <c r="I35" s="34">
        <v>0.10766199999999999</v>
      </c>
      <c r="K35" s="11">
        <f t="shared" ref="K35:V35" si="19">SUM(K24:K30)*$I35</f>
        <v>2.5199069582992846</v>
      </c>
      <c r="L35" s="11">
        <f t="shared" si="19"/>
        <v>2.661126936271915</v>
      </c>
      <c r="M35" s="11">
        <f t="shared" si="19"/>
        <v>2.9237255660603654</v>
      </c>
      <c r="N35" s="11">
        <f t="shared" si="19"/>
        <v>3.2067020623495406</v>
      </c>
      <c r="O35" s="11">
        <f t="shared" si="19"/>
        <v>2.8864182082783039</v>
      </c>
      <c r="P35" s="11">
        <f t="shared" si="19"/>
        <v>2.6947159308145316</v>
      </c>
      <c r="Q35" s="11">
        <f t="shared" si="19"/>
        <v>2.5022720508825578</v>
      </c>
      <c r="R35" s="11">
        <f t="shared" si="19"/>
        <v>2.6929202294969263</v>
      </c>
      <c r="S35" s="11">
        <f t="shared" si="19"/>
        <v>3.0074598084949473</v>
      </c>
      <c r="T35" s="11">
        <f t="shared" si="19"/>
        <v>3.2133489841236376</v>
      </c>
      <c r="U35" s="11">
        <f t="shared" si="19"/>
        <v>3.1403565813578518</v>
      </c>
      <c r="V35" s="11">
        <f t="shared" si="19"/>
        <v>2.7795526307701373</v>
      </c>
    </row>
    <row r="36" spans="8:25" x14ac:dyDescent="0.25">
      <c r="H36" s="30" t="s">
        <v>116</v>
      </c>
      <c r="I36" s="31">
        <v>2.3567999999999999E-2</v>
      </c>
      <c r="K36" s="11">
        <f t="shared" ref="K36:V36" si="20">SUM(K24:K35)*$I36</f>
        <v>0.80526963331270263</v>
      </c>
      <c r="L36" s="11">
        <f t="shared" si="20"/>
        <v>0.86018002374075453</v>
      </c>
      <c r="M36" s="11">
        <f t="shared" si="20"/>
        <v>0.96228592613899633</v>
      </c>
      <c r="N36" s="11">
        <f t="shared" si="20"/>
        <v>1.072315329317435</v>
      </c>
      <c r="O36" s="11">
        <f t="shared" si="20"/>
        <v>0.94777975207593956</v>
      </c>
      <c r="P36" s="11">
        <f t="shared" si="20"/>
        <v>0.87324039119654218</v>
      </c>
      <c r="Q36" s="11">
        <f t="shared" si="20"/>
        <v>0.79841267394111382</v>
      </c>
      <c r="R36" s="11">
        <f t="shared" si="20"/>
        <v>0.87254217086074104</v>
      </c>
      <c r="S36" s="11">
        <f t="shared" si="20"/>
        <v>1.0102385072171605</v>
      </c>
      <c r="T36" s="11">
        <f t="shared" si="20"/>
        <v>1.092552767259938</v>
      </c>
      <c r="U36" s="11">
        <f t="shared" si="20"/>
        <v>1.0633704870159018</v>
      </c>
      <c r="V36" s="11">
        <f t="shared" si="20"/>
        <v>0.91912147478662487</v>
      </c>
    </row>
    <row r="37" spans="8:25" x14ac:dyDescent="0.25">
      <c r="K37" s="11">
        <f>SUM(K24:K36)</f>
        <v>34.973193653709117</v>
      </c>
      <c r="L37" s="11">
        <f>SUM(L24:L36)</f>
        <v>37.357974649536516</v>
      </c>
      <c r="M37" s="41">
        <f>SUM(M24:M36)</f>
        <v>41.792476274874417</v>
      </c>
      <c r="N37" s="41">
        <f t="shared" ref="N37:U37" si="21">SUM(N24:N36)</f>
        <v>46.571098820383078</v>
      </c>
      <c r="O37" s="11">
        <f t="shared" si="21"/>
        <v>41.162467128006845</v>
      </c>
      <c r="P37" s="11">
        <f t="shared" si="21"/>
        <v>37.925191816711738</v>
      </c>
      <c r="Q37" s="11">
        <f t="shared" si="21"/>
        <v>34.675393068591227</v>
      </c>
      <c r="R37" s="11">
        <f t="shared" si="21"/>
        <v>37.894867818380305</v>
      </c>
      <c r="S37" s="11">
        <f t="shared" si="21"/>
        <v>43.875076729262332</v>
      </c>
      <c r="T37" s="11">
        <f t="shared" si="21"/>
        <v>47.450019130970823</v>
      </c>
      <c r="U37" s="11">
        <f t="shared" si="21"/>
        <v>46.182620614981865</v>
      </c>
      <c r="V37" s="11">
        <f>SUM(V24:V36)</f>
        <v>39.917826277341995</v>
      </c>
      <c r="W37" s="11">
        <f>SUM(K37:V37)/12</f>
        <v>40.814850498562521</v>
      </c>
      <c r="X37" s="3">
        <f>W37/W20-1</f>
        <v>0.22100556836648755</v>
      </c>
      <c r="Y37" s="11">
        <f>W37-W20</f>
        <v>7.3876069576781518</v>
      </c>
    </row>
    <row r="38" spans="8:25" x14ac:dyDescent="0.25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8:25" x14ac:dyDescent="0.25">
      <c r="J39" s="12" t="s">
        <v>3</v>
      </c>
      <c r="K39" s="39">
        <v>146.72882196622874</v>
      </c>
      <c r="L39" s="40">
        <v>169.35639042604006</v>
      </c>
      <c r="M39" s="40">
        <v>211.4323669153041</v>
      </c>
      <c r="N39" s="40">
        <v>256.7734732815847</v>
      </c>
      <c r="O39" s="40">
        <v>205.45463767056597</v>
      </c>
      <c r="P39" s="40">
        <v>174.73832918867447</v>
      </c>
      <c r="Q39" s="40">
        <v>143.9031943136614</v>
      </c>
      <c r="R39" s="40">
        <v>174.45060534760884</v>
      </c>
      <c r="S39" s="40">
        <v>224.8490401815055</v>
      </c>
      <c r="T39" s="40">
        <v>257.8385044453733</v>
      </c>
      <c r="U39" s="40">
        <v>246.14298788787156</v>
      </c>
      <c r="V39" s="40">
        <v>188.33164837558144</v>
      </c>
    </row>
    <row r="40" spans="8:25" ht="16.5" thickBot="1" x14ac:dyDescent="0.3">
      <c r="H40" s="63" t="s">
        <v>138</v>
      </c>
      <c r="I40" s="63"/>
      <c r="J40" s="12" t="s">
        <v>136</v>
      </c>
      <c r="K40" s="37" t="s">
        <v>124</v>
      </c>
      <c r="L40" s="37" t="s">
        <v>125</v>
      </c>
      <c r="M40" s="37" t="s">
        <v>126</v>
      </c>
      <c r="N40" s="37" t="s">
        <v>127</v>
      </c>
      <c r="O40" s="37" t="s">
        <v>128</v>
      </c>
      <c r="P40" s="37" t="s">
        <v>129</v>
      </c>
      <c r="Q40" s="37" t="s">
        <v>130</v>
      </c>
      <c r="R40" s="37" t="s">
        <v>131</v>
      </c>
      <c r="S40" s="37" t="s">
        <v>132</v>
      </c>
      <c r="T40" s="37" t="s">
        <v>133</v>
      </c>
      <c r="U40" s="37" t="s">
        <v>134</v>
      </c>
      <c r="V40" s="37" t="s">
        <v>135</v>
      </c>
    </row>
    <row r="41" spans="8:25" x14ac:dyDescent="0.25">
      <c r="H41" s="32" t="s">
        <v>118</v>
      </c>
      <c r="I41" s="33">
        <v>17.95</v>
      </c>
      <c r="K41" s="11">
        <f>$I41</f>
        <v>17.95</v>
      </c>
      <c r="L41" s="11">
        <f t="shared" ref="L41:V41" si="22">$I41</f>
        <v>17.95</v>
      </c>
      <c r="M41" s="11">
        <f t="shared" si="22"/>
        <v>17.95</v>
      </c>
      <c r="N41" s="11">
        <f t="shared" si="22"/>
        <v>17.95</v>
      </c>
      <c r="O41" s="11">
        <f t="shared" si="22"/>
        <v>17.95</v>
      </c>
      <c r="P41" s="11">
        <f t="shared" si="22"/>
        <v>17.95</v>
      </c>
      <c r="Q41" s="11">
        <f t="shared" si="22"/>
        <v>17.95</v>
      </c>
      <c r="R41" s="11">
        <f t="shared" si="22"/>
        <v>17.95</v>
      </c>
      <c r="S41" s="11">
        <f t="shared" si="22"/>
        <v>17.95</v>
      </c>
      <c r="T41" s="11">
        <f t="shared" si="22"/>
        <v>17.95</v>
      </c>
      <c r="U41" s="11">
        <f t="shared" si="22"/>
        <v>17.95</v>
      </c>
      <c r="V41" s="11">
        <f t="shared" si="22"/>
        <v>17.95</v>
      </c>
    </row>
    <row r="42" spans="8:25" x14ac:dyDescent="0.25">
      <c r="H42" s="26" t="s">
        <v>119</v>
      </c>
      <c r="I42" s="27">
        <v>4.9754E-2</v>
      </c>
      <c r="K42" s="11">
        <f>K39*$I42</f>
        <v>7.3003458081077444</v>
      </c>
      <c r="L42" s="11">
        <f t="shared" ref="L42:R42" si="23">L39*$I42</f>
        <v>8.4261578492571978</v>
      </c>
      <c r="M42" s="11">
        <f t="shared" si="23"/>
        <v>10.519605983504039</v>
      </c>
      <c r="N42" s="11">
        <f t="shared" si="23"/>
        <v>12.775507389651965</v>
      </c>
      <c r="O42" s="11">
        <f t="shared" si="23"/>
        <v>10.222190042661339</v>
      </c>
      <c r="P42" s="11">
        <f t="shared" si="23"/>
        <v>8.6939308304533096</v>
      </c>
      <c r="Q42" s="11">
        <f t="shared" si="23"/>
        <v>7.1597595298819092</v>
      </c>
      <c r="R42" s="11">
        <f t="shared" si="23"/>
        <v>8.6796154184649303</v>
      </c>
      <c r="S42" s="11">
        <v>0</v>
      </c>
      <c r="T42" s="11">
        <v>0</v>
      </c>
      <c r="U42" s="11">
        <v>0</v>
      </c>
      <c r="V42" s="11">
        <v>0</v>
      </c>
    </row>
    <row r="43" spans="8:25" x14ac:dyDescent="0.25">
      <c r="H43" s="26" t="s">
        <v>120</v>
      </c>
      <c r="I43" s="27">
        <v>4.2674999999999998E-2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8:25" x14ac:dyDescent="0.25">
      <c r="H44" s="35" t="s">
        <v>121</v>
      </c>
      <c r="I44" s="27">
        <v>4.1890999999999998E-2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8:25" x14ac:dyDescent="0.25">
      <c r="H45" s="26" t="s">
        <v>122</v>
      </c>
      <c r="I45" s="27">
        <v>4.9754E-2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f t="shared" ref="S45:U45" si="24">S39*$I45</f>
        <v>11.187139145190624</v>
      </c>
      <c r="T45" s="11">
        <f t="shared" si="24"/>
        <v>12.828496950175102</v>
      </c>
      <c r="U45" s="11">
        <f t="shared" si="24"/>
        <v>12.246598219373162</v>
      </c>
      <c r="V45" s="11">
        <f>V39*$I45</f>
        <v>9.3702528332786788</v>
      </c>
    </row>
    <row r="46" spans="8:25" x14ac:dyDescent="0.25">
      <c r="H46" s="26" t="s">
        <v>123</v>
      </c>
      <c r="I46" s="27">
        <v>8.2639000000000004E-2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35" t="s">
        <v>156</v>
      </c>
      <c r="I47" s="27">
        <v>8.5531999999999997E-2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64" t="s">
        <v>112</v>
      </c>
      <c r="I48" s="27">
        <v>3.1718000000000003E-2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S39*$I48</f>
        <v>7.1317618564769925</v>
      </c>
      <c r="T48" s="11">
        <f>T39*$I48</f>
        <v>8.1781216839983504</v>
      </c>
      <c r="U48" s="11">
        <f>U39*$I48</f>
        <v>7.8071632898275105</v>
      </c>
      <c r="V48" s="11">
        <f>V39*$I48</f>
        <v>5.9735032231766922</v>
      </c>
    </row>
    <row r="49" spans="8:25" x14ac:dyDescent="0.25">
      <c r="H49" s="64"/>
      <c r="I49" s="27">
        <v>2.8812999999999998E-2</v>
      </c>
      <c r="K49" s="11">
        <f t="shared" ref="K49:R49" si="25">K39*$I49</f>
        <v>4.2276975473129479</v>
      </c>
      <c r="L49" s="11">
        <f t="shared" si="25"/>
        <v>4.8796656773454918</v>
      </c>
      <c r="M49" s="11">
        <f t="shared" si="25"/>
        <v>6.0920007879306564</v>
      </c>
      <c r="N49" s="11">
        <f t="shared" si="25"/>
        <v>7.3984140856622993</v>
      </c>
      <c r="O49" s="11">
        <f t="shared" si="25"/>
        <v>5.9197644752020171</v>
      </c>
      <c r="P49" s="11">
        <f t="shared" si="25"/>
        <v>5.0347354789132774</v>
      </c>
      <c r="Q49" s="11">
        <f t="shared" si="25"/>
        <v>4.1462827377595257</v>
      </c>
      <c r="R49" s="11">
        <f t="shared" si="25"/>
        <v>5.0264452918806537</v>
      </c>
      <c r="S49" s="11">
        <v>0</v>
      </c>
      <c r="T49" s="11">
        <v>0</v>
      </c>
      <c r="U49" s="11">
        <v>0</v>
      </c>
      <c r="V49" s="11">
        <v>0</v>
      </c>
    </row>
    <row r="50" spans="8:25" x14ac:dyDescent="0.25">
      <c r="H50" s="28" t="s">
        <v>144</v>
      </c>
      <c r="I50" s="29">
        <v>1.9511000000000001E-2</v>
      </c>
      <c r="K50" s="11">
        <f t="shared" ref="K50:V50" si="26">SUM(K41:K47)*$I50</f>
        <v>0.49265949706199025</v>
      </c>
      <c r="L50" s="11">
        <f t="shared" si="26"/>
        <v>0.51462521579685716</v>
      </c>
      <c r="M50" s="11">
        <f t="shared" si="26"/>
        <v>0.55547048234414731</v>
      </c>
      <c r="N50" s="11">
        <f t="shared" si="26"/>
        <v>0.59948537467949958</v>
      </c>
      <c r="O50" s="11">
        <f t="shared" si="26"/>
        <v>0.54966759992236536</v>
      </c>
      <c r="P50" s="11">
        <f t="shared" si="26"/>
        <v>0.51984973443297444</v>
      </c>
      <c r="Q50" s="11">
        <f t="shared" si="26"/>
        <v>0.48991651818752596</v>
      </c>
      <c r="R50" s="11">
        <f t="shared" si="26"/>
        <v>0.51957042642966922</v>
      </c>
      <c r="S50" s="11">
        <f t="shared" si="26"/>
        <v>0.56849472186181427</v>
      </c>
      <c r="T50" s="11">
        <f t="shared" si="26"/>
        <v>0.6005192539948665</v>
      </c>
      <c r="U50" s="11">
        <f t="shared" si="26"/>
        <v>0.58916582785818972</v>
      </c>
      <c r="V50" s="11">
        <f t="shared" si="26"/>
        <v>0.53304545303010031</v>
      </c>
    </row>
    <row r="51" spans="8:25" x14ac:dyDescent="0.25">
      <c r="H51" s="30" t="s">
        <v>145</v>
      </c>
      <c r="I51" s="31">
        <v>0.16881399999999999</v>
      </c>
      <c r="K51" s="11">
        <f t="shared" ref="K51:V51" si="27">SUM(K41:K47)*$I51</f>
        <v>4.2626118772499009</v>
      </c>
      <c r="L51" s="11">
        <f t="shared" si="27"/>
        <v>4.4526647111645046</v>
      </c>
      <c r="M51" s="11">
        <f t="shared" si="27"/>
        <v>4.8060680644992502</v>
      </c>
      <c r="N51" s="11">
        <f t="shared" si="27"/>
        <v>5.1868958044767064</v>
      </c>
      <c r="O51" s="11">
        <f t="shared" si="27"/>
        <v>4.7558600898618311</v>
      </c>
      <c r="P51" s="11">
        <f t="shared" si="27"/>
        <v>4.4978685392121447</v>
      </c>
      <c r="Q51" s="11">
        <f t="shared" si="27"/>
        <v>4.2388789452774844</v>
      </c>
      <c r="R51" s="11">
        <f t="shared" si="27"/>
        <v>4.495451897252738</v>
      </c>
      <c r="S51" s="11">
        <f t="shared" si="27"/>
        <v>4.9187570076562093</v>
      </c>
      <c r="T51" s="11">
        <f t="shared" si="27"/>
        <v>5.1958411841468592</v>
      </c>
      <c r="U51" s="11">
        <f t="shared" si="27"/>
        <v>5.0976085318052604</v>
      </c>
      <c r="V51" s="11">
        <f t="shared" si="27"/>
        <v>4.6120411617971069</v>
      </c>
    </row>
    <row r="52" spans="8:25" x14ac:dyDescent="0.25">
      <c r="H52" s="30" t="s">
        <v>115</v>
      </c>
      <c r="I52" s="34">
        <v>0.10766199999999999</v>
      </c>
      <c r="K52" s="11">
        <f t="shared" ref="K52:V52" si="28">SUM(K41:K47)*$I52</f>
        <v>2.7185027303924958</v>
      </c>
      <c r="L52" s="11">
        <f t="shared" si="28"/>
        <v>2.8397099063667284</v>
      </c>
      <c r="M52" s="11">
        <f t="shared" si="28"/>
        <v>3.0650947193960119</v>
      </c>
      <c r="N52" s="11">
        <f t="shared" si="28"/>
        <v>3.3079695765847097</v>
      </c>
      <c r="O52" s="11">
        <f t="shared" si="28"/>
        <v>3.0330743243730049</v>
      </c>
      <c r="P52" s="11">
        <f t="shared" si="28"/>
        <v>2.8685388810682637</v>
      </c>
      <c r="Q52" s="11">
        <f t="shared" si="28"/>
        <v>2.7033669305061458</v>
      </c>
      <c r="R52" s="11">
        <f t="shared" si="28"/>
        <v>2.8669976551827712</v>
      </c>
      <c r="S52" s="11">
        <f t="shared" si="28"/>
        <v>3.1369626746495127</v>
      </c>
      <c r="T52" s="11">
        <f t="shared" si="28"/>
        <v>3.3136745386497517</v>
      </c>
      <c r="U52" s="11">
        <f t="shared" si="28"/>
        <v>3.2510261574941532</v>
      </c>
      <c r="V52" s="11">
        <f t="shared" si="28"/>
        <v>2.9413530605364491</v>
      </c>
    </row>
    <row r="53" spans="8:25" x14ac:dyDescent="0.25">
      <c r="H53" s="30" t="s">
        <v>116</v>
      </c>
      <c r="I53" s="31">
        <v>2.3567999999999999E-2</v>
      </c>
      <c r="K53" s="11">
        <f t="shared" ref="K53:V53" si="29">SUM(K41:K52)*$I53</f>
        <v>0.87088043390022774</v>
      </c>
      <c r="L53" s="11">
        <f t="shared" si="29"/>
        <v>0.92063262094684861</v>
      </c>
      <c r="M53" s="11">
        <f t="shared" si="29"/>
        <v>1.0131468412079034</v>
      </c>
      <c r="N53" s="11">
        <f t="shared" si="29"/>
        <v>1.1128402399415085</v>
      </c>
      <c r="O53" s="11">
        <f t="shared" si="29"/>
        <v>1.0000033563466606</v>
      </c>
      <c r="P53" s="11">
        <f t="shared" si="29"/>
        <v>0.93246611620143649</v>
      </c>
      <c r="Q53" s="11">
        <f t="shared" si="29"/>
        <v>0.86466760746488547</v>
      </c>
      <c r="R53" s="11">
        <f t="shared" si="29"/>
        <v>0.93183348568331914</v>
      </c>
      <c r="S53" s="11">
        <f t="shared" si="29"/>
        <v>1.0580409438847229</v>
      </c>
      <c r="T53" s="11">
        <f t="shared" si="29"/>
        <v>1.1328348923032214</v>
      </c>
      <c r="U53" s="11">
        <f t="shared" si="29"/>
        <v>1.1063187338372116</v>
      </c>
      <c r="V53" s="11">
        <f t="shared" si="29"/>
        <v>0.97524845300751084</v>
      </c>
    </row>
    <row r="54" spans="8:25" x14ac:dyDescent="0.25">
      <c r="K54" s="11">
        <f>SUM(K41:K53)</f>
        <v>37.822697894025303</v>
      </c>
      <c r="L54" s="11">
        <f>SUM(L41:L53)</f>
        <v>39.983455980877629</v>
      </c>
      <c r="M54" s="41">
        <f>SUM(M41:M53)</f>
        <v>44.001386878882016</v>
      </c>
      <c r="N54" s="41">
        <f t="shared" ref="N54:U54" si="30">SUM(N41:N53)</f>
        <v>48.331112470996686</v>
      </c>
      <c r="O54" s="11">
        <f t="shared" si="30"/>
        <v>43.43055988836722</v>
      </c>
      <c r="P54" s="11">
        <f t="shared" si="30"/>
        <v>40.4973895802814</v>
      </c>
      <c r="Q54" s="11">
        <f t="shared" si="30"/>
        <v>37.552872269077476</v>
      </c>
      <c r="R54" s="11">
        <f t="shared" si="30"/>
        <v>40.469914174894079</v>
      </c>
      <c r="S54" s="11">
        <f t="shared" si="30"/>
        <v>45.951156349719874</v>
      </c>
      <c r="T54" s="11">
        <f t="shared" si="30"/>
        <v>49.199488503268149</v>
      </c>
      <c r="U54" s="11">
        <f t="shared" si="30"/>
        <v>48.047880760195483</v>
      </c>
      <c r="V54" s="11">
        <f>SUM(V41:V53)</f>
        <v>42.355444184826538</v>
      </c>
      <c r="W54" s="11">
        <f>SUM(K54:V54)/12</f>
        <v>43.136946577950994</v>
      </c>
      <c r="X54" s="3">
        <f>W54/W20-1</f>
        <v>0.2904727404516867</v>
      </c>
      <c r="Y54" s="11">
        <f>W54-W20</f>
        <v>9.7097030370666246</v>
      </c>
    </row>
    <row r="57" spans="8:25" x14ac:dyDescent="0.25">
      <c r="J57" s="12" t="s">
        <v>3</v>
      </c>
      <c r="K57" s="39">
        <v>146.72882196622874</v>
      </c>
      <c r="L57" s="40">
        <v>169.35639042604006</v>
      </c>
      <c r="M57" s="40">
        <v>211.4323669153041</v>
      </c>
      <c r="N57" s="40">
        <v>256.7734732815847</v>
      </c>
      <c r="O57" s="40">
        <v>205.45463767056597</v>
      </c>
      <c r="P57" s="40">
        <v>174.73832918867447</v>
      </c>
      <c r="Q57" s="40">
        <v>143.9031943136614</v>
      </c>
      <c r="R57" s="40">
        <v>174.45060534760884</v>
      </c>
      <c r="S57" s="40">
        <v>224.8490401815055</v>
      </c>
      <c r="T57" s="40">
        <v>257.8385044453733</v>
      </c>
      <c r="U57" s="40">
        <v>246.14298788787156</v>
      </c>
      <c r="V57" s="40">
        <v>188.33164837558144</v>
      </c>
    </row>
    <row r="58" spans="8:25" ht="16.5" thickBot="1" x14ac:dyDescent="0.3">
      <c r="H58" s="63" t="s">
        <v>154</v>
      </c>
      <c r="I58" s="63"/>
      <c r="J58" s="12" t="s">
        <v>136</v>
      </c>
      <c r="K58" s="37" t="s">
        <v>124</v>
      </c>
      <c r="L58" s="37" t="s">
        <v>125</v>
      </c>
      <c r="M58" s="37" t="s">
        <v>126</v>
      </c>
      <c r="N58" s="37" t="s">
        <v>127</v>
      </c>
      <c r="O58" s="37" t="s">
        <v>128</v>
      </c>
      <c r="P58" s="37" t="s">
        <v>129</v>
      </c>
      <c r="Q58" s="37" t="s">
        <v>130</v>
      </c>
      <c r="R58" s="37" t="s">
        <v>131</v>
      </c>
      <c r="S58" s="37" t="s">
        <v>132</v>
      </c>
      <c r="T58" s="37" t="s">
        <v>133</v>
      </c>
      <c r="U58" s="37" t="s">
        <v>134</v>
      </c>
      <c r="V58" s="37" t="s">
        <v>135</v>
      </c>
    </row>
    <row r="59" spans="8:25" x14ac:dyDescent="0.25">
      <c r="H59" s="32" t="s">
        <v>118</v>
      </c>
      <c r="I59" s="33">
        <v>10</v>
      </c>
      <c r="K59" s="11">
        <f>$I59</f>
        <v>10</v>
      </c>
      <c r="L59" s="11">
        <f t="shared" ref="L59:V59" si="31">$I59</f>
        <v>10</v>
      </c>
      <c r="M59" s="11">
        <f t="shared" si="31"/>
        <v>10</v>
      </c>
      <c r="N59" s="11">
        <f t="shared" si="31"/>
        <v>10</v>
      </c>
      <c r="O59" s="11">
        <f t="shared" si="31"/>
        <v>10</v>
      </c>
      <c r="P59" s="11">
        <f t="shared" si="31"/>
        <v>10</v>
      </c>
      <c r="Q59" s="11">
        <f t="shared" si="31"/>
        <v>10</v>
      </c>
      <c r="R59" s="11">
        <f t="shared" si="31"/>
        <v>10</v>
      </c>
      <c r="S59" s="11">
        <f t="shared" si="31"/>
        <v>10</v>
      </c>
      <c r="T59" s="11">
        <f t="shared" si="31"/>
        <v>10</v>
      </c>
      <c r="U59" s="11">
        <f t="shared" si="31"/>
        <v>10</v>
      </c>
      <c r="V59" s="11">
        <f t="shared" si="31"/>
        <v>10</v>
      </c>
    </row>
    <row r="60" spans="8:25" x14ac:dyDescent="0.25">
      <c r="H60" s="26" t="s">
        <v>119</v>
      </c>
      <c r="I60" s="27">
        <v>5.755255297651591E-2</v>
      </c>
      <c r="K60" s="11">
        <f>K57*$I60</f>
        <v>8.4446182993931505</v>
      </c>
      <c r="L60" s="11">
        <f t="shared" ref="L60:R60" si="32">L57*$I60</f>
        <v>9.7468926319061833</v>
      </c>
      <c r="M60" s="11">
        <f t="shared" si="32"/>
        <v>12.168472497843188</v>
      </c>
      <c r="N60" s="11">
        <f t="shared" si="32"/>
        <v>14.777968924002396</v>
      </c>
      <c r="O60" s="11">
        <f t="shared" si="32"/>
        <v>11.824438918806129</v>
      </c>
      <c r="P60" s="11">
        <f t="shared" si="32"/>
        <v>10.056636947659063</v>
      </c>
      <c r="Q60" s="11">
        <f t="shared" si="32"/>
        <v>8.2819962142268615</v>
      </c>
      <c r="R60" s="11">
        <f t="shared" si="32"/>
        <v>10.040077706053527</v>
      </c>
      <c r="S60" s="11">
        <v>0</v>
      </c>
      <c r="T60" s="11">
        <v>0</v>
      </c>
      <c r="U60" s="11">
        <v>0</v>
      </c>
      <c r="V60" s="11">
        <v>0</v>
      </c>
    </row>
    <row r="61" spans="8:25" x14ac:dyDescent="0.25">
      <c r="H61" s="26" t="s">
        <v>120</v>
      </c>
      <c r="I61" s="27">
        <v>5.0473552976515908E-2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</row>
    <row r="62" spans="8:25" x14ac:dyDescent="0.25">
      <c r="H62" s="35" t="s">
        <v>121</v>
      </c>
      <c r="I62" s="27">
        <v>4.9689552976515908E-2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</row>
    <row r="63" spans="8:25" x14ac:dyDescent="0.25">
      <c r="H63" s="26" t="s">
        <v>122</v>
      </c>
      <c r="I63" s="27">
        <v>5.755255297651591E-2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f t="shared" ref="S63:U63" si="33">S57*$I63</f>
        <v>12.94063629676485</v>
      </c>
      <c r="T63" s="11">
        <f t="shared" si="33"/>
        <v>14.83926418647798</v>
      </c>
      <c r="U63" s="11">
        <f t="shared" si="33"/>
        <v>14.166157350214641</v>
      </c>
      <c r="V63" s="11">
        <f>V57*$I63</f>
        <v>10.838967170290218</v>
      </c>
    </row>
    <row r="64" spans="8:25" x14ac:dyDescent="0.25">
      <c r="H64" s="26" t="s">
        <v>123</v>
      </c>
      <c r="I64" s="27">
        <v>9.0437552976515914E-2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35" t="s">
        <v>156</v>
      </c>
      <c r="I65" s="27">
        <v>9.3330552976515907E-2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64" t="s">
        <v>112</v>
      </c>
      <c r="I66" s="27">
        <v>3.1718000000000003E-2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f>S57*$I66</f>
        <v>7.1317618564769925</v>
      </c>
      <c r="T66" s="11">
        <f>T57*$I66</f>
        <v>8.1781216839983504</v>
      </c>
      <c r="U66" s="11">
        <f>U57*$I66</f>
        <v>7.8071632898275105</v>
      </c>
      <c r="V66" s="11">
        <f>V57*$I66</f>
        <v>5.9735032231766922</v>
      </c>
    </row>
    <row r="67" spans="8:25" x14ac:dyDescent="0.25">
      <c r="H67" s="64"/>
      <c r="I67" s="27">
        <v>2.8812999999999998E-2</v>
      </c>
      <c r="K67" s="11">
        <f t="shared" ref="K67:R67" si="34">K57*$I67</f>
        <v>4.2276975473129479</v>
      </c>
      <c r="L67" s="11">
        <f t="shared" si="34"/>
        <v>4.8796656773454918</v>
      </c>
      <c r="M67" s="11">
        <f t="shared" si="34"/>
        <v>6.0920007879306564</v>
      </c>
      <c r="N67" s="11">
        <f t="shared" si="34"/>
        <v>7.3984140856622993</v>
      </c>
      <c r="O67" s="11">
        <f t="shared" si="34"/>
        <v>5.9197644752020171</v>
      </c>
      <c r="P67" s="11">
        <f t="shared" si="34"/>
        <v>5.0347354789132774</v>
      </c>
      <c r="Q67" s="11">
        <f t="shared" si="34"/>
        <v>4.1462827377595257</v>
      </c>
      <c r="R67" s="11">
        <f t="shared" si="34"/>
        <v>5.0264452918806537</v>
      </c>
      <c r="S67" s="11">
        <v>0</v>
      </c>
      <c r="T67" s="11">
        <v>0</v>
      </c>
      <c r="U67" s="11">
        <v>0</v>
      </c>
      <c r="V67" s="11">
        <v>0</v>
      </c>
    </row>
    <row r="68" spans="8:25" x14ac:dyDescent="0.25">
      <c r="H68" s="28" t="s">
        <v>144</v>
      </c>
      <c r="I68" s="29">
        <v>1.9511000000000001E-2</v>
      </c>
      <c r="K68" s="11">
        <f t="shared" ref="K68:V68" si="35">SUM(K59:K65)*$I68</f>
        <v>0.35987294763945976</v>
      </c>
      <c r="L68" s="11">
        <f t="shared" si="35"/>
        <v>0.3852816221411216</v>
      </c>
      <c r="M68" s="11">
        <f t="shared" si="35"/>
        <v>0.43252906690541848</v>
      </c>
      <c r="N68" s="11">
        <f t="shared" si="35"/>
        <v>0.48344295167621071</v>
      </c>
      <c r="O68" s="11">
        <f t="shared" si="35"/>
        <v>0.42581662774482643</v>
      </c>
      <c r="P68" s="11">
        <f t="shared" si="35"/>
        <v>0.39132504348577601</v>
      </c>
      <c r="Q68" s="11">
        <f t="shared" si="35"/>
        <v>0.35670002813578028</v>
      </c>
      <c r="R68" s="11">
        <f t="shared" si="35"/>
        <v>0.39100195612281036</v>
      </c>
      <c r="S68" s="11">
        <f t="shared" si="35"/>
        <v>0.44759475478617899</v>
      </c>
      <c r="T68" s="11">
        <f t="shared" si="35"/>
        <v>0.48463888354237189</v>
      </c>
      <c r="U68" s="11">
        <f t="shared" si="35"/>
        <v>0.47150589606003784</v>
      </c>
      <c r="V68" s="11">
        <f t="shared" si="35"/>
        <v>0.40658908845953246</v>
      </c>
    </row>
    <row r="69" spans="8:25" x14ac:dyDescent="0.25">
      <c r="H69" s="30" t="s">
        <v>145</v>
      </c>
      <c r="I69" s="31">
        <v>0.16881399999999999</v>
      </c>
      <c r="K69" s="11">
        <f t="shared" ref="K69:V69" si="36">SUM(K59:K65)*$I69</f>
        <v>3.1137097935937548</v>
      </c>
      <c r="L69" s="11">
        <f t="shared" si="36"/>
        <v>3.3335519327626106</v>
      </c>
      <c r="M69" s="11">
        <f t="shared" si="36"/>
        <v>3.7423485162509</v>
      </c>
      <c r="N69" s="11">
        <f t="shared" si="36"/>
        <v>4.1828680459365399</v>
      </c>
      <c r="O69" s="11">
        <f t="shared" si="36"/>
        <v>3.684270831639338</v>
      </c>
      <c r="P69" s="11">
        <f t="shared" si="36"/>
        <v>3.3858411096821173</v>
      </c>
      <c r="Q69" s="11">
        <f t="shared" si="36"/>
        <v>3.0862569089084935</v>
      </c>
      <c r="R69" s="11">
        <f t="shared" si="36"/>
        <v>3.38304567786972</v>
      </c>
      <c r="S69" s="11">
        <f t="shared" si="36"/>
        <v>3.8727005758020612</v>
      </c>
      <c r="T69" s="11">
        <f t="shared" si="36"/>
        <v>4.1932155443760939</v>
      </c>
      <c r="U69" s="11">
        <f t="shared" si="36"/>
        <v>4.0795856869191338</v>
      </c>
      <c r="V69" s="11">
        <f t="shared" si="36"/>
        <v>3.5179094038853727</v>
      </c>
    </row>
    <row r="70" spans="8:25" x14ac:dyDescent="0.25">
      <c r="H70" s="30" t="s">
        <v>115</v>
      </c>
      <c r="I70" s="34">
        <v>0.10766199999999999</v>
      </c>
      <c r="K70" s="11">
        <f t="shared" ref="K70:V70" si="37">SUM(K59:K65)*$I70</f>
        <v>1.9857844953492652</v>
      </c>
      <c r="L70" s="11">
        <f t="shared" si="37"/>
        <v>2.1259899545362835</v>
      </c>
      <c r="M70" s="11">
        <f t="shared" si="37"/>
        <v>2.3867020860627934</v>
      </c>
      <c r="N70" s="11">
        <f t="shared" si="37"/>
        <v>2.6676456902959456</v>
      </c>
      <c r="O70" s="11">
        <f t="shared" si="37"/>
        <v>2.3496627428765056</v>
      </c>
      <c r="P70" s="11">
        <f t="shared" si="37"/>
        <v>2.1593376470588703</v>
      </c>
      <c r="Q70" s="11">
        <f t="shared" si="37"/>
        <v>1.9682762764160922</v>
      </c>
      <c r="R70" s="11">
        <f t="shared" si="37"/>
        <v>2.1575548459891345</v>
      </c>
      <c r="S70" s="11">
        <f t="shared" si="37"/>
        <v>2.469834784982297</v>
      </c>
      <c r="T70" s="11">
        <f t="shared" si="37"/>
        <v>2.6742448608445919</v>
      </c>
      <c r="U70" s="11">
        <f t="shared" si="37"/>
        <v>2.6017768326388082</v>
      </c>
      <c r="V70" s="11">
        <f t="shared" si="37"/>
        <v>2.2435648834877853</v>
      </c>
    </row>
    <row r="71" spans="8:25" x14ac:dyDescent="0.25">
      <c r="H71" s="30" t="s">
        <v>116</v>
      </c>
      <c r="I71" s="31">
        <v>2.3567999999999999E-2</v>
      </c>
      <c r="K71" s="11">
        <f t="shared" ref="K71:V71" si="38">SUM(K59:K70)*$I71</f>
        <v>0.66300750690694521</v>
      </c>
      <c r="L71" s="11">
        <f t="shared" si="38"/>
        <v>0.71814952670292576</v>
      </c>
      <c r="M71" s="11">
        <f t="shared" si="38"/>
        <v>0.82068614404327389</v>
      </c>
      <c r="N71" s="11">
        <f t="shared" si="38"/>
        <v>0.93117968599240952</v>
      </c>
      <c r="O71" s="11">
        <f t="shared" si="38"/>
        <v>0.80611877835686341</v>
      </c>
      <c r="P71" s="11">
        <f t="shared" si="38"/>
        <v>0.7312649869132013</v>
      </c>
      <c r="Q71" s="11">
        <f t="shared" si="38"/>
        <v>0.65612162271524899</v>
      </c>
      <c r="R71" s="11">
        <f t="shared" si="38"/>
        <v>0.7305638212635206</v>
      </c>
      <c r="S71" s="11">
        <f t="shared" si="38"/>
        <v>0.8687760662393702</v>
      </c>
      <c r="T71" s="11">
        <f t="shared" si="38"/>
        <v>0.95142802623295386</v>
      </c>
      <c r="U71" s="11">
        <f t="shared" si="38"/>
        <v>0.92212602366379781</v>
      </c>
      <c r="V71" s="11">
        <f t="shared" si="38"/>
        <v>0.77728521987485288</v>
      </c>
    </row>
    <row r="72" spans="8:25" x14ac:dyDescent="0.25">
      <c r="K72" s="11">
        <f>SUM(K59:K71)</f>
        <v>28.794690590195522</v>
      </c>
      <c r="L72" s="11">
        <f>SUM(L59:L71)</f>
        <v>31.18953134539462</v>
      </c>
      <c r="M72" s="41">
        <f>SUM(M59:M71)</f>
        <v>35.642739099036227</v>
      </c>
      <c r="N72" s="41">
        <f t="shared" ref="N72" si="39">SUM(N59:N71)</f>
        <v>40.441519383565797</v>
      </c>
      <c r="O72" s="11">
        <f t="shared" ref="O72" si="40">SUM(O59:O71)</f>
        <v>35.010072374625679</v>
      </c>
      <c r="P72" s="11">
        <f t="shared" ref="P72" si="41">SUM(P59:P71)</f>
        <v>31.759141213712304</v>
      </c>
      <c r="Q72" s="11">
        <f t="shared" ref="Q72" si="42">SUM(Q59:Q71)</f>
        <v>28.495633788161999</v>
      </c>
      <c r="R72" s="11">
        <f t="shared" ref="R72" si="43">SUM(R59:R71)</f>
        <v>31.728689299179365</v>
      </c>
      <c r="S72" s="11">
        <f t="shared" ref="S72" si="44">SUM(S59:S71)</f>
        <v>37.731304335051753</v>
      </c>
      <c r="T72" s="11">
        <f t="shared" ref="T72" si="45">SUM(T59:T71)</f>
        <v>41.320913185472342</v>
      </c>
      <c r="U72" s="11">
        <f t="shared" ref="U72" si="46">SUM(U59:U71)</f>
        <v>40.048315079323928</v>
      </c>
      <c r="V72" s="11">
        <f>SUM(V59:V71)</f>
        <v>33.757818989174453</v>
      </c>
      <c r="W72" s="11">
        <f>SUM(K72:V72)/12</f>
        <v>34.660030723574501</v>
      </c>
      <c r="X72" s="3">
        <f>W72/W20-1</f>
        <v>3.6879714032726829E-2</v>
      </c>
      <c r="Y72" s="11">
        <f>W72-W20</f>
        <v>1.2327871826901315</v>
      </c>
    </row>
  </sheetData>
  <mergeCells count="8">
    <mergeCell ref="H58:I58"/>
    <mergeCell ref="H66:H67"/>
    <mergeCell ref="H6:I6"/>
    <mergeCell ref="H14:H15"/>
    <mergeCell ref="H23:I23"/>
    <mergeCell ref="H31:H32"/>
    <mergeCell ref="H40:I40"/>
    <mergeCell ref="H48:H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2"/>
  <sheetViews>
    <sheetView topLeftCell="G1" workbookViewId="0">
      <selection activeCell="J9" sqref="J9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8.5" customWidth="1"/>
  </cols>
  <sheetData>
    <row r="1" spans="1:23" x14ac:dyDescent="0.25">
      <c r="J1" s="12" t="s">
        <v>157</v>
      </c>
      <c r="K1" t="s">
        <v>158</v>
      </c>
    </row>
    <row r="2" spans="1:23" x14ac:dyDescent="0.25">
      <c r="A2" t="s">
        <v>1</v>
      </c>
      <c r="B2" t="s">
        <v>2</v>
      </c>
      <c r="J2" s="12" t="s">
        <v>139</v>
      </c>
      <c r="K2" s="39">
        <v>493.43775365861472</v>
      </c>
      <c r="L2" s="40">
        <v>569.53252769105154</v>
      </c>
      <c r="M2" s="40">
        <v>711.03080351469112</v>
      </c>
      <c r="N2" s="40">
        <v>863.50946022279993</v>
      </c>
      <c r="O2" s="40">
        <v>690.92815939217587</v>
      </c>
      <c r="P2" s="40">
        <v>587.63157420267532</v>
      </c>
      <c r="Q2" s="40">
        <v>483.93538498370373</v>
      </c>
      <c r="R2" s="40">
        <v>586.66398103381505</v>
      </c>
      <c r="S2" s="40">
        <v>756.1500447743922</v>
      </c>
      <c r="T2" s="40">
        <v>867.09107818983591</v>
      </c>
      <c r="U2" s="40">
        <v>827.75995468814881</v>
      </c>
      <c r="V2" s="40">
        <v>633.3448621202715</v>
      </c>
      <c r="W2" s="40">
        <f>SUM(K2:V2)</f>
        <v>8071.0155844721758</v>
      </c>
    </row>
    <row r="3" spans="1:23" x14ac:dyDescent="0.25">
      <c r="A3" t="s">
        <v>3</v>
      </c>
      <c r="B3" t="s">
        <v>4</v>
      </c>
      <c r="J3" s="12" t="s">
        <v>160</v>
      </c>
      <c r="K3" s="39">
        <f>K2*($W3/$W2)</f>
        <v>220.0932329493431</v>
      </c>
      <c r="L3" s="39">
        <f t="shared" ref="L3:V3" si="0">L2*($W3/$W2)</f>
        <v>254.03458563906008</v>
      </c>
      <c r="M3" s="39">
        <f t="shared" si="0"/>
        <v>317.14855037295615</v>
      </c>
      <c r="N3" s="39">
        <f t="shared" si="0"/>
        <v>385.16020992237702</v>
      </c>
      <c r="O3" s="39">
        <f t="shared" si="0"/>
        <v>308.18195650584897</v>
      </c>
      <c r="P3" s="39">
        <f t="shared" si="0"/>
        <v>262.10749378301171</v>
      </c>
      <c r="Q3" s="39">
        <f t="shared" si="0"/>
        <v>215.8547914704921</v>
      </c>
      <c r="R3" s="39">
        <f t="shared" si="0"/>
        <v>261.67590802141331</v>
      </c>
      <c r="S3" s="39">
        <f t="shared" si="0"/>
        <v>337.27356027225824</v>
      </c>
      <c r="T3" s="39">
        <f t="shared" si="0"/>
        <v>386.75775666805993</v>
      </c>
      <c r="U3" s="39">
        <f t="shared" si="0"/>
        <v>369.21448183180729</v>
      </c>
      <c r="V3" s="39">
        <f t="shared" si="0"/>
        <v>282.49747256337213</v>
      </c>
      <c r="W3">
        <f>300*12</f>
        <v>3600</v>
      </c>
    </row>
    <row r="4" spans="1:23" x14ac:dyDescent="0.25">
      <c r="A4" t="s">
        <v>5</v>
      </c>
      <c r="B4" t="s">
        <v>1</v>
      </c>
      <c r="C4" t="s">
        <v>2</v>
      </c>
    </row>
    <row r="5" spans="1:23" x14ac:dyDescent="0.25">
      <c r="A5" t="s">
        <v>0</v>
      </c>
      <c r="J5" s="12" t="s">
        <v>3</v>
      </c>
      <c r="K5" s="39">
        <v>220.0932329493431</v>
      </c>
      <c r="L5" s="40">
        <v>254.03458563906008</v>
      </c>
      <c r="M5" s="40">
        <v>317.14855037295615</v>
      </c>
      <c r="N5" s="40">
        <v>385.16020992237702</v>
      </c>
      <c r="O5" s="40">
        <v>308.18195650584897</v>
      </c>
      <c r="P5" s="40">
        <v>262.10749378301171</v>
      </c>
      <c r="Q5" s="40">
        <v>215.8547914704921</v>
      </c>
      <c r="R5" s="40">
        <v>261.67590802141331</v>
      </c>
      <c r="S5" s="40">
        <v>337.27356027225824</v>
      </c>
      <c r="T5" s="40">
        <v>386.75775666805993</v>
      </c>
      <c r="U5" s="40">
        <v>369.21448183180729</v>
      </c>
      <c r="V5" s="40">
        <v>282.49747256337213</v>
      </c>
      <c r="W5" s="40">
        <f>SUM(K5:V5)</f>
        <v>3600</v>
      </c>
    </row>
    <row r="6" spans="1:23" ht="16.5" thickBot="1" x14ac:dyDescent="0.3">
      <c r="A6" t="s">
        <v>6</v>
      </c>
      <c r="B6" t="s">
        <v>7</v>
      </c>
      <c r="C6" t="s">
        <v>8</v>
      </c>
      <c r="H6" s="63" t="s">
        <v>117</v>
      </c>
      <c r="I6" s="63"/>
      <c r="J6" s="12" t="s">
        <v>136</v>
      </c>
      <c r="K6" s="37" t="s">
        <v>124</v>
      </c>
      <c r="L6" s="37" t="s">
        <v>125</v>
      </c>
      <c r="M6" s="37" t="s">
        <v>126</v>
      </c>
      <c r="N6" s="37" t="s">
        <v>127</v>
      </c>
      <c r="O6" s="37" t="s">
        <v>128</v>
      </c>
      <c r="P6" s="37" t="s">
        <v>129</v>
      </c>
      <c r="Q6" s="37" t="s">
        <v>130</v>
      </c>
      <c r="R6" s="37" t="s">
        <v>131</v>
      </c>
      <c r="S6" s="37" t="s">
        <v>132</v>
      </c>
      <c r="T6" s="37" t="s">
        <v>133</v>
      </c>
      <c r="U6" s="37" t="s">
        <v>134</v>
      </c>
      <c r="V6" s="37" t="s">
        <v>135</v>
      </c>
    </row>
    <row r="7" spans="1:23" x14ac:dyDescent="0.25">
      <c r="A7" t="s">
        <v>9</v>
      </c>
      <c r="B7" t="s">
        <v>1</v>
      </c>
      <c r="H7" s="32" t="s">
        <v>118</v>
      </c>
      <c r="I7" s="33">
        <v>10</v>
      </c>
      <c r="K7" s="11">
        <f>$I7</f>
        <v>10</v>
      </c>
      <c r="L7" s="11">
        <f t="shared" ref="L7:V7" si="1">$I7</f>
        <v>10</v>
      </c>
      <c r="M7" s="11">
        <f t="shared" si="1"/>
        <v>10</v>
      </c>
      <c r="N7" s="11">
        <f t="shared" si="1"/>
        <v>10</v>
      </c>
      <c r="O7" s="11">
        <f t="shared" si="1"/>
        <v>10</v>
      </c>
      <c r="P7" s="11">
        <f t="shared" si="1"/>
        <v>10</v>
      </c>
      <c r="Q7" s="11">
        <f t="shared" si="1"/>
        <v>10</v>
      </c>
      <c r="R7" s="11">
        <f t="shared" si="1"/>
        <v>10</v>
      </c>
      <c r="S7" s="11">
        <f t="shared" si="1"/>
        <v>10</v>
      </c>
      <c r="T7" s="11">
        <f t="shared" si="1"/>
        <v>10</v>
      </c>
      <c r="U7" s="11">
        <f t="shared" si="1"/>
        <v>10</v>
      </c>
      <c r="V7" s="11">
        <f t="shared" si="1"/>
        <v>10</v>
      </c>
    </row>
    <row r="8" spans="1:23" x14ac:dyDescent="0.25">
      <c r="A8" t="s">
        <v>2</v>
      </c>
      <c r="B8" t="s">
        <v>0</v>
      </c>
      <c r="H8" s="26" t="s">
        <v>119</v>
      </c>
      <c r="I8" s="27">
        <v>5.6582E-2</v>
      </c>
      <c r="K8" s="11">
        <f>K5*$I8</f>
        <v>12.453315306739732</v>
      </c>
      <c r="L8" s="11">
        <f t="shared" ref="L8:R8" si="2">L5*$I8</f>
        <v>14.373784924629298</v>
      </c>
      <c r="M8" s="11">
        <f t="shared" si="2"/>
        <v>17.944899277202605</v>
      </c>
      <c r="N8" s="11">
        <f t="shared" si="2"/>
        <v>21.793134997827938</v>
      </c>
      <c r="O8" s="11">
        <f t="shared" si="2"/>
        <v>17.437551463013946</v>
      </c>
      <c r="P8" s="11">
        <f t="shared" si="2"/>
        <v>14.830566213230368</v>
      </c>
      <c r="Q8" s="11">
        <f t="shared" si="2"/>
        <v>12.213495810983384</v>
      </c>
      <c r="R8" s="11">
        <f t="shared" si="2"/>
        <v>14.806146227667607</v>
      </c>
      <c r="S8" s="11">
        <v>0</v>
      </c>
      <c r="T8" s="11">
        <v>0</v>
      </c>
      <c r="U8" s="11">
        <v>0</v>
      </c>
      <c r="V8" s="11">
        <v>0</v>
      </c>
    </row>
    <row r="9" spans="1:23" x14ac:dyDescent="0.25">
      <c r="A9" t="s">
        <v>1</v>
      </c>
      <c r="B9" t="s">
        <v>2</v>
      </c>
      <c r="H9" s="26" t="s">
        <v>120</v>
      </c>
      <c r="I9" s="27">
        <v>4.8533E-2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0</v>
      </c>
      <c r="B10" t="s">
        <v>10</v>
      </c>
      <c r="H10" s="35" t="s">
        <v>121</v>
      </c>
      <c r="I10" s="27">
        <v>4.7641000000000003E-2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H11" s="26" t="s">
        <v>122</v>
      </c>
      <c r="I11" s="27">
        <v>5.6582E-2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 t="shared" ref="S11:U11" si="3">S5*$I11</f>
        <v>19.083612587324915</v>
      </c>
      <c r="T11" s="11">
        <f t="shared" si="3"/>
        <v>21.883527387792167</v>
      </c>
      <c r="U11" s="11">
        <f t="shared" si="3"/>
        <v>20.89089381100732</v>
      </c>
      <c r="V11" s="11">
        <f>V5*$I11</f>
        <v>15.984271992580721</v>
      </c>
    </row>
    <row r="12" spans="1:23" x14ac:dyDescent="0.25">
      <c r="A12" s="21" t="s">
        <v>109</v>
      </c>
      <c r="B12" s="21" t="s">
        <v>110</v>
      </c>
      <c r="C12" s="22"/>
      <c r="D12" s="22"/>
      <c r="E12" s="22"/>
      <c r="F12" s="21" t="s">
        <v>111</v>
      </c>
      <c r="H12" s="26" t="s">
        <v>123</v>
      </c>
      <c r="I12" s="27">
        <v>9.3982999999999997E-2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3" x14ac:dyDescent="0.25">
      <c r="A13" s="22" t="s">
        <v>11</v>
      </c>
      <c r="B13" s="22">
        <v>673</v>
      </c>
      <c r="C13" s="23">
        <v>83.88</v>
      </c>
      <c r="D13" s="23">
        <v>92.33</v>
      </c>
      <c r="E13" s="23">
        <v>8.4499999999999993</v>
      </c>
      <c r="F13" s="24">
        <f>D13/C13-1</f>
        <v>0.10073915116833576</v>
      </c>
      <c r="H13" s="35" t="s">
        <v>156</v>
      </c>
      <c r="I13" s="27">
        <v>9.7272999999999998E-2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3" x14ac:dyDescent="0.25">
      <c r="A14" s="22" t="s">
        <v>12</v>
      </c>
      <c r="B14" s="25">
        <v>1000</v>
      </c>
      <c r="C14" s="23">
        <v>123.31</v>
      </c>
      <c r="D14" s="23">
        <v>133.09</v>
      </c>
      <c r="E14" s="23">
        <v>9.7799999999999994</v>
      </c>
      <c r="F14" s="24">
        <f t="shared" ref="F14:F15" si="4">D14/C14-1</f>
        <v>7.9312302327467332E-2</v>
      </c>
      <c r="H14" s="64" t="s">
        <v>112</v>
      </c>
      <c r="I14" s="27">
        <v>3.1718000000000003E-2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S5*$I14</f>
        <v>10.697642784715487</v>
      </c>
      <c r="T14" s="11">
        <f>T5*$I14</f>
        <v>12.267182525997526</v>
      </c>
      <c r="U14" s="11">
        <f>U5*$I14</f>
        <v>11.710744934741264</v>
      </c>
      <c r="V14" s="11">
        <f>V5*$I14</f>
        <v>8.9602548347650384</v>
      </c>
    </row>
    <row r="15" spans="1:23" x14ac:dyDescent="0.25">
      <c r="A15" s="22" t="s">
        <v>13</v>
      </c>
      <c r="B15" s="25">
        <v>1837</v>
      </c>
      <c r="C15" s="23">
        <v>225.4</v>
      </c>
      <c r="D15" s="23">
        <v>238.64</v>
      </c>
      <c r="E15" s="23">
        <v>13.24</v>
      </c>
      <c r="F15" s="24">
        <f t="shared" si="4"/>
        <v>5.8740017746228945E-2</v>
      </c>
      <c r="H15" s="64"/>
      <c r="I15" s="27">
        <v>2.8812999999999998E-2</v>
      </c>
      <c r="K15" s="11">
        <f t="shared" ref="K15:R15" si="5">K5*$I15</f>
        <v>6.3415463209694227</v>
      </c>
      <c r="L15" s="11">
        <f t="shared" si="5"/>
        <v>7.3194985160182373</v>
      </c>
      <c r="M15" s="11">
        <f t="shared" si="5"/>
        <v>9.1380011818959854</v>
      </c>
      <c r="N15" s="11">
        <f t="shared" si="5"/>
        <v>11.097621128493449</v>
      </c>
      <c r="O15" s="11">
        <f t="shared" si="5"/>
        <v>8.8796467128030265</v>
      </c>
      <c r="P15" s="11">
        <f t="shared" si="5"/>
        <v>7.5521032183699157</v>
      </c>
      <c r="Q15" s="11">
        <f t="shared" si="5"/>
        <v>6.2194241066392886</v>
      </c>
      <c r="R15" s="11">
        <f t="shared" si="5"/>
        <v>7.5396679378209814</v>
      </c>
      <c r="S15" s="11">
        <v>0</v>
      </c>
      <c r="T15" s="11">
        <v>0</v>
      </c>
      <c r="U15" s="11">
        <v>0</v>
      </c>
      <c r="V15" s="11">
        <v>0</v>
      </c>
    </row>
    <row r="16" spans="1:23" x14ac:dyDescent="0.25">
      <c r="F16" s="3"/>
      <c r="H16" s="28" t="s">
        <v>113</v>
      </c>
      <c r="I16" s="29">
        <v>1.6721E-2</v>
      </c>
      <c r="K16" s="11">
        <f t="shared" ref="K16:V16" si="6">SUM(K7:K13)*$I16</f>
        <v>0.37544188524399508</v>
      </c>
      <c r="L16" s="11">
        <f t="shared" si="6"/>
        <v>0.40755405772472647</v>
      </c>
      <c r="M16" s="11">
        <f t="shared" si="6"/>
        <v>0.46726666081410473</v>
      </c>
      <c r="N16" s="11">
        <f t="shared" si="6"/>
        <v>0.53161301029868091</v>
      </c>
      <c r="O16" s="11">
        <f t="shared" si="6"/>
        <v>0.45878329801305617</v>
      </c>
      <c r="P16" s="11">
        <f t="shared" si="6"/>
        <v>0.415191897651425</v>
      </c>
      <c r="Q16" s="11">
        <f t="shared" si="6"/>
        <v>0.37143186345545315</v>
      </c>
      <c r="R16" s="11">
        <f t="shared" si="6"/>
        <v>0.41478357107283004</v>
      </c>
      <c r="S16" s="11">
        <f t="shared" si="6"/>
        <v>0.48630708607265988</v>
      </c>
      <c r="T16" s="11">
        <f t="shared" si="6"/>
        <v>0.53312446145127279</v>
      </c>
      <c r="U16" s="11">
        <f t="shared" si="6"/>
        <v>0.51652663541385335</v>
      </c>
      <c r="V16" s="11">
        <f t="shared" si="6"/>
        <v>0.43448301198794226</v>
      </c>
    </row>
    <row r="17" spans="1:24" x14ac:dyDescent="0.25">
      <c r="A17" t="s">
        <v>60</v>
      </c>
      <c r="B17">
        <v>1014</v>
      </c>
      <c r="C17" s="1">
        <v>122.26</v>
      </c>
      <c r="D17" s="1">
        <v>131.97999999999999</v>
      </c>
      <c r="E17" s="1">
        <f>D17-C17</f>
        <v>9.7199999999999847</v>
      </c>
      <c r="F17" s="3">
        <f>D17/C17-1</f>
        <v>7.9502699165712398E-2</v>
      </c>
      <c r="H17" s="30" t="s">
        <v>114</v>
      </c>
      <c r="I17" s="31">
        <v>0.12767999999999999</v>
      </c>
      <c r="K17" s="11">
        <f t="shared" ref="K17:V17" si="7">SUM(K7:K13)*$I17</f>
        <v>2.8668392983645288</v>
      </c>
      <c r="L17" s="11">
        <f t="shared" si="7"/>
        <v>3.1120448591766685</v>
      </c>
      <c r="M17" s="11">
        <f t="shared" si="7"/>
        <v>3.5680047397132282</v>
      </c>
      <c r="N17" s="11">
        <f t="shared" si="7"/>
        <v>4.0593474765226709</v>
      </c>
      <c r="O17" s="11">
        <f t="shared" si="7"/>
        <v>3.5032265707976205</v>
      </c>
      <c r="P17" s="11">
        <f t="shared" si="7"/>
        <v>3.1703666941052533</v>
      </c>
      <c r="Q17" s="11">
        <f t="shared" si="7"/>
        <v>2.8362191451463579</v>
      </c>
      <c r="R17" s="11">
        <f t="shared" si="7"/>
        <v>3.1672487503486</v>
      </c>
      <c r="S17" s="11">
        <f t="shared" si="7"/>
        <v>3.7133956551496445</v>
      </c>
      <c r="T17" s="11">
        <f t="shared" si="7"/>
        <v>4.0708887768733035</v>
      </c>
      <c r="U17" s="11">
        <f t="shared" si="7"/>
        <v>3.9441493217894141</v>
      </c>
      <c r="V17" s="11">
        <f t="shared" si="7"/>
        <v>3.3176718480127065</v>
      </c>
    </row>
    <row r="18" spans="1:24" x14ac:dyDescent="0.25">
      <c r="B18">
        <v>1014</v>
      </c>
      <c r="C18" s="1">
        <v>122.26</v>
      </c>
      <c r="D18" s="1">
        <v>131.81</v>
      </c>
      <c r="E18" s="1">
        <f>D18-C18</f>
        <v>9.5499999999999972</v>
      </c>
      <c r="F18" s="3">
        <f>D18/C18-1</f>
        <v>7.8112219859316268E-2</v>
      </c>
      <c r="H18" s="30" t="s">
        <v>115</v>
      </c>
      <c r="I18" s="34">
        <v>0.10766199999999999</v>
      </c>
      <c r="K18" s="11">
        <f t="shared" ref="K18:V18" si="8">SUM(K7:K13)*$I18</f>
        <v>2.4173688325542129</v>
      </c>
      <c r="L18" s="11">
        <f t="shared" si="8"/>
        <v>2.6241304325554395</v>
      </c>
      <c r="M18" s="11">
        <f t="shared" si="8"/>
        <v>3.0086037459821866</v>
      </c>
      <c r="N18" s="11">
        <f t="shared" si="8"/>
        <v>3.4229125001361513</v>
      </c>
      <c r="O18" s="11">
        <f t="shared" si="8"/>
        <v>2.9539816656110074</v>
      </c>
      <c r="P18" s="11">
        <f t="shared" si="8"/>
        <v>2.6733084196488077</v>
      </c>
      <c r="Q18" s="11">
        <f t="shared" si="8"/>
        <v>2.3915493860020929</v>
      </c>
      <c r="R18" s="11">
        <f t="shared" si="8"/>
        <v>2.6706793151631496</v>
      </c>
      <c r="S18" s="11">
        <f t="shared" si="8"/>
        <v>3.131199898376575</v>
      </c>
      <c r="T18" s="11">
        <f t="shared" si="8"/>
        <v>3.4326443256244801</v>
      </c>
      <c r="U18" s="11">
        <f t="shared" si="8"/>
        <v>3.32577540948067</v>
      </c>
      <c r="V18" s="11">
        <f t="shared" si="8"/>
        <v>2.7975186912652257</v>
      </c>
    </row>
    <row r="19" spans="1:24" x14ac:dyDescent="0.25">
      <c r="E19" s="1"/>
      <c r="F19" s="3"/>
      <c r="H19" s="30" t="s">
        <v>116</v>
      </c>
      <c r="I19" s="31">
        <v>2.3050000000000001E-2</v>
      </c>
      <c r="K19" s="11">
        <f t="shared" ref="K19:V19" si="9">SUM(K7:K18)*$I19</f>
        <v>0.79417649339124707</v>
      </c>
      <c r="L19" s="11">
        <f t="shared" si="9"/>
        <v>0.87214314481190569</v>
      </c>
      <c r="M19" s="11">
        <f t="shared" si="9"/>
        <v>1.0171221777092669</v>
      </c>
      <c r="N19" s="11">
        <f t="shared" si="9"/>
        <v>1.1733517010610783</v>
      </c>
      <c r="O19" s="11">
        <f t="shared" si="9"/>
        <v>0.99652502282100108</v>
      </c>
      <c r="P19" s="11">
        <f t="shared" si="9"/>
        <v>0.89068741501128301</v>
      </c>
      <c r="Q19" s="11">
        <f t="shared" si="9"/>
        <v>0.78444037319682258</v>
      </c>
      <c r="R19" s="11">
        <f t="shared" si="9"/>
        <v>0.88969601973778656</v>
      </c>
      <c r="S19" s="11">
        <f t="shared" si="9"/>
        <v>1.0859352421682855</v>
      </c>
      <c r="T19" s="11">
        <f t="shared" si="9"/>
        <v>1.2029188203618784</v>
      </c>
      <c r="U19" s="11">
        <f t="shared" si="9"/>
        <v>1.1614454770915696</v>
      </c>
      <c r="V19" s="11">
        <f t="shared" si="9"/>
        <v>0.95644131872699834</v>
      </c>
    </row>
    <row r="20" spans="1:24" x14ac:dyDescent="0.25">
      <c r="A20" t="s">
        <v>61</v>
      </c>
      <c r="B20">
        <v>1267</v>
      </c>
      <c r="C20" s="1">
        <v>149.08000000000001</v>
      </c>
      <c r="D20" s="1">
        <v>159.66999999999999</v>
      </c>
      <c r="E20" s="1">
        <f t="shared" ref="E20" si="10">D20-C20</f>
        <v>10.589999999999975</v>
      </c>
      <c r="F20" s="3">
        <f t="shared" ref="F20" si="11">D20/C20-1</f>
        <v>7.1035685537965909E-2</v>
      </c>
      <c r="K20" s="11">
        <f>SUM(K7:K19)</f>
        <v>35.248688137263137</v>
      </c>
      <c r="L20" s="11">
        <f>SUM(L7:L19)</f>
        <v>38.709155934916275</v>
      </c>
      <c r="M20" s="41">
        <f>SUM(M7:M19)</f>
        <v>45.143897783317378</v>
      </c>
      <c r="N20" s="41">
        <f t="shared" ref="N20:U20" si="12">SUM(N7:N19)</f>
        <v>52.077980814339966</v>
      </c>
      <c r="O20" s="11">
        <f t="shared" si="12"/>
        <v>44.229714733059659</v>
      </c>
      <c r="P20" s="11">
        <f t="shared" si="12"/>
        <v>39.532223858017055</v>
      </c>
      <c r="Q20" s="11">
        <f t="shared" si="12"/>
        <v>34.816560685423397</v>
      </c>
      <c r="R20" s="11">
        <f t="shared" si="12"/>
        <v>39.488221821810953</v>
      </c>
      <c r="S20" s="11">
        <f t="shared" si="12"/>
        <v>48.198093253807563</v>
      </c>
      <c r="T20" s="11">
        <f t="shared" si="12"/>
        <v>53.390286298100634</v>
      </c>
      <c r="U20" s="11">
        <f t="shared" si="12"/>
        <v>51.549535589524091</v>
      </c>
      <c r="V20" s="11">
        <f>SUM(V7:V19)</f>
        <v>42.450641697338632</v>
      </c>
      <c r="W20" s="11">
        <f>SUM(K20:V20)/12</f>
        <v>43.736250050576558</v>
      </c>
      <c r="X20" s="11"/>
    </row>
    <row r="21" spans="1:24" x14ac:dyDescent="0.25">
      <c r="C21" s="1"/>
      <c r="D21" s="1"/>
      <c r="E21" s="1"/>
      <c r="F21" s="3"/>
      <c r="K21" s="11"/>
      <c r="L21" s="11"/>
      <c r="M21" s="41"/>
      <c r="N21" s="4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J22" s="12" t="s">
        <v>3</v>
      </c>
      <c r="K22" s="39">
        <v>220.0932329493431</v>
      </c>
      <c r="L22" s="40">
        <v>254.03458563906008</v>
      </c>
      <c r="M22" s="40">
        <v>317.14855037295615</v>
      </c>
      <c r="N22" s="40">
        <v>385.16020992237702</v>
      </c>
      <c r="O22" s="40">
        <v>308.18195650584897</v>
      </c>
      <c r="P22" s="40">
        <v>262.10749378301171</v>
      </c>
      <c r="Q22" s="40">
        <v>215.8547914704921</v>
      </c>
      <c r="R22" s="40">
        <v>261.67590802141331</v>
      </c>
      <c r="S22" s="40">
        <v>337.27356027225824</v>
      </c>
      <c r="T22" s="40">
        <v>386.75775666805993</v>
      </c>
      <c r="U22" s="40">
        <v>369.21448183180729</v>
      </c>
      <c r="V22" s="40">
        <v>282.49747256337213</v>
      </c>
    </row>
    <row r="23" spans="1:24" ht="16.5" thickBot="1" x14ac:dyDescent="0.3">
      <c r="H23" s="63" t="s">
        <v>137</v>
      </c>
      <c r="I23" s="63"/>
      <c r="J23" s="12" t="s">
        <v>136</v>
      </c>
      <c r="K23" s="37" t="s">
        <v>124</v>
      </c>
      <c r="L23" s="37" t="s">
        <v>125</v>
      </c>
      <c r="M23" s="37" t="s">
        <v>126</v>
      </c>
      <c r="N23" s="37" t="s">
        <v>127</v>
      </c>
      <c r="O23" s="37" t="s">
        <v>128</v>
      </c>
      <c r="P23" s="37" t="s">
        <v>129</v>
      </c>
      <c r="Q23" s="37" t="s">
        <v>130</v>
      </c>
      <c r="R23" s="37" t="s">
        <v>131</v>
      </c>
      <c r="S23" s="37" t="s">
        <v>132</v>
      </c>
      <c r="T23" s="37" t="s">
        <v>133</v>
      </c>
      <c r="U23" s="37" t="s">
        <v>134</v>
      </c>
      <c r="V23" s="37" t="s">
        <v>135</v>
      </c>
    </row>
    <row r="24" spans="1:24" x14ac:dyDescent="0.25">
      <c r="H24" s="32" t="s">
        <v>118</v>
      </c>
      <c r="I24" s="33">
        <v>14.9</v>
      </c>
      <c r="K24" s="11">
        <f>$I24</f>
        <v>14.9</v>
      </c>
      <c r="L24" s="11">
        <f t="shared" ref="L24:V24" si="13">$I24</f>
        <v>14.9</v>
      </c>
      <c r="M24" s="11">
        <f t="shared" si="13"/>
        <v>14.9</v>
      </c>
      <c r="N24" s="11">
        <f t="shared" si="13"/>
        <v>14.9</v>
      </c>
      <c r="O24" s="11">
        <f t="shared" si="13"/>
        <v>14.9</v>
      </c>
      <c r="P24" s="11">
        <f t="shared" si="13"/>
        <v>14.9</v>
      </c>
      <c r="Q24" s="11">
        <f t="shared" si="13"/>
        <v>14.9</v>
      </c>
      <c r="R24" s="11">
        <f t="shared" si="13"/>
        <v>14.9</v>
      </c>
      <c r="S24" s="11">
        <f t="shared" si="13"/>
        <v>14.9</v>
      </c>
      <c r="T24" s="11">
        <f t="shared" si="13"/>
        <v>14.9</v>
      </c>
      <c r="U24" s="11">
        <f t="shared" si="13"/>
        <v>14.9</v>
      </c>
      <c r="V24" s="11">
        <f t="shared" si="13"/>
        <v>14.9</v>
      </c>
    </row>
    <row r="25" spans="1:24" x14ac:dyDescent="0.25">
      <c r="H25" s="26" t="s">
        <v>119</v>
      </c>
      <c r="I25" s="27">
        <v>5.7969E-2</v>
      </c>
      <c r="K25" s="11">
        <f>K22*$I25</f>
        <v>12.75858462084047</v>
      </c>
      <c r="L25" s="11">
        <f t="shared" ref="L25:R25" si="14">L22*$I25</f>
        <v>14.726130894910673</v>
      </c>
      <c r="M25" s="11">
        <f t="shared" si="14"/>
        <v>18.384784316569895</v>
      </c>
      <c r="N25" s="11">
        <f t="shared" si="14"/>
        <v>22.327352208990273</v>
      </c>
      <c r="O25" s="11">
        <f t="shared" si="14"/>
        <v>17.864999836687559</v>
      </c>
      <c r="P25" s="11">
        <f t="shared" si="14"/>
        <v>15.194109307107405</v>
      </c>
      <c r="Q25" s="11">
        <f t="shared" si="14"/>
        <v>12.512886406752957</v>
      </c>
      <c r="R25" s="11">
        <f t="shared" si="14"/>
        <v>15.169090712093308</v>
      </c>
      <c r="S25" s="11">
        <v>0</v>
      </c>
      <c r="T25" s="11">
        <v>0</v>
      </c>
      <c r="U25" s="11">
        <v>0</v>
      </c>
      <c r="V25" s="11">
        <v>0</v>
      </c>
    </row>
    <row r="26" spans="1:24" x14ac:dyDescent="0.25">
      <c r="H26" s="26" t="s">
        <v>120</v>
      </c>
      <c r="I26" s="27">
        <v>4.972E-2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35" t="s">
        <v>121</v>
      </c>
      <c r="I27" s="27">
        <v>4.8809999999999999E-2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26" t="s">
        <v>122</v>
      </c>
      <c r="I28" s="27">
        <v>5.7969E-2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 t="shared" ref="S28:U28" si="15">S22*$I28</f>
        <v>19.551411015422538</v>
      </c>
      <c r="T28" s="11">
        <f t="shared" si="15"/>
        <v>22.419960396290765</v>
      </c>
      <c r="U28" s="11">
        <f t="shared" si="15"/>
        <v>21.402994297308037</v>
      </c>
      <c r="V28" s="11">
        <f>V22*$I28</f>
        <v>16.376095987026119</v>
      </c>
    </row>
    <row r="29" spans="1:24" x14ac:dyDescent="0.25">
      <c r="H29" s="26" t="s">
        <v>123</v>
      </c>
      <c r="I29" s="27">
        <v>9.6285999999999997E-2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4" x14ac:dyDescent="0.25">
      <c r="H30" s="35" t="s">
        <v>156</v>
      </c>
      <c r="I30" s="27">
        <v>9.9657999999999997E-2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4" x14ac:dyDescent="0.25">
      <c r="H31" s="64" t="s">
        <v>112</v>
      </c>
      <c r="I31" s="27">
        <v>3.1718000000000003E-2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S22*$I31</f>
        <v>10.697642784715487</v>
      </c>
      <c r="T31" s="11">
        <f>T22*$I31</f>
        <v>12.267182525997526</v>
      </c>
      <c r="U31" s="11">
        <f>U22*$I31</f>
        <v>11.710744934741264</v>
      </c>
      <c r="V31" s="11">
        <f>V22*$I31</f>
        <v>8.9602548347650384</v>
      </c>
    </row>
    <row r="32" spans="1:24" x14ac:dyDescent="0.25">
      <c r="H32" s="64"/>
      <c r="I32" s="27">
        <v>2.8812999999999998E-2</v>
      </c>
      <c r="K32" s="11">
        <f t="shared" ref="K32:R32" si="16">K22*$I32</f>
        <v>6.3415463209694227</v>
      </c>
      <c r="L32" s="11">
        <f t="shared" si="16"/>
        <v>7.3194985160182373</v>
      </c>
      <c r="M32" s="11">
        <f t="shared" si="16"/>
        <v>9.1380011818959854</v>
      </c>
      <c r="N32" s="11">
        <f t="shared" si="16"/>
        <v>11.097621128493449</v>
      </c>
      <c r="O32" s="11">
        <f t="shared" si="16"/>
        <v>8.8796467128030265</v>
      </c>
      <c r="P32" s="11">
        <f t="shared" si="16"/>
        <v>7.5521032183699157</v>
      </c>
      <c r="Q32" s="11">
        <f t="shared" si="16"/>
        <v>6.2194241066392886</v>
      </c>
      <c r="R32" s="11">
        <f t="shared" si="16"/>
        <v>7.5396679378209814</v>
      </c>
      <c r="S32" s="11">
        <v>0</v>
      </c>
      <c r="T32" s="11">
        <v>0</v>
      </c>
      <c r="U32" s="11">
        <v>0</v>
      </c>
      <c r="V32" s="11">
        <v>0</v>
      </c>
    </row>
    <row r="33" spans="8:25" x14ac:dyDescent="0.25">
      <c r="H33" s="28" t="s">
        <v>113</v>
      </c>
      <c r="I33" s="29">
        <v>1.7947000000000001E-2</v>
      </c>
      <c r="K33" s="11">
        <f t="shared" ref="K33:V33" si="17">SUM(K24:K30)*$I33</f>
        <v>0.49638861819022395</v>
      </c>
      <c r="L33" s="11">
        <f t="shared" si="17"/>
        <v>0.53170017117096191</v>
      </c>
      <c r="M33" s="11">
        <f t="shared" si="17"/>
        <v>0.59736202412948003</v>
      </c>
      <c r="N33" s="11">
        <f t="shared" si="17"/>
        <v>0.66811929009474846</v>
      </c>
      <c r="O33" s="11">
        <f t="shared" si="17"/>
        <v>0.58803345206903168</v>
      </c>
      <c r="P33" s="11">
        <f t="shared" si="17"/>
        <v>0.54009897973465659</v>
      </c>
      <c r="Q33" s="11">
        <f t="shared" si="17"/>
        <v>0.49197907234199534</v>
      </c>
      <c r="R33" s="11">
        <f t="shared" si="17"/>
        <v>0.53964997100993861</v>
      </c>
      <c r="S33" s="11">
        <f t="shared" si="17"/>
        <v>0.61829947349378833</v>
      </c>
      <c r="T33" s="11">
        <f t="shared" si="17"/>
        <v>0.66978132923223044</v>
      </c>
      <c r="U33" s="11">
        <f t="shared" si="17"/>
        <v>0.65152983865378744</v>
      </c>
      <c r="V33" s="11">
        <f t="shared" si="17"/>
        <v>0.56131209467915777</v>
      </c>
    </row>
    <row r="34" spans="8:25" x14ac:dyDescent="0.25">
      <c r="H34" s="30" t="s">
        <v>114</v>
      </c>
      <c r="I34" s="31">
        <v>0.15357499999999999</v>
      </c>
      <c r="K34" s="11">
        <f t="shared" ref="K34:V34" si="18">SUM(K24:K30)*$I34</f>
        <v>4.2476671331455753</v>
      </c>
      <c r="L34" s="11">
        <f t="shared" si="18"/>
        <v>4.5498330521859067</v>
      </c>
      <c r="M34" s="11">
        <f t="shared" si="18"/>
        <v>5.1117107514172213</v>
      </c>
      <c r="N34" s="11">
        <f t="shared" si="18"/>
        <v>5.7171906154956815</v>
      </c>
      <c r="O34" s="11">
        <f t="shared" si="18"/>
        <v>5.0318848499192912</v>
      </c>
      <c r="P34" s="11">
        <f t="shared" si="18"/>
        <v>4.6217028368390194</v>
      </c>
      <c r="Q34" s="11">
        <f t="shared" si="18"/>
        <v>4.2099340299170853</v>
      </c>
      <c r="R34" s="11">
        <f t="shared" si="18"/>
        <v>4.6178606061097289</v>
      </c>
      <c r="S34" s="11">
        <f t="shared" si="18"/>
        <v>5.2908754466935157</v>
      </c>
      <c r="T34" s="11">
        <f t="shared" si="18"/>
        <v>5.7314129178603546</v>
      </c>
      <c r="U34" s="11">
        <f t="shared" si="18"/>
        <v>5.5752323492090818</v>
      </c>
      <c r="V34" s="11">
        <f t="shared" si="18"/>
        <v>4.8032264412075358</v>
      </c>
    </row>
    <row r="35" spans="8:25" x14ac:dyDescent="0.25">
      <c r="H35" s="30" t="s">
        <v>115</v>
      </c>
      <c r="I35" s="34">
        <v>0.10766199999999999</v>
      </c>
      <c r="K35" s="11">
        <f t="shared" ref="K35:V35" si="19">SUM(K24:K30)*$I35</f>
        <v>2.9777785374489265</v>
      </c>
      <c r="L35" s="11">
        <f t="shared" si="19"/>
        <v>3.1896085044078726</v>
      </c>
      <c r="M35" s="11">
        <f t="shared" si="19"/>
        <v>3.5835064490905482</v>
      </c>
      <c r="N35" s="11">
        <f t="shared" si="19"/>
        <v>4.0079711935243107</v>
      </c>
      <c r="O35" s="11">
        <f t="shared" si="19"/>
        <v>3.5275454124174557</v>
      </c>
      <c r="P35" s="11">
        <f t="shared" si="19"/>
        <v>3.2399919962217973</v>
      </c>
      <c r="Q35" s="11">
        <f t="shared" si="19"/>
        <v>2.9513261763238368</v>
      </c>
      <c r="R35" s="11">
        <f t="shared" si="19"/>
        <v>3.2372984442453894</v>
      </c>
      <c r="S35" s="11">
        <f t="shared" si="19"/>
        <v>3.7091078127424209</v>
      </c>
      <c r="T35" s="11">
        <f t="shared" si="19"/>
        <v>4.0179415761854562</v>
      </c>
      <c r="U35" s="11">
        <f t="shared" si="19"/>
        <v>3.9084529720367778</v>
      </c>
      <c r="V35" s="11">
        <f t="shared" si="19"/>
        <v>3.3672470461552058</v>
      </c>
    </row>
    <row r="36" spans="8:25" x14ac:dyDescent="0.25">
      <c r="H36" s="30" t="s">
        <v>116</v>
      </c>
      <c r="I36" s="31">
        <v>2.3567999999999999E-2</v>
      </c>
      <c r="K36" s="11">
        <f t="shared" ref="K36:V36" si="20">SUM(K24:K35)*$I36</f>
        <v>0.98330327655465399</v>
      </c>
      <c r="L36" s="11">
        <f t="shared" si="20"/>
        <v>1.0656688621967318</v>
      </c>
      <c r="M36" s="11">
        <f t="shared" si="20"/>
        <v>1.2188277157940945</v>
      </c>
      <c r="N36" s="11">
        <f t="shared" si="20"/>
        <v>1.3838718205617526</v>
      </c>
      <c r="O36" s="11">
        <f t="shared" si="20"/>
        <v>1.1970684546995096</v>
      </c>
      <c r="P36" s="11">
        <f t="shared" si="20"/>
        <v>1.0852594133804132</v>
      </c>
      <c r="Q36" s="11">
        <f t="shared" si="20"/>
        <v>0.97301783749727078</v>
      </c>
      <c r="R36" s="11">
        <f t="shared" si="20"/>
        <v>1.0842120828767114</v>
      </c>
      <c r="S36" s="11">
        <f t="shared" si="20"/>
        <v>1.2907565874113405</v>
      </c>
      <c r="T36" s="11">
        <f t="shared" si="20"/>
        <v>1.4142279774755073</v>
      </c>
      <c r="U36" s="11">
        <f t="shared" si="20"/>
        <v>1.3704545571094526</v>
      </c>
      <c r="V36" s="11">
        <f t="shared" si="20"/>
        <v>1.1540810387655374</v>
      </c>
    </row>
    <row r="37" spans="8:25" x14ac:dyDescent="0.25">
      <c r="K37" s="11">
        <f>SUM(K24:K36)</f>
        <v>42.70526850714927</v>
      </c>
      <c r="L37" s="11">
        <f>SUM(L24:L36)</f>
        <v>46.282440000890375</v>
      </c>
      <c r="M37" s="41">
        <f>SUM(M24:M36)</f>
        <v>52.934192438897227</v>
      </c>
      <c r="N37" s="41">
        <f t="shared" ref="N37:U37" si="21">SUM(N24:N36)</f>
        <v>60.102126257160222</v>
      </c>
      <c r="O37" s="11">
        <f t="shared" si="21"/>
        <v>51.98917871859588</v>
      </c>
      <c r="P37" s="11">
        <f t="shared" si="21"/>
        <v>47.133265751653212</v>
      </c>
      <c r="Q37" s="11">
        <f t="shared" si="21"/>
        <v>42.258567629472445</v>
      </c>
      <c r="R37" s="11">
        <f t="shared" si="21"/>
        <v>47.087779754156053</v>
      </c>
      <c r="S37" s="11">
        <f t="shared" si="21"/>
        <v>56.058093120479079</v>
      </c>
      <c r="T37" s="11">
        <f t="shared" si="21"/>
        <v>61.420506723041839</v>
      </c>
      <c r="U37" s="11">
        <f t="shared" si="21"/>
        <v>59.519408949058402</v>
      </c>
      <c r="V37" s="11">
        <f>SUM(V24:V36)</f>
        <v>50.122217442598597</v>
      </c>
      <c r="W37" s="11">
        <f>SUM(K37:V37)/12</f>
        <v>51.46775377442939</v>
      </c>
      <c r="X37" s="3">
        <f>W37/W20-1</f>
        <v>0.17677564297149684</v>
      </c>
      <c r="Y37" s="11">
        <f>W37-W20</f>
        <v>7.7315037238528319</v>
      </c>
    </row>
    <row r="38" spans="8:25" x14ac:dyDescent="0.25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8:25" x14ac:dyDescent="0.25">
      <c r="J39" s="12" t="s">
        <v>3</v>
      </c>
      <c r="K39" s="39">
        <v>220.0932329493431</v>
      </c>
      <c r="L39" s="40">
        <v>254.03458563906008</v>
      </c>
      <c r="M39" s="40">
        <v>317.14855037295615</v>
      </c>
      <c r="N39" s="40">
        <v>385.16020992237702</v>
      </c>
      <c r="O39" s="40">
        <v>308.18195650584897</v>
      </c>
      <c r="P39" s="40">
        <v>262.10749378301171</v>
      </c>
      <c r="Q39" s="40">
        <v>215.8547914704921</v>
      </c>
      <c r="R39" s="40">
        <v>261.67590802141331</v>
      </c>
      <c r="S39" s="40">
        <v>337.27356027225824</v>
      </c>
      <c r="T39" s="40">
        <v>386.75775666805993</v>
      </c>
      <c r="U39" s="40">
        <v>369.21448183180729</v>
      </c>
      <c r="V39" s="40">
        <v>282.49747256337213</v>
      </c>
    </row>
    <row r="40" spans="8:25" ht="16.5" thickBot="1" x14ac:dyDescent="0.3">
      <c r="H40" s="63" t="s">
        <v>138</v>
      </c>
      <c r="I40" s="63"/>
      <c r="J40" s="12" t="s">
        <v>136</v>
      </c>
      <c r="K40" s="37" t="s">
        <v>124</v>
      </c>
      <c r="L40" s="37" t="s">
        <v>125</v>
      </c>
      <c r="M40" s="37" t="s">
        <v>126</v>
      </c>
      <c r="N40" s="37" t="s">
        <v>127</v>
      </c>
      <c r="O40" s="37" t="s">
        <v>128</v>
      </c>
      <c r="P40" s="37" t="s">
        <v>129</v>
      </c>
      <c r="Q40" s="37" t="s">
        <v>130</v>
      </c>
      <c r="R40" s="37" t="s">
        <v>131</v>
      </c>
      <c r="S40" s="37" t="s">
        <v>132</v>
      </c>
      <c r="T40" s="37" t="s">
        <v>133</v>
      </c>
      <c r="U40" s="37" t="s">
        <v>134</v>
      </c>
      <c r="V40" s="37" t="s">
        <v>135</v>
      </c>
    </row>
    <row r="41" spans="8:25" x14ac:dyDescent="0.25">
      <c r="H41" s="32" t="s">
        <v>118</v>
      </c>
      <c r="I41" s="33">
        <v>17.95</v>
      </c>
      <c r="K41" s="11">
        <f>$I41</f>
        <v>17.95</v>
      </c>
      <c r="L41" s="11">
        <f t="shared" ref="L41:V41" si="22">$I41</f>
        <v>17.95</v>
      </c>
      <c r="M41" s="11">
        <f t="shared" si="22"/>
        <v>17.95</v>
      </c>
      <c r="N41" s="11">
        <f t="shared" si="22"/>
        <v>17.95</v>
      </c>
      <c r="O41" s="11">
        <f t="shared" si="22"/>
        <v>17.95</v>
      </c>
      <c r="P41" s="11">
        <f t="shared" si="22"/>
        <v>17.95</v>
      </c>
      <c r="Q41" s="11">
        <f t="shared" si="22"/>
        <v>17.95</v>
      </c>
      <c r="R41" s="11">
        <f t="shared" si="22"/>
        <v>17.95</v>
      </c>
      <c r="S41" s="11">
        <f t="shared" si="22"/>
        <v>17.95</v>
      </c>
      <c r="T41" s="11">
        <f t="shared" si="22"/>
        <v>17.95</v>
      </c>
      <c r="U41" s="11">
        <f t="shared" si="22"/>
        <v>17.95</v>
      </c>
      <c r="V41" s="11">
        <f t="shared" si="22"/>
        <v>17.95</v>
      </c>
    </row>
    <row r="42" spans="8:25" x14ac:dyDescent="0.25">
      <c r="H42" s="26" t="s">
        <v>119</v>
      </c>
      <c r="I42" s="27">
        <v>4.9754E-2</v>
      </c>
      <c r="K42" s="11">
        <f>K39*$I42</f>
        <v>10.950518712161617</v>
      </c>
      <c r="L42" s="11">
        <f t="shared" ref="L42:R42" si="23">L39*$I42</f>
        <v>12.639236773885795</v>
      </c>
      <c r="M42" s="11">
        <f t="shared" si="23"/>
        <v>15.779408975256061</v>
      </c>
      <c r="N42" s="11">
        <f t="shared" si="23"/>
        <v>19.163261084477945</v>
      </c>
      <c r="O42" s="11">
        <f t="shared" si="23"/>
        <v>15.33328506399201</v>
      </c>
      <c r="P42" s="11">
        <f t="shared" si="23"/>
        <v>13.040896245679964</v>
      </c>
      <c r="Q42" s="11">
        <f t="shared" si="23"/>
        <v>10.739639294822863</v>
      </c>
      <c r="R42" s="11">
        <f t="shared" si="23"/>
        <v>13.019423127697397</v>
      </c>
      <c r="S42" s="11">
        <v>0</v>
      </c>
      <c r="T42" s="11">
        <v>0</v>
      </c>
      <c r="U42" s="11">
        <v>0</v>
      </c>
      <c r="V42" s="11">
        <v>0</v>
      </c>
    </row>
    <row r="43" spans="8:25" x14ac:dyDescent="0.25">
      <c r="H43" s="26" t="s">
        <v>120</v>
      </c>
      <c r="I43" s="27">
        <v>4.2674999999999998E-2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8:25" x14ac:dyDescent="0.25">
      <c r="H44" s="35" t="s">
        <v>121</v>
      </c>
      <c r="I44" s="27">
        <v>4.1890999999999998E-2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8:25" x14ac:dyDescent="0.25">
      <c r="H45" s="26" t="s">
        <v>122</v>
      </c>
      <c r="I45" s="27">
        <v>4.9754E-2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f t="shared" ref="S45:U45" si="24">S39*$I45</f>
        <v>16.780708717785934</v>
      </c>
      <c r="T45" s="11">
        <f t="shared" si="24"/>
        <v>19.242745425262655</v>
      </c>
      <c r="U45" s="11">
        <f t="shared" si="24"/>
        <v>18.369897329059739</v>
      </c>
      <c r="V45" s="11">
        <f>V39*$I45</f>
        <v>14.055379249918017</v>
      </c>
    </row>
    <row r="46" spans="8:25" x14ac:dyDescent="0.25">
      <c r="H46" s="26" t="s">
        <v>123</v>
      </c>
      <c r="I46" s="27">
        <v>8.2639000000000004E-2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35" t="s">
        <v>156</v>
      </c>
      <c r="I47" s="27">
        <v>8.5531999999999997E-2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64" t="s">
        <v>112</v>
      </c>
      <c r="I48" s="27">
        <v>3.1718000000000003E-2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S39*$I48</f>
        <v>10.697642784715487</v>
      </c>
      <c r="T48" s="11">
        <f>T39*$I48</f>
        <v>12.267182525997526</v>
      </c>
      <c r="U48" s="11">
        <f>U39*$I48</f>
        <v>11.710744934741264</v>
      </c>
      <c r="V48" s="11">
        <f>V39*$I48</f>
        <v>8.9602548347650384</v>
      </c>
    </row>
    <row r="49" spans="8:25" x14ac:dyDescent="0.25">
      <c r="H49" s="64"/>
      <c r="I49" s="27">
        <v>2.8812999999999998E-2</v>
      </c>
      <c r="K49" s="11">
        <f t="shared" ref="K49:R49" si="25">K39*$I49</f>
        <v>6.3415463209694227</v>
      </c>
      <c r="L49" s="11">
        <f t="shared" si="25"/>
        <v>7.3194985160182373</v>
      </c>
      <c r="M49" s="11">
        <f t="shared" si="25"/>
        <v>9.1380011818959854</v>
      </c>
      <c r="N49" s="11">
        <f t="shared" si="25"/>
        <v>11.097621128493449</v>
      </c>
      <c r="O49" s="11">
        <f t="shared" si="25"/>
        <v>8.8796467128030265</v>
      </c>
      <c r="P49" s="11">
        <f t="shared" si="25"/>
        <v>7.5521032183699157</v>
      </c>
      <c r="Q49" s="11">
        <f t="shared" si="25"/>
        <v>6.2194241066392886</v>
      </c>
      <c r="R49" s="11">
        <f t="shared" si="25"/>
        <v>7.5396679378209814</v>
      </c>
      <c r="S49" s="11">
        <v>0</v>
      </c>
      <c r="T49" s="11">
        <v>0</v>
      </c>
      <c r="U49" s="11">
        <v>0</v>
      </c>
      <c r="V49" s="11">
        <v>0</v>
      </c>
    </row>
    <row r="50" spans="8:25" x14ac:dyDescent="0.25">
      <c r="H50" s="28" t="s">
        <v>144</v>
      </c>
      <c r="I50" s="29">
        <v>1.9511000000000001E-2</v>
      </c>
      <c r="K50" s="11">
        <f t="shared" ref="K50:V50" si="26">SUM(K41:K47)*$I50</f>
        <v>0.56387802059298531</v>
      </c>
      <c r="L50" s="11">
        <f t="shared" si="26"/>
        <v>0.59682659869528576</v>
      </c>
      <c r="M50" s="11">
        <f t="shared" si="26"/>
        <v>0.65809449851622104</v>
      </c>
      <c r="N50" s="11">
        <f t="shared" si="26"/>
        <v>0.72411683701924912</v>
      </c>
      <c r="O50" s="11">
        <f t="shared" si="26"/>
        <v>0.64939017488354811</v>
      </c>
      <c r="P50" s="11">
        <f t="shared" si="26"/>
        <v>0.60466337664946179</v>
      </c>
      <c r="Q50" s="11">
        <f t="shared" si="26"/>
        <v>0.55976355228128882</v>
      </c>
      <c r="R50" s="11">
        <f t="shared" si="26"/>
        <v>0.60424441464450396</v>
      </c>
      <c r="S50" s="11">
        <f t="shared" si="26"/>
        <v>0.67763085779272125</v>
      </c>
      <c r="T50" s="11">
        <f t="shared" si="26"/>
        <v>0.72566765599229976</v>
      </c>
      <c r="U50" s="11">
        <f t="shared" si="26"/>
        <v>0.7086375167872847</v>
      </c>
      <c r="V50" s="11">
        <f t="shared" si="26"/>
        <v>0.62445695454515038</v>
      </c>
    </row>
    <row r="51" spans="8:25" x14ac:dyDescent="0.25">
      <c r="H51" s="30" t="s">
        <v>145</v>
      </c>
      <c r="I51" s="31">
        <v>0.16881399999999999</v>
      </c>
      <c r="K51" s="11">
        <f t="shared" ref="K51:V51" si="27">SUM(K41:K47)*$I51</f>
        <v>4.8788121658748507</v>
      </c>
      <c r="L51" s="11">
        <f t="shared" si="27"/>
        <v>5.1638914167467558</v>
      </c>
      <c r="M51" s="11">
        <f t="shared" si="27"/>
        <v>5.6939964467488773</v>
      </c>
      <c r="N51" s="11">
        <f t="shared" si="27"/>
        <v>6.2652380567150585</v>
      </c>
      <c r="O51" s="11">
        <f t="shared" si="27"/>
        <v>5.6186844847927473</v>
      </c>
      <c r="P51" s="11">
        <f t="shared" si="27"/>
        <v>5.2316971588182168</v>
      </c>
      <c r="Q51" s="11">
        <f t="shared" si="27"/>
        <v>4.843212767916226</v>
      </c>
      <c r="R51" s="11">
        <f t="shared" si="27"/>
        <v>5.2280721958791077</v>
      </c>
      <c r="S51" s="11">
        <f t="shared" si="27"/>
        <v>5.8630298614843142</v>
      </c>
      <c r="T51" s="11">
        <f t="shared" si="27"/>
        <v>6.27865612622029</v>
      </c>
      <c r="U51" s="11">
        <f t="shared" si="27"/>
        <v>6.1313071477078909</v>
      </c>
      <c r="V51" s="11">
        <f t="shared" si="27"/>
        <v>5.4029560926956597</v>
      </c>
    </row>
    <row r="52" spans="8:25" x14ac:dyDescent="0.25">
      <c r="H52" s="30" t="s">
        <v>115</v>
      </c>
      <c r="I52" s="34">
        <v>0.10766199999999999</v>
      </c>
      <c r="K52" s="11">
        <f t="shared" ref="K52:V52" si="28">SUM(K41:K47)*$I52</f>
        <v>3.1114876455887437</v>
      </c>
      <c r="L52" s="11">
        <f t="shared" si="28"/>
        <v>3.2932984095500921</v>
      </c>
      <c r="M52" s="11">
        <f t="shared" si="28"/>
        <v>3.631375629094018</v>
      </c>
      <c r="N52" s="11">
        <f t="shared" si="28"/>
        <v>3.9956879148770637</v>
      </c>
      <c r="O52" s="11">
        <f t="shared" si="28"/>
        <v>3.5833450365595079</v>
      </c>
      <c r="P52" s="11">
        <f t="shared" si="28"/>
        <v>3.336541871602396</v>
      </c>
      <c r="Q52" s="11">
        <f t="shared" si="28"/>
        <v>3.0887839457592188</v>
      </c>
      <c r="R52" s="11">
        <f t="shared" si="28"/>
        <v>3.334230032774157</v>
      </c>
      <c r="S52" s="11">
        <f t="shared" si="28"/>
        <v>3.7391775619742686</v>
      </c>
      <c r="T52" s="11">
        <f t="shared" si="28"/>
        <v>4.0042453579746278</v>
      </c>
      <c r="U52" s="11">
        <f t="shared" si="28"/>
        <v>3.9102727862412299</v>
      </c>
      <c r="V52" s="11">
        <f t="shared" si="28"/>
        <v>3.4457631408046732</v>
      </c>
    </row>
    <row r="53" spans="8:25" x14ac:dyDescent="0.25">
      <c r="H53" s="30" t="s">
        <v>116</v>
      </c>
      <c r="I53" s="31">
        <v>2.3567999999999999E-2</v>
      </c>
      <c r="K53" s="11">
        <f t="shared" ref="K53:V53" si="29">SUM(K41:K52)*$I53</f>
        <v>1.0321898518467418</v>
      </c>
      <c r="L53" s="11">
        <f t="shared" si="29"/>
        <v>1.1068181324166728</v>
      </c>
      <c r="M53" s="11">
        <f t="shared" si="29"/>
        <v>1.2455894628082551</v>
      </c>
      <c r="N53" s="11">
        <f t="shared" si="29"/>
        <v>1.3951295609086625</v>
      </c>
      <c r="O53" s="11">
        <f t="shared" si="29"/>
        <v>1.2258742355163907</v>
      </c>
      <c r="P53" s="11">
        <f t="shared" si="29"/>
        <v>1.1245683752985549</v>
      </c>
      <c r="Q53" s="11">
        <f t="shared" si="29"/>
        <v>1.0228706121937281</v>
      </c>
      <c r="R53" s="11">
        <f t="shared" si="29"/>
        <v>1.1236194295213788</v>
      </c>
      <c r="S53" s="11">
        <f t="shared" si="29"/>
        <v>1.312930616823484</v>
      </c>
      <c r="T53" s="11">
        <f t="shared" si="29"/>
        <v>1.4251215394512322</v>
      </c>
      <c r="U53" s="11">
        <f t="shared" si="29"/>
        <v>1.3853473017522178</v>
      </c>
      <c r="V53" s="11">
        <f t="shared" si="29"/>
        <v>1.1887418805076662</v>
      </c>
    </row>
    <row r="54" spans="8:25" x14ac:dyDescent="0.25">
      <c r="K54" s="11">
        <f>SUM(K41:K53)</f>
        <v>44.828432717034367</v>
      </c>
      <c r="L54" s="11">
        <f>SUM(L41:L53)</f>
        <v>48.069569847312835</v>
      </c>
      <c r="M54" s="41">
        <f>SUM(M41:M53)</f>
        <v>54.096466194319419</v>
      </c>
      <c r="N54" s="41">
        <f t="shared" ref="N54:U54" si="30">SUM(N41:N53)</f>
        <v>60.591054582491431</v>
      </c>
      <c r="O54" s="11">
        <f t="shared" si="30"/>
        <v>53.240225708547229</v>
      </c>
      <c r="P54" s="11">
        <f t="shared" si="30"/>
        <v>48.840470246418505</v>
      </c>
      <c r="Q54" s="11">
        <f t="shared" si="30"/>
        <v>44.423694279612612</v>
      </c>
      <c r="R54" s="11">
        <f t="shared" si="30"/>
        <v>48.799257138337524</v>
      </c>
      <c r="S54" s="11">
        <f t="shared" si="30"/>
        <v>57.021120400576201</v>
      </c>
      <c r="T54" s="11">
        <f t="shared" si="30"/>
        <v>61.893618630898629</v>
      </c>
      <c r="U54" s="11">
        <f t="shared" si="30"/>
        <v>60.166207016289633</v>
      </c>
      <c r="V54" s="11">
        <f>SUM(V41:V53)</f>
        <v>51.627552153236202</v>
      </c>
      <c r="W54" s="11">
        <f>SUM(K54:V54)/12</f>
        <v>52.799805742922878</v>
      </c>
      <c r="X54" s="3">
        <f>W54/W20-1</f>
        <v>0.2072321171080107</v>
      </c>
      <c r="Y54" s="11">
        <f>W54-W20</f>
        <v>9.0635556923463199</v>
      </c>
    </row>
    <row r="57" spans="8:25" x14ac:dyDescent="0.25">
      <c r="J57" s="12" t="s">
        <v>3</v>
      </c>
      <c r="K57" s="39">
        <v>220.0932329493431</v>
      </c>
      <c r="L57" s="40">
        <v>254.03458563906008</v>
      </c>
      <c r="M57" s="40">
        <v>317.14855037295615</v>
      </c>
      <c r="N57" s="40">
        <v>385.16020992237702</v>
      </c>
      <c r="O57" s="40">
        <v>308.18195650584897</v>
      </c>
      <c r="P57" s="40">
        <v>262.10749378301171</v>
      </c>
      <c r="Q57" s="40">
        <v>215.8547914704921</v>
      </c>
      <c r="R57" s="40">
        <v>261.67590802141331</v>
      </c>
      <c r="S57" s="40">
        <v>337.27356027225824</v>
      </c>
      <c r="T57" s="40">
        <v>386.75775666805993</v>
      </c>
      <c r="U57" s="40">
        <v>369.21448183180729</v>
      </c>
      <c r="V57" s="40">
        <v>282.49747256337213</v>
      </c>
    </row>
    <row r="58" spans="8:25" ht="16.5" thickBot="1" x14ac:dyDescent="0.3">
      <c r="H58" s="63" t="s">
        <v>154</v>
      </c>
      <c r="I58" s="63"/>
      <c r="J58" s="12" t="s">
        <v>136</v>
      </c>
      <c r="K58" s="37" t="s">
        <v>124</v>
      </c>
      <c r="L58" s="37" t="s">
        <v>125</v>
      </c>
      <c r="M58" s="37" t="s">
        <v>126</v>
      </c>
      <c r="N58" s="37" t="s">
        <v>127</v>
      </c>
      <c r="O58" s="37" t="s">
        <v>128</v>
      </c>
      <c r="P58" s="37" t="s">
        <v>129</v>
      </c>
      <c r="Q58" s="37" t="s">
        <v>130</v>
      </c>
      <c r="R58" s="37" t="s">
        <v>131</v>
      </c>
      <c r="S58" s="37" t="s">
        <v>132</v>
      </c>
      <c r="T58" s="37" t="s">
        <v>133</v>
      </c>
      <c r="U58" s="37" t="s">
        <v>134</v>
      </c>
      <c r="V58" s="37" t="s">
        <v>135</v>
      </c>
    </row>
    <row r="59" spans="8:25" x14ac:dyDescent="0.25">
      <c r="H59" s="32" t="s">
        <v>118</v>
      </c>
      <c r="I59" s="33">
        <v>10</v>
      </c>
      <c r="K59" s="11">
        <f>$I59</f>
        <v>10</v>
      </c>
      <c r="L59" s="11">
        <f t="shared" ref="L59:V59" si="31">$I59</f>
        <v>10</v>
      </c>
      <c r="M59" s="11">
        <f t="shared" si="31"/>
        <v>10</v>
      </c>
      <c r="N59" s="11">
        <f t="shared" si="31"/>
        <v>10</v>
      </c>
      <c r="O59" s="11">
        <f t="shared" si="31"/>
        <v>10</v>
      </c>
      <c r="P59" s="11">
        <f t="shared" si="31"/>
        <v>10</v>
      </c>
      <c r="Q59" s="11">
        <f t="shared" si="31"/>
        <v>10</v>
      </c>
      <c r="R59" s="11">
        <f t="shared" si="31"/>
        <v>10</v>
      </c>
      <c r="S59" s="11">
        <f t="shared" si="31"/>
        <v>10</v>
      </c>
      <c r="T59" s="11">
        <f t="shared" si="31"/>
        <v>10</v>
      </c>
      <c r="U59" s="11">
        <f t="shared" si="31"/>
        <v>10</v>
      </c>
      <c r="V59" s="11">
        <f t="shared" si="31"/>
        <v>10</v>
      </c>
    </row>
    <row r="60" spans="8:25" x14ac:dyDescent="0.25">
      <c r="H60" s="26" t="s">
        <v>119</v>
      </c>
      <c r="I60" s="27">
        <v>5.755255297651591E-2</v>
      </c>
      <c r="K60" s="11">
        <f>K57*$I60</f>
        <v>12.666927449089727</v>
      </c>
      <c r="L60" s="11">
        <f t="shared" ref="L60:R60" si="32">L57*$I60</f>
        <v>14.620338947859274</v>
      </c>
      <c r="M60" s="11">
        <f t="shared" si="32"/>
        <v>18.252708746764782</v>
      </c>
      <c r="N60" s="11">
        <f t="shared" si="32"/>
        <v>22.166953386003591</v>
      </c>
      <c r="O60" s="11">
        <f t="shared" si="32"/>
        <v>17.736658378209196</v>
      </c>
      <c r="P60" s="11">
        <f t="shared" si="32"/>
        <v>15.084955421488596</v>
      </c>
      <c r="Q60" s="11">
        <f t="shared" si="32"/>
        <v>12.42299432134029</v>
      </c>
      <c r="R60" s="11">
        <f t="shared" si="32"/>
        <v>15.060116559080294</v>
      </c>
      <c r="S60" s="11">
        <v>0</v>
      </c>
      <c r="T60" s="11">
        <v>0</v>
      </c>
      <c r="U60" s="11">
        <v>0</v>
      </c>
      <c r="V60" s="11">
        <v>0</v>
      </c>
    </row>
    <row r="61" spans="8:25" x14ac:dyDescent="0.25">
      <c r="H61" s="26" t="s">
        <v>120</v>
      </c>
      <c r="I61" s="27">
        <v>5.0473552976515908E-2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</row>
    <row r="62" spans="8:25" x14ac:dyDescent="0.25">
      <c r="H62" s="35" t="s">
        <v>121</v>
      </c>
      <c r="I62" s="27">
        <v>4.9689552976515908E-2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</row>
    <row r="63" spans="8:25" x14ac:dyDescent="0.25">
      <c r="H63" s="26" t="s">
        <v>122</v>
      </c>
      <c r="I63" s="27">
        <v>5.755255297651591E-2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f t="shared" ref="S63:U63" si="33">S57*$I63</f>
        <v>19.410954445147272</v>
      </c>
      <c r="T63" s="11">
        <f t="shared" si="33"/>
        <v>22.258896279716968</v>
      </c>
      <c r="U63" s="11">
        <f t="shared" si="33"/>
        <v>21.249236025321959</v>
      </c>
      <c r="V63" s="11">
        <f>V57*$I63</f>
        <v>16.258450755435323</v>
      </c>
    </row>
    <row r="64" spans="8:25" x14ac:dyDescent="0.25">
      <c r="H64" s="26" t="s">
        <v>123</v>
      </c>
      <c r="I64" s="27">
        <v>9.0437552976515914E-2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35" t="s">
        <v>156</v>
      </c>
      <c r="I65" s="27">
        <v>9.3330552976515907E-2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64" t="s">
        <v>112</v>
      </c>
      <c r="I66" s="27">
        <v>3.1718000000000003E-2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f>S57*$I66</f>
        <v>10.697642784715487</v>
      </c>
      <c r="T66" s="11">
        <f>T57*$I66</f>
        <v>12.267182525997526</v>
      </c>
      <c r="U66" s="11">
        <f>U57*$I66</f>
        <v>11.710744934741264</v>
      </c>
      <c r="V66" s="11">
        <f>V57*$I66</f>
        <v>8.9602548347650384</v>
      </c>
    </row>
    <row r="67" spans="8:25" x14ac:dyDescent="0.25">
      <c r="H67" s="64"/>
      <c r="I67" s="27">
        <v>2.8812999999999998E-2</v>
      </c>
      <c r="K67" s="11">
        <f t="shared" ref="K67:R67" si="34">K57*$I67</f>
        <v>6.3415463209694227</v>
      </c>
      <c r="L67" s="11">
        <f t="shared" si="34"/>
        <v>7.3194985160182373</v>
      </c>
      <c r="M67" s="11">
        <f t="shared" si="34"/>
        <v>9.1380011818959854</v>
      </c>
      <c r="N67" s="11">
        <f t="shared" si="34"/>
        <v>11.097621128493449</v>
      </c>
      <c r="O67" s="11">
        <f t="shared" si="34"/>
        <v>8.8796467128030265</v>
      </c>
      <c r="P67" s="11">
        <f t="shared" si="34"/>
        <v>7.5521032183699157</v>
      </c>
      <c r="Q67" s="11">
        <f t="shared" si="34"/>
        <v>6.2194241066392886</v>
      </c>
      <c r="R67" s="11">
        <f t="shared" si="34"/>
        <v>7.5396679378209814</v>
      </c>
      <c r="S67" s="11">
        <v>0</v>
      </c>
      <c r="T67" s="11">
        <v>0</v>
      </c>
      <c r="U67" s="11">
        <v>0</v>
      </c>
      <c r="V67" s="11">
        <v>0</v>
      </c>
    </row>
    <row r="68" spans="8:25" x14ac:dyDescent="0.25">
      <c r="H68" s="28" t="s">
        <v>144</v>
      </c>
      <c r="I68" s="29">
        <v>1.9511000000000001E-2</v>
      </c>
      <c r="K68" s="11">
        <f t="shared" ref="K68:V68" si="35">SUM(K59:K65)*$I68</f>
        <v>0.44225442145918969</v>
      </c>
      <c r="L68" s="11">
        <f t="shared" si="35"/>
        <v>0.48036743321168229</v>
      </c>
      <c r="M68" s="11">
        <f t="shared" si="35"/>
        <v>0.55123860035812766</v>
      </c>
      <c r="N68" s="11">
        <f t="shared" si="35"/>
        <v>0.62760942751431603</v>
      </c>
      <c r="O68" s="11">
        <f t="shared" si="35"/>
        <v>0.54116994161723964</v>
      </c>
      <c r="P68" s="11">
        <f t="shared" si="35"/>
        <v>0.48943256522866396</v>
      </c>
      <c r="Q68" s="11">
        <f t="shared" si="35"/>
        <v>0.43749504220367041</v>
      </c>
      <c r="R68" s="11">
        <f t="shared" si="35"/>
        <v>0.48894793418421562</v>
      </c>
      <c r="S68" s="11">
        <f t="shared" si="35"/>
        <v>0.57383713217926846</v>
      </c>
      <c r="T68" s="11">
        <f t="shared" si="35"/>
        <v>0.62940332531355769</v>
      </c>
      <c r="U68" s="11">
        <f t="shared" si="35"/>
        <v>0.60970384409005673</v>
      </c>
      <c r="V68" s="11">
        <f t="shared" si="35"/>
        <v>0.51232863268929862</v>
      </c>
    </row>
    <row r="69" spans="8:25" x14ac:dyDescent="0.25">
      <c r="H69" s="30" t="s">
        <v>145</v>
      </c>
      <c r="I69" s="31">
        <v>0.16881399999999999</v>
      </c>
      <c r="K69" s="11">
        <f t="shared" ref="K69:V69" si="36">SUM(K59:K65)*$I69</f>
        <v>3.8264946903906329</v>
      </c>
      <c r="L69" s="11">
        <f t="shared" si="36"/>
        <v>4.156257899143915</v>
      </c>
      <c r="M69" s="11">
        <f t="shared" si="36"/>
        <v>4.76945277437635</v>
      </c>
      <c r="N69" s="11">
        <f t="shared" si="36"/>
        <v>5.43023206890481</v>
      </c>
      <c r="O69" s="11">
        <f t="shared" si="36"/>
        <v>4.6823362474590073</v>
      </c>
      <c r="P69" s="11">
        <f t="shared" si="36"/>
        <v>4.2346916645231749</v>
      </c>
      <c r="Q69" s="11">
        <f t="shared" si="36"/>
        <v>3.7853153633627397</v>
      </c>
      <c r="R69" s="11">
        <f t="shared" si="36"/>
        <v>4.2304985168045803</v>
      </c>
      <c r="S69" s="11">
        <f t="shared" si="36"/>
        <v>4.964980863703091</v>
      </c>
      <c r="T69" s="11">
        <f t="shared" si="36"/>
        <v>5.4457533165641392</v>
      </c>
      <c r="U69" s="11">
        <f t="shared" si="36"/>
        <v>5.2753085303787008</v>
      </c>
      <c r="V69" s="11">
        <f t="shared" si="36"/>
        <v>4.4327941058280587</v>
      </c>
    </row>
    <row r="70" spans="8:25" x14ac:dyDescent="0.25">
      <c r="H70" s="30" t="s">
        <v>115</v>
      </c>
      <c r="I70" s="34">
        <v>0.10766199999999999</v>
      </c>
      <c r="K70" s="11">
        <f t="shared" ref="K70:V70" si="37">SUM(K59:K65)*$I70</f>
        <v>2.440366743023898</v>
      </c>
      <c r="L70" s="11">
        <f t="shared" si="37"/>
        <v>2.6506749318044251</v>
      </c>
      <c r="M70" s="11">
        <f t="shared" si="37"/>
        <v>3.0417431290941899</v>
      </c>
      <c r="N70" s="11">
        <f t="shared" si="37"/>
        <v>3.4631585354439185</v>
      </c>
      <c r="O70" s="11">
        <f t="shared" si="37"/>
        <v>2.9861841143147583</v>
      </c>
      <c r="P70" s="11">
        <f t="shared" si="37"/>
        <v>2.700696470588305</v>
      </c>
      <c r="Q70" s="11">
        <f t="shared" si="37"/>
        <v>2.4141044146241382</v>
      </c>
      <c r="R70" s="11">
        <f t="shared" si="37"/>
        <v>2.6980222689837023</v>
      </c>
      <c r="S70" s="11">
        <f t="shared" si="37"/>
        <v>3.1664421774734453</v>
      </c>
      <c r="T70" s="11">
        <f t="shared" si="37"/>
        <v>3.4730572912668878</v>
      </c>
      <c r="U70" s="11">
        <f t="shared" si="37"/>
        <v>3.3643552489582125</v>
      </c>
      <c r="V70" s="11">
        <f t="shared" si="37"/>
        <v>2.8270373252316774</v>
      </c>
    </row>
    <row r="71" spans="8:25" x14ac:dyDescent="0.25">
      <c r="H71" s="30" t="s">
        <v>116</v>
      </c>
      <c r="I71" s="31">
        <v>2.3567999999999999E-2</v>
      </c>
      <c r="K71" s="11">
        <f t="shared" ref="K71:V71" si="38">SUM(K59:K70)*$I71</f>
        <v>0.84179215228041782</v>
      </c>
      <c r="L71" s="11">
        <f t="shared" si="38"/>
        <v>0.92450518197438858</v>
      </c>
      <c r="M71" s="11">
        <f t="shared" si="38"/>
        <v>1.0783101079849109</v>
      </c>
      <c r="N71" s="11">
        <f t="shared" si="38"/>
        <v>1.2440504209086143</v>
      </c>
      <c r="O71" s="11">
        <f t="shared" si="38"/>
        <v>1.0564590594552952</v>
      </c>
      <c r="P71" s="11">
        <f t="shared" si="38"/>
        <v>0.94417837228980173</v>
      </c>
      <c r="Q71" s="11">
        <f t="shared" si="38"/>
        <v>0.83146332599287365</v>
      </c>
      <c r="R71" s="11">
        <f t="shared" si="38"/>
        <v>0.9431266238152809</v>
      </c>
      <c r="S71" s="11">
        <f t="shared" si="38"/>
        <v>1.1504449912790551</v>
      </c>
      <c r="T71" s="11">
        <f t="shared" si="38"/>
        <v>1.2744229312694306</v>
      </c>
      <c r="U71" s="11">
        <f t="shared" si="38"/>
        <v>1.2304699274156967</v>
      </c>
      <c r="V71" s="11">
        <f t="shared" si="38"/>
        <v>1.0132087217322792</v>
      </c>
    </row>
    <row r="72" spans="8:25" x14ac:dyDescent="0.25">
      <c r="K72" s="11">
        <f>SUM(K59:K71)</f>
        <v>36.559381777213289</v>
      </c>
      <c r="L72" s="11">
        <f>SUM(L59:L71)</f>
        <v>40.151642910011923</v>
      </c>
      <c r="M72" s="41">
        <f>SUM(M59:M71)</f>
        <v>46.831454540474347</v>
      </c>
      <c r="N72" s="41">
        <f t="shared" ref="N72" si="39">SUM(N59:N71)</f>
        <v>54.029624967268695</v>
      </c>
      <c r="O72" s="11">
        <f t="shared" ref="O72" si="40">SUM(O59:O71)</f>
        <v>45.882454453858522</v>
      </c>
      <c r="P72" s="11">
        <f t="shared" ref="P72" si="41">SUM(P59:P71)</f>
        <v>41.006057712488456</v>
      </c>
      <c r="Q72" s="11">
        <f t="shared" ref="Q72" si="42">SUM(Q59:Q71)</f>
        <v>36.110796574163004</v>
      </c>
      <c r="R72" s="11">
        <f t="shared" ref="R72" si="43">SUM(R59:R71)</f>
        <v>40.96037984068905</v>
      </c>
      <c r="S72" s="11">
        <f t="shared" ref="S72" si="44">SUM(S59:S71)</f>
        <v>49.964302394497615</v>
      </c>
      <c r="T72" s="11">
        <f t="shared" ref="T72" si="45">SUM(T59:T71)</f>
        <v>55.348715670128506</v>
      </c>
      <c r="U72" s="11">
        <f t="shared" ref="U72" si="46">SUM(U59:U71)</f>
        <v>53.439818510905887</v>
      </c>
      <c r="V72" s="11">
        <f>SUM(V59:V71)</f>
        <v>44.004074375681668</v>
      </c>
      <c r="W72" s="11">
        <f>SUM(K72:V72)/12</f>
        <v>45.357391977281736</v>
      </c>
      <c r="X72" s="3">
        <f>W72/W20-1</f>
        <v>3.70663219830345E-2</v>
      </c>
      <c r="Y72" s="11">
        <f>W72-W20</f>
        <v>1.6211419267051781</v>
      </c>
    </row>
  </sheetData>
  <mergeCells count="8">
    <mergeCell ref="H58:I58"/>
    <mergeCell ref="H66:H67"/>
    <mergeCell ref="H6:I6"/>
    <mergeCell ref="H14:H15"/>
    <mergeCell ref="H23:I23"/>
    <mergeCell ref="H31:H32"/>
    <mergeCell ref="H40:I40"/>
    <mergeCell ref="H48:H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2"/>
  <sheetViews>
    <sheetView topLeftCell="G1" workbookViewId="0">
      <selection activeCell="J3" sqref="J3"/>
    </sheetView>
  </sheetViews>
  <sheetFormatPr defaultColWidth="11" defaultRowHeight="15.75" x14ac:dyDescent="0.25"/>
  <cols>
    <col min="1" max="1" width="14.875" customWidth="1"/>
    <col min="2" max="2" width="18.375" customWidth="1"/>
    <col min="3" max="5" width="0" hidden="1" customWidth="1"/>
    <col min="8" max="8" width="22.875" customWidth="1"/>
    <col min="10" max="10" width="18.5" customWidth="1"/>
  </cols>
  <sheetData>
    <row r="1" spans="1:23" x14ac:dyDescent="0.25">
      <c r="J1" s="12" t="s">
        <v>157</v>
      </c>
      <c r="K1" t="s">
        <v>158</v>
      </c>
    </row>
    <row r="2" spans="1:23" x14ac:dyDescent="0.25">
      <c r="A2" t="s">
        <v>1</v>
      </c>
      <c r="B2" t="s">
        <v>2</v>
      </c>
      <c r="J2" s="12" t="s">
        <v>139</v>
      </c>
      <c r="K2" s="39">
        <v>493.43775365861472</v>
      </c>
      <c r="L2" s="40">
        <v>569.53252769105154</v>
      </c>
      <c r="M2" s="40">
        <v>711.03080351469112</v>
      </c>
      <c r="N2" s="40">
        <v>863.50946022279993</v>
      </c>
      <c r="O2" s="40">
        <v>690.92815939217587</v>
      </c>
      <c r="P2" s="40">
        <v>587.63157420267532</v>
      </c>
      <c r="Q2" s="40">
        <v>483.93538498370373</v>
      </c>
      <c r="R2" s="40">
        <v>586.66398103381505</v>
      </c>
      <c r="S2" s="40">
        <v>756.1500447743922</v>
      </c>
      <c r="T2" s="40">
        <v>867.09107818983591</v>
      </c>
      <c r="U2" s="40">
        <v>827.75995468814881</v>
      </c>
      <c r="V2" s="40">
        <v>633.3448621202715</v>
      </c>
      <c r="W2" s="40">
        <f>SUM(K2:V2)</f>
        <v>8071.0155844721758</v>
      </c>
    </row>
    <row r="3" spans="1:23" x14ac:dyDescent="0.25">
      <c r="A3" t="s">
        <v>3</v>
      </c>
      <c r="B3" t="s">
        <v>4</v>
      </c>
      <c r="J3" s="12" t="s">
        <v>160</v>
      </c>
      <c r="K3" s="39">
        <f>K2*($W3/$W2)</f>
        <v>293.45764393245747</v>
      </c>
      <c r="L3" s="39">
        <f t="shared" ref="L3:V3" si="0">L2*($W3/$W2)</f>
        <v>338.71278085208013</v>
      </c>
      <c r="M3" s="39">
        <f t="shared" si="0"/>
        <v>422.8647338306082</v>
      </c>
      <c r="N3" s="39">
        <f t="shared" si="0"/>
        <v>513.5469465631694</v>
      </c>
      <c r="O3" s="39">
        <f t="shared" si="0"/>
        <v>410.90927534113194</v>
      </c>
      <c r="P3" s="39">
        <f t="shared" si="0"/>
        <v>349.47665837734894</v>
      </c>
      <c r="Q3" s="39">
        <f t="shared" si="0"/>
        <v>287.8063886273228</v>
      </c>
      <c r="R3" s="39">
        <f t="shared" si="0"/>
        <v>348.90121069521769</v>
      </c>
      <c r="S3" s="39">
        <f t="shared" si="0"/>
        <v>449.698080363011</v>
      </c>
      <c r="T3" s="39">
        <f t="shared" si="0"/>
        <v>515.67700889074661</v>
      </c>
      <c r="U3" s="39">
        <f t="shared" si="0"/>
        <v>492.28597577574311</v>
      </c>
      <c r="V3" s="39">
        <f t="shared" si="0"/>
        <v>376.66329675116287</v>
      </c>
      <c r="W3">
        <f>400*12</f>
        <v>4800</v>
      </c>
    </row>
    <row r="4" spans="1:23" x14ac:dyDescent="0.25">
      <c r="A4" t="s">
        <v>5</v>
      </c>
      <c r="B4" t="s">
        <v>1</v>
      </c>
      <c r="C4" t="s">
        <v>2</v>
      </c>
    </row>
    <row r="5" spans="1:23" x14ac:dyDescent="0.25">
      <c r="A5" t="s">
        <v>0</v>
      </c>
      <c r="J5" s="12" t="s">
        <v>3</v>
      </c>
      <c r="K5" s="39">
        <v>293.45764393245747</v>
      </c>
      <c r="L5" s="40">
        <v>338.71278085208013</v>
      </c>
      <c r="M5" s="40">
        <v>422.8647338306082</v>
      </c>
      <c r="N5" s="40">
        <v>513.5469465631694</v>
      </c>
      <c r="O5" s="40">
        <v>410.90927534113194</v>
      </c>
      <c r="P5" s="40">
        <v>349.47665837734894</v>
      </c>
      <c r="Q5" s="40">
        <v>287.8063886273228</v>
      </c>
      <c r="R5" s="40">
        <v>348.90121069521769</v>
      </c>
      <c r="S5" s="40">
        <v>449.698080363011</v>
      </c>
      <c r="T5" s="40">
        <v>515.67700889074661</v>
      </c>
      <c r="U5" s="40">
        <v>492.28597577574311</v>
      </c>
      <c r="V5" s="40">
        <v>376.66329675116287</v>
      </c>
      <c r="W5" s="40">
        <f>SUM(K5:V5)</f>
        <v>4800</v>
      </c>
    </row>
    <row r="6" spans="1:23" ht="16.5" thickBot="1" x14ac:dyDescent="0.3">
      <c r="A6" t="s">
        <v>6</v>
      </c>
      <c r="B6" t="s">
        <v>7</v>
      </c>
      <c r="C6" t="s">
        <v>8</v>
      </c>
      <c r="H6" s="63" t="s">
        <v>117</v>
      </c>
      <c r="I6" s="63"/>
      <c r="J6" s="12" t="s">
        <v>136</v>
      </c>
      <c r="K6" s="37" t="s">
        <v>124</v>
      </c>
      <c r="L6" s="37" t="s">
        <v>125</v>
      </c>
      <c r="M6" s="37" t="s">
        <v>126</v>
      </c>
      <c r="N6" s="37" t="s">
        <v>127</v>
      </c>
      <c r="O6" s="37" t="s">
        <v>128</v>
      </c>
      <c r="P6" s="37" t="s">
        <v>129</v>
      </c>
      <c r="Q6" s="37" t="s">
        <v>130</v>
      </c>
      <c r="R6" s="37" t="s">
        <v>131</v>
      </c>
      <c r="S6" s="37" t="s">
        <v>132</v>
      </c>
      <c r="T6" s="37" t="s">
        <v>133</v>
      </c>
      <c r="U6" s="37" t="s">
        <v>134</v>
      </c>
      <c r="V6" s="37" t="s">
        <v>135</v>
      </c>
    </row>
    <row r="7" spans="1:23" x14ac:dyDescent="0.25">
      <c r="A7" t="s">
        <v>9</v>
      </c>
      <c r="B7" t="s">
        <v>1</v>
      </c>
      <c r="H7" s="32" t="s">
        <v>118</v>
      </c>
      <c r="I7" s="33">
        <v>10</v>
      </c>
      <c r="K7" s="11">
        <f>$I7</f>
        <v>10</v>
      </c>
      <c r="L7" s="11">
        <f t="shared" ref="L7:V7" si="1">$I7</f>
        <v>10</v>
      </c>
      <c r="M7" s="11">
        <f t="shared" si="1"/>
        <v>10</v>
      </c>
      <c r="N7" s="11">
        <f t="shared" si="1"/>
        <v>10</v>
      </c>
      <c r="O7" s="11">
        <f t="shared" si="1"/>
        <v>10</v>
      </c>
      <c r="P7" s="11">
        <f t="shared" si="1"/>
        <v>10</v>
      </c>
      <c r="Q7" s="11">
        <f t="shared" si="1"/>
        <v>10</v>
      </c>
      <c r="R7" s="11">
        <f t="shared" si="1"/>
        <v>10</v>
      </c>
      <c r="S7" s="11">
        <f t="shared" si="1"/>
        <v>10</v>
      </c>
      <c r="T7" s="11">
        <f t="shared" si="1"/>
        <v>10</v>
      </c>
      <c r="U7" s="11">
        <f t="shared" si="1"/>
        <v>10</v>
      </c>
      <c r="V7" s="11">
        <f t="shared" si="1"/>
        <v>10</v>
      </c>
    </row>
    <row r="8" spans="1:23" x14ac:dyDescent="0.25">
      <c r="A8" t="s">
        <v>2</v>
      </c>
      <c r="B8" t="s">
        <v>0</v>
      </c>
      <c r="H8" s="26" t="s">
        <v>119</v>
      </c>
      <c r="I8" s="27">
        <v>5.6582E-2</v>
      </c>
      <c r="K8" s="11">
        <f>K5*$I8</f>
        <v>16.604420408986307</v>
      </c>
      <c r="L8" s="11">
        <f t="shared" ref="L8:R8" si="2">L5*$I8</f>
        <v>19.165046566172396</v>
      </c>
      <c r="M8" s="11">
        <f t="shared" si="2"/>
        <v>23.926532369603475</v>
      </c>
      <c r="N8" s="11">
        <f t="shared" si="2"/>
        <v>29.057513330437253</v>
      </c>
      <c r="O8" s="11">
        <f t="shared" si="2"/>
        <v>23.250068617351928</v>
      </c>
      <c r="P8" s="11">
        <f t="shared" si="2"/>
        <v>19.774088284307158</v>
      </c>
      <c r="Q8" s="11">
        <f t="shared" si="2"/>
        <v>16.284661081311178</v>
      </c>
      <c r="R8" s="11">
        <f t="shared" si="2"/>
        <v>19.741528303556809</v>
      </c>
      <c r="S8" s="11">
        <v>0</v>
      </c>
      <c r="T8" s="11">
        <v>0</v>
      </c>
      <c r="U8" s="11">
        <v>0</v>
      </c>
      <c r="V8" s="11">
        <v>0</v>
      </c>
    </row>
    <row r="9" spans="1:23" x14ac:dyDescent="0.25">
      <c r="A9" t="s">
        <v>1</v>
      </c>
      <c r="B9" t="s">
        <v>2</v>
      </c>
      <c r="H9" s="26" t="s">
        <v>120</v>
      </c>
      <c r="I9" s="27">
        <v>4.8533E-2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</row>
    <row r="10" spans="1:23" x14ac:dyDescent="0.25">
      <c r="A10" t="s">
        <v>0</v>
      </c>
      <c r="B10" t="s">
        <v>10</v>
      </c>
      <c r="H10" s="35" t="s">
        <v>121</v>
      </c>
      <c r="I10" s="27">
        <v>4.7641000000000003E-2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</row>
    <row r="11" spans="1:23" x14ac:dyDescent="0.25">
      <c r="H11" s="26" t="s">
        <v>122</v>
      </c>
      <c r="I11" s="27">
        <v>5.6582E-2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f>S5*$I11</f>
        <v>25.444816783099888</v>
      </c>
      <c r="T11" s="11">
        <f t="shared" ref="T11:V11" si="3">T5*$I11</f>
        <v>29.178036517056224</v>
      </c>
      <c r="U11" s="11">
        <f t="shared" si="3"/>
        <v>27.854525081343098</v>
      </c>
      <c r="V11" s="11">
        <f t="shared" si="3"/>
        <v>21.312362656774297</v>
      </c>
    </row>
    <row r="12" spans="1:23" x14ac:dyDescent="0.25">
      <c r="A12" s="21" t="s">
        <v>109</v>
      </c>
      <c r="B12" s="21" t="s">
        <v>110</v>
      </c>
      <c r="C12" s="22"/>
      <c r="D12" s="22"/>
      <c r="E12" s="22"/>
      <c r="F12" s="21" t="s">
        <v>111</v>
      </c>
      <c r="H12" s="26" t="s">
        <v>123</v>
      </c>
      <c r="I12" s="27">
        <v>9.3982999999999997E-2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</row>
    <row r="13" spans="1:23" x14ac:dyDescent="0.25">
      <c r="A13" s="22" t="s">
        <v>11</v>
      </c>
      <c r="B13" s="22">
        <v>673</v>
      </c>
      <c r="C13" s="23">
        <v>83.88</v>
      </c>
      <c r="D13" s="23">
        <v>92.33</v>
      </c>
      <c r="E13" s="23">
        <v>8.4499999999999993</v>
      </c>
      <c r="F13" s="24">
        <f>D13/C13-1</f>
        <v>0.10073915116833576</v>
      </c>
      <c r="H13" s="35" t="s">
        <v>156</v>
      </c>
      <c r="I13" s="27">
        <v>9.7272999999999998E-2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</row>
    <row r="14" spans="1:23" x14ac:dyDescent="0.25">
      <c r="A14" s="22" t="s">
        <v>12</v>
      </c>
      <c r="B14" s="25">
        <v>1000</v>
      </c>
      <c r="C14" s="23">
        <v>123.31</v>
      </c>
      <c r="D14" s="23">
        <v>133.09</v>
      </c>
      <c r="E14" s="23">
        <v>9.7799999999999994</v>
      </c>
      <c r="F14" s="24">
        <f t="shared" ref="F14:F15" si="4">D14/C14-1</f>
        <v>7.9312302327467332E-2</v>
      </c>
      <c r="H14" s="64" t="s">
        <v>112</v>
      </c>
      <c r="I14" s="27">
        <v>3.1718000000000003E-2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f>S5*$I14</f>
        <v>14.263523712953985</v>
      </c>
      <c r="T14" s="11">
        <f>T5*$I14</f>
        <v>16.356243367996701</v>
      </c>
      <c r="U14" s="11">
        <f>U5*$I14</f>
        <v>15.614326579655021</v>
      </c>
      <c r="V14" s="11">
        <f>V5*$I14</f>
        <v>11.947006446353384</v>
      </c>
    </row>
    <row r="15" spans="1:23" x14ac:dyDescent="0.25">
      <c r="A15" s="22" t="s">
        <v>13</v>
      </c>
      <c r="B15" s="25">
        <v>1837</v>
      </c>
      <c r="C15" s="23">
        <v>225.4</v>
      </c>
      <c r="D15" s="23">
        <v>238.64</v>
      </c>
      <c r="E15" s="23">
        <v>13.24</v>
      </c>
      <c r="F15" s="24">
        <f t="shared" si="4"/>
        <v>5.8740017746228945E-2</v>
      </c>
      <c r="H15" s="64"/>
      <c r="I15" s="27">
        <v>2.8812999999999998E-2</v>
      </c>
      <c r="K15" s="11">
        <f t="shared" ref="K15:R15" si="5">K5*$I15</f>
        <v>8.4553950946258958</v>
      </c>
      <c r="L15" s="11">
        <f t="shared" si="5"/>
        <v>9.7593313546909837</v>
      </c>
      <c r="M15" s="11">
        <f t="shared" si="5"/>
        <v>12.184001575861313</v>
      </c>
      <c r="N15" s="11">
        <f t="shared" si="5"/>
        <v>14.796828171324599</v>
      </c>
      <c r="O15" s="11">
        <f t="shared" si="5"/>
        <v>11.839528950404034</v>
      </c>
      <c r="P15" s="11">
        <f t="shared" si="5"/>
        <v>10.069470957826555</v>
      </c>
      <c r="Q15" s="11">
        <f t="shared" si="5"/>
        <v>8.2925654755190514</v>
      </c>
      <c r="R15" s="11">
        <f t="shared" si="5"/>
        <v>10.052890583761307</v>
      </c>
      <c r="S15" s="11">
        <v>0</v>
      </c>
      <c r="T15" s="11">
        <v>0</v>
      </c>
      <c r="U15" s="11">
        <v>0</v>
      </c>
      <c r="V15" s="11">
        <v>0</v>
      </c>
    </row>
    <row r="16" spans="1:23" x14ac:dyDescent="0.25">
      <c r="F16" s="3"/>
      <c r="H16" s="28" t="s">
        <v>113</v>
      </c>
      <c r="I16" s="29">
        <v>1.6721E-2</v>
      </c>
      <c r="K16" s="11">
        <f t="shared" ref="K16:V16" si="6">SUM(K7:K13)*$I16</f>
        <v>0.44485251365866002</v>
      </c>
      <c r="L16" s="11">
        <f t="shared" si="6"/>
        <v>0.48766874363296864</v>
      </c>
      <c r="M16" s="11">
        <f t="shared" si="6"/>
        <v>0.5672855477521398</v>
      </c>
      <c r="N16" s="11">
        <f t="shared" si="6"/>
        <v>0.6530806803982413</v>
      </c>
      <c r="O16" s="11">
        <f t="shared" si="6"/>
        <v>0.55597439735074161</v>
      </c>
      <c r="P16" s="11">
        <f t="shared" si="6"/>
        <v>0.49785253020189996</v>
      </c>
      <c r="Q16" s="11">
        <f t="shared" si="6"/>
        <v>0.43950581794060423</v>
      </c>
      <c r="R16" s="11">
        <f t="shared" si="6"/>
        <v>0.49730809476377341</v>
      </c>
      <c r="S16" s="11">
        <f t="shared" si="6"/>
        <v>0.59267278143021318</v>
      </c>
      <c r="T16" s="11">
        <f t="shared" si="6"/>
        <v>0.65509594860169718</v>
      </c>
      <c r="U16" s="11">
        <f t="shared" si="6"/>
        <v>0.63296551388513789</v>
      </c>
      <c r="V16" s="11">
        <f t="shared" si="6"/>
        <v>0.52357401598392306</v>
      </c>
    </row>
    <row r="17" spans="1:24" x14ac:dyDescent="0.25">
      <c r="A17" t="s">
        <v>60</v>
      </c>
      <c r="B17">
        <v>1014</v>
      </c>
      <c r="C17" s="1">
        <v>122.26</v>
      </c>
      <c r="D17" s="1">
        <v>131.97999999999999</v>
      </c>
      <c r="E17" s="1">
        <f>D17-C17</f>
        <v>9.7199999999999847</v>
      </c>
      <c r="F17" s="3">
        <f>D17/C17-1</f>
        <v>7.9502699165712398E-2</v>
      </c>
      <c r="H17" s="30" t="s">
        <v>114</v>
      </c>
      <c r="I17" s="31">
        <v>0.12767999999999999</v>
      </c>
      <c r="K17" s="11">
        <f t="shared" ref="K17:V17" si="7">SUM(K7:K13)*$I17</f>
        <v>3.3968523978193712</v>
      </c>
      <c r="L17" s="11">
        <f t="shared" si="7"/>
        <v>3.7237931455688913</v>
      </c>
      <c r="M17" s="11">
        <f t="shared" si="7"/>
        <v>4.3317396529509713</v>
      </c>
      <c r="N17" s="11">
        <f t="shared" si="7"/>
        <v>4.986863302030228</v>
      </c>
      <c r="O17" s="11">
        <f t="shared" si="7"/>
        <v>4.245368761063494</v>
      </c>
      <c r="P17" s="11">
        <f t="shared" si="7"/>
        <v>3.8015555921403377</v>
      </c>
      <c r="Q17" s="11">
        <f t="shared" si="7"/>
        <v>3.3560255268618109</v>
      </c>
      <c r="R17" s="11">
        <f t="shared" si="7"/>
        <v>3.797398333798133</v>
      </c>
      <c r="S17" s="11">
        <f t="shared" si="7"/>
        <v>4.5255942068661934</v>
      </c>
      <c r="T17" s="11">
        <f t="shared" si="7"/>
        <v>5.0022517024977384</v>
      </c>
      <c r="U17" s="11">
        <f t="shared" si="7"/>
        <v>4.8332657623858859</v>
      </c>
      <c r="V17" s="11">
        <f t="shared" si="7"/>
        <v>3.997962464016942</v>
      </c>
    </row>
    <row r="18" spans="1:24" x14ac:dyDescent="0.25">
      <c r="B18">
        <v>1014</v>
      </c>
      <c r="C18" s="1">
        <v>122.26</v>
      </c>
      <c r="D18" s="1">
        <v>131.81</v>
      </c>
      <c r="E18" s="1">
        <f>D18-C18</f>
        <v>9.5499999999999972</v>
      </c>
      <c r="F18" s="3">
        <f>D18/C18-1</f>
        <v>7.8112219859316268E-2</v>
      </c>
      <c r="H18" s="30" t="s">
        <v>115</v>
      </c>
      <c r="I18" s="34">
        <v>0.10766199999999999</v>
      </c>
      <c r="K18" s="11">
        <f t="shared" ref="K18:V18" si="8">SUM(K7:K13)*$I18</f>
        <v>2.8642851100722835</v>
      </c>
      <c r="L18" s="11">
        <f t="shared" si="8"/>
        <v>3.1399672434072525</v>
      </c>
      <c r="M18" s="11">
        <f t="shared" si="8"/>
        <v>3.6525983279762495</v>
      </c>
      <c r="N18" s="11">
        <f t="shared" si="8"/>
        <v>4.2050100001815354</v>
      </c>
      <c r="O18" s="11">
        <f t="shared" si="8"/>
        <v>3.5797688874813431</v>
      </c>
      <c r="P18" s="11">
        <f t="shared" si="8"/>
        <v>3.2055378928650771</v>
      </c>
      <c r="Q18" s="11">
        <f t="shared" si="8"/>
        <v>2.8298591813361238</v>
      </c>
      <c r="R18" s="11">
        <f t="shared" si="8"/>
        <v>3.2020324202175328</v>
      </c>
      <c r="S18" s="11">
        <f t="shared" si="8"/>
        <v>3.8160598645020998</v>
      </c>
      <c r="T18" s="11">
        <f t="shared" si="8"/>
        <v>4.2179857674993073</v>
      </c>
      <c r="U18" s="11">
        <f t="shared" si="8"/>
        <v>4.0754938793075608</v>
      </c>
      <c r="V18" s="11">
        <f t="shared" si="8"/>
        <v>3.371151588353634</v>
      </c>
    </row>
    <row r="19" spans="1:24" x14ac:dyDescent="0.25">
      <c r="E19" s="1"/>
      <c r="F19" s="3"/>
      <c r="H19" s="30" t="s">
        <v>116</v>
      </c>
      <c r="I19" s="31">
        <v>2.3050000000000001E-2</v>
      </c>
      <c r="K19" s="11">
        <f t="shared" ref="K19:V19" si="9">SUM(K7:K18)*$I19</f>
        <v>0.96270181735499594</v>
      </c>
      <c r="L19" s="11">
        <f t="shared" si="9"/>
        <v>1.0666573525825409</v>
      </c>
      <c r="M19" s="11">
        <f t="shared" si="9"/>
        <v>1.259962729779023</v>
      </c>
      <c r="N19" s="11">
        <f t="shared" si="9"/>
        <v>1.4682687609147713</v>
      </c>
      <c r="O19" s="11">
        <f t="shared" si="9"/>
        <v>1.2324998565946679</v>
      </c>
      <c r="P19" s="11">
        <f t="shared" si="9"/>
        <v>1.0913830461817107</v>
      </c>
      <c r="Q19" s="11">
        <f t="shared" si="9"/>
        <v>0.94972032376243021</v>
      </c>
      <c r="R19" s="11">
        <f t="shared" si="9"/>
        <v>1.0900611858170488</v>
      </c>
      <c r="S19" s="11">
        <f t="shared" si="9"/>
        <v>1.3517134823910473</v>
      </c>
      <c r="T19" s="11">
        <f t="shared" si="9"/>
        <v>1.5076915866491709</v>
      </c>
      <c r="U19" s="11">
        <f t="shared" si="9"/>
        <v>1.4523937956220931</v>
      </c>
      <c r="V19" s="11">
        <f t="shared" si="9"/>
        <v>1.1790549178026644</v>
      </c>
    </row>
    <row r="20" spans="1:24" x14ac:dyDescent="0.25">
      <c r="A20" t="s">
        <v>61</v>
      </c>
      <c r="B20">
        <v>1267</v>
      </c>
      <c r="C20" s="1">
        <v>149.08000000000001</v>
      </c>
      <c r="D20" s="1">
        <v>159.66999999999999</v>
      </c>
      <c r="E20" s="1">
        <f t="shared" ref="E20" si="10">D20-C20</f>
        <v>10.589999999999975</v>
      </c>
      <c r="F20" s="3">
        <f t="shared" ref="F20" si="11">D20/C20-1</f>
        <v>7.1035685537965909E-2</v>
      </c>
      <c r="K20" s="11">
        <f>SUM(K7:K19)</f>
        <v>42.72850734251751</v>
      </c>
      <c r="L20" s="11">
        <f>SUM(L7:L19)</f>
        <v>47.342464406055029</v>
      </c>
      <c r="M20" s="41">
        <f>SUM(M7:M19)</f>
        <v>55.922120203923185</v>
      </c>
      <c r="N20" s="41">
        <f t="shared" ref="N20:U20" si="12">SUM(N7:N19)</f>
        <v>65.167564245286627</v>
      </c>
      <c r="O20" s="11">
        <f t="shared" si="12"/>
        <v>54.703209470246208</v>
      </c>
      <c r="P20" s="11">
        <f t="shared" si="12"/>
        <v>48.439888303522736</v>
      </c>
      <c r="Q20" s="11">
        <f t="shared" si="12"/>
        <v>42.152337406731199</v>
      </c>
      <c r="R20" s="11">
        <f t="shared" si="12"/>
        <v>48.381218921914609</v>
      </c>
      <c r="S20" s="11">
        <f t="shared" si="12"/>
        <v>59.994380831243426</v>
      </c>
      <c r="T20" s="11">
        <f t="shared" si="12"/>
        <v>66.917304890300841</v>
      </c>
      <c r="U20" s="11">
        <f t="shared" si="12"/>
        <v>64.462970612198788</v>
      </c>
      <c r="V20" s="11">
        <f>SUM(V7:V19)</f>
        <v>52.331112089284851</v>
      </c>
      <c r="W20" s="11">
        <f>SUM(K20:V20)/12</f>
        <v>54.04525656026874</v>
      </c>
      <c r="X20" s="11"/>
    </row>
    <row r="21" spans="1:24" x14ac:dyDescent="0.25">
      <c r="C21" s="1"/>
      <c r="D21" s="1"/>
      <c r="E21" s="1"/>
      <c r="F21" s="3"/>
      <c r="K21" s="11"/>
      <c r="L21" s="11"/>
      <c r="M21" s="41"/>
      <c r="N21" s="4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J22" s="12" t="s">
        <v>3</v>
      </c>
      <c r="K22" s="39">
        <v>293.45764393245747</v>
      </c>
      <c r="L22" s="40">
        <v>338.71278085208013</v>
      </c>
      <c r="M22" s="40">
        <v>422.8647338306082</v>
      </c>
      <c r="N22" s="40">
        <v>513.5469465631694</v>
      </c>
      <c r="O22" s="40">
        <v>410.90927534113194</v>
      </c>
      <c r="P22" s="40">
        <v>349.47665837734894</v>
      </c>
      <c r="Q22" s="40">
        <v>287.8063886273228</v>
      </c>
      <c r="R22" s="40">
        <v>348.90121069521769</v>
      </c>
      <c r="S22" s="40">
        <v>449.698080363011</v>
      </c>
      <c r="T22" s="40">
        <v>515.67700889074661</v>
      </c>
      <c r="U22" s="40">
        <v>492.28597577574311</v>
      </c>
      <c r="V22" s="40">
        <v>376.66329675116287</v>
      </c>
    </row>
    <row r="23" spans="1:24" ht="16.5" thickBot="1" x14ac:dyDescent="0.3">
      <c r="H23" s="63" t="s">
        <v>137</v>
      </c>
      <c r="I23" s="63"/>
      <c r="J23" s="12" t="s">
        <v>136</v>
      </c>
      <c r="K23" s="37" t="s">
        <v>124</v>
      </c>
      <c r="L23" s="37" t="s">
        <v>125</v>
      </c>
      <c r="M23" s="37" t="s">
        <v>126</v>
      </c>
      <c r="N23" s="37" t="s">
        <v>127</v>
      </c>
      <c r="O23" s="37" t="s">
        <v>128</v>
      </c>
      <c r="P23" s="37" t="s">
        <v>129</v>
      </c>
      <c r="Q23" s="37" t="s">
        <v>130</v>
      </c>
      <c r="R23" s="37" t="s">
        <v>131</v>
      </c>
      <c r="S23" s="37" t="s">
        <v>132</v>
      </c>
      <c r="T23" s="37" t="s">
        <v>133</v>
      </c>
      <c r="U23" s="37" t="s">
        <v>134</v>
      </c>
      <c r="V23" s="37" t="s">
        <v>135</v>
      </c>
    </row>
    <row r="24" spans="1:24" x14ac:dyDescent="0.25">
      <c r="H24" s="32" t="s">
        <v>118</v>
      </c>
      <c r="I24" s="33">
        <v>14.9</v>
      </c>
      <c r="K24" s="11">
        <f>$I24</f>
        <v>14.9</v>
      </c>
      <c r="L24" s="11">
        <f t="shared" ref="L24:V24" si="13">$I24</f>
        <v>14.9</v>
      </c>
      <c r="M24" s="11">
        <f t="shared" si="13"/>
        <v>14.9</v>
      </c>
      <c r="N24" s="11">
        <f t="shared" si="13"/>
        <v>14.9</v>
      </c>
      <c r="O24" s="11">
        <f t="shared" si="13"/>
        <v>14.9</v>
      </c>
      <c r="P24" s="11">
        <f t="shared" si="13"/>
        <v>14.9</v>
      </c>
      <c r="Q24" s="11">
        <f t="shared" si="13"/>
        <v>14.9</v>
      </c>
      <c r="R24" s="11">
        <f t="shared" si="13"/>
        <v>14.9</v>
      </c>
      <c r="S24" s="11">
        <f t="shared" si="13"/>
        <v>14.9</v>
      </c>
      <c r="T24" s="11">
        <f t="shared" si="13"/>
        <v>14.9</v>
      </c>
      <c r="U24" s="11">
        <f t="shared" si="13"/>
        <v>14.9</v>
      </c>
      <c r="V24" s="11">
        <f t="shared" si="13"/>
        <v>14.9</v>
      </c>
    </row>
    <row r="25" spans="1:24" x14ac:dyDescent="0.25">
      <c r="H25" s="26" t="s">
        <v>119</v>
      </c>
      <c r="I25" s="27">
        <v>5.7969E-2</v>
      </c>
      <c r="K25" s="11">
        <f>K22*$I25</f>
        <v>17.011446161120627</v>
      </c>
      <c r="L25" s="11">
        <f t="shared" ref="L25:R25" si="14">L22*$I25</f>
        <v>19.634841193214232</v>
      </c>
      <c r="M25" s="11">
        <f t="shared" si="14"/>
        <v>24.513045755426528</v>
      </c>
      <c r="N25" s="11">
        <f t="shared" si="14"/>
        <v>29.769802945320368</v>
      </c>
      <c r="O25" s="11">
        <f t="shared" si="14"/>
        <v>23.819999782250079</v>
      </c>
      <c r="P25" s="11">
        <f t="shared" si="14"/>
        <v>20.25881240947654</v>
      </c>
      <c r="Q25" s="11">
        <f t="shared" si="14"/>
        <v>16.683848542337277</v>
      </c>
      <c r="R25" s="11">
        <f t="shared" si="14"/>
        <v>20.225454282791073</v>
      </c>
      <c r="S25" s="11">
        <v>0</v>
      </c>
      <c r="T25" s="11">
        <v>0</v>
      </c>
      <c r="U25" s="11">
        <v>0</v>
      </c>
      <c r="V25" s="11">
        <v>0</v>
      </c>
    </row>
    <row r="26" spans="1:24" x14ac:dyDescent="0.25">
      <c r="H26" s="26" t="s">
        <v>120</v>
      </c>
      <c r="I26" s="27">
        <v>4.972E-2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</row>
    <row r="27" spans="1:24" x14ac:dyDescent="0.25">
      <c r="H27" s="35" t="s">
        <v>121</v>
      </c>
      <c r="I27" s="27">
        <v>4.8809999999999999E-2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</row>
    <row r="28" spans="1:24" x14ac:dyDescent="0.25">
      <c r="H28" s="26" t="s">
        <v>122</v>
      </c>
      <c r="I28" s="27">
        <v>5.7969E-2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>S22*$I28</f>
        <v>26.068548020563384</v>
      </c>
      <c r="T28" s="11">
        <f t="shared" ref="T28:V28" si="15">T22*$I28</f>
        <v>29.893280528387688</v>
      </c>
      <c r="U28" s="11">
        <f t="shared" si="15"/>
        <v>28.537325729744051</v>
      </c>
      <c r="V28" s="11">
        <f t="shared" si="15"/>
        <v>21.83479464936816</v>
      </c>
    </row>
    <row r="29" spans="1:24" x14ac:dyDescent="0.25">
      <c r="H29" s="26" t="s">
        <v>123</v>
      </c>
      <c r="I29" s="27">
        <v>9.6285999999999997E-2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</row>
    <row r="30" spans="1:24" x14ac:dyDescent="0.25">
      <c r="H30" s="35" t="s">
        <v>156</v>
      </c>
      <c r="I30" s="27">
        <v>9.9657999999999997E-2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</row>
    <row r="31" spans="1:24" x14ac:dyDescent="0.25">
      <c r="H31" s="64" t="s">
        <v>112</v>
      </c>
      <c r="I31" s="27">
        <v>3.1718000000000003E-2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>S22*$I31</f>
        <v>14.263523712953985</v>
      </c>
      <c r="T31" s="11">
        <f>T22*$I31</f>
        <v>16.356243367996701</v>
      </c>
      <c r="U31" s="11">
        <f>U22*$I31</f>
        <v>15.614326579655021</v>
      </c>
      <c r="V31" s="11">
        <f>V22*$I31</f>
        <v>11.947006446353384</v>
      </c>
    </row>
    <row r="32" spans="1:24" x14ac:dyDescent="0.25">
      <c r="H32" s="64"/>
      <c r="I32" s="27">
        <v>2.8812999999999998E-2</v>
      </c>
      <c r="K32" s="11">
        <f t="shared" ref="K32:R32" si="16">K22*$I32</f>
        <v>8.4553950946258958</v>
      </c>
      <c r="L32" s="11">
        <f t="shared" si="16"/>
        <v>9.7593313546909837</v>
      </c>
      <c r="M32" s="11">
        <f t="shared" si="16"/>
        <v>12.184001575861313</v>
      </c>
      <c r="N32" s="11">
        <f t="shared" si="16"/>
        <v>14.796828171324599</v>
      </c>
      <c r="O32" s="11">
        <f t="shared" si="16"/>
        <v>11.839528950404034</v>
      </c>
      <c r="P32" s="11">
        <f t="shared" si="16"/>
        <v>10.069470957826555</v>
      </c>
      <c r="Q32" s="11">
        <f t="shared" si="16"/>
        <v>8.2925654755190514</v>
      </c>
      <c r="R32" s="11">
        <f t="shared" si="16"/>
        <v>10.052890583761307</v>
      </c>
      <c r="S32" s="11">
        <v>0</v>
      </c>
      <c r="T32" s="11">
        <v>0</v>
      </c>
      <c r="U32" s="11">
        <v>0</v>
      </c>
      <c r="V32" s="11">
        <v>0</v>
      </c>
    </row>
    <row r="33" spans="8:25" x14ac:dyDescent="0.25">
      <c r="H33" s="28" t="s">
        <v>113</v>
      </c>
      <c r="I33" s="29">
        <v>1.7947000000000001E-2</v>
      </c>
      <c r="K33" s="11">
        <f t="shared" ref="K33:V33" si="17">SUM(K24:K30)*$I33</f>
        <v>0.57271472425363201</v>
      </c>
      <c r="L33" s="11">
        <f t="shared" si="17"/>
        <v>0.61979679489461592</v>
      </c>
      <c r="M33" s="11">
        <f t="shared" si="17"/>
        <v>0.70734593217263997</v>
      </c>
      <c r="N33" s="11">
        <f t="shared" si="17"/>
        <v>0.80168895345966473</v>
      </c>
      <c r="O33" s="11">
        <f t="shared" si="17"/>
        <v>0.69490783609204221</v>
      </c>
      <c r="P33" s="11">
        <f t="shared" si="17"/>
        <v>0.63099520631287553</v>
      </c>
      <c r="Q33" s="11">
        <f t="shared" si="17"/>
        <v>0.56683532978932716</v>
      </c>
      <c r="R33" s="11">
        <f t="shared" si="17"/>
        <v>0.63039652801325152</v>
      </c>
      <c r="S33" s="11">
        <f t="shared" si="17"/>
        <v>0.73526253132505104</v>
      </c>
      <c r="T33" s="11">
        <f t="shared" si="17"/>
        <v>0.80390500564297396</v>
      </c>
      <c r="U33" s="11">
        <f t="shared" si="17"/>
        <v>0.77956968487171652</v>
      </c>
      <c r="V33" s="11">
        <f t="shared" si="17"/>
        <v>0.6592793595722104</v>
      </c>
    </row>
    <row r="34" spans="8:25" x14ac:dyDescent="0.25">
      <c r="H34" s="30" t="s">
        <v>114</v>
      </c>
      <c r="I34" s="31">
        <v>0.15357499999999999</v>
      </c>
      <c r="K34" s="11">
        <f t="shared" ref="K34:V34" si="18">SUM(K24:K30)*$I34</f>
        <v>4.9008003441941002</v>
      </c>
      <c r="L34" s="11">
        <f t="shared" si="18"/>
        <v>5.3036882362478757</v>
      </c>
      <c r="M34" s="11">
        <f t="shared" si="18"/>
        <v>6.052858501889629</v>
      </c>
      <c r="N34" s="11">
        <f t="shared" si="18"/>
        <v>6.8601649873275754</v>
      </c>
      <c r="O34" s="11">
        <f t="shared" si="18"/>
        <v>5.9464239665590553</v>
      </c>
      <c r="P34" s="11">
        <f t="shared" si="18"/>
        <v>5.3995146157853595</v>
      </c>
      <c r="Q34" s="11">
        <f t="shared" si="18"/>
        <v>4.8504895398894474</v>
      </c>
      <c r="R34" s="11">
        <f t="shared" si="18"/>
        <v>5.3943916414796389</v>
      </c>
      <c r="S34" s="11">
        <f t="shared" si="18"/>
        <v>6.2917447622580207</v>
      </c>
      <c r="T34" s="11">
        <f t="shared" si="18"/>
        <v>6.8791280571471392</v>
      </c>
      <c r="U34" s="11">
        <f t="shared" si="18"/>
        <v>6.6708872989454422</v>
      </c>
      <c r="V34" s="11">
        <f t="shared" si="18"/>
        <v>5.6415460882767148</v>
      </c>
    </row>
    <row r="35" spans="8:25" x14ac:dyDescent="0.25">
      <c r="H35" s="30" t="s">
        <v>115</v>
      </c>
      <c r="I35" s="34">
        <v>0.10766199999999999</v>
      </c>
      <c r="K35" s="11">
        <f t="shared" ref="K35:V35" si="19">SUM(K24:K30)*$I35</f>
        <v>3.4356501165985689</v>
      </c>
      <c r="L35" s="11">
        <f t="shared" si="19"/>
        <v>3.7180900725438306</v>
      </c>
      <c r="M35" s="11">
        <f t="shared" si="19"/>
        <v>4.2432873321207305</v>
      </c>
      <c r="N35" s="11">
        <f t="shared" si="19"/>
        <v>4.8092403246990818</v>
      </c>
      <c r="O35" s="11">
        <f t="shared" si="19"/>
        <v>4.1686726165566075</v>
      </c>
      <c r="P35" s="11">
        <f t="shared" si="19"/>
        <v>3.785268061629063</v>
      </c>
      <c r="Q35" s="11">
        <f t="shared" si="19"/>
        <v>3.4003803017651157</v>
      </c>
      <c r="R35" s="11">
        <f t="shared" si="19"/>
        <v>3.7816766589938524</v>
      </c>
      <c r="S35" s="11">
        <f t="shared" si="19"/>
        <v>4.4107558169898944</v>
      </c>
      <c r="T35" s="11">
        <f t="shared" si="19"/>
        <v>4.8225341682472749</v>
      </c>
      <c r="U35" s="11">
        <f t="shared" si="19"/>
        <v>4.6765493627157042</v>
      </c>
      <c r="V35" s="11">
        <f t="shared" si="19"/>
        <v>3.9549414615402747</v>
      </c>
    </row>
    <row r="36" spans="8:25" x14ac:dyDescent="0.25">
      <c r="H36" s="30" t="s">
        <v>116</v>
      </c>
      <c r="I36" s="31">
        <v>2.3567999999999999E-2</v>
      </c>
      <c r="K36" s="11">
        <f t="shared" ref="K36:V36" si="20">SUM(K24:K35)*$I36</f>
        <v>1.161336919796605</v>
      </c>
      <c r="L36" s="11">
        <f t="shared" si="20"/>
        <v>1.2711577006527093</v>
      </c>
      <c r="M36" s="11">
        <f t="shared" si="20"/>
        <v>1.4753695054491927</v>
      </c>
      <c r="N36" s="11">
        <f t="shared" si="20"/>
        <v>1.6954283118060702</v>
      </c>
      <c r="O36" s="11">
        <f t="shared" si="20"/>
        <v>1.4463571573230791</v>
      </c>
      <c r="P36" s="11">
        <f t="shared" si="20"/>
        <v>1.2972784355642841</v>
      </c>
      <c r="Q36" s="11">
        <f t="shared" si="20"/>
        <v>1.1476230010534276</v>
      </c>
      <c r="R36" s="11">
        <f t="shared" si="20"/>
        <v>1.2958819948926819</v>
      </c>
      <c r="S36" s="11">
        <f t="shared" si="20"/>
        <v>1.5712746676055209</v>
      </c>
      <c r="T36" s="11">
        <f t="shared" si="20"/>
        <v>1.7359031876910764</v>
      </c>
      <c r="U36" s="11">
        <f t="shared" si="20"/>
        <v>1.677538627203004</v>
      </c>
      <c r="V36" s="11">
        <f t="shared" si="20"/>
        <v>1.38904060274445</v>
      </c>
    </row>
    <row r="37" spans="8:25" x14ac:dyDescent="0.25">
      <c r="K37" s="11">
        <f>SUM(K24:K36)</f>
        <v>50.437343360589423</v>
      </c>
      <c r="L37" s="11">
        <f>SUM(L24:L36)</f>
        <v>55.206905352244249</v>
      </c>
      <c r="M37" s="41">
        <f>SUM(M24:M36)</f>
        <v>64.075908602920038</v>
      </c>
      <c r="N37" s="41">
        <f t="shared" ref="N37:U37" si="21">SUM(N24:N36)</f>
        <v>73.633153693937359</v>
      </c>
      <c r="O37" s="11">
        <f t="shared" si="21"/>
        <v>62.815890309184894</v>
      </c>
      <c r="P37" s="11">
        <f t="shared" si="21"/>
        <v>56.341339686594672</v>
      </c>
      <c r="Q37" s="11">
        <f t="shared" si="21"/>
        <v>49.841742190353649</v>
      </c>
      <c r="R37" s="11">
        <f t="shared" si="21"/>
        <v>56.2806916899318</v>
      </c>
      <c r="S37" s="11">
        <f t="shared" si="21"/>
        <v>68.241109511695853</v>
      </c>
      <c r="T37" s="11">
        <f t="shared" si="21"/>
        <v>75.390994315112863</v>
      </c>
      <c r="U37" s="11">
        <f t="shared" si="21"/>
        <v>72.856197283134946</v>
      </c>
      <c r="V37" s="11">
        <f>SUM(V24:V36)</f>
        <v>60.326608607855192</v>
      </c>
      <c r="W37" s="11">
        <f>SUM(K37:V37)/12</f>
        <v>62.120657050296245</v>
      </c>
      <c r="X37" s="3">
        <f>W37/W20-1</f>
        <v>0.14941922758794179</v>
      </c>
      <c r="Y37" s="11">
        <f>W37-W20</f>
        <v>8.0754004900275049</v>
      </c>
    </row>
    <row r="38" spans="8:25" x14ac:dyDescent="0.25"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8:25" x14ac:dyDescent="0.25">
      <c r="J39" s="12" t="s">
        <v>3</v>
      </c>
      <c r="K39" s="39">
        <v>293.45764393245747</v>
      </c>
      <c r="L39" s="40">
        <v>338.71278085208013</v>
      </c>
      <c r="M39" s="40">
        <v>422.8647338306082</v>
      </c>
      <c r="N39" s="40">
        <v>513.5469465631694</v>
      </c>
      <c r="O39" s="40">
        <v>410.90927534113194</v>
      </c>
      <c r="P39" s="40">
        <v>349.47665837734894</v>
      </c>
      <c r="Q39" s="40">
        <v>287.8063886273228</v>
      </c>
      <c r="R39" s="40">
        <v>348.90121069521769</v>
      </c>
      <c r="S39" s="40">
        <v>449.698080363011</v>
      </c>
      <c r="T39" s="40">
        <v>515.67700889074661</v>
      </c>
      <c r="U39" s="40">
        <v>492.28597577574311</v>
      </c>
      <c r="V39" s="40">
        <v>376.66329675116287</v>
      </c>
    </row>
    <row r="40" spans="8:25" ht="16.5" thickBot="1" x14ac:dyDescent="0.3">
      <c r="H40" s="63" t="s">
        <v>138</v>
      </c>
      <c r="I40" s="63"/>
      <c r="J40" s="12" t="s">
        <v>136</v>
      </c>
      <c r="K40" s="37" t="s">
        <v>124</v>
      </c>
      <c r="L40" s="37" t="s">
        <v>125</v>
      </c>
      <c r="M40" s="37" t="s">
        <v>126</v>
      </c>
      <c r="N40" s="37" t="s">
        <v>127</v>
      </c>
      <c r="O40" s="37" t="s">
        <v>128</v>
      </c>
      <c r="P40" s="37" t="s">
        <v>129</v>
      </c>
      <c r="Q40" s="37" t="s">
        <v>130</v>
      </c>
      <c r="R40" s="37" t="s">
        <v>131</v>
      </c>
      <c r="S40" s="37" t="s">
        <v>132</v>
      </c>
      <c r="T40" s="37" t="s">
        <v>133</v>
      </c>
      <c r="U40" s="37" t="s">
        <v>134</v>
      </c>
      <c r="V40" s="37" t="s">
        <v>135</v>
      </c>
    </row>
    <row r="41" spans="8:25" x14ac:dyDescent="0.25">
      <c r="H41" s="32" t="s">
        <v>118</v>
      </c>
      <c r="I41" s="33">
        <v>17.95</v>
      </c>
      <c r="K41" s="11">
        <f>$I41</f>
        <v>17.95</v>
      </c>
      <c r="L41" s="11">
        <f t="shared" ref="L41:V41" si="22">$I41</f>
        <v>17.95</v>
      </c>
      <c r="M41" s="11">
        <f t="shared" si="22"/>
        <v>17.95</v>
      </c>
      <c r="N41" s="11">
        <f t="shared" si="22"/>
        <v>17.95</v>
      </c>
      <c r="O41" s="11">
        <f t="shared" si="22"/>
        <v>17.95</v>
      </c>
      <c r="P41" s="11">
        <f t="shared" si="22"/>
        <v>17.95</v>
      </c>
      <c r="Q41" s="11">
        <f t="shared" si="22"/>
        <v>17.95</v>
      </c>
      <c r="R41" s="11">
        <f t="shared" si="22"/>
        <v>17.95</v>
      </c>
      <c r="S41" s="11">
        <f t="shared" si="22"/>
        <v>17.95</v>
      </c>
      <c r="T41" s="11">
        <f t="shared" si="22"/>
        <v>17.95</v>
      </c>
      <c r="U41" s="11">
        <f t="shared" si="22"/>
        <v>17.95</v>
      </c>
      <c r="V41" s="11">
        <f t="shared" si="22"/>
        <v>17.95</v>
      </c>
    </row>
    <row r="42" spans="8:25" x14ac:dyDescent="0.25">
      <c r="H42" s="26" t="s">
        <v>119</v>
      </c>
      <c r="I42" s="27">
        <v>4.9754E-2</v>
      </c>
      <c r="K42" s="11">
        <f>K39*$I42</f>
        <v>14.600691616215489</v>
      </c>
      <c r="L42" s="11">
        <f t="shared" ref="L42:R42" si="23">L39*$I42</f>
        <v>16.852315698514396</v>
      </c>
      <c r="M42" s="11">
        <f t="shared" si="23"/>
        <v>21.039211967008079</v>
      </c>
      <c r="N42" s="11">
        <f t="shared" si="23"/>
        <v>25.55101477930393</v>
      </c>
      <c r="O42" s="11">
        <f t="shared" si="23"/>
        <v>20.444380085322678</v>
      </c>
      <c r="P42" s="11">
        <f t="shared" si="23"/>
        <v>17.387861660906619</v>
      </c>
      <c r="Q42" s="11">
        <f t="shared" si="23"/>
        <v>14.319519059763818</v>
      </c>
      <c r="R42" s="11">
        <f t="shared" si="23"/>
        <v>17.359230836929861</v>
      </c>
      <c r="S42" s="11">
        <v>0</v>
      </c>
      <c r="T42" s="11">
        <v>0</v>
      </c>
      <c r="U42" s="11">
        <v>0</v>
      </c>
      <c r="V42" s="11">
        <v>0</v>
      </c>
    </row>
    <row r="43" spans="8:25" x14ac:dyDescent="0.25">
      <c r="H43" s="26" t="s">
        <v>120</v>
      </c>
      <c r="I43" s="27">
        <v>4.2674999999999998E-2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</row>
    <row r="44" spans="8:25" x14ac:dyDescent="0.25">
      <c r="H44" s="35" t="s">
        <v>121</v>
      </c>
      <c r="I44" s="27">
        <v>4.1890999999999998E-2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</row>
    <row r="45" spans="8:25" x14ac:dyDescent="0.25">
      <c r="H45" s="26" t="s">
        <v>122</v>
      </c>
      <c r="I45" s="27">
        <v>4.9754E-2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f>S39*$I45</f>
        <v>22.374278290381248</v>
      </c>
      <c r="T45" s="11">
        <f t="shared" ref="T45:V45" si="24">T39*$I45</f>
        <v>25.656993900350205</v>
      </c>
      <c r="U45" s="11">
        <f t="shared" si="24"/>
        <v>24.493196438746324</v>
      </c>
      <c r="V45" s="11">
        <f t="shared" si="24"/>
        <v>18.740505666557358</v>
      </c>
    </row>
    <row r="46" spans="8:25" x14ac:dyDescent="0.25">
      <c r="H46" s="26" t="s">
        <v>123</v>
      </c>
      <c r="I46" s="27">
        <v>8.2639000000000004E-2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</row>
    <row r="47" spans="8:25" x14ac:dyDescent="0.25">
      <c r="H47" s="35" t="s">
        <v>156</v>
      </c>
      <c r="I47" s="27">
        <v>8.5531999999999997E-2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</row>
    <row r="48" spans="8:25" x14ac:dyDescent="0.25">
      <c r="H48" s="64" t="s">
        <v>112</v>
      </c>
      <c r="I48" s="27">
        <v>3.1718000000000003E-2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f>S39*$I48</f>
        <v>14.263523712953985</v>
      </c>
      <c r="T48" s="11">
        <f>T39*$I48</f>
        <v>16.356243367996701</v>
      </c>
      <c r="U48" s="11">
        <f>U39*$I48</f>
        <v>15.614326579655021</v>
      </c>
      <c r="V48" s="11">
        <f>V39*$I48</f>
        <v>11.947006446353384</v>
      </c>
    </row>
    <row r="49" spans="8:25" x14ac:dyDescent="0.25">
      <c r="H49" s="64"/>
      <c r="I49" s="27">
        <v>2.8812999999999998E-2</v>
      </c>
      <c r="K49" s="11">
        <f t="shared" ref="K49:R49" si="25">K39*$I49</f>
        <v>8.4553950946258958</v>
      </c>
      <c r="L49" s="11">
        <f t="shared" si="25"/>
        <v>9.7593313546909837</v>
      </c>
      <c r="M49" s="11">
        <f t="shared" si="25"/>
        <v>12.184001575861313</v>
      </c>
      <c r="N49" s="11">
        <f t="shared" si="25"/>
        <v>14.796828171324599</v>
      </c>
      <c r="O49" s="11">
        <f t="shared" si="25"/>
        <v>11.839528950404034</v>
      </c>
      <c r="P49" s="11">
        <f t="shared" si="25"/>
        <v>10.069470957826555</v>
      </c>
      <c r="Q49" s="11">
        <f t="shared" si="25"/>
        <v>8.2925654755190514</v>
      </c>
      <c r="R49" s="11">
        <f t="shared" si="25"/>
        <v>10.052890583761307</v>
      </c>
      <c r="S49" s="11">
        <v>0</v>
      </c>
      <c r="T49" s="11">
        <v>0</v>
      </c>
      <c r="U49" s="11">
        <v>0</v>
      </c>
      <c r="V49" s="11">
        <v>0</v>
      </c>
    </row>
    <row r="50" spans="8:25" x14ac:dyDescent="0.25">
      <c r="H50" s="28" t="s">
        <v>144</v>
      </c>
      <c r="I50" s="29">
        <v>1.9511000000000001E-2</v>
      </c>
      <c r="K50" s="11">
        <f t="shared" ref="K50:V50" si="26">SUM(K41:K47)*$I50</f>
        <v>0.63509654412398042</v>
      </c>
      <c r="L50" s="11">
        <f t="shared" si="26"/>
        <v>0.67902798159371436</v>
      </c>
      <c r="M50" s="11">
        <f t="shared" si="26"/>
        <v>0.76071851468829454</v>
      </c>
      <c r="N50" s="11">
        <f t="shared" si="26"/>
        <v>0.84874829935899898</v>
      </c>
      <c r="O50" s="11">
        <f t="shared" si="26"/>
        <v>0.74911274984473086</v>
      </c>
      <c r="P50" s="11">
        <f t="shared" si="26"/>
        <v>0.68947701886594903</v>
      </c>
      <c r="Q50" s="11">
        <f t="shared" si="26"/>
        <v>0.62961058637505185</v>
      </c>
      <c r="R50" s="11">
        <f t="shared" si="26"/>
        <v>0.68891840285933847</v>
      </c>
      <c r="S50" s="11">
        <f t="shared" si="26"/>
        <v>0.78676699372362846</v>
      </c>
      <c r="T50" s="11">
        <f t="shared" si="26"/>
        <v>0.85081605798973281</v>
      </c>
      <c r="U50" s="11">
        <f t="shared" si="26"/>
        <v>0.82810920571637958</v>
      </c>
      <c r="V50" s="11">
        <f t="shared" si="26"/>
        <v>0.71586845606020066</v>
      </c>
    </row>
    <row r="51" spans="8:25" x14ac:dyDescent="0.25">
      <c r="H51" s="30" t="s">
        <v>145</v>
      </c>
      <c r="I51" s="31">
        <v>0.16881399999999999</v>
      </c>
      <c r="K51" s="11">
        <f t="shared" ref="K51:V51" si="27">SUM(K41:K47)*$I51</f>
        <v>5.4950124544998014</v>
      </c>
      <c r="L51" s="11">
        <f t="shared" si="27"/>
        <v>5.8751181223290079</v>
      </c>
      <c r="M51" s="11">
        <f t="shared" si="27"/>
        <v>6.5819248289985008</v>
      </c>
      <c r="N51" s="11">
        <f t="shared" si="27"/>
        <v>7.3435803089534133</v>
      </c>
      <c r="O51" s="11">
        <f t="shared" si="27"/>
        <v>6.4815088797236626</v>
      </c>
      <c r="P51" s="11">
        <f t="shared" si="27"/>
        <v>5.9655257784242899</v>
      </c>
      <c r="Q51" s="11">
        <f t="shared" si="27"/>
        <v>5.4475465905549685</v>
      </c>
      <c r="R51" s="11">
        <f t="shared" si="27"/>
        <v>5.9606924945054764</v>
      </c>
      <c r="S51" s="11">
        <f t="shared" si="27"/>
        <v>6.807302715312419</v>
      </c>
      <c r="T51" s="11">
        <f t="shared" si="27"/>
        <v>7.361471068293719</v>
      </c>
      <c r="U51" s="11">
        <f t="shared" si="27"/>
        <v>7.1650057636105222</v>
      </c>
      <c r="V51" s="11">
        <f t="shared" si="27"/>
        <v>6.1938710235942134</v>
      </c>
    </row>
    <row r="52" spans="8:25" x14ac:dyDescent="0.25">
      <c r="H52" s="30" t="s">
        <v>115</v>
      </c>
      <c r="I52" s="34">
        <v>0.10766199999999999</v>
      </c>
      <c r="K52" s="11">
        <f t="shared" ref="K52:V52" si="28">SUM(K41:K47)*$I52</f>
        <v>3.5044725607849916</v>
      </c>
      <c r="L52" s="11">
        <f t="shared" si="28"/>
        <v>3.7468869127334563</v>
      </c>
      <c r="M52" s="11">
        <f t="shared" si="28"/>
        <v>4.1976565387920228</v>
      </c>
      <c r="N52" s="11">
        <f t="shared" si="28"/>
        <v>4.6834062531694194</v>
      </c>
      <c r="O52" s="11">
        <f t="shared" si="28"/>
        <v>4.1336157487460099</v>
      </c>
      <c r="P52" s="11">
        <f t="shared" si="28"/>
        <v>3.8045448621365283</v>
      </c>
      <c r="Q52" s="11">
        <f t="shared" si="28"/>
        <v>3.4742009610122917</v>
      </c>
      <c r="R52" s="11">
        <f t="shared" si="28"/>
        <v>3.8014624103655419</v>
      </c>
      <c r="S52" s="11">
        <f t="shared" si="28"/>
        <v>4.3413924492990255</v>
      </c>
      <c r="T52" s="11">
        <f t="shared" si="28"/>
        <v>4.6948161772995034</v>
      </c>
      <c r="U52" s="11">
        <f t="shared" si="28"/>
        <v>4.5695194149883065</v>
      </c>
      <c r="V52" s="11">
        <f t="shared" si="28"/>
        <v>3.9501732210728977</v>
      </c>
    </row>
    <row r="53" spans="8:25" x14ac:dyDescent="0.25">
      <c r="H53" s="30" t="s">
        <v>116</v>
      </c>
      <c r="I53" s="31">
        <v>2.3567999999999999E-2</v>
      </c>
      <c r="K53" s="11">
        <f t="shared" ref="K53:V53" si="29">SUM(K41:K52)*$I53</f>
        <v>1.1934992697932556</v>
      </c>
      <c r="L53" s="11">
        <f t="shared" si="29"/>
        <v>1.2930036438864971</v>
      </c>
      <c r="M53" s="11">
        <f t="shared" si="29"/>
        <v>1.4780320844086066</v>
      </c>
      <c r="N53" s="11">
        <f t="shared" si="29"/>
        <v>1.6774188818758171</v>
      </c>
      <c r="O53" s="11">
        <f t="shared" si="29"/>
        <v>1.4517451146861209</v>
      </c>
      <c r="P53" s="11">
        <f t="shared" si="29"/>
        <v>1.3166706343956736</v>
      </c>
      <c r="Q53" s="11">
        <f t="shared" si="29"/>
        <v>1.1810736169225711</v>
      </c>
      <c r="R53" s="11">
        <f t="shared" si="29"/>
        <v>1.3154053733594384</v>
      </c>
      <c r="S53" s="11">
        <f t="shared" si="29"/>
        <v>1.5678202897622455</v>
      </c>
      <c r="T53" s="11">
        <f t="shared" si="29"/>
        <v>1.7174081865992428</v>
      </c>
      <c r="U53" s="11">
        <f t="shared" si="29"/>
        <v>1.6643758696672237</v>
      </c>
      <c r="V53" s="11">
        <f t="shared" si="29"/>
        <v>1.4022353080078214</v>
      </c>
    </row>
    <row r="54" spans="8:25" x14ac:dyDescent="0.25">
      <c r="K54" s="11">
        <f>SUM(K41:K53)</f>
        <v>51.834167540043417</v>
      </c>
      <c r="L54" s="11">
        <f>SUM(L41:L53)</f>
        <v>56.155683713748054</v>
      </c>
      <c r="M54" s="41">
        <f>SUM(M41:M53)</f>
        <v>64.191545509756821</v>
      </c>
      <c r="N54" s="41">
        <f t="shared" ref="N54:U54" si="30">SUM(N41:N53)</f>
        <v>72.85099669398619</v>
      </c>
      <c r="O54" s="11">
        <f t="shared" si="30"/>
        <v>63.049891528727237</v>
      </c>
      <c r="P54" s="11">
        <f t="shared" si="30"/>
        <v>57.183550912555617</v>
      </c>
      <c r="Q54" s="11">
        <f t="shared" si="30"/>
        <v>51.294516290147747</v>
      </c>
      <c r="R54" s="11">
        <f t="shared" si="30"/>
        <v>57.128600101780961</v>
      </c>
      <c r="S54" s="11">
        <f t="shared" si="30"/>
        <v>68.09108445143255</v>
      </c>
      <c r="T54" s="11">
        <f t="shared" si="30"/>
        <v>74.587748758529102</v>
      </c>
      <c r="U54" s="11">
        <f t="shared" si="30"/>
        <v>72.284533272383783</v>
      </c>
      <c r="V54" s="11">
        <f>SUM(V41:V53)</f>
        <v>60.899660121645873</v>
      </c>
      <c r="W54" s="11">
        <f>SUM(K54:V54)/12</f>
        <v>62.462664907894769</v>
      </c>
      <c r="X54" s="3">
        <f>W54/W20-1</f>
        <v>0.15574740288704758</v>
      </c>
      <c r="Y54" s="11">
        <f>W54-W20</f>
        <v>8.4174083476260293</v>
      </c>
    </row>
    <row r="57" spans="8:25" x14ac:dyDescent="0.25">
      <c r="J57" s="12" t="s">
        <v>3</v>
      </c>
      <c r="K57" s="39">
        <v>293.45764393245747</v>
      </c>
      <c r="L57" s="40">
        <v>338.71278085208013</v>
      </c>
      <c r="M57" s="40">
        <v>422.8647338306082</v>
      </c>
      <c r="N57" s="40">
        <v>513.5469465631694</v>
      </c>
      <c r="O57" s="40">
        <v>410.90927534113194</v>
      </c>
      <c r="P57" s="40">
        <v>349.47665837734894</v>
      </c>
      <c r="Q57" s="40">
        <v>287.8063886273228</v>
      </c>
      <c r="R57" s="40">
        <v>348.90121069521769</v>
      </c>
      <c r="S57" s="40">
        <v>449.698080363011</v>
      </c>
      <c r="T57" s="40">
        <v>515.67700889074661</v>
      </c>
      <c r="U57" s="40">
        <v>492.28597577574311</v>
      </c>
      <c r="V57" s="40">
        <v>376.66329675116287</v>
      </c>
    </row>
    <row r="58" spans="8:25" ht="16.5" thickBot="1" x14ac:dyDescent="0.3">
      <c r="H58" s="63" t="s">
        <v>154</v>
      </c>
      <c r="I58" s="63"/>
      <c r="J58" s="12" t="s">
        <v>136</v>
      </c>
      <c r="K58" s="37" t="s">
        <v>124</v>
      </c>
      <c r="L58" s="37" t="s">
        <v>125</v>
      </c>
      <c r="M58" s="37" t="s">
        <v>126</v>
      </c>
      <c r="N58" s="37" t="s">
        <v>127</v>
      </c>
      <c r="O58" s="37" t="s">
        <v>128</v>
      </c>
      <c r="P58" s="37" t="s">
        <v>129</v>
      </c>
      <c r="Q58" s="37" t="s">
        <v>130</v>
      </c>
      <c r="R58" s="37" t="s">
        <v>131</v>
      </c>
      <c r="S58" s="37" t="s">
        <v>132</v>
      </c>
      <c r="T58" s="37" t="s">
        <v>133</v>
      </c>
      <c r="U58" s="37" t="s">
        <v>134</v>
      </c>
      <c r="V58" s="37" t="s">
        <v>135</v>
      </c>
    </row>
    <row r="59" spans="8:25" x14ac:dyDescent="0.25">
      <c r="H59" s="32" t="s">
        <v>118</v>
      </c>
      <c r="I59" s="33">
        <v>10</v>
      </c>
      <c r="K59" s="11">
        <f>$I59</f>
        <v>10</v>
      </c>
      <c r="L59" s="11">
        <f t="shared" ref="L59:V59" si="31">$I59</f>
        <v>10</v>
      </c>
      <c r="M59" s="11">
        <f t="shared" si="31"/>
        <v>10</v>
      </c>
      <c r="N59" s="11">
        <f t="shared" si="31"/>
        <v>10</v>
      </c>
      <c r="O59" s="11">
        <f t="shared" si="31"/>
        <v>10</v>
      </c>
      <c r="P59" s="11">
        <f t="shared" si="31"/>
        <v>10</v>
      </c>
      <c r="Q59" s="11">
        <f t="shared" si="31"/>
        <v>10</v>
      </c>
      <c r="R59" s="11">
        <f t="shared" si="31"/>
        <v>10</v>
      </c>
      <c r="S59" s="11">
        <f t="shared" si="31"/>
        <v>10</v>
      </c>
      <c r="T59" s="11">
        <f t="shared" si="31"/>
        <v>10</v>
      </c>
      <c r="U59" s="11">
        <f t="shared" si="31"/>
        <v>10</v>
      </c>
      <c r="V59" s="11">
        <f t="shared" si="31"/>
        <v>10</v>
      </c>
    </row>
    <row r="60" spans="8:25" x14ac:dyDescent="0.25">
      <c r="H60" s="26" t="s">
        <v>119</v>
      </c>
      <c r="I60" s="27">
        <v>5.755255297651591E-2</v>
      </c>
      <c r="K60" s="11">
        <f>K57*$I60</f>
        <v>16.889236598786301</v>
      </c>
      <c r="L60" s="11">
        <f t="shared" ref="L60:R60" si="32">L57*$I60</f>
        <v>19.493785263812367</v>
      </c>
      <c r="M60" s="11">
        <f t="shared" si="32"/>
        <v>24.336944995686377</v>
      </c>
      <c r="N60" s="11">
        <f t="shared" si="32"/>
        <v>29.555937848004792</v>
      </c>
      <c r="O60" s="11">
        <f t="shared" si="32"/>
        <v>23.648877837612257</v>
      </c>
      <c r="P60" s="11">
        <f t="shared" si="32"/>
        <v>20.113273895318127</v>
      </c>
      <c r="Q60" s="11">
        <f t="shared" si="32"/>
        <v>16.563992428453723</v>
      </c>
      <c r="R60" s="11">
        <f t="shared" si="32"/>
        <v>20.080155412107054</v>
      </c>
      <c r="S60" s="11">
        <v>0</v>
      </c>
      <c r="T60" s="11">
        <v>0</v>
      </c>
      <c r="U60" s="11">
        <v>0</v>
      </c>
      <c r="V60" s="11">
        <v>0</v>
      </c>
    </row>
    <row r="61" spans="8:25" x14ac:dyDescent="0.25">
      <c r="H61" s="26" t="s">
        <v>120</v>
      </c>
      <c r="I61" s="27">
        <v>5.0473552976515908E-2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</row>
    <row r="62" spans="8:25" x14ac:dyDescent="0.25">
      <c r="H62" s="35" t="s">
        <v>121</v>
      </c>
      <c r="I62" s="27">
        <v>4.9689552976515908E-2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</row>
    <row r="63" spans="8:25" x14ac:dyDescent="0.25">
      <c r="H63" s="26" t="s">
        <v>122</v>
      </c>
      <c r="I63" s="27">
        <v>5.755255297651591E-2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f>S57*$I63</f>
        <v>25.881272593529701</v>
      </c>
      <c r="T63" s="11">
        <f t="shared" ref="T63:V63" si="33">T57*$I63</f>
        <v>29.678528372955959</v>
      </c>
      <c r="U63" s="11">
        <f t="shared" si="33"/>
        <v>28.332314700429283</v>
      </c>
      <c r="V63" s="11">
        <f t="shared" si="33"/>
        <v>21.677934340580435</v>
      </c>
    </row>
    <row r="64" spans="8:25" x14ac:dyDescent="0.25">
      <c r="H64" s="26" t="s">
        <v>123</v>
      </c>
      <c r="I64" s="27">
        <v>9.0437552976515914E-2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</row>
    <row r="65" spans="8:25" x14ac:dyDescent="0.25">
      <c r="H65" s="35" t="s">
        <v>156</v>
      </c>
      <c r="I65" s="27">
        <v>9.3330552976515907E-2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</row>
    <row r="66" spans="8:25" x14ac:dyDescent="0.25">
      <c r="H66" s="64" t="s">
        <v>112</v>
      </c>
      <c r="I66" s="27">
        <v>3.1718000000000003E-2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f>S57*$I66</f>
        <v>14.263523712953985</v>
      </c>
      <c r="T66" s="11">
        <f>T57*$I66</f>
        <v>16.356243367996701</v>
      </c>
      <c r="U66" s="11">
        <f>U57*$I66</f>
        <v>15.614326579655021</v>
      </c>
      <c r="V66" s="11">
        <f>V57*$I66</f>
        <v>11.947006446353384</v>
      </c>
    </row>
    <row r="67" spans="8:25" x14ac:dyDescent="0.25">
      <c r="H67" s="64"/>
      <c r="I67" s="27">
        <v>2.8812999999999998E-2</v>
      </c>
      <c r="K67" s="11">
        <f t="shared" ref="K67:R67" si="34">K57*$I67</f>
        <v>8.4553950946258958</v>
      </c>
      <c r="L67" s="11">
        <f t="shared" si="34"/>
        <v>9.7593313546909837</v>
      </c>
      <c r="M67" s="11">
        <f t="shared" si="34"/>
        <v>12.184001575861313</v>
      </c>
      <c r="N67" s="11">
        <f t="shared" si="34"/>
        <v>14.796828171324599</v>
      </c>
      <c r="O67" s="11">
        <f t="shared" si="34"/>
        <v>11.839528950404034</v>
      </c>
      <c r="P67" s="11">
        <f t="shared" si="34"/>
        <v>10.069470957826555</v>
      </c>
      <c r="Q67" s="11">
        <f t="shared" si="34"/>
        <v>8.2925654755190514</v>
      </c>
      <c r="R67" s="11">
        <f t="shared" si="34"/>
        <v>10.052890583761307</v>
      </c>
      <c r="S67" s="11">
        <v>0</v>
      </c>
      <c r="T67" s="11">
        <v>0</v>
      </c>
      <c r="U67" s="11">
        <v>0</v>
      </c>
      <c r="V67" s="11">
        <v>0</v>
      </c>
    </row>
    <row r="68" spans="8:25" x14ac:dyDescent="0.25">
      <c r="H68" s="28" t="s">
        <v>144</v>
      </c>
      <c r="I68" s="29">
        <v>1.9511000000000001E-2</v>
      </c>
      <c r="K68" s="11">
        <f t="shared" ref="K68:V68" si="35">SUM(K59:K65)*$I68</f>
        <v>0.52463589527891952</v>
      </c>
      <c r="L68" s="11">
        <f t="shared" si="35"/>
        <v>0.57545324428224309</v>
      </c>
      <c r="M68" s="11">
        <f t="shared" si="35"/>
        <v>0.66994813381083695</v>
      </c>
      <c r="N68" s="11">
        <f t="shared" si="35"/>
        <v>0.77177590335242141</v>
      </c>
      <c r="O68" s="11">
        <f t="shared" si="35"/>
        <v>0.65652325548965285</v>
      </c>
      <c r="P68" s="11">
        <f t="shared" si="35"/>
        <v>0.58754008697155202</v>
      </c>
      <c r="Q68" s="11">
        <f t="shared" si="35"/>
        <v>0.51829005627156055</v>
      </c>
      <c r="R68" s="11">
        <f t="shared" si="35"/>
        <v>0.58689391224562071</v>
      </c>
      <c r="S68" s="11">
        <f t="shared" si="35"/>
        <v>0.70007950957235798</v>
      </c>
      <c r="T68" s="11">
        <f t="shared" si="35"/>
        <v>0.77416776708474377</v>
      </c>
      <c r="U68" s="11">
        <f t="shared" si="35"/>
        <v>0.74790179212007568</v>
      </c>
      <c r="V68" s="11">
        <f t="shared" si="35"/>
        <v>0.6180681769190649</v>
      </c>
    </row>
    <row r="69" spans="8:25" x14ac:dyDescent="0.25">
      <c r="H69" s="30" t="s">
        <v>145</v>
      </c>
      <c r="I69" s="31">
        <v>0.16881399999999999</v>
      </c>
      <c r="K69" s="11">
        <f t="shared" ref="K69:V69" si="36">SUM(K59:K65)*$I69</f>
        <v>4.5392795871875107</v>
      </c>
      <c r="L69" s="11">
        <f t="shared" si="36"/>
        <v>4.9789638655252206</v>
      </c>
      <c r="M69" s="11">
        <f t="shared" si="36"/>
        <v>5.7965570325018003</v>
      </c>
      <c r="N69" s="11">
        <f t="shared" si="36"/>
        <v>6.6775960918730801</v>
      </c>
      <c r="O69" s="11">
        <f t="shared" si="36"/>
        <v>5.6804016632786762</v>
      </c>
      <c r="P69" s="11">
        <f t="shared" si="36"/>
        <v>5.0835422193642339</v>
      </c>
      <c r="Q69" s="11">
        <f t="shared" si="36"/>
        <v>4.4843738178169863</v>
      </c>
      <c r="R69" s="11">
        <f t="shared" si="36"/>
        <v>5.0779513557394402</v>
      </c>
      <c r="S69" s="11">
        <f t="shared" si="36"/>
        <v>6.0572611516041226</v>
      </c>
      <c r="T69" s="11">
        <f t="shared" si="36"/>
        <v>6.6982910887521872</v>
      </c>
      <c r="U69" s="11">
        <f t="shared" si="36"/>
        <v>6.4710313738382679</v>
      </c>
      <c r="V69" s="11">
        <f t="shared" si="36"/>
        <v>5.3476788077707456</v>
      </c>
    </row>
    <row r="70" spans="8:25" x14ac:dyDescent="0.25">
      <c r="H70" s="30" t="s">
        <v>115</v>
      </c>
      <c r="I70" s="34">
        <v>0.10766199999999999</v>
      </c>
      <c r="K70" s="11">
        <f t="shared" ref="K70:V70" si="37">SUM(K59:K65)*$I70</f>
        <v>2.8949489906985306</v>
      </c>
      <c r="L70" s="11">
        <f t="shared" si="37"/>
        <v>3.1753599090725668</v>
      </c>
      <c r="M70" s="11">
        <f t="shared" si="37"/>
        <v>3.6967841721255867</v>
      </c>
      <c r="N70" s="11">
        <f t="shared" si="37"/>
        <v>4.258671380591891</v>
      </c>
      <c r="O70" s="11">
        <f t="shared" si="37"/>
        <v>3.622705485753011</v>
      </c>
      <c r="P70" s="11">
        <f t="shared" si="37"/>
        <v>3.2420552941177401</v>
      </c>
      <c r="Q70" s="11">
        <f t="shared" si="37"/>
        <v>2.8599325528321846</v>
      </c>
      <c r="R70" s="11">
        <f t="shared" si="37"/>
        <v>3.2384896919782693</v>
      </c>
      <c r="S70" s="11">
        <f t="shared" si="37"/>
        <v>3.8630495699645944</v>
      </c>
      <c r="T70" s="11">
        <f t="shared" si="37"/>
        <v>4.2718697216891846</v>
      </c>
      <c r="U70" s="11">
        <f t="shared" si="37"/>
        <v>4.1269336652776172</v>
      </c>
      <c r="V70" s="11">
        <f t="shared" si="37"/>
        <v>3.4105097669755708</v>
      </c>
    </row>
    <row r="71" spans="8:25" x14ac:dyDescent="0.25">
      <c r="H71" s="30" t="s">
        <v>116</v>
      </c>
      <c r="I71" s="31">
        <v>2.3567999999999999E-2</v>
      </c>
      <c r="K71" s="11">
        <f t="shared" ref="K71:V71" si="38">SUM(K59:K70)*$I71</f>
        <v>1.0205767976538904</v>
      </c>
      <c r="L71" s="11">
        <f t="shared" si="38"/>
        <v>1.1308608372458515</v>
      </c>
      <c r="M71" s="11">
        <f t="shared" si="38"/>
        <v>1.3359340719265482</v>
      </c>
      <c r="N71" s="11">
        <f t="shared" si="38"/>
        <v>1.556921155824819</v>
      </c>
      <c r="O71" s="11">
        <f t="shared" si="38"/>
        <v>1.3067993405537268</v>
      </c>
      <c r="P71" s="11">
        <f t="shared" si="38"/>
        <v>1.1570917576664026</v>
      </c>
      <c r="Q71" s="11">
        <f t="shared" si="38"/>
        <v>1.006805029270498</v>
      </c>
      <c r="R71" s="11">
        <f t="shared" si="38"/>
        <v>1.155689426367041</v>
      </c>
      <c r="S71" s="11">
        <f t="shared" si="38"/>
        <v>1.4321139163187402</v>
      </c>
      <c r="T71" s="11">
        <f t="shared" si="38"/>
        <v>1.5974178363059075</v>
      </c>
      <c r="U71" s="11">
        <f t="shared" si="38"/>
        <v>1.5388138311675958</v>
      </c>
      <c r="V71" s="11">
        <f t="shared" si="38"/>
        <v>1.249132223589706</v>
      </c>
    </row>
    <row r="72" spans="8:25" x14ac:dyDescent="0.25">
      <c r="K72" s="11">
        <f>SUM(K59:K71)</f>
        <v>44.324072964231043</v>
      </c>
      <c r="L72" s="11">
        <f>SUM(L59:L71)</f>
        <v>49.113754474629232</v>
      </c>
      <c r="M72" s="41">
        <f>SUM(M59:M71)</f>
        <v>58.020169981912474</v>
      </c>
      <c r="N72" s="41">
        <f t="shared" ref="N72" si="39">SUM(N59:N71)</f>
        <v>67.617730550971601</v>
      </c>
      <c r="O72" s="11">
        <f t="shared" ref="O72" si="40">SUM(O59:O71)</f>
        <v>56.754836533091357</v>
      </c>
      <c r="P72" s="11">
        <f t="shared" ref="P72" si="41">SUM(P59:P71)</f>
        <v>50.252974211264608</v>
      </c>
      <c r="Q72" s="11">
        <f t="shared" ref="Q72" si="42">SUM(Q59:Q71)</f>
        <v>43.725959360163998</v>
      </c>
      <c r="R72" s="11">
        <f t="shared" ref="R72" si="43">SUM(R59:R71)</f>
        <v>50.192070382198722</v>
      </c>
      <c r="S72" s="11">
        <f t="shared" ref="S72" si="44">SUM(S59:S71)</f>
        <v>62.197300453943498</v>
      </c>
      <c r="T72" s="11">
        <f t="shared" ref="T72" si="45">SUM(T59:T71)</f>
        <v>69.376518154784677</v>
      </c>
      <c r="U72" s="11">
        <f t="shared" ref="U72" si="46">SUM(U59:U71)</f>
        <v>66.831321942487861</v>
      </c>
      <c r="V72" s="11">
        <f>SUM(V59:V71)</f>
        <v>54.250329762188912</v>
      </c>
      <c r="W72" s="11">
        <f>SUM(K72:V72)/12</f>
        <v>56.054753230989</v>
      </c>
      <c r="X72" s="3">
        <f>W72/W20-1</f>
        <v>3.7181739871645636E-2</v>
      </c>
      <c r="Y72" s="11">
        <f>W72-W20</f>
        <v>2.0094966707202602</v>
      </c>
    </row>
  </sheetData>
  <mergeCells count="8">
    <mergeCell ref="H58:I58"/>
    <mergeCell ref="H66:H67"/>
    <mergeCell ref="H6:I6"/>
    <mergeCell ref="H14:H15"/>
    <mergeCell ref="H23:I23"/>
    <mergeCell ref="H31:H32"/>
    <mergeCell ref="H40:I40"/>
    <mergeCell ref="H48:H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Bill Impacts 2500</vt:lpstr>
      <vt:lpstr>Bill Impacts 2000</vt:lpstr>
      <vt:lpstr>Bill Impacts 1500</vt:lpstr>
      <vt:lpstr>Bill Impacts 1200</vt:lpstr>
      <vt:lpstr>Bill Impacts 800</vt:lpstr>
      <vt:lpstr>Bill Impacts 100</vt:lpstr>
      <vt:lpstr>Bill Impacts 200</vt:lpstr>
      <vt:lpstr>Bill Impacts 300</vt:lpstr>
      <vt:lpstr>Bill Impacts 400</vt:lpstr>
      <vt:lpstr>EE Effects (Nom)</vt:lpstr>
      <vt:lpstr>EE Effects (Eff)</vt:lpstr>
      <vt:lpstr>Customer Cost</vt:lpstr>
      <vt:lpstr>Coops</vt:lpstr>
      <vt:lpstr>Bill Impacts High</vt:lpstr>
      <vt:lpstr>Bill Impacts Avg</vt:lpstr>
      <vt:lpstr>Bill Impacts Low</vt:lpstr>
      <vt:lpstr>Bill Impacts 500</vt:lpstr>
      <vt:lpstr>Bill Impacts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Barnes </dc:creator>
  <cp:lastModifiedBy>Despenard</cp:lastModifiedBy>
  <dcterms:created xsi:type="dcterms:W3CDTF">2019-09-10T16:29:35Z</dcterms:created>
  <dcterms:modified xsi:type="dcterms:W3CDTF">2020-11-02T00:10:33Z</dcterms:modified>
</cp:coreProperties>
</file>