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ky power 2020 174\requests for information to kyseia attachments\"/>
    </mc:Choice>
  </mc:AlternateContent>
  <xr:revisionPtr revIDLastSave="0" documentId="8_{FAF1151A-34DD-469C-A579-864F778E8F6E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Consumption Impacts" sheetId="1" r:id="rId1"/>
    <sheet name="Rider Adjustments" sheetId="2" r:id="rId2"/>
  </sheets>
  <calcPr calcId="191029" iterate="1" iterateCount="1000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C20" i="1"/>
  <c r="B5" i="1"/>
  <c r="B6" i="1"/>
  <c r="B7" i="1"/>
  <c r="B4" i="1"/>
  <c r="D20" i="1"/>
  <c r="C26" i="1"/>
  <c r="D26" i="1"/>
  <c r="C27" i="1"/>
  <c r="D27" i="1"/>
  <c r="C28" i="1"/>
  <c r="D28" i="1"/>
  <c r="D29" i="1"/>
  <c r="C29" i="1"/>
  <c r="D30" i="1"/>
  <c r="G13" i="2"/>
  <c r="G28" i="1"/>
  <c r="G29" i="1"/>
  <c r="D31" i="1"/>
  <c r="E20" i="1"/>
  <c r="F20" i="1"/>
  <c r="H20" i="1"/>
  <c r="J20" i="1"/>
  <c r="B21" i="1"/>
  <c r="C21" i="1"/>
  <c r="D21" i="1"/>
  <c r="E21" i="1"/>
  <c r="F21" i="1"/>
  <c r="H21" i="1"/>
  <c r="C35" i="1"/>
  <c r="G15" i="1"/>
  <c r="G21" i="1"/>
  <c r="G20" i="1"/>
  <c r="I20" i="1"/>
  <c r="J21" i="1"/>
  <c r="I9" i="1"/>
  <c r="L21" i="1"/>
  <c r="L20" i="1"/>
  <c r="I21" i="1"/>
  <c r="K21" i="1"/>
  <c r="K20" i="1"/>
  <c r="I4" i="1"/>
  <c r="J4" i="1"/>
  <c r="I5" i="1"/>
  <c r="J5" i="1"/>
  <c r="I6" i="1"/>
  <c r="J6" i="1"/>
  <c r="I7" i="1"/>
  <c r="J7" i="1"/>
  <c r="I8" i="1"/>
  <c r="J8" i="1"/>
  <c r="J9" i="1"/>
  <c r="I10" i="1"/>
  <c r="J10" i="1"/>
  <c r="H9" i="2"/>
  <c r="C16" i="2"/>
  <c r="D9" i="2"/>
  <c r="B12" i="1"/>
  <c r="C36" i="1"/>
  <c r="B13" i="1"/>
  <c r="B9" i="1"/>
</calcChain>
</file>

<file path=xl/sharedStrings.xml><?xml version="1.0" encoding="utf-8"?>
<sst xmlns="http://schemas.openxmlformats.org/spreadsheetml/2006/main" count="112" uniqueCount="89">
  <si>
    <t>Retail Sales</t>
  </si>
  <si>
    <t>Winter 800</t>
  </si>
  <si>
    <t>Winter 800+</t>
  </si>
  <si>
    <t>kWh</t>
  </si>
  <si>
    <t>Avg. Monthly kWh</t>
  </si>
  <si>
    <t>Total Monthly Bills</t>
  </si>
  <si>
    <t>Summer</t>
  </si>
  <si>
    <t>Total</t>
  </si>
  <si>
    <t>Consultant Assumptions</t>
  </si>
  <si>
    <t>Mid Customer Charge</t>
  </si>
  <si>
    <t>High Customer Charge</t>
  </si>
  <si>
    <t>PY 1</t>
  </si>
  <si>
    <t>PY 2</t>
  </si>
  <si>
    <t>PY 3</t>
  </si>
  <si>
    <t>PY 4</t>
  </si>
  <si>
    <t>PY 5</t>
  </si>
  <si>
    <t>PY 6</t>
  </si>
  <si>
    <t>PY 7 (9 months)</t>
  </si>
  <si>
    <t>Cumulative</t>
  </si>
  <si>
    <t xml:space="preserve">Customer Charge </t>
  </si>
  <si>
    <t>Riders</t>
  </si>
  <si>
    <t>FRP</t>
  </si>
  <si>
    <t>SSCR</t>
  </si>
  <si>
    <t>SSCO</t>
  </si>
  <si>
    <t>MISO</t>
  </si>
  <si>
    <t>EECR</t>
  </si>
  <si>
    <t>Proposed Rate Pre Rider</t>
  </si>
  <si>
    <t>Proposed Rate Post Rider</t>
  </si>
  <si>
    <t>Fuel</t>
  </si>
  <si>
    <t>EAC</t>
  </si>
  <si>
    <t>% Adjustments</t>
  </si>
  <si>
    <t>TOTAL</t>
  </si>
  <si>
    <t>AMI Energy Rate</t>
  </si>
  <si>
    <t>AMI Revenue</t>
  </si>
  <si>
    <t>per year</t>
  </si>
  <si>
    <t>Value</t>
  </si>
  <si>
    <t>Unit</t>
  </si>
  <si>
    <t>$/month</t>
  </si>
  <si>
    <t>$</t>
  </si>
  <si>
    <t>$/kWh</t>
  </si>
  <si>
    <t>AMI Charge (Y1)</t>
  </si>
  <si>
    <t>Summer Energy</t>
  </si>
  <si>
    <t>Winter 800+ kWh</t>
  </si>
  <si>
    <t>Winter up to 800 kWh</t>
  </si>
  <si>
    <t>Value not used</t>
  </si>
  <si>
    <t>Adjusted</t>
  </si>
  <si>
    <t xml:space="preserve">Nominal </t>
  </si>
  <si>
    <t>Current Riders</t>
  </si>
  <si>
    <t>Proposed Riders</t>
  </si>
  <si>
    <t>Program Year</t>
  </si>
  <si>
    <t>EE Goals (ENO)</t>
  </si>
  <si>
    <t>EE Goals (Algiers)</t>
  </si>
  <si>
    <t>TOTAL Targets</t>
  </si>
  <si>
    <t>Fixed Increase Pre-Rider</t>
  </si>
  <si>
    <t>Fixed Inc. Pre-Rider + AMI</t>
  </si>
  <si>
    <t>Rate ($/Month)</t>
  </si>
  <si>
    <t>Source:</t>
  </si>
  <si>
    <t xml:space="preserve">Owens Direct, Table 1 </t>
  </si>
  <si>
    <t>Equiv. Vol. Rate</t>
  </si>
  <si>
    <t>Ann. Revenue ($)</t>
  </si>
  <si>
    <t>Blended Rate Derivation</t>
  </si>
  <si>
    <t>Rate Category</t>
  </si>
  <si>
    <t>Prop. Rates</t>
  </si>
  <si>
    <t>Category kWh</t>
  </si>
  <si>
    <t>MWh</t>
  </si>
  <si>
    <t>kWh/month</t>
  </si>
  <si>
    <t>Pre-Rider Fixed Rate</t>
  </si>
  <si>
    <t>Post Rider Fixed Rate</t>
  </si>
  <si>
    <t>Base Rev.</t>
  </si>
  <si>
    <t>Blended Base</t>
  </si>
  <si>
    <t>Total Adjustments</t>
  </si>
  <si>
    <t>%</t>
  </si>
  <si>
    <t>TOTAL BLENDED</t>
  </si>
  <si>
    <t>Use Increase</t>
  </si>
  <si>
    <t>Alternative Total Blended Rate</t>
  </si>
  <si>
    <t>% Rate Increase</t>
  </si>
  <si>
    <t>Elasticity Assumptions</t>
  </si>
  <si>
    <t>Consultant</t>
  </si>
  <si>
    <t>Median EPRI</t>
  </si>
  <si>
    <t>Consumption Impact  Consultant</t>
  </si>
  <si>
    <t>Consumption Impact EPRI</t>
  </si>
  <si>
    <t>New Orleans Energy Savings Study</t>
  </si>
  <si>
    <t>Fixed Charge</t>
  </si>
  <si>
    <t>Increase Amount</t>
  </si>
  <si>
    <t>Consultant Use Increase</t>
  </si>
  <si>
    <t>EPRI Use Increase</t>
  </si>
  <si>
    <t>EPRI Scale to PY 6</t>
  </si>
  <si>
    <t>Based on scaling consultant results in Row 35</t>
  </si>
  <si>
    <t>Consultant Scale to PY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</si>
</sst>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10" fontId="0" fillId="0" borderId="0" xfId="0" applyNumberFormat="1"/>
    <xf numFmtId="3" fontId="0" fillId="0" borderId="0" xfId="0" applyNumberFormat="1"/>
    <xf numFmtId="2" fontId="0" fillId="0" borderId="0" xfId="0" applyNumberFormat="1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0" xfId="0" applyFont="1"/>
    <xf numFmtId="0" fontId="0" fillId="0" borderId="0" xfId="0" applyAlignment="1">
      <alignment wrapText="1"/>
    </xf>
    <xf numFmtId="165" fontId="0" fillId="0" borderId="0" xfId="0" applyNumberFormat="1"/>
    <xf numFmtId="2" fontId="0" fillId="2" borderId="0" xfId="0" applyNumberForma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8"/>
  <sheetViews>
    <sheetView tabSelected="1" workbookViewId="0">
      <selection activeCell="K26" sqref="K26"/>
    </sheetView>
  </sheetViews>
  <sheetFormatPr defaultColWidth="11" defaultRowHeight="15.75" x14ac:dyDescent="0.25"/>
  <cols>
    <col min="1" max="1" width="21.875" customWidth="1"/>
    <col min="2" max="2" width="15.625" customWidth="1"/>
    <col min="3" max="3" width="14.875" customWidth="1"/>
    <col min="4" max="4" width="14.5" customWidth="1"/>
    <col min="5" max="5" width="17.5" customWidth="1"/>
    <col min="6" max="6" width="16" customWidth="1"/>
    <col min="7" max="7" width="16.375" customWidth="1"/>
    <col min="8" max="8" width="16.5" customWidth="1"/>
    <col min="9" max="9" width="16.375" customWidth="1"/>
    <col min="10" max="10" width="16.125" customWidth="1"/>
    <col min="11" max="11" width="13.875" customWidth="1"/>
    <col min="12" max="12" width="13.125" customWidth="1"/>
    <col min="13" max="13" width="11.375" customWidth="1"/>
  </cols>
  <sheetData>
    <row r="2" spans="1:10" x14ac:dyDescent="0.25">
      <c r="B2" s="6" t="s">
        <v>35</v>
      </c>
      <c r="C2" s="6" t="s">
        <v>36</v>
      </c>
    </row>
    <row r="3" spans="1:10" x14ac:dyDescent="0.25">
      <c r="A3" t="s">
        <v>40</v>
      </c>
      <c r="B3" s="4">
        <v>2.95</v>
      </c>
      <c r="C3" s="7" t="s">
        <v>37</v>
      </c>
      <c r="F3" t="s">
        <v>49</v>
      </c>
      <c r="G3" t="s">
        <v>50</v>
      </c>
      <c r="H3" t="s">
        <v>51</v>
      </c>
      <c r="I3" t="s">
        <v>52</v>
      </c>
      <c r="J3" t="s">
        <v>18</v>
      </c>
    </row>
    <row r="4" spans="1:10" x14ac:dyDescent="0.25">
      <c r="A4" t="s">
        <v>0</v>
      </c>
      <c r="B4" s="2">
        <f>SUM(B5:B7)*1000</f>
        <v>2224462000</v>
      </c>
      <c r="C4" s="7" t="s">
        <v>3</v>
      </c>
      <c r="F4" t="s">
        <v>11</v>
      </c>
      <c r="G4" s="2">
        <v>14238801</v>
      </c>
      <c r="H4" s="2"/>
      <c r="I4" s="2">
        <f t="shared" ref="I4:I10" si="0">G4+H4</f>
        <v>14238801</v>
      </c>
      <c r="J4" s="2">
        <f>I4</f>
        <v>14238801</v>
      </c>
    </row>
    <row r="5" spans="1:10" x14ac:dyDescent="0.25">
      <c r="A5" t="s">
        <v>41</v>
      </c>
      <c r="B5" s="2">
        <f>1291489+3477</f>
        <v>1294966</v>
      </c>
      <c r="C5" s="7" t="s">
        <v>64</v>
      </c>
      <c r="F5" t="s">
        <v>12</v>
      </c>
      <c r="G5" s="2">
        <v>16581090</v>
      </c>
      <c r="H5" s="2"/>
      <c r="I5" s="2">
        <f t="shared" si="0"/>
        <v>16581090</v>
      </c>
      <c r="J5" s="2">
        <f>J4+I5</f>
        <v>30819891</v>
      </c>
    </row>
    <row r="6" spans="1:10" x14ac:dyDescent="0.25">
      <c r="A6" t="s">
        <v>43</v>
      </c>
      <c r="B6" s="2">
        <f>627897+1690</f>
        <v>629587</v>
      </c>
      <c r="C6" s="7" t="s">
        <v>64</v>
      </c>
      <c r="F6" t="s">
        <v>13</v>
      </c>
      <c r="G6" s="2">
        <v>16581090</v>
      </c>
      <c r="H6" s="2">
        <v>3113278</v>
      </c>
      <c r="I6" s="2">
        <f t="shared" si="0"/>
        <v>19694368</v>
      </c>
      <c r="J6" s="2">
        <f t="shared" ref="J6:J9" si="1">J5+I6</f>
        <v>50514259</v>
      </c>
    </row>
    <row r="7" spans="1:10" x14ac:dyDescent="0.25">
      <c r="A7" t="s">
        <v>42</v>
      </c>
      <c r="B7" s="2">
        <f>299104+805</f>
        <v>299909</v>
      </c>
      <c r="C7" s="7" t="s">
        <v>64</v>
      </c>
      <c r="F7" t="s">
        <v>14</v>
      </c>
      <c r="G7" s="2">
        <v>17138155</v>
      </c>
      <c r="H7" s="2">
        <v>2070333</v>
      </c>
      <c r="I7" s="2">
        <f t="shared" si="0"/>
        <v>19208488</v>
      </c>
      <c r="J7" s="2">
        <f t="shared" si="1"/>
        <v>69722747</v>
      </c>
    </row>
    <row r="8" spans="1:10" x14ac:dyDescent="0.25">
      <c r="A8" t="s">
        <v>5</v>
      </c>
      <c r="B8" s="2">
        <v>2178000</v>
      </c>
      <c r="C8" s="7" t="s">
        <v>34</v>
      </c>
      <c r="F8" t="s">
        <v>15</v>
      </c>
      <c r="G8" s="2">
        <v>16457612</v>
      </c>
      <c r="H8" s="2">
        <v>1380971</v>
      </c>
      <c r="I8" s="2">
        <f t="shared" si="0"/>
        <v>17838583</v>
      </c>
      <c r="J8" s="2">
        <f t="shared" si="1"/>
        <v>87561330</v>
      </c>
    </row>
    <row r="9" spans="1:10" x14ac:dyDescent="0.25">
      <c r="A9" t="s">
        <v>4</v>
      </c>
      <c r="B9" s="2">
        <f>B4/B8</f>
        <v>1021.3324150596878</v>
      </c>
      <c r="C9" s="7" t="s">
        <v>65</v>
      </c>
      <c r="F9" t="s">
        <v>16</v>
      </c>
      <c r="G9" s="2">
        <v>18455541</v>
      </c>
      <c r="H9" s="2">
        <v>1398536</v>
      </c>
      <c r="I9" s="2">
        <f t="shared" si="0"/>
        <v>19854077</v>
      </c>
      <c r="J9" s="2">
        <f t="shared" si="1"/>
        <v>107415407</v>
      </c>
    </row>
    <row r="10" spans="1:10" x14ac:dyDescent="0.25">
      <c r="C10" s="7"/>
      <c r="F10" t="s">
        <v>17</v>
      </c>
      <c r="G10" s="2">
        <v>18572876</v>
      </c>
      <c r="H10" s="2">
        <v>1375801</v>
      </c>
      <c r="I10" s="2">
        <f t="shared" si="0"/>
        <v>19948677</v>
      </c>
      <c r="J10" s="2">
        <f>J9+I10</f>
        <v>127364084</v>
      </c>
    </row>
    <row r="11" spans="1:10" x14ac:dyDescent="0.25">
      <c r="B11" s="6" t="s">
        <v>35</v>
      </c>
      <c r="C11" s="6" t="s">
        <v>36</v>
      </c>
      <c r="F11" s="11" t="s">
        <v>56</v>
      </c>
      <c r="G11" s="11" t="s">
        <v>57</v>
      </c>
    </row>
    <row r="12" spans="1:10" x14ac:dyDescent="0.25">
      <c r="A12" t="s">
        <v>33</v>
      </c>
      <c r="B12" s="2">
        <f>B3*B8</f>
        <v>6425100</v>
      </c>
      <c r="C12" s="7" t="s">
        <v>38</v>
      </c>
    </row>
    <row r="13" spans="1:10" x14ac:dyDescent="0.25">
      <c r="A13" t="s">
        <v>32</v>
      </c>
      <c r="B13" s="10">
        <f>B12/B4</f>
        <v>2.888383797970026E-3</v>
      </c>
      <c r="C13" s="7" t="s">
        <v>39</v>
      </c>
    </row>
    <row r="14" spans="1:10" x14ac:dyDescent="0.25">
      <c r="A14" t="s">
        <v>66</v>
      </c>
      <c r="B14" s="3">
        <v>8.07</v>
      </c>
      <c r="C14" s="7" t="s">
        <v>37</v>
      </c>
      <c r="F14" s="15" t="s">
        <v>76</v>
      </c>
      <c r="G14" s="15"/>
    </row>
    <row r="15" spans="1:10" x14ac:dyDescent="0.25">
      <c r="A15" t="s">
        <v>67</v>
      </c>
      <c r="B15" s="3">
        <v>8.1999999999999993</v>
      </c>
      <c r="C15" s="7" t="s">
        <v>37</v>
      </c>
      <c r="D15" s="11" t="s">
        <v>44</v>
      </c>
      <c r="F15" t="s">
        <v>77</v>
      </c>
      <c r="G15" s="13">
        <f>-D35/(C35/B20*F20)</f>
        <v>-0.20393121291804187</v>
      </c>
      <c r="H15" t="s">
        <v>87</v>
      </c>
    </row>
    <row r="16" spans="1:10" x14ac:dyDescent="0.25">
      <c r="A16" t="s">
        <v>26</v>
      </c>
      <c r="B16" s="3">
        <v>15.53</v>
      </c>
      <c r="C16" s="7" t="s">
        <v>37</v>
      </c>
      <c r="F16" t="s">
        <v>78</v>
      </c>
      <c r="G16">
        <v>-0.3</v>
      </c>
    </row>
    <row r="17" spans="1:12" x14ac:dyDescent="0.25">
      <c r="A17" t="s">
        <v>27</v>
      </c>
      <c r="B17" s="3">
        <v>16.14</v>
      </c>
      <c r="C17" s="7" t="s">
        <v>37</v>
      </c>
      <c r="D17" s="11" t="s">
        <v>44</v>
      </c>
    </row>
    <row r="18" spans="1:12" x14ac:dyDescent="0.25">
      <c r="B18" s="3"/>
    </row>
    <row r="19" spans="1:12" ht="29.1" customHeight="1" x14ac:dyDescent="0.25">
      <c r="B19" s="12" t="s">
        <v>55</v>
      </c>
      <c r="C19" s="12" t="s">
        <v>59</v>
      </c>
      <c r="D19" s="12" t="s">
        <v>58</v>
      </c>
      <c r="E19" s="12" t="s">
        <v>74</v>
      </c>
      <c r="F19" s="12" t="s">
        <v>75</v>
      </c>
      <c r="G19" s="12" t="s">
        <v>79</v>
      </c>
      <c r="H19" s="12" t="s">
        <v>80</v>
      </c>
      <c r="I19" s="12" t="s">
        <v>84</v>
      </c>
      <c r="J19" s="12" t="s">
        <v>85</v>
      </c>
      <c r="K19" s="12" t="s">
        <v>88</v>
      </c>
      <c r="L19" s="12" t="s">
        <v>86</v>
      </c>
    </row>
    <row r="20" spans="1:12" x14ac:dyDescent="0.25">
      <c r="A20" t="s">
        <v>53</v>
      </c>
      <c r="B20">
        <f>B16-B14</f>
        <v>7.4599999999999991</v>
      </c>
      <c r="C20" s="2">
        <f>B20*B8</f>
        <v>16247879.999999998</v>
      </c>
      <c r="D20" s="10">
        <f>C20/B4</f>
        <v>7.3041841128326755E-3</v>
      </c>
      <c r="E20" s="10">
        <f>D20+D$31</f>
        <v>0.10120536282458331</v>
      </c>
      <c r="F20" s="1">
        <f>E20/D$31-1</f>
        <v>7.7785861828789216E-2</v>
      </c>
      <c r="G20" s="1">
        <f>-(G$15*F20)</f>
        <v>1.58629651506202E-2</v>
      </c>
      <c r="H20" s="1">
        <f>-(F20*G16)</f>
        <v>2.3335758548636763E-2</v>
      </c>
      <c r="I20" s="2">
        <f>B$4*G20</f>
        <v>35286563.184878908</v>
      </c>
      <c r="J20" s="2">
        <f>H20*$B$4</f>
        <v>51909508.13261763</v>
      </c>
      <c r="K20" s="3">
        <f>I20/$I$9</f>
        <v>1.77729557434873</v>
      </c>
      <c r="L20" s="3">
        <f>J20/$I$9</f>
        <v>2.61455156704679</v>
      </c>
    </row>
    <row r="21" spans="1:12" x14ac:dyDescent="0.25">
      <c r="A21" t="s">
        <v>54</v>
      </c>
      <c r="B21">
        <f>B20+B3</f>
        <v>10.41</v>
      </c>
      <c r="C21" s="2">
        <f>B21*B8</f>
        <v>22672980</v>
      </c>
      <c r="D21" s="10">
        <f>C21/B4</f>
        <v>1.0192567910802702E-2</v>
      </c>
      <c r="E21" s="10">
        <f>D21+D$31</f>
        <v>0.10409374662255333</v>
      </c>
      <c r="F21" s="1">
        <f>E21/D$31-1</f>
        <v>0.1085456865466079</v>
      </c>
      <c r="G21" s="1">
        <f>-(G$15*F21)</f>
        <v>2.2135853514471327E-2</v>
      </c>
      <c r="H21" s="1">
        <f>-(F21*G16)</f>
        <v>3.2563705963982371E-2</v>
      </c>
      <c r="I21" s="2">
        <f>B$4*G21</f>
        <v>49240364.980507918</v>
      </c>
      <c r="J21" s="2">
        <f t="shared" ref="J21" si="2">H21*$B$4</f>
        <v>72436726.496052161</v>
      </c>
      <c r="K21" s="14">
        <f>I21/$I$9</f>
        <v>2.4801135293525816</v>
      </c>
      <c r="L21" s="14">
        <f>J21/$I$9</f>
        <v>3.6484560070988019</v>
      </c>
    </row>
    <row r="24" spans="1:12" x14ac:dyDescent="0.25">
      <c r="A24" s="5" t="s">
        <v>60</v>
      </c>
    </row>
    <row r="25" spans="1:12" x14ac:dyDescent="0.25">
      <c r="A25" s="5" t="s">
        <v>61</v>
      </c>
      <c r="B25" s="5" t="s">
        <v>62</v>
      </c>
      <c r="C25" s="5" t="s">
        <v>63</v>
      </c>
      <c r="D25" s="6" t="s">
        <v>68</v>
      </c>
      <c r="F25" s="5" t="s">
        <v>20</v>
      </c>
      <c r="G25" s="5" t="s">
        <v>35</v>
      </c>
      <c r="H25" s="5" t="s">
        <v>36</v>
      </c>
    </row>
    <row r="26" spans="1:12" x14ac:dyDescent="0.25">
      <c r="A26" t="s">
        <v>6</v>
      </c>
      <c r="B26">
        <v>7.3029999999999998E-2</v>
      </c>
      <c r="C26" s="2">
        <f>B5*1000</f>
        <v>1294966000</v>
      </c>
      <c r="D26" s="2">
        <f>B26*C26</f>
        <v>94571366.980000004</v>
      </c>
      <c r="F26" t="s">
        <v>28</v>
      </c>
      <c r="G26">
        <v>2.0111E-2</v>
      </c>
      <c r="H26" t="s">
        <v>39</v>
      </c>
    </row>
    <row r="27" spans="1:12" x14ac:dyDescent="0.25">
      <c r="A27" t="s">
        <v>1</v>
      </c>
      <c r="B27">
        <v>7.3029999999999998E-2</v>
      </c>
      <c r="C27" s="2">
        <f>B6*1000</f>
        <v>629587000</v>
      </c>
      <c r="D27" s="2">
        <f t="shared" ref="D27:D28" si="3">B27*C27</f>
        <v>45978738.609999999</v>
      </c>
      <c r="F27" t="s">
        <v>29</v>
      </c>
      <c r="G27">
        <v>1.0000000000000001E-5</v>
      </c>
      <c r="H27" t="s">
        <v>39</v>
      </c>
    </row>
    <row r="28" spans="1:12" x14ac:dyDescent="0.25">
      <c r="A28" t="s">
        <v>2</v>
      </c>
      <c r="B28">
        <v>5.8049999999999997E-2</v>
      </c>
      <c r="C28" s="2">
        <f>B7*1000</f>
        <v>299909000</v>
      </c>
      <c r="D28" s="2">
        <f t="shared" si="3"/>
        <v>17409717.449999999</v>
      </c>
      <c r="F28" t="s">
        <v>30</v>
      </c>
      <c r="G28" s="1">
        <f>'Rider Adjustments'!G13</f>
        <v>3.9005999999999999E-2</v>
      </c>
      <c r="H28" t="s">
        <v>71</v>
      </c>
    </row>
    <row r="29" spans="1:12" x14ac:dyDescent="0.25">
      <c r="B29" t="s">
        <v>7</v>
      </c>
      <c r="C29" s="2">
        <f>SUM(C26:C28)</f>
        <v>2224462000</v>
      </c>
      <c r="D29" s="2">
        <f>SUM(D26:D28)</f>
        <v>157959823.03999999</v>
      </c>
      <c r="F29" t="s">
        <v>70</v>
      </c>
      <c r="G29" s="10">
        <f>(G26+G27)+(G28*D30)</f>
        <v>2.2890829674545234E-2</v>
      </c>
      <c r="H29" t="s">
        <v>39</v>
      </c>
    </row>
    <row r="30" spans="1:12" x14ac:dyDescent="0.25">
      <c r="C30" t="s">
        <v>69</v>
      </c>
      <c r="D30" s="10">
        <f>D29/C29</f>
        <v>7.1010349037205392E-2</v>
      </c>
    </row>
    <row r="31" spans="1:12" x14ac:dyDescent="0.25">
      <c r="C31" s="5" t="s">
        <v>72</v>
      </c>
      <c r="D31" s="10">
        <f>D30+G29</f>
        <v>9.3901178711750632E-2</v>
      </c>
    </row>
    <row r="32" spans="1:12" x14ac:dyDescent="0.25">
      <c r="C32" s="5"/>
      <c r="D32" s="10"/>
    </row>
    <row r="34" spans="1:4" x14ac:dyDescent="0.25">
      <c r="A34" t="s">
        <v>8</v>
      </c>
      <c r="B34" t="s">
        <v>82</v>
      </c>
      <c r="C34" t="s">
        <v>83</v>
      </c>
      <c r="D34" t="s">
        <v>73</v>
      </c>
    </row>
    <row r="35" spans="1:4" x14ac:dyDescent="0.25">
      <c r="A35" t="s">
        <v>9</v>
      </c>
      <c r="B35">
        <v>25</v>
      </c>
      <c r="C35" s="3">
        <f>B35-B14</f>
        <v>16.93</v>
      </c>
      <c r="D35" s="1">
        <v>3.5999999999999997E-2</v>
      </c>
    </row>
    <row r="36" spans="1:4" x14ac:dyDescent="0.25">
      <c r="A36" t="s">
        <v>10</v>
      </c>
      <c r="B36">
        <v>50</v>
      </c>
      <c r="C36">
        <f>B36-B14</f>
        <v>41.93</v>
      </c>
      <c r="D36" s="1">
        <v>8.8999999999999996E-2</v>
      </c>
    </row>
    <row r="38" spans="1:4" x14ac:dyDescent="0.25">
      <c r="A38" s="11" t="s">
        <v>56</v>
      </c>
      <c r="B38" s="11" t="s">
        <v>81</v>
      </c>
      <c r="C38" s="11"/>
    </row>
  </sheetData>
  <mergeCells count="1">
    <mergeCell ref="F14:G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H16"/>
  <sheetViews>
    <sheetView workbookViewId="0">
      <selection activeCell="D15" sqref="D15"/>
    </sheetView>
  </sheetViews>
  <sheetFormatPr defaultColWidth="11" defaultRowHeight="15.75" x14ac:dyDescent="0.25"/>
  <cols>
    <col min="2" max="2" width="15.375" customWidth="1"/>
    <col min="6" max="6" width="15.375" customWidth="1"/>
  </cols>
  <sheetData>
    <row r="6" spans="2:8" x14ac:dyDescent="0.25">
      <c r="B6" s="7"/>
      <c r="C6" s="7"/>
      <c r="D6" s="7"/>
      <c r="E6" s="7"/>
      <c r="F6" s="7"/>
      <c r="G6" s="7"/>
      <c r="H6" s="7"/>
    </row>
    <row r="7" spans="2:8" x14ac:dyDescent="0.25">
      <c r="B7" s="7"/>
      <c r="C7" s="7"/>
      <c r="D7" s="7"/>
      <c r="E7" s="7"/>
      <c r="F7" s="7"/>
      <c r="G7" s="7"/>
      <c r="H7" s="7"/>
    </row>
    <row r="8" spans="2:8" x14ac:dyDescent="0.25">
      <c r="B8" s="16" t="s">
        <v>19</v>
      </c>
      <c r="C8" s="7" t="s">
        <v>46</v>
      </c>
      <c r="D8" s="7" t="s">
        <v>45</v>
      </c>
      <c r="E8" s="7"/>
      <c r="F8" s="16" t="s">
        <v>19</v>
      </c>
      <c r="G8" s="7" t="s">
        <v>46</v>
      </c>
      <c r="H8" s="7" t="s">
        <v>45</v>
      </c>
    </row>
    <row r="9" spans="2:8" x14ac:dyDescent="0.25">
      <c r="B9" s="16"/>
      <c r="C9" s="7">
        <v>8.07</v>
      </c>
      <c r="D9" s="8">
        <f>C9*(1+C16)</f>
        <v>8.2010164500000009</v>
      </c>
      <c r="E9" s="7"/>
      <c r="F9" s="16"/>
      <c r="G9" s="8">
        <v>15.53</v>
      </c>
      <c r="H9" s="8">
        <f>G9*(1+G13)</f>
        <v>16.135763180000001</v>
      </c>
    </row>
    <row r="10" spans="2:8" x14ac:dyDescent="0.25">
      <c r="B10" s="6" t="s">
        <v>47</v>
      </c>
      <c r="C10" s="6" t="s">
        <v>35</v>
      </c>
      <c r="D10" s="7"/>
      <c r="E10" s="7"/>
      <c r="F10" s="6" t="s">
        <v>48</v>
      </c>
      <c r="G10" s="6" t="s">
        <v>35</v>
      </c>
      <c r="H10" s="7"/>
    </row>
    <row r="11" spans="2:8" x14ac:dyDescent="0.25">
      <c r="B11" s="7" t="s">
        <v>21</v>
      </c>
      <c r="C11" s="9">
        <v>-0.105278</v>
      </c>
      <c r="D11" s="7"/>
      <c r="E11" s="7"/>
      <c r="F11" s="7" t="s">
        <v>24</v>
      </c>
      <c r="G11" s="9">
        <v>9.4029999999999999E-3</v>
      </c>
      <c r="H11" s="7"/>
    </row>
    <row r="12" spans="2:8" x14ac:dyDescent="0.25">
      <c r="B12" s="7" t="s">
        <v>22</v>
      </c>
      <c r="C12" s="9">
        <v>4.5704000000000002E-2</v>
      </c>
      <c r="D12" s="7"/>
      <c r="E12" s="7"/>
      <c r="F12" s="7" t="s">
        <v>25</v>
      </c>
      <c r="G12" s="9">
        <v>2.9603000000000001E-2</v>
      </c>
      <c r="H12" s="7"/>
    </row>
    <row r="13" spans="2:8" x14ac:dyDescent="0.25">
      <c r="B13" s="7" t="s">
        <v>23</v>
      </c>
      <c r="C13" s="9">
        <v>-3.7690000000000002E-3</v>
      </c>
      <c r="D13" s="7"/>
      <c r="E13" s="7"/>
      <c r="F13" s="7" t="s">
        <v>31</v>
      </c>
      <c r="G13" s="9">
        <f>SUM(G11:G12)</f>
        <v>3.9005999999999999E-2</v>
      </c>
      <c r="H13" s="7"/>
    </row>
    <row r="14" spans="2:8" x14ac:dyDescent="0.25">
      <c r="B14" s="7" t="s">
        <v>24</v>
      </c>
      <c r="C14" s="9">
        <v>4.811E-2</v>
      </c>
      <c r="D14" s="7"/>
      <c r="E14" s="7"/>
      <c r="F14" s="7"/>
      <c r="G14" s="7"/>
      <c r="H14" s="7"/>
    </row>
    <row r="15" spans="2:8" x14ac:dyDescent="0.25">
      <c r="B15" s="7" t="s">
        <v>25</v>
      </c>
      <c r="C15" s="9">
        <v>3.1468000000000003E-2</v>
      </c>
      <c r="D15" s="7"/>
      <c r="E15" s="7"/>
      <c r="F15" s="7"/>
      <c r="G15" s="7"/>
      <c r="H15" s="7"/>
    </row>
    <row r="16" spans="2:8" x14ac:dyDescent="0.25">
      <c r="B16" s="7" t="s">
        <v>31</v>
      </c>
      <c r="C16" s="9">
        <f>SUM(C11:C15)</f>
        <v>1.6235000000000006E-2</v>
      </c>
      <c r="D16" s="7"/>
    </row>
  </sheetData>
  <mergeCells count="2">
    <mergeCell ref="F8:F9"/>
    <mergeCell ref="B8:B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 Impacts</vt:lpstr>
      <vt:lpstr>Rider Adjustments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Barnes</dc:creator>
  <cp:lastModifiedBy>Despenard</cp:lastModifiedBy>
  <dcterms:created xsi:type="dcterms:W3CDTF">2018-12-14T20:34:43Z</dcterms:created>
  <dcterms:modified xsi:type="dcterms:W3CDTF">2020-11-02T15:54:16Z</dcterms:modified>
</cp:coreProperties>
</file>