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y power 2020 174\requests for information to kyseia attachments\"/>
    </mc:Choice>
  </mc:AlternateContent>
  <xr:revisionPtr revIDLastSave="0" documentId="8_{56E959A9-B32C-4C11-A0DC-BBCD268CC4C9}" xr6:coauthVersionLast="45" xr6:coauthVersionMax="45" xr10:uidLastSave="{00000000-0000-0000-0000-000000000000}"/>
  <bookViews>
    <workbookView xWindow="-120" yWindow="-120" windowWidth="20730" windowHeight="11160" activeTab="1" xr2:uid="{3697B4F4-A42E-F84B-852D-755578B0FEB9}"/>
  </bookViews>
  <sheets>
    <sheet name="Table 2" sheetId="1" r:id="rId1"/>
    <sheet name="Sheet3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20" i="3"/>
  <c r="C23" i="3"/>
  <c r="C22" i="3"/>
  <c r="C32" i="3"/>
  <c r="C15" i="3"/>
  <c r="C33" i="3"/>
  <c r="C27" i="3"/>
  <c r="C14" i="3"/>
  <c r="C28" i="3"/>
  <c r="D20" i="3"/>
  <c r="D23" i="3"/>
  <c r="D22" i="3"/>
  <c r="D32" i="3"/>
  <c r="D15" i="3"/>
  <c r="D17" i="3"/>
  <c r="D34" i="3"/>
  <c r="C17" i="3"/>
  <c r="C34" i="3"/>
  <c r="D27" i="3"/>
  <c r="D14" i="3"/>
  <c r="D16" i="3"/>
  <c r="D29" i="3"/>
  <c r="C16" i="3"/>
  <c r="C29" i="3"/>
  <c r="I7" i="1"/>
  <c r="I9" i="1"/>
  <c r="I8" i="1"/>
  <c r="J17" i="1"/>
  <c r="J8" i="1"/>
  <c r="K17" i="1"/>
  <c r="K8" i="1"/>
  <c r="L17" i="1"/>
  <c r="L8" i="1"/>
  <c r="M17" i="1"/>
  <c r="M8" i="1"/>
  <c r="N17" i="1"/>
  <c r="N8" i="1"/>
  <c r="O17" i="1"/>
  <c r="O8" i="1"/>
  <c r="P17" i="1"/>
  <c r="P8" i="1"/>
  <c r="Q17" i="1"/>
  <c r="Q8" i="1"/>
  <c r="R17" i="1"/>
  <c r="R8" i="1"/>
  <c r="S17" i="1"/>
  <c r="S8" i="1"/>
  <c r="T17" i="1"/>
  <c r="T8" i="1"/>
  <c r="U17" i="1"/>
  <c r="V17" i="1"/>
  <c r="J18" i="1"/>
  <c r="J7" i="1"/>
  <c r="J9" i="1"/>
  <c r="K18" i="1"/>
  <c r="K7" i="1"/>
  <c r="K9" i="1"/>
  <c r="L18" i="1"/>
  <c r="L7" i="1"/>
  <c r="L9" i="1"/>
  <c r="M18" i="1"/>
  <c r="M7" i="1"/>
  <c r="M9" i="1"/>
  <c r="N18" i="1"/>
  <c r="N7" i="1"/>
  <c r="N9" i="1"/>
  <c r="O18" i="1"/>
  <c r="O7" i="1"/>
  <c r="O9" i="1"/>
  <c r="P18" i="1"/>
  <c r="P7" i="1"/>
  <c r="P9" i="1"/>
  <c r="Q18" i="1"/>
  <c r="Q7" i="1"/>
  <c r="Q9" i="1"/>
  <c r="R18" i="1"/>
  <c r="R7" i="1"/>
  <c r="R9" i="1"/>
  <c r="S18" i="1"/>
  <c r="S7" i="1"/>
  <c r="S9" i="1"/>
  <c r="T18" i="1"/>
  <c r="T7" i="1"/>
  <c r="T9" i="1"/>
  <c r="U18" i="1"/>
  <c r="V18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V15" i="1"/>
  <c r="V19" i="1"/>
  <c r="H6" i="3"/>
  <c r="H5" i="3"/>
  <c r="H3" i="3"/>
  <c r="H4" i="3"/>
  <c r="I6" i="3"/>
  <c r="I5" i="3"/>
  <c r="I4" i="3"/>
  <c r="I3" i="3"/>
  <c r="K16" i="1"/>
  <c r="O16" i="1"/>
  <c r="S16" i="1"/>
  <c r="I11" i="3"/>
  <c r="J12" i="1"/>
  <c r="R12" i="1"/>
  <c r="N12" i="1"/>
  <c r="J16" i="1"/>
  <c r="R16" i="1"/>
  <c r="N16" i="1"/>
  <c r="U12" i="1"/>
  <c r="Q12" i="1"/>
  <c r="M12" i="1"/>
  <c r="U16" i="1"/>
  <c r="Q16" i="1"/>
  <c r="M16" i="1"/>
  <c r="T12" i="1"/>
  <c r="P12" i="1"/>
  <c r="L12" i="1"/>
  <c r="T16" i="1"/>
  <c r="P16" i="1"/>
  <c r="L16" i="1"/>
  <c r="S12" i="1"/>
  <c r="O12" i="1"/>
  <c r="K12" i="1"/>
  <c r="D21" i="3"/>
  <c r="C21" i="3"/>
  <c r="H16" i="3"/>
  <c r="V16" i="1"/>
  <c r="C6" i="1"/>
  <c r="C7" i="1"/>
  <c r="V12" i="1"/>
  <c r="C4" i="1"/>
  <c r="H12" i="3"/>
  <c r="D28" i="3"/>
  <c r="I12" i="3"/>
  <c r="H18" i="3"/>
  <c r="H17" i="3"/>
  <c r="H11" i="3"/>
  <c r="I18" i="3"/>
  <c r="D33" i="3"/>
  <c r="I17" i="3"/>
  <c r="I16" i="3"/>
  <c r="C5" i="1"/>
  <c r="D5" i="1"/>
  <c r="E5" i="1"/>
  <c r="I13" i="3"/>
  <c r="H13" i="3"/>
  <c r="D7" i="1"/>
  <c r="E7" i="1"/>
  <c r="E6" i="1"/>
  <c r="D6" i="1"/>
  <c r="D4" i="1"/>
  <c r="E4" i="1"/>
</calcChain>
</file>

<file path=xl/sharedStrings.xml><?xml version="1.0" encoding="utf-8"?>
<sst xmlns="http://schemas.openxmlformats.org/spreadsheetml/2006/main" count="99" uniqueCount="70">
  <si>
    <t>Monthly Charging (kWh)</t>
  </si>
  <si>
    <t>Annual Gross Savings ($)</t>
  </si>
  <si>
    <t>Net Savings ($2.00/month metering charge)</t>
  </si>
  <si>
    <t>Net Savings ($3.00/month metering charge)</t>
  </si>
  <si>
    <t>200  (100% off-peak)</t>
  </si>
  <si>
    <t>200 (90% off-peak)</t>
  </si>
  <si>
    <t>300 (100% off-peak)</t>
  </si>
  <si>
    <t>300 (90% off-peak)</t>
  </si>
  <si>
    <t>Demand (kW)</t>
  </si>
  <si>
    <t>SGS-TOU</t>
  </si>
  <si>
    <t>MGS</t>
  </si>
  <si>
    <t>On-Peak Energy</t>
  </si>
  <si>
    <t>Off-Peak Energy</t>
  </si>
  <si>
    <t>BFC ($/month)</t>
  </si>
  <si>
    <t>Energy/Session</t>
  </si>
  <si>
    <t>Annual Bill</t>
  </si>
  <si>
    <t>14 Off-Peak Sessions/Month &amp; 1 On-Peak (15 Total)</t>
  </si>
  <si>
    <t>Cost/Session</t>
  </si>
  <si>
    <t>Cost/kWh</t>
  </si>
  <si>
    <t>59 Off-Peak Sessions/Month &amp; 1 On-Peak (60 Total)</t>
  </si>
  <si>
    <t>On-Peak Sessions</t>
  </si>
  <si>
    <t>Demand Cost - Peak</t>
  </si>
  <si>
    <t>Demand Cost Off-Peak</t>
  </si>
  <si>
    <t>Energy Cost - Peak</t>
  </si>
  <si>
    <t>Energy Cost - Off Peak</t>
  </si>
  <si>
    <t>On-Peak Demand ($/kW)</t>
  </si>
  <si>
    <t>Off-Peak Demand ($/kW)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</si>
  <si>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</si>
  <si>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</si>
  <si>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</si>
  <si>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</si>
  <si>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</si>
  <si>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</si>
  <si>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</si>
  <si>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</si>
  <si>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</si>
  <si>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</si>
  <si>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</si>
  <si>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</si>
  <si>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Energy/Session (kWh)</t>
  </si>
  <si>
    <t>15 Total Sessions/Month, Composed of 14 Off-Peak Sessions and 1 On-Peak Session</t>
  </si>
  <si>
    <t>60 Total Sessions/Month, Composed of 59 Off-Peak Sessions and 1 On-Peak Session</t>
  </si>
  <si>
    <t xml:space="preserve">Cost/kWh </t>
  </si>
  <si>
    <t xml:space="preserve">Annual Bill </t>
  </si>
  <si>
    <t>Total</t>
  </si>
  <si>
    <t>Table 2</t>
  </si>
  <si>
    <t>RES Rate</t>
  </si>
  <si>
    <t>R-TOU Off-Peak Rate</t>
  </si>
  <si>
    <t>R-TOU Shoulder Rate</t>
  </si>
  <si>
    <t>R-TOU Peak Rate</t>
  </si>
  <si>
    <t>R-TOU (Peak/Shoulder Average)</t>
  </si>
  <si>
    <t>RES/R-TOU Off-Peak Spread</t>
  </si>
  <si>
    <t>Monthly Savings Amounts</t>
  </si>
  <si>
    <t>EV Load (kWh)</t>
  </si>
  <si>
    <t>All Off-Peak</t>
  </si>
  <si>
    <t>Off-Peak Split (90%)</t>
  </si>
  <si>
    <t>*5% Peak &amp; 5% Shoulder</t>
  </si>
  <si>
    <t>On-Peak Split (10%)*</t>
  </si>
  <si>
    <t>R-TOU P/S to RES Spread</t>
  </si>
  <si>
    <t xml:space="preserve">Table 4 </t>
  </si>
  <si>
    <t>Demand Charge ($/kW)*</t>
  </si>
  <si>
    <t>*Average of seasonal on-peak demand charge rates</t>
  </si>
  <si>
    <t>Cost Per Session</t>
  </si>
  <si>
    <t>Annual Costs</t>
  </si>
  <si>
    <t>Total Sessions (Low U)</t>
  </si>
  <si>
    <t>Off-Peak Sessions (Low U)</t>
  </si>
  <si>
    <t>Off-Peak Sessions (Mod U)</t>
  </si>
  <si>
    <t>Total Sessions (Mod U)</t>
  </si>
  <si>
    <t>Annual Energy (Low U)</t>
  </si>
  <si>
    <t>Annual Energy (Mod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</si>
</sst>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&quot;$&quot;#,##0.0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165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Border="1"/>
    <xf numFmtId="165" fontId="0" fillId="0" borderId="12" xfId="0" applyNumberFormat="1" applyBorder="1"/>
    <xf numFmtId="164" fontId="0" fillId="0" borderId="12" xfId="0" applyNumberFormat="1" applyBorder="1"/>
    <xf numFmtId="0" fontId="1" fillId="0" borderId="2" xfId="0" applyFont="1" applyBorder="1"/>
    <xf numFmtId="0" fontId="1" fillId="0" borderId="3" xfId="0" applyFont="1" applyBorder="1"/>
    <xf numFmtId="165" fontId="0" fillId="0" borderId="6" xfId="0" applyNumberFormat="1" applyBorder="1"/>
    <xf numFmtId="165" fontId="0" fillId="0" borderId="7" xfId="0" applyNumberFormat="1" applyBorder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/>
    <xf numFmtId="0" fontId="0" fillId="0" borderId="11" xfId="0" applyFont="1" applyBorder="1"/>
    <xf numFmtId="0" fontId="0" fillId="2" borderId="10" xfId="0" applyFont="1" applyFill="1" applyBorder="1"/>
    <xf numFmtId="0" fontId="1" fillId="0" borderId="9" xfId="0" applyFont="1" applyBorder="1"/>
    <xf numFmtId="0" fontId="0" fillId="2" borderId="12" xfId="0" applyFont="1" applyFill="1" applyBorder="1"/>
    <xf numFmtId="0" fontId="0" fillId="0" borderId="7" xfId="0" applyFont="1" applyBorder="1"/>
    <xf numFmtId="0" fontId="0" fillId="0" borderId="12" xfId="0" applyFont="1" applyBorder="1"/>
    <xf numFmtId="0" fontId="0" fillId="0" borderId="0" xfId="0" applyFont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9324-E4F1-3145-A9B1-05532A7FA2ED}">
  <dimension ref="B2:V19"/>
  <sheetViews>
    <sheetView workbookViewId="0">
      <selection activeCell="H21" sqref="H21"/>
    </sheetView>
  </sheetViews>
  <sheetFormatPr defaultColWidth="11" defaultRowHeight="15.75" x14ac:dyDescent="0.25"/>
  <cols>
    <col min="2" max="2" width="17.625" customWidth="1"/>
    <col min="3" max="5" width="15.875" customWidth="1"/>
    <col min="8" max="8" width="28.5" customWidth="1"/>
    <col min="9" max="22" width="12.875" customWidth="1"/>
  </cols>
  <sheetData>
    <row r="2" spans="2:22" x14ac:dyDescent="0.25">
      <c r="B2" s="2" t="s">
        <v>45</v>
      </c>
      <c r="H2" s="3"/>
      <c r="I2" s="35" t="s">
        <v>27</v>
      </c>
      <c r="J2" s="35" t="s">
        <v>28</v>
      </c>
      <c r="K2" s="35" t="s">
        <v>29</v>
      </c>
      <c r="L2" s="35" t="s">
        <v>30</v>
      </c>
      <c r="M2" s="35" t="s">
        <v>31</v>
      </c>
      <c r="N2" s="35" t="s">
        <v>32</v>
      </c>
      <c r="O2" s="35" t="s">
        <v>33</v>
      </c>
      <c r="P2" s="35" t="s">
        <v>34</v>
      </c>
      <c r="Q2" s="35" t="s">
        <v>35</v>
      </c>
      <c r="R2" s="35" t="s">
        <v>36</v>
      </c>
      <c r="S2" s="35" t="s">
        <v>37</v>
      </c>
      <c r="T2" s="35" t="s">
        <v>38</v>
      </c>
      <c r="U2" s="3"/>
    </row>
    <row r="3" spans="2:22" s="3" customFormat="1" ht="47.25" x14ac:dyDescent="0.25">
      <c r="B3" s="4" t="s">
        <v>0</v>
      </c>
      <c r="C3" s="4" t="s">
        <v>1</v>
      </c>
      <c r="D3" s="4" t="s">
        <v>2</v>
      </c>
      <c r="E3" s="4" t="s">
        <v>3</v>
      </c>
      <c r="H3" s="2" t="s">
        <v>46</v>
      </c>
      <c r="I3">
        <v>0.1203</v>
      </c>
      <c r="J3">
        <v>0.1203</v>
      </c>
      <c r="K3">
        <v>0.1203</v>
      </c>
      <c r="L3">
        <v>0.1203</v>
      </c>
      <c r="M3">
        <v>0.1203</v>
      </c>
      <c r="N3">
        <v>0.1203</v>
      </c>
      <c r="O3">
        <v>0.12631999999999999</v>
      </c>
      <c r="P3">
        <v>0.12631999999999999</v>
      </c>
      <c r="Q3">
        <v>0.12631999999999999</v>
      </c>
      <c r="R3">
        <v>0.12631999999999999</v>
      </c>
      <c r="S3">
        <v>0.1203</v>
      </c>
      <c r="T3">
        <v>0.1203</v>
      </c>
      <c r="U3"/>
    </row>
    <row r="4" spans="2:22" x14ac:dyDescent="0.25">
      <c r="B4" s="5" t="s">
        <v>4</v>
      </c>
      <c r="C4" s="6">
        <f>V12</f>
        <v>92.65600000000002</v>
      </c>
      <c r="D4" s="6">
        <f>C4-24</f>
        <v>68.65600000000002</v>
      </c>
      <c r="E4" s="6">
        <f>C4-36</f>
        <v>56.65600000000002</v>
      </c>
      <c r="H4" s="2" t="s">
        <v>47</v>
      </c>
      <c r="I4">
        <v>8.3699999999999997E-2</v>
      </c>
      <c r="J4">
        <v>8.3699999999999997E-2</v>
      </c>
      <c r="K4">
        <v>8.3699999999999997E-2</v>
      </c>
      <c r="L4">
        <v>8.3699999999999997E-2</v>
      </c>
      <c r="M4">
        <v>8.3699999999999997E-2</v>
      </c>
      <c r="N4">
        <v>8.3699999999999997E-2</v>
      </c>
      <c r="O4">
        <v>8.3699999999999997E-2</v>
      </c>
      <c r="P4">
        <v>8.3699999999999997E-2</v>
      </c>
      <c r="Q4">
        <v>8.3699999999999997E-2</v>
      </c>
      <c r="R4">
        <v>8.3699999999999997E-2</v>
      </c>
      <c r="S4">
        <v>8.3699999999999997E-2</v>
      </c>
      <c r="T4">
        <v>8.3699999999999997E-2</v>
      </c>
    </row>
    <row r="5" spans="2:22" x14ac:dyDescent="0.25">
      <c r="B5" s="5" t="s">
        <v>5</v>
      </c>
      <c r="C5" s="6">
        <f>V15</f>
        <v>61.477200000000003</v>
      </c>
      <c r="D5" s="6">
        <f>C5-24</f>
        <v>37.477200000000003</v>
      </c>
      <c r="E5" s="6">
        <f>C5-36</f>
        <v>25.477200000000003</v>
      </c>
      <c r="H5" s="2" t="s">
        <v>48</v>
      </c>
      <c r="I5">
        <v>0.14282</v>
      </c>
      <c r="J5">
        <v>0.14282</v>
      </c>
      <c r="K5">
        <v>0.14282</v>
      </c>
      <c r="L5">
        <v>0.14282</v>
      </c>
      <c r="M5">
        <v>0.14282</v>
      </c>
      <c r="N5">
        <v>0.14648</v>
      </c>
      <c r="O5">
        <v>0.14648</v>
      </c>
      <c r="P5">
        <v>0.14648</v>
      </c>
      <c r="Q5">
        <v>0.14648</v>
      </c>
      <c r="R5">
        <v>0.14282</v>
      </c>
      <c r="S5">
        <v>0.14282</v>
      </c>
      <c r="T5">
        <v>0.14282</v>
      </c>
    </row>
    <row r="6" spans="2:22" x14ac:dyDescent="0.25">
      <c r="B6" s="5" t="s">
        <v>6</v>
      </c>
      <c r="C6" s="6">
        <f>V16</f>
        <v>138.98400000000001</v>
      </c>
      <c r="D6" s="6">
        <f>C6-24</f>
        <v>114.98400000000001</v>
      </c>
      <c r="E6" s="6">
        <f>C6-36</f>
        <v>102.98400000000001</v>
      </c>
      <c r="H6" s="2" t="s">
        <v>49</v>
      </c>
      <c r="I6">
        <v>0.27829999999999999</v>
      </c>
      <c r="J6">
        <v>0.27829999999999999</v>
      </c>
      <c r="K6">
        <v>0.27829999999999999</v>
      </c>
      <c r="L6">
        <v>0.27829999999999999</v>
      </c>
      <c r="M6">
        <v>0.27829999999999999</v>
      </c>
      <c r="N6">
        <v>0.29294999999999999</v>
      </c>
      <c r="O6">
        <v>0.29294999999999999</v>
      </c>
      <c r="P6">
        <v>0.29294999999999999</v>
      </c>
      <c r="Q6">
        <v>0.29294999999999999</v>
      </c>
      <c r="R6">
        <v>0.27829999999999999</v>
      </c>
      <c r="S6">
        <v>0.27829999999999999</v>
      </c>
      <c r="T6">
        <v>0.27829999999999999</v>
      </c>
    </row>
    <row r="7" spans="2:22" x14ac:dyDescent="0.25">
      <c r="B7" s="5" t="s">
        <v>7</v>
      </c>
      <c r="C7" s="6">
        <f>V19</f>
        <v>92.215800000000002</v>
      </c>
      <c r="D7" s="6">
        <f>C7-24</f>
        <v>68.215800000000002</v>
      </c>
      <c r="E7" s="6">
        <f>C7-36</f>
        <v>56.215800000000002</v>
      </c>
      <c r="H7" s="2" t="s">
        <v>50</v>
      </c>
      <c r="I7">
        <f>AVERAGE(I5:I6)</f>
        <v>0.21056</v>
      </c>
      <c r="J7">
        <f t="shared" ref="J7:T7" si="0">AVERAGE(J5:J6)</f>
        <v>0.21056</v>
      </c>
      <c r="K7">
        <f t="shared" si="0"/>
        <v>0.21056</v>
      </c>
      <c r="L7">
        <f t="shared" si="0"/>
        <v>0.21056</v>
      </c>
      <c r="M7">
        <f t="shared" si="0"/>
        <v>0.21056</v>
      </c>
      <c r="N7">
        <f t="shared" si="0"/>
        <v>0.21971499999999999</v>
      </c>
      <c r="O7">
        <f t="shared" si="0"/>
        <v>0.21971499999999999</v>
      </c>
      <c r="P7">
        <f t="shared" si="0"/>
        <v>0.21971499999999999</v>
      </c>
      <c r="Q7">
        <f t="shared" si="0"/>
        <v>0.21971499999999999</v>
      </c>
      <c r="R7">
        <f t="shared" si="0"/>
        <v>0.21056</v>
      </c>
      <c r="S7">
        <f t="shared" si="0"/>
        <v>0.21056</v>
      </c>
      <c r="T7">
        <f t="shared" si="0"/>
        <v>0.21056</v>
      </c>
    </row>
    <row r="8" spans="2:22" x14ac:dyDescent="0.25">
      <c r="H8" s="2" t="s">
        <v>51</v>
      </c>
      <c r="I8">
        <f>I3-I4</f>
        <v>3.6600000000000008E-2</v>
      </c>
      <c r="J8">
        <f t="shared" ref="J8:T8" si="1">J3-J4</f>
        <v>3.6600000000000008E-2</v>
      </c>
      <c r="K8">
        <f t="shared" si="1"/>
        <v>3.6600000000000008E-2</v>
      </c>
      <c r="L8">
        <f t="shared" si="1"/>
        <v>3.6600000000000008E-2</v>
      </c>
      <c r="M8">
        <f t="shared" si="1"/>
        <v>3.6600000000000008E-2</v>
      </c>
      <c r="N8">
        <f t="shared" si="1"/>
        <v>3.6600000000000008E-2</v>
      </c>
      <c r="O8">
        <f t="shared" si="1"/>
        <v>4.2619999999999991E-2</v>
      </c>
      <c r="P8">
        <f t="shared" si="1"/>
        <v>4.2619999999999991E-2</v>
      </c>
      <c r="Q8">
        <f t="shared" si="1"/>
        <v>4.2619999999999991E-2</v>
      </c>
      <c r="R8">
        <f t="shared" si="1"/>
        <v>4.2619999999999991E-2</v>
      </c>
      <c r="S8">
        <f t="shared" si="1"/>
        <v>3.6600000000000008E-2</v>
      </c>
      <c r="T8">
        <f t="shared" si="1"/>
        <v>3.6600000000000008E-2</v>
      </c>
    </row>
    <row r="9" spans="2:22" x14ac:dyDescent="0.25">
      <c r="H9" s="2" t="s">
        <v>58</v>
      </c>
      <c r="I9">
        <f>I3-I7</f>
        <v>-9.0259999999999993E-2</v>
      </c>
      <c r="J9">
        <f t="shared" ref="J9:T9" si="2">J3-J7</f>
        <v>-9.0259999999999993E-2</v>
      </c>
      <c r="K9">
        <f t="shared" si="2"/>
        <v>-9.0259999999999993E-2</v>
      </c>
      <c r="L9">
        <f t="shared" si="2"/>
        <v>-9.0259999999999993E-2</v>
      </c>
      <c r="M9">
        <f t="shared" si="2"/>
        <v>-9.0259999999999993E-2</v>
      </c>
      <c r="N9">
        <f t="shared" si="2"/>
        <v>-9.9414999999999989E-2</v>
      </c>
      <c r="O9">
        <f t="shared" si="2"/>
        <v>-9.3395000000000006E-2</v>
      </c>
      <c r="P9">
        <f t="shared" si="2"/>
        <v>-9.3395000000000006E-2</v>
      </c>
      <c r="Q9">
        <f t="shared" si="2"/>
        <v>-9.3395000000000006E-2</v>
      </c>
      <c r="R9">
        <f>R3-R7</f>
        <v>-8.4240000000000009E-2</v>
      </c>
      <c r="S9">
        <f t="shared" si="2"/>
        <v>-9.0259999999999993E-2</v>
      </c>
      <c r="T9">
        <f t="shared" si="2"/>
        <v>-9.0259999999999993E-2</v>
      </c>
    </row>
    <row r="10" spans="2:22" ht="16.5" thickBot="1" x14ac:dyDescent="0.3"/>
    <row r="11" spans="2:22" ht="16.5" thickBot="1" x14ac:dyDescent="0.3">
      <c r="H11" s="31" t="s">
        <v>52</v>
      </c>
      <c r="I11" s="32" t="s">
        <v>53</v>
      </c>
      <c r="J11" s="36" t="s">
        <v>27</v>
      </c>
      <c r="K11" s="36" t="s">
        <v>28</v>
      </c>
      <c r="L11" s="36" t="s">
        <v>29</v>
      </c>
      <c r="M11" s="36" t="s">
        <v>30</v>
      </c>
      <c r="N11" s="36" t="s">
        <v>31</v>
      </c>
      <c r="O11" s="36" t="s">
        <v>32</v>
      </c>
      <c r="P11" s="36" t="s">
        <v>33</v>
      </c>
      <c r="Q11" s="36" t="s">
        <v>34</v>
      </c>
      <c r="R11" s="36" t="s">
        <v>35</v>
      </c>
      <c r="S11" s="36" t="s">
        <v>36</v>
      </c>
      <c r="T11" s="36" t="s">
        <v>37</v>
      </c>
      <c r="U11" s="36" t="s">
        <v>38</v>
      </c>
      <c r="V11" s="37" t="s">
        <v>44</v>
      </c>
    </row>
    <row r="12" spans="2:22" ht="16.5" thickBot="1" x14ac:dyDescent="0.3">
      <c r="H12" s="38" t="s">
        <v>54</v>
      </c>
      <c r="I12" s="39">
        <v>200</v>
      </c>
      <c r="J12" s="39">
        <f t="shared" ref="J12:U12" si="3">$I12*I8</f>
        <v>7.3200000000000012</v>
      </c>
      <c r="K12" s="39">
        <f t="shared" si="3"/>
        <v>7.3200000000000012</v>
      </c>
      <c r="L12" s="39">
        <f t="shared" si="3"/>
        <v>7.3200000000000012</v>
      </c>
      <c r="M12" s="39">
        <f t="shared" si="3"/>
        <v>7.3200000000000012</v>
      </c>
      <c r="N12" s="39">
        <f t="shared" si="3"/>
        <v>7.3200000000000012</v>
      </c>
      <c r="O12" s="39">
        <f t="shared" si="3"/>
        <v>7.3200000000000012</v>
      </c>
      <c r="P12" s="39">
        <f t="shared" si="3"/>
        <v>8.5239999999999974</v>
      </c>
      <c r="Q12" s="39">
        <f t="shared" si="3"/>
        <v>8.5239999999999974</v>
      </c>
      <c r="R12" s="39">
        <f t="shared" si="3"/>
        <v>8.5239999999999974</v>
      </c>
      <c r="S12" s="39">
        <f t="shared" si="3"/>
        <v>8.5239999999999974</v>
      </c>
      <c r="T12" s="39">
        <f t="shared" si="3"/>
        <v>7.3200000000000012</v>
      </c>
      <c r="U12" s="39">
        <f t="shared" si="3"/>
        <v>7.3200000000000012</v>
      </c>
      <c r="V12" s="40">
        <f>SUM(J12:U12)</f>
        <v>92.65600000000002</v>
      </c>
    </row>
    <row r="13" spans="2:22" x14ac:dyDescent="0.25">
      <c r="H13" s="38" t="s">
        <v>55</v>
      </c>
      <c r="I13" s="8">
        <v>180</v>
      </c>
      <c r="J13" s="8">
        <f t="shared" ref="J13:U13" si="4">$I13*I8</f>
        <v>6.588000000000001</v>
      </c>
      <c r="K13" s="8">
        <f t="shared" si="4"/>
        <v>6.588000000000001</v>
      </c>
      <c r="L13" s="8">
        <f t="shared" si="4"/>
        <v>6.588000000000001</v>
      </c>
      <c r="M13" s="8">
        <f t="shared" si="4"/>
        <v>6.588000000000001</v>
      </c>
      <c r="N13" s="8">
        <f t="shared" si="4"/>
        <v>6.588000000000001</v>
      </c>
      <c r="O13" s="8">
        <f t="shared" si="4"/>
        <v>6.588000000000001</v>
      </c>
      <c r="P13" s="8">
        <f t="shared" si="4"/>
        <v>7.671599999999998</v>
      </c>
      <c r="Q13" s="8">
        <f t="shared" si="4"/>
        <v>7.671599999999998</v>
      </c>
      <c r="R13" s="8">
        <f t="shared" si="4"/>
        <v>7.671599999999998</v>
      </c>
      <c r="S13" s="8">
        <f t="shared" si="4"/>
        <v>7.671599999999998</v>
      </c>
      <c r="T13" s="8">
        <f t="shared" si="4"/>
        <v>6.588000000000001</v>
      </c>
      <c r="U13" s="8">
        <f t="shared" si="4"/>
        <v>6.588000000000001</v>
      </c>
      <c r="V13" s="16">
        <f t="shared" ref="V13:V14" si="5">SUM(J13:U13)</f>
        <v>83.3904</v>
      </c>
    </row>
    <row r="14" spans="2:22" x14ac:dyDescent="0.25">
      <c r="H14" s="41" t="s">
        <v>57</v>
      </c>
      <c r="I14" s="14">
        <v>20</v>
      </c>
      <c r="J14" s="14">
        <f t="shared" ref="J14:U14" si="6">$I14*I9</f>
        <v>-1.8051999999999999</v>
      </c>
      <c r="K14" s="14">
        <f t="shared" si="6"/>
        <v>-1.8051999999999999</v>
      </c>
      <c r="L14" s="14">
        <f t="shared" si="6"/>
        <v>-1.8051999999999999</v>
      </c>
      <c r="M14" s="14">
        <f t="shared" si="6"/>
        <v>-1.8051999999999999</v>
      </c>
      <c r="N14" s="14">
        <f t="shared" si="6"/>
        <v>-1.8051999999999999</v>
      </c>
      <c r="O14" s="14">
        <f t="shared" si="6"/>
        <v>-1.9882999999999997</v>
      </c>
      <c r="P14" s="14">
        <f t="shared" si="6"/>
        <v>-1.8679000000000001</v>
      </c>
      <c r="Q14" s="14">
        <f t="shared" si="6"/>
        <v>-1.8679000000000001</v>
      </c>
      <c r="R14" s="14">
        <f t="shared" si="6"/>
        <v>-1.8679000000000001</v>
      </c>
      <c r="S14" s="14">
        <f t="shared" si="6"/>
        <v>-1.6848000000000001</v>
      </c>
      <c r="T14" s="14">
        <f t="shared" si="6"/>
        <v>-1.8051999999999999</v>
      </c>
      <c r="U14" s="14">
        <f t="shared" si="6"/>
        <v>-1.8051999999999999</v>
      </c>
      <c r="V14" s="18">
        <f t="shared" si="5"/>
        <v>-21.913199999999996</v>
      </c>
    </row>
    <row r="15" spans="2:22" ht="16.5" thickBot="1" x14ac:dyDescent="0.3">
      <c r="H15" s="17" t="s">
        <v>56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4">
        <f>V13+V14</f>
        <v>61.477200000000003</v>
      </c>
    </row>
    <row r="16" spans="2:22" ht="16.5" thickBot="1" x14ac:dyDescent="0.3">
      <c r="H16" s="38" t="s">
        <v>54</v>
      </c>
      <c r="I16" s="8">
        <v>300</v>
      </c>
      <c r="J16" s="8">
        <f t="shared" ref="J16:U16" si="7">$I16*I8</f>
        <v>10.980000000000002</v>
      </c>
      <c r="K16" s="8">
        <f t="shared" si="7"/>
        <v>10.980000000000002</v>
      </c>
      <c r="L16" s="8">
        <f t="shared" si="7"/>
        <v>10.980000000000002</v>
      </c>
      <c r="M16" s="8">
        <f t="shared" si="7"/>
        <v>10.980000000000002</v>
      </c>
      <c r="N16" s="8">
        <f t="shared" si="7"/>
        <v>10.980000000000002</v>
      </c>
      <c r="O16" s="8">
        <f t="shared" si="7"/>
        <v>10.980000000000002</v>
      </c>
      <c r="P16" s="8">
        <f t="shared" si="7"/>
        <v>12.785999999999998</v>
      </c>
      <c r="Q16" s="8">
        <f t="shared" si="7"/>
        <v>12.785999999999998</v>
      </c>
      <c r="R16" s="8">
        <f t="shared" si="7"/>
        <v>12.785999999999998</v>
      </c>
      <c r="S16" s="8">
        <f t="shared" si="7"/>
        <v>12.785999999999998</v>
      </c>
      <c r="T16" s="8">
        <f t="shared" si="7"/>
        <v>10.980000000000002</v>
      </c>
      <c r="U16" s="8">
        <f t="shared" si="7"/>
        <v>10.980000000000002</v>
      </c>
      <c r="V16" s="40">
        <f>SUM(J16:U16)</f>
        <v>138.98400000000001</v>
      </c>
    </row>
    <row r="17" spans="8:22" x14ac:dyDescent="0.25">
      <c r="H17" s="38" t="s">
        <v>55</v>
      </c>
      <c r="I17" s="8">
        <v>270</v>
      </c>
      <c r="J17" s="8">
        <f t="shared" ref="J17:U17" si="8">$I17*I8</f>
        <v>9.8820000000000014</v>
      </c>
      <c r="K17" s="8">
        <f t="shared" si="8"/>
        <v>9.8820000000000014</v>
      </c>
      <c r="L17" s="8">
        <f t="shared" si="8"/>
        <v>9.8820000000000014</v>
      </c>
      <c r="M17" s="8">
        <f t="shared" si="8"/>
        <v>9.8820000000000014</v>
      </c>
      <c r="N17" s="8">
        <f t="shared" si="8"/>
        <v>9.8820000000000014</v>
      </c>
      <c r="O17" s="8">
        <f t="shared" si="8"/>
        <v>9.8820000000000014</v>
      </c>
      <c r="P17" s="8">
        <f t="shared" si="8"/>
        <v>11.507399999999997</v>
      </c>
      <c r="Q17" s="8">
        <f t="shared" si="8"/>
        <v>11.507399999999997</v>
      </c>
      <c r="R17" s="8">
        <f t="shared" si="8"/>
        <v>11.507399999999997</v>
      </c>
      <c r="S17" s="8">
        <f t="shared" si="8"/>
        <v>11.507399999999997</v>
      </c>
      <c r="T17" s="8">
        <f t="shared" si="8"/>
        <v>9.8820000000000014</v>
      </c>
      <c r="U17" s="8">
        <f t="shared" si="8"/>
        <v>9.8820000000000014</v>
      </c>
      <c r="V17" s="45">
        <f>SUM(J17:U17)</f>
        <v>125.0856</v>
      </c>
    </row>
    <row r="18" spans="8:22" x14ac:dyDescent="0.25">
      <c r="H18" s="41" t="s">
        <v>57</v>
      </c>
      <c r="I18" s="14">
        <v>30</v>
      </c>
      <c r="J18" s="14">
        <f t="shared" ref="J18:U18" si="9">$I18*I9</f>
        <v>-2.7077999999999998</v>
      </c>
      <c r="K18" s="14">
        <f t="shared" si="9"/>
        <v>-2.7077999999999998</v>
      </c>
      <c r="L18" s="14">
        <f t="shared" si="9"/>
        <v>-2.7077999999999998</v>
      </c>
      <c r="M18" s="14">
        <f t="shared" si="9"/>
        <v>-2.7077999999999998</v>
      </c>
      <c r="N18" s="14">
        <f t="shared" si="9"/>
        <v>-2.7077999999999998</v>
      </c>
      <c r="O18" s="14">
        <f t="shared" si="9"/>
        <v>-2.9824499999999996</v>
      </c>
      <c r="P18" s="14">
        <f t="shared" si="9"/>
        <v>-2.80185</v>
      </c>
      <c r="Q18" s="14">
        <f t="shared" si="9"/>
        <v>-2.80185</v>
      </c>
      <c r="R18" s="14">
        <f t="shared" si="9"/>
        <v>-2.80185</v>
      </c>
      <c r="S18" s="14">
        <f t="shared" si="9"/>
        <v>-2.5272000000000001</v>
      </c>
      <c r="T18" s="14">
        <f t="shared" si="9"/>
        <v>-2.7077999999999998</v>
      </c>
      <c r="U18" s="14">
        <f t="shared" si="9"/>
        <v>-2.7077999999999998</v>
      </c>
      <c r="V18" s="46">
        <f>SUM(J18:U18)</f>
        <v>-32.869799999999998</v>
      </c>
    </row>
    <row r="19" spans="8:22" ht="16.5" thickBot="1" x14ac:dyDescent="0.3">
      <c r="H19" s="9" t="s">
        <v>56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43"/>
      <c r="V19" s="42">
        <f>V17+V18</f>
        <v>92.215800000000002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17448-2E90-DA47-8571-7F4205F76B0E}">
  <dimension ref="B1:I35"/>
  <sheetViews>
    <sheetView tabSelected="1" workbookViewId="0">
      <selection activeCell="C34" sqref="C34"/>
    </sheetView>
  </sheetViews>
  <sheetFormatPr defaultColWidth="11" defaultRowHeight="15.75" x14ac:dyDescent="0.25"/>
  <cols>
    <col min="2" max="2" width="23.125" customWidth="1"/>
    <col min="7" max="7" width="27.625" customWidth="1"/>
  </cols>
  <sheetData>
    <row r="1" spans="2:9" ht="16.5" thickBot="1" x14ac:dyDescent="0.3">
      <c r="G1" s="2" t="s">
        <v>59</v>
      </c>
    </row>
    <row r="2" spans="2:9" x14ac:dyDescent="0.25">
      <c r="C2" s="15" t="s">
        <v>9</v>
      </c>
      <c r="D2" s="15" t="s">
        <v>10</v>
      </c>
      <c r="G2" s="7"/>
      <c r="H2" s="20" t="s">
        <v>9</v>
      </c>
      <c r="I2" s="21" t="s">
        <v>10</v>
      </c>
    </row>
    <row r="3" spans="2:9" x14ac:dyDescent="0.25">
      <c r="B3" t="s">
        <v>13</v>
      </c>
      <c r="C3">
        <v>35.5</v>
      </c>
      <c r="D3">
        <v>28.5</v>
      </c>
      <c r="G3" s="17" t="s">
        <v>13</v>
      </c>
      <c r="H3" s="22">
        <f>C3</f>
        <v>35.5</v>
      </c>
      <c r="I3" s="23">
        <f>D3</f>
        <v>28.5</v>
      </c>
    </row>
    <row r="4" spans="2:9" x14ac:dyDescent="0.25">
      <c r="B4" t="s">
        <v>25</v>
      </c>
      <c r="C4">
        <f>(11.58+9.73)/2</f>
        <v>10.655000000000001</v>
      </c>
      <c r="D4">
        <v>6.72</v>
      </c>
      <c r="G4" s="17" t="s">
        <v>60</v>
      </c>
      <c r="H4" s="22">
        <f>C4</f>
        <v>10.655000000000001</v>
      </c>
      <c r="I4" s="23">
        <f>D4</f>
        <v>6.72</v>
      </c>
    </row>
    <row r="5" spans="2:9" x14ac:dyDescent="0.25">
      <c r="B5" t="s">
        <v>26</v>
      </c>
      <c r="C5">
        <v>0</v>
      </c>
      <c r="D5">
        <v>6.72</v>
      </c>
      <c r="G5" s="17" t="s">
        <v>11</v>
      </c>
      <c r="H5" s="24">
        <f>C6</f>
        <v>7.0999999999999994E-2</v>
      </c>
      <c r="I5" s="25">
        <f>D6</f>
        <v>8.0680000000000002E-2</v>
      </c>
    </row>
    <row r="6" spans="2:9" x14ac:dyDescent="0.25">
      <c r="B6" t="s">
        <v>11</v>
      </c>
      <c r="C6">
        <v>7.0999999999999994E-2</v>
      </c>
      <c r="D6">
        <v>8.0680000000000002E-2</v>
      </c>
      <c r="G6" s="17" t="s">
        <v>12</v>
      </c>
      <c r="H6" s="24">
        <f>C7</f>
        <v>5.7540000000000001E-2</v>
      </c>
      <c r="I6" s="25">
        <f>D7</f>
        <v>8.0680000000000002E-2</v>
      </c>
    </row>
    <row r="7" spans="2:9" x14ac:dyDescent="0.25">
      <c r="B7" t="s">
        <v>12</v>
      </c>
      <c r="C7">
        <v>5.7540000000000001E-2</v>
      </c>
      <c r="D7">
        <v>8.0680000000000002E-2</v>
      </c>
      <c r="G7" s="17" t="s">
        <v>39</v>
      </c>
      <c r="H7" s="26">
        <v>50</v>
      </c>
      <c r="I7" s="27">
        <v>50</v>
      </c>
    </row>
    <row r="8" spans="2:9" ht="16.5" thickBot="1" x14ac:dyDescent="0.3">
      <c r="B8" t="s">
        <v>14</v>
      </c>
      <c r="C8">
        <v>50</v>
      </c>
      <c r="D8">
        <v>50</v>
      </c>
      <c r="G8" s="17" t="s">
        <v>8</v>
      </c>
      <c r="H8" s="26">
        <v>100</v>
      </c>
      <c r="I8" s="27">
        <v>100</v>
      </c>
    </row>
    <row r="9" spans="2:9" x14ac:dyDescent="0.25">
      <c r="B9" t="s">
        <v>8</v>
      </c>
      <c r="C9">
        <v>100</v>
      </c>
      <c r="D9">
        <v>100</v>
      </c>
      <c r="G9" s="48" t="s">
        <v>40</v>
      </c>
      <c r="H9" s="49"/>
      <c r="I9" s="50"/>
    </row>
    <row r="10" spans="2:9" ht="16.5" thickBot="1" x14ac:dyDescent="0.3">
      <c r="G10" s="51"/>
      <c r="H10" s="52"/>
      <c r="I10" s="53"/>
    </row>
    <row r="11" spans="2:9" x14ac:dyDescent="0.25">
      <c r="B11" t="s">
        <v>20</v>
      </c>
      <c r="C11">
        <v>1</v>
      </c>
      <c r="D11">
        <v>1</v>
      </c>
      <c r="G11" s="17" t="s">
        <v>43</v>
      </c>
      <c r="H11" s="28">
        <f>C27</f>
        <v>13737.936</v>
      </c>
      <c r="I11" s="29">
        <f>D27</f>
        <v>9132.119999999999</v>
      </c>
    </row>
    <row r="12" spans="2:9" x14ac:dyDescent="0.25">
      <c r="B12" t="s">
        <v>65</v>
      </c>
      <c r="C12">
        <v>14</v>
      </c>
      <c r="D12">
        <v>14</v>
      </c>
      <c r="G12" s="17" t="s">
        <v>17</v>
      </c>
      <c r="H12" s="13">
        <f t="shared" ref="H12:H13" si="0">C28</f>
        <v>76.321866666666665</v>
      </c>
      <c r="I12" s="30">
        <f t="shared" ref="I12:I13" si="1">D28</f>
        <v>50.733999999999995</v>
      </c>
    </row>
    <row r="13" spans="2:9" ht="16.5" thickBot="1" x14ac:dyDescent="0.3">
      <c r="B13" t="s">
        <v>66</v>
      </c>
      <c r="C13">
        <v>59</v>
      </c>
      <c r="D13">
        <v>59</v>
      </c>
      <c r="G13" s="17" t="s">
        <v>42</v>
      </c>
      <c r="H13" s="13">
        <f t="shared" si="0"/>
        <v>1.5264373333333332</v>
      </c>
      <c r="I13" s="30">
        <f t="shared" si="1"/>
        <v>1.0146799999999998</v>
      </c>
    </row>
    <row r="14" spans="2:9" x14ac:dyDescent="0.25">
      <c r="B14" t="s">
        <v>64</v>
      </c>
      <c r="C14">
        <f>C11+C12</f>
        <v>15</v>
      </c>
      <c r="D14">
        <f>D11+D12</f>
        <v>15</v>
      </c>
      <c r="G14" s="48" t="s">
        <v>41</v>
      </c>
      <c r="H14" s="49"/>
      <c r="I14" s="50"/>
    </row>
    <row r="15" spans="2:9" ht="16.5" thickBot="1" x14ac:dyDescent="0.3">
      <c r="B15" t="s">
        <v>67</v>
      </c>
      <c r="C15">
        <f>C11+C13</f>
        <v>60</v>
      </c>
      <c r="D15">
        <f>D11+D13</f>
        <v>60</v>
      </c>
      <c r="G15" s="51"/>
      <c r="H15" s="52"/>
      <c r="I15" s="53"/>
    </row>
    <row r="16" spans="2:9" x14ac:dyDescent="0.25">
      <c r="B16" t="s">
        <v>68</v>
      </c>
      <c r="C16">
        <f>C14*C8*12</f>
        <v>9000</v>
      </c>
      <c r="D16">
        <f>D14*D8*12</f>
        <v>9000</v>
      </c>
      <c r="G16" s="7" t="s">
        <v>15</v>
      </c>
      <c r="H16" s="33">
        <f>C32</f>
        <v>15291.516</v>
      </c>
      <c r="I16" s="34">
        <f>D32</f>
        <v>11310.48</v>
      </c>
    </row>
    <row r="17" spans="2:9" x14ac:dyDescent="0.25">
      <c r="B17" t="s">
        <v>69</v>
      </c>
      <c r="C17">
        <f>C15*C8*12</f>
        <v>36000</v>
      </c>
      <c r="D17">
        <f>D15*D8*12</f>
        <v>36000</v>
      </c>
      <c r="G17" s="17" t="s">
        <v>17</v>
      </c>
      <c r="H17" s="13">
        <f t="shared" ref="H17:H18" si="2">C33</f>
        <v>21.238216666666666</v>
      </c>
      <c r="I17" s="30">
        <f t="shared" ref="I17:I18" si="3">D33</f>
        <v>15.709</v>
      </c>
    </row>
    <row r="18" spans="2:9" ht="16.5" thickBot="1" x14ac:dyDescent="0.3">
      <c r="G18" s="9" t="s">
        <v>18</v>
      </c>
      <c r="H18" s="11">
        <f t="shared" si="2"/>
        <v>0.4247643333333333</v>
      </c>
      <c r="I18" s="12">
        <f t="shared" si="3"/>
        <v>0.31418000000000001</v>
      </c>
    </row>
    <row r="19" spans="2:9" x14ac:dyDescent="0.25">
      <c r="B19" s="2" t="s">
        <v>62</v>
      </c>
    </row>
    <row r="20" spans="2:9" x14ac:dyDescent="0.25">
      <c r="B20" t="s">
        <v>21</v>
      </c>
      <c r="C20" s="1">
        <f>C4*C9</f>
        <v>1065.5</v>
      </c>
      <c r="D20" s="1">
        <f>D4*D9</f>
        <v>672</v>
      </c>
      <c r="G20" t="s">
        <v>61</v>
      </c>
    </row>
    <row r="21" spans="2:9" x14ac:dyDescent="0.25">
      <c r="B21" t="s">
        <v>22</v>
      </c>
      <c r="C21" s="1">
        <f>C9*C5</f>
        <v>0</v>
      </c>
      <c r="D21" s="1">
        <f>D9*D5</f>
        <v>672</v>
      </c>
    </row>
    <row r="22" spans="2:9" x14ac:dyDescent="0.25">
      <c r="B22" t="s">
        <v>23</v>
      </c>
      <c r="C22" s="1">
        <f>C6*C8</f>
        <v>3.55</v>
      </c>
      <c r="D22" s="1">
        <f>D6*D8</f>
        <v>4.0339999999999998</v>
      </c>
    </row>
    <row r="23" spans="2:9" x14ac:dyDescent="0.25">
      <c r="B23" t="s">
        <v>24</v>
      </c>
      <c r="C23" s="1">
        <f>C7*C8</f>
        <v>2.8770000000000002</v>
      </c>
      <c r="D23" s="1">
        <f>D7*D8</f>
        <v>4.0339999999999998</v>
      </c>
    </row>
    <row r="24" spans="2:9" x14ac:dyDescent="0.25">
      <c r="C24" s="1"/>
      <c r="D24" s="1"/>
    </row>
    <row r="25" spans="2:9" x14ac:dyDescent="0.25">
      <c r="B25" s="2" t="s">
        <v>63</v>
      </c>
    </row>
    <row r="26" spans="2:9" x14ac:dyDescent="0.25">
      <c r="B26" s="47" t="s">
        <v>16</v>
      </c>
      <c r="C26" s="47"/>
      <c r="D26" s="47"/>
    </row>
    <row r="27" spans="2:9" ht="15.95" customHeight="1" x14ac:dyDescent="0.25">
      <c r="B27" t="s">
        <v>15</v>
      </c>
      <c r="C27" s="19">
        <f>12*(C3+C20+(C12*C23)+C22)</f>
        <v>13737.936</v>
      </c>
      <c r="D27" s="19">
        <f>12*(D3+D20+(D12*D23)+D22)</f>
        <v>9132.119999999999</v>
      </c>
    </row>
    <row r="28" spans="2:9" x14ac:dyDescent="0.25">
      <c r="B28" t="s">
        <v>17</v>
      </c>
      <c r="C28" s="1">
        <f>C27/(C14*12)</f>
        <v>76.321866666666665</v>
      </c>
      <c r="D28" s="1">
        <f>D27/(D14*12)</f>
        <v>50.733999999999995</v>
      </c>
    </row>
    <row r="29" spans="2:9" x14ac:dyDescent="0.25">
      <c r="B29" t="s">
        <v>18</v>
      </c>
      <c r="C29" s="1">
        <f>C27/C16</f>
        <v>1.5264373333333332</v>
      </c>
      <c r="D29" s="1">
        <f>D27/D16</f>
        <v>1.0146799999999998</v>
      </c>
    </row>
    <row r="31" spans="2:9" x14ac:dyDescent="0.25">
      <c r="B31" s="47" t="s">
        <v>19</v>
      </c>
      <c r="C31" s="47"/>
      <c r="D31" s="47"/>
    </row>
    <row r="32" spans="2:9" x14ac:dyDescent="0.25">
      <c r="B32" t="s">
        <v>15</v>
      </c>
      <c r="C32" s="19">
        <f>12*(C3+C20+(C13*C23)+C22)</f>
        <v>15291.516</v>
      </c>
      <c r="D32" s="19">
        <f>12*(D3+D20+(D13*D23)+D22)</f>
        <v>11310.48</v>
      </c>
    </row>
    <row r="33" spans="2:4" x14ac:dyDescent="0.25">
      <c r="B33" t="s">
        <v>17</v>
      </c>
      <c r="C33" s="1">
        <f>C32/(C15*12)</f>
        <v>21.238216666666666</v>
      </c>
      <c r="D33" s="1">
        <f>D32/(D15*12)</f>
        <v>15.709</v>
      </c>
    </row>
    <row r="34" spans="2:4" x14ac:dyDescent="0.25">
      <c r="B34" t="s">
        <v>18</v>
      </c>
      <c r="C34" s="1">
        <f>C32/C17</f>
        <v>0.4247643333333333</v>
      </c>
      <c r="D34" s="1">
        <f>D32/D17</f>
        <v>0.31418000000000001</v>
      </c>
    </row>
    <row r="35" spans="2:4" x14ac:dyDescent="0.25">
      <c r="D35" s="1"/>
    </row>
  </sheetData>
  <mergeCells count="4">
    <mergeCell ref="B26:D26"/>
    <mergeCell ref="B31:D31"/>
    <mergeCell ref="G9:I10"/>
    <mergeCell ref="G14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Despenard</cp:lastModifiedBy>
  <dcterms:created xsi:type="dcterms:W3CDTF">2020-03-20T15:45:57Z</dcterms:created>
  <dcterms:modified xsi:type="dcterms:W3CDTF">2020-11-02T00:08:09Z</dcterms:modified>
</cp:coreProperties>
</file>