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CN2020\CNs-00170-00171 - K L ECR 6-month review\LGE\2 - Data Requests and Testimony\"/>
    </mc:Choice>
  </mc:AlternateContent>
  <xr:revisionPtr revIDLastSave="0" documentId="13_ncr:1_{C4A25234-9968-4AA1-BB0C-C1FA37145A93}" xr6:coauthVersionLast="44" xr6:coauthVersionMax="44" xr10:uidLastSave="{00000000-0000-0000-0000-000000000000}"/>
  <bookViews>
    <workbookView xWindow="-28920" yWindow="-120" windowWidth="29040" windowHeight="15840" tabRatio="909" xr2:uid="{00000000-000D-0000-FFFF-FFFF00000000}"/>
  </bookViews>
  <sheets>
    <sheet name="Project 23" sheetId="23" r:id="rId1"/>
    <sheet name="Project 24" sheetId="26" r:id="rId2"/>
    <sheet name="Project 25" sheetId="25" r:id="rId3"/>
    <sheet name="Project 26" sheetId="24" r:id="rId4"/>
    <sheet name="Project 27" sheetId="27" r:id="rId5"/>
    <sheet name="Project 28" sheetId="28" r:id="rId6"/>
    <sheet name="Project 29" sheetId="30" r:id="rId7"/>
    <sheet name="Project 30" sheetId="29" r:id="rId8"/>
  </sheets>
  <definedNames>
    <definedName name="_xlnm.Print_Area" localSheetId="0">'Project 23'!$A$1:$N$15</definedName>
    <definedName name="_xlnm.Print_Area" localSheetId="1">'Project 24'!$A$1:$N$38</definedName>
    <definedName name="_xlnm.Print_Area" localSheetId="2">'Project 25'!$A$1:$N$31</definedName>
    <definedName name="_xlnm.Print_Area" localSheetId="3">'Project 26'!$A$1:$N$99</definedName>
    <definedName name="_xlnm.Print_Area" localSheetId="4">'Project 27'!$A$1:$N$45</definedName>
    <definedName name="_xlnm.Print_Area" localSheetId="5">'Project 28'!$A$1:$N$69</definedName>
    <definedName name="_xlnm.Print_Area" localSheetId="6">'Project 29'!$A$1:$N$45</definedName>
    <definedName name="_xlnm.Print_Area" localSheetId="7">'Project 30'!$A$1:$N$31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5" i="30" l="1"/>
  <c r="N14" i="30"/>
  <c r="N13" i="30"/>
  <c r="N12" i="30"/>
  <c r="N11" i="30"/>
  <c r="N10" i="30"/>
  <c r="C37" i="26" l="1"/>
  <c r="C29" i="26"/>
  <c r="E30" i="30" l="1"/>
  <c r="E32" i="30" s="1"/>
  <c r="E44" i="30"/>
  <c r="C44" i="30"/>
  <c r="F43" i="30"/>
  <c r="H43" i="30" s="1"/>
  <c r="F42" i="30"/>
  <c r="H42" i="30" s="1"/>
  <c r="F41" i="30"/>
  <c r="H41" i="30" s="1"/>
  <c r="F40" i="30"/>
  <c r="H40" i="30" s="1"/>
  <c r="F39" i="30"/>
  <c r="H39" i="30" s="1"/>
  <c r="H38" i="30"/>
  <c r="F38" i="30"/>
  <c r="C32" i="30"/>
  <c r="F31" i="30"/>
  <c r="H31" i="30" s="1"/>
  <c r="F29" i="30"/>
  <c r="H29" i="30" s="1"/>
  <c r="F28" i="30"/>
  <c r="H28" i="30" s="1"/>
  <c r="F27" i="30"/>
  <c r="H27" i="30" s="1"/>
  <c r="F26" i="30"/>
  <c r="H26" i="30" s="1"/>
  <c r="F25" i="30"/>
  <c r="H25" i="30" l="1"/>
  <c r="H32" i="30" s="1"/>
  <c r="F30" i="30"/>
  <c r="H30" i="30" s="1"/>
  <c r="D37" i="30"/>
  <c r="F37" i="30" s="1"/>
  <c r="H37" i="30" l="1"/>
  <c r="H44" i="30" s="1"/>
  <c r="F44" i="30"/>
  <c r="F32" i="30"/>
  <c r="H33" i="30" l="1"/>
  <c r="H34" i="30" s="1"/>
  <c r="H66" i="28" l="1"/>
  <c r="F67" i="28"/>
  <c r="F66" i="28"/>
  <c r="E46" i="28"/>
  <c r="F45" i="28"/>
  <c r="F46" i="28" s="1"/>
  <c r="F44" i="28"/>
  <c r="H44" i="28" s="1"/>
  <c r="F43" i="28"/>
  <c r="H43" i="28" s="1"/>
  <c r="C68" i="28"/>
  <c r="C46" i="28"/>
  <c r="F65" i="28"/>
  <c r="H65" i="28" s="1"/>
  <c r="F64" i="28"/>
  <c r="H64" i="28" s="1"/>
  <c r="F63" i="28"/>
  <c r="H63" i="28" s="1"/>
  <c r="F62" i="28"/>
  <c r="H62" i="28" s="1"/>
  <c r="F61" i="28"/>
  <c r="H61" i="28" s="1"/>
  <c r="F60" i="28"/>
  <c r="H60" i="28" s="1"/>
  <c r="F59" i="28"/>
  <c r="H59" i="28" s="1"/>
  <c r="F58" i="28"/>
  <c r="H58" i="28" s="1"/>
  <c r="F57" i="28"/>
  <c r="H57" i="28" s="1"/>
  <c r="F56" i="28"/>
  <c r="H56" i="28" s="1"/>
  <c r="F55" i="28"/>
  <c r="H55" i="28" s="1"/>
  <c r="F54" i="28"/>
  <c r="H54" i="28" s="1"/>
  <c r="F53" i="28"/>
  <c r="H53" i="28" s="1"/>
  <c r="E52" i="28"/>
  <c r="E68" i="28" s="1"/>
  <c r="D51" i="28"/>
  <c r="F51" i="28" s="1"/>
  <c r="F42" i="28"/>
  <c r="H42" i="28" s="1"/>
  <c r="F41" i="28"/>
  <c r="H41" i="28" s="1"/>
  <c r="F40" i="28"/>
  <c r="H40" i="28" s="1"/>
  <c r="F39" i="28"/>
  <c r="H39" i="28" s="1"/>
  <c r="F38" i="28"/>
  <c r="H38" i="28" s="1"/>
  <c r="F37" i="28"/>
  <c r="H37" i="28" s="1"/>
  <c r="F36" i="28"/>
  <c r="H36" i="28" s="1"/>
  <c r="F35" i="28"/>
  <c r="H35" i="28" s="1"/>
  <c r="F34" i="28"/>
  <c r="H34" i="28" s="1"/>
  <c r="F33" i="28"/>
  <c r="H33" i="28" s="1"/>
  <c r="F32" i="28"/>
  <c r="H32" i="28" s="1"/>
  <c r="F31" i="28"/>
  <c r="H31" i="28" s="1"/>
  <c r="F30" i="28"/>
  <c r="H30" i="28" s="1"/>
  <c r="F29" i="28"/>
  <c r="H29" i="28" s="1"/>
  <c r="F28" i="28"/>
  <c r="H28" i="28" s="1"/>
  <c r="F27" i="28"/>
  <c r="E44" i="27"/>
  <c r="C44" i="27"/>
  <c r="F43" i="27"/>
  <c r="H43" i="27" s="1"/>
  <c r="F42" i="27"/>
  <c r="H42" i="27" s="1"/>
  <c r="F41" i="27"/>
  <c r="H41" i="27" s="1"/>
  <c r="F40" i="27"/>
  <c r="H40" i="27" s="1"/>
  <c r="F39" i="27"/>
  <c r="H39" i="27" s="1"/>
  <c r="H38" i="27"/>
  <c r="F38" i="27"/>
  <c r="D37" i="27"/>
  <c r="F37" i="27" s="1"/>
  <c r="H37" i="27" s="1"/>
  <c r="E32" i="27"/>
  <c r="C32" i="27"/>
  <c r="F31" i="27"/>
  <c r="H31" i="27" s="1"/>
  <c r="F30" i="27"/>
  <c r="H30" i="27" s="1"/>
  <c r="F29" i="27"/>
  <c r="H29" i="27" s="1"/>
  <c r="F28" i="27"/>
  <c r="H28" i="27" s="1"/>
  <c r="F27" i="27"/>
  <c r="H27" i="27" s="1"/>
  <c r="F26" i="27"/>
  <c r="H26" i="27" s="1"/>
  <c r="F25" i="27"/>
  <c r="H25" i="27" s="1"/>
  <c r="E98" i="24"/>
  <c r="F97" i="24"/>
  <c r="E60" i="24"/>
  <c r="F59" i="24"/>
  <c r="C60" i="24"/>
  <c r="C98" i="24"/>
  <c r="F96" i="24"/>
  <c r="H96" i="24" s="1"/>
  <c r="F95" i="24"/>
  <c r="H95" i="24" s="1"/>
  <c r="F94" i="24"/>
  <c r="H94" i="24" s="1"/>
  <c r="F93" i="24"/>
  <c r="H93" i="24" s="1"/>
  <c r="F92" i="24"/>
  <c r="H92" i="24" s="1"/>
  <c r="F91" i="24"/>
  <c r="H91" i="24" s="1"/>
  <c r="F90" i="24"/>
  <c r="H90" i="24" s="1"/>
  <c r="F89" i="24"/>
  <c r="H89" i="24" s="1"/>
  <c r="F88" i="24"/>
  <c r="H88" i="24" s="1"/>
  <c r="F87" i="24"/>
  <c r="H87" i="24" s="1"/>
  <c r="F86" i="24"/>
  <c r="H86" i="24" s="1"/>
  <c r="F85" i="24"/>
  <c r="H85" i="24" s="1"/>
  <c r="F84" i="24"/>
  <c r="H84" i="24" s="1"/>
  <c r="F83" i="24"/>
  <c r="H83" i="24" s="1"/>
  <c r="F82" i="24"/>
  <c r="H82" i="24" s="1"/>
  <c r="F81" i="24"/>
  <c r="H81" i="24" s="1"/>
  <c r="F80" i="24"/>
  <c r="H80" i="24" s="1"/>
  <c r="F79" i="24"/>
  <c r="H79" i="24" s="1"/>
  <c r="F78" i="24"/>
  <c r="H78" i="24" s="1"/>
  <c r="F77" i="24"/>
  <c r="H77" i="24" s="1"/>
  <c r="F76" i="24"/>
  <c r="H76" i="24" s="1"/>
  <c r="F75" i="24"/>
  <c r="H75" i="24" s="1"/>
  <c r="F74" i="24"/>
  <c r="H74" i="24" s="1"/>
  <c r="F73" i="24"/>
  <c r="H73" i="24" s="1"/>
  <c r="F72" i="24"/>
  <c r="H72" i="24" s="1"/>
  <c r="F71" i="24"/>
  <c r="H71" i="24" s="1"/>
  <c r="F70" i="24"/>
  <c r="H70" i="24" s="1"/>
  <c r="F69" i="24"/>
  <c r="H69" i="24" s="1"/>
  <c r="F68" i="24"/>
  <c r="H68" i="24" s="1"/>
  <c r="F67" i="24"/>
  <c r="H67" i="24" s="1"/>
  <c r="F66" i="24"/>
  <c r="H66" i="24" s="1"/>
  <c r="D65" i="24"/>
  <c r="F65" i="24" s="1"/>
  <c r="F58" i="24"/>
  <c r="H58" i="24" s="1"/>
  <c r="F57" i="24"/>
  <c r="H57" i="24" s="1"/>
  <c r="F56" i="24"/>
  <c r="H56" i="24" s="1"/>
  <c r="E55" i="24"/>
  <c r="F55" i="24" s="1"/>
  <c r="H55" i="24" s="1"/>
  <c r="F54" i="24"/>
  <c r="H54" i="24" s="1"/>
  <c r="F53" i="24"/>
  <c r="H53" i="24" s="1"/>
  <c r="F52" i="24"/>
  <c r="H52" i="24" s="1"/>
  <c r="F51" i="24"/>
  <c r="H51" i="24" s="1"/>
  <c r="F50" i="24"/>
  <c r="H50" i="24" s="1"/>
  <c r="F49" i="24"/>
  <c r="H49" i="24" s="1"/>
  <c r="F48" i="24"/>
  <c r="H48" i="24" s="1"/>
  <c r="F47" i="24"/>
  <c r="H47" i="24" s="1"/>
  <c r="F46" i="24"/>
  <c r="H46" i="24" s="1"/>
  <c r="F45" i="24"/>
  <c r="H45" i="24" s="1"/>
  <c r="F44" i="24"/>
  <c r="H44" i="24" s="1"/>
  <c r="F43" i="24"/>
  <c r="H43" i="24" s="1"/>
  <c r="F42" i="24"/>
  <c r="H42" i="24" s="1"/>
  <c r="F41" i="24"/>
  <c r="H41" i="24" s="1"/>
  <c r="F40" i="24"/>
  <c r="H40" i="24" s="1"/>
  <c r="F39" i="24"/>
  <c r="H39" i="24" s="1"/>
  <c r="F38" i="24"/>
  <c r="H38" i="24" s="1"/>
  <c r="F37" i="24"/>
  <c r="H37" i="24" s="1"/>
  <c r="F36" i="24"/>
  <c r="H36" i="24" s="1"/>
  <c r="F35" i="24"/>
  <c r="H35" i="24" s="1"/>
  <c r="F34" i="24"/>
  <c r="H34" i="24" s="1"/>
  <c r="F33" i="24"/>
  <c r="H33" i="24" s="1"/>
  <c r="F32" i="24"/>
  <c r="H32" i="24" s="1"/>
  <c r="F31" i="24"/>
  <c r="H31" i="24" s="1"/>
  <c r="F30" i="24"/>
  <c r="H30" i="24" s="1"/>
  <c r="F29" i="24"/>
  <c r="H29" i="24" s="1"/>
  <c r="F28" i="24"/>
  <c r="H28" i="24" s="1"/>
  <c r="F27" i="24"/>
  <c r="H27" i="24" s="1"/>
  <c r="F26" i="24"/>
  <c r="H26" i="24" s="1"/>
  <c r="F25" i="24"/>
  <c r="H25" i="24" s="1"/>
  <c r="F35" i="26"/>
  <c r="H35" i="26" s="1"/>
  <c r="F36" i="26"/>
  <c r="H36" i="26" s="1"/>
  <c r="E37" i="26"/>
  <c r="F26" i="26"/>
  <c r="H26" i="26" s="1"/>
  <c r="F27" i="26"/>
  <c r="H27" i="26" s="1"/>
  <c r="F28" i="26"/>
  <c r="H28" i="26" s="1"/>
  <c r="H29" i="26" s="1"/>
  <c r="E29" i="26"/>
  <c r="D34" i="26"/>
  <c r="F34" i="26" s="1"/>
  <c r="H34" i="26" s="1"/>
  <c r="F25" i="26"/>
  <c r="H25" i="26" s="1"/>
  <c r="H45" i="28" l="1"/>
  <c r="H46" i="28" s="1"/>
  <c r="F60" i="24"/>
  <c r="H37" i="26"/>
  <c r="F37" i="26"/>
  <c r="F98" i="24"/>
  <c r="H97" i="24"/>
  <c r="H67" i="28"/>
  <c r="F52" i="28"/>
  <c r="H52" i="28" s="1"/>
  <c r="H51" i="28"/>
  <c r="H27" i="28"/>
  <c r="F32" i="27"/>
  <c r="H44" i="27"/>
  <c r="H32" i="27"/>
  <c r="F44" i="27"/>
  <c r="H59" i="24"/>
  <c r="H60" i="24" s="1"/>
  <c r="H65" i="24"/>
  <c r="F29" i="26"/>
  <c r="H30" i="26"/>
  <c r="H31" i="26" s="1"/>
  <c r="H68" i="28" l="1"/>
  <c r="H47" i="28" s="1"/>
  <c r="H48" i="28" s="1"/>
  <c r="F68" i="28"/>
  <c r="H98" i="24"/>
  <c r="H61" i="24" s="1"/>
  <c r="H62" i="24" s="1"/>
  <c r="H33" i="27"/>
  <c r="H34" i="27" s="1"/>
  <c r="E15" i="27" l="1"/>
  <c r="E15" i="24"/>
  <c r="E15" i="26"/>
  <c r="E15" i="23"/>
  <c r="F15" i="29" l="1"/>
  <c r="E15" i="29"/>
  <c r="F15" i="30"/>
  <c r="E15" i="30"/>
  <c r="F15" i="28"/>
  <c r="E15" i="28"/>
  <c r="F15" i="27"/>
  <c r="F15" i="24"/>
  <c r="F15" i="25"/>
  <c r="E15" i="25"/>
  <c r="F15" i="26"/>
  <c r="F15" i="23"/>
  <c r="E14" i="26" l="1"/>
  <c r="E14" i="24"/>
  <c r="E14" i="27"/>
  <c r="E14" i="29"/>
  <c r="F14" i="29"/>
  <c r="F14" i="30"/>
  <c r="E14" i="30"/>
  <c r="F14" i="28"/>
  <c r="E14" i="28"/>
  <c r="F14" i="27"/>
  <c r="F14" i="24"/>
  <c r="F14" i="25"/>
  <c r="E14" i="25"/>
  <c r="F14" i="26"/>
  <c r="F14" i="23"/>
  <c r="E14" i="23"/>
  <c r="E13" i="29" l="1"/>
  <c r="E13" i="27"/>
  <c r="E13" i="24"/>
  <c r="E13" i="26"/>
  <c r="F13" i="29" l="1"/>
  <c r="F13" i="30"/>
  <c r="E13" i="30"/>
  <c r="F13" i="28"/>
  <c r="E13" i="28"/>
  <c r="F13" i="27"/>
  <c r="F13" i="24"/>
  <c r="F13" i="25"/>
  <c r="E13" i="25"/>
  <c r="F13" i="26"/>
  <c r="F13" i="23"/>
  <c r="E13" i="23"/>
  <c r="E12" i="29" l="1"/>
  <c r="E12" i="30"/>
  <c r="E12" i="28"/>
  <c r="E12" i="27"/>
  <c r="E12" i="24"/>
  <c r="E12" i="26"/>
  <c r="E12" i="23"/>
  <c r="F12" i="29" l="1"/>
  <c r="F12" i="30"/>
  <c r="F12" i="28"/>
  <c r="F12" i="27"/>
  <c r="F12" i="24"/>
  <c r="F12" i="25"/>
  <c r="E12" i="25"/>
  <c r="F12" i="26"/>
  <c r="F12" i="23"/>
  <c r="F11" i="29" l="1"/>
  <c r="E11" i="29"/>
  <c r="E11" i="30"/>
  <c r="F11" i="30"/>
  <c r="F11" i="28"/>
  <c r="E11" i="28"/>
  <c r="E11" i="27"/>
  <c r="F11" i="27"/>
  <c r="F11" i="24"/>
  <c r="E11" i="24"/>
  <c r="F11" i="25"/>
  <c r="E11" i="25"/>
  <c r="E11" i="26"/>
  <c r="F11" i="23"/>
  <c r="E11" i="23"/>
  <c r="E10" i="30" l="1"/>
  <c r="E10" i="28"/>
  <c r="E10" i="27"/>
  <c r="E10" i="24"/>
  <c r="E10" i="26"/>
  <c r="F10" i="29" l="1"/>
  <c r="E10" i="29"/>
  <c r="F10" i="30"/>
  <c r="F10" i="28"/>
  <c r="F10" i="27"/>
  <c r="F10" i="24"/>
  <c r="F10" i="25"/>
  <c r="E10" i="25"/>
  <c r="F10" i="26"/>
  <c r="F10" i="23"/>
  <c r="E10" i="23"/>
  <c r="D30" i="29" l="1"/>
  <c r="F30" i="29" s="1"/>
  <c r="H30" i="29" s="1"/>
  <c r="F25" i="29"/>
  <c r="H25" i="29" s="1"/>
  <c r="D30" i="25"/>
  <c r="F30" i="25" s="1"/>
  <c r="H30" i="25" s="1"/>
  <c r="F25" i="25"/>
  <c r="H25" i="25" s="1"/>
  <c r="H26" i="29" l="1"/>
  <c r="H27" i="29" s="1"/>
  <c r="H26" i="25"/>
  <c r="H27" i="25" s="1"/>
  <c r="H15" i="28" l="1"/>
  <c r="G15" i="28"/>
  <c r="H14" i="28"/>
  <c r="G14" i="28"/>
  <c r="G10" i="28" l="1"/>
  <c r="H10" i="28"/>
  <c r="L10" i="28" s="1"/>
  <c r="K10" i="28" l="1"/>
  <c r="H13" i="29" l="1"/>
  <c r="L13" i="29" s="1"/>
  <c r="G13" i="29"/>
  <c r="H12" i="29"/>
  <c r="L12" i="29" s="1"/>
  <c r="G12" i="29"/>
  <c r="H11" i="29"/>
  <c r="L11" i="29" s="1"/>
  <c r="G11" i="29"/>
  <c r="H10" i="29"/>
  <c r="L10" i="29" s="1"/>
  <c r="G10" i="29"/>
  <c r="K11" i="29" l="1"/>
  <c r="K13" i="29"/>
  <c r="K10" i="29"/>
  <c r="K12" i="29"/>
  <c r="H15" i="30" l="1"/>
  <c r="L15" i="30" s="1"/>
  <c r="H45" i="30" s="1"/>
  <c r="G15" i="30"/>
  <c r="H14" i="30"/>
  <c r="L14" i="30" s="1"/>
  <c r="G14" i="30"/>
  <c r="H13" i="30"/>
  <c r="L13" i="30" s="1"/>
  <c r="G13" i="30"/>
  <c r="H12" i="30"/>
  <c r="L12" i="30" s="1"/>
  <c r="G12" i="30"/>
  <c r="H11" i="30"/>
  <c r="L11" i="30" s="1"/>
  <c r="G11" i="30"/>
  <c r="H10" i="30"/>
  <c r="L10" i="30" s="1"/>
  <c r="G10" i="30"/>
  <c r="K15" i="30" l="1"/>
  <c r="H35" i="30" s="1"/>
  <c r="K11" i="30"/>
  <c r="K14" i="30"/>
  <c r="K10" i="30"/>
  <c r="M10" i="30" s="1"/>
  <c r="K13" i="30"/>
  <c r="K12" i="30"/>
  <c r="M11" i="30" l="1"/>
  <c r="M12" i="30" l="1"/>
  <c r="M10" i="29"/>
  <c r="M13" i="30" l="1"/>
  <c r="M14" i="30" s="1"/>
  <c r="M15" i="30" s="1"/>
  <c r="M11" i="29"/>
  <c r="M10" i="28"/>
  <c r="M12" i="29" l="1"/>
  <c r="M13" i="29" l="1"/>
  <c r="G12" i="28"/>
  <c r="G13" i="27"/>
  <c r="G12" i="27"/>
  <c r="G14" i="24"/>
  <c r="G13" i="24"/>
  <c r="G11" i="24"/>
  <c r="G15" i="25"/>
  <c r="G15" i="23"/>
  <c r="G12" i="23"/>
  <c r="G10" i="23"/>
  <c r="G11" i="23"/>
  <c r="G15" i="26"/>
  <c r="G10" i="26"/>
  <c r="G15" i="29"/>
  <c r="G14" i="29"/>
  <c r="H14" i="29"/>
  <c r="L14" i="29" s="1"/>
  <c r="H15" i="29"/>
  <c r="H13" i="28"/>
  <c r="L13" i="28" s="1"/>
  <c r="G13" i="28"/>
  <c r="H12" i="28"/>
  <c r="L12" i="28" s="1"/>
  <c r="H11" i="28"/>
  <c r="L11" i="28" s="1"/>
  <c r="G11" i="28"/>
  <c r="L14" i="28"/>
  <c r="H12" i="27"/>
  <c r="L12" i="27" s="1"/>
  <c r="H11" i="27"/>
  <c r="L11" i="27" s="1"/>
  <c r="G10" i="27"/>
  <c r="H10" i="27"/>
  <c r="L10" i="27" s="1"/>
  <c r="G11" i="27"/>
  <c r="H13" i="27"/>
  <c r="L13" i="27" s="1"/>
  <c r="G14" i="27"/>
  <c r="H14" i="27"/>
  <c r="L14" i="27" s="1"/>
  <c r="G15" i="27"/>
  <c r="H15" i="27"/>
  <c r="H13" i="24"/>
  <c r="L13" i="24" s="1"/>
  <c r="H11" i="24"/>
  <c r="L11" i="24" s="1"/>
  <c r="G10" i="24"/>
  <c r="H10" i="24"/>
  <c r="L10" i="24" s="1"/>
  <c r="G12" i="24"/>
  <c r="H12" i="24"/>
  <c r="L12" i="24" s="1"/>
  <c r="H14" i="24"/>
  <c r="L14" i="24" s="1"/>
  <c r="G15" i="24"/>
  <c r="H15" i="24"/>
  <c r="G13" i="25"/>
  <c r="H11" i="25"/>
  <c r="L11" i="25" s="1"/>
  <c r="H12" i="25"/>
  <c r="L12" i="25" s="1"/>
  <c r="H13" i="25"/>
  <c r="L13" i="25" s="1"/>
  <c r="H14" i="25"/>
  <c r="L14" i="25" s="1"/>
  <c r="H15" i="25"/>
  <c r="L15" i="25" s="1"/>
  <c r="H31" i="25" s="1"/>
  <c r="G11" i="25"/>
  <c r="G12" i="25"/>
  <c r="G14" i="25"/>
  <c r="H10" i="25"/>
  <c r="L10" i="25" s="1"/>
  <c r="G10" i="25"/>
  <c r="G11" i="26"/>
  <c r="G12" i="26"/>
  <c r="H12" i="26"/>
  <c r="L12" i="26" s="1"/>
  <c r="G13" i="26"/>
  <c r="G14" i="26"/>
  <c r="H14" i="26"/>
  <c r="L14" i="26" s="1"/>
  <c r="H15" i="26"/>
  <c r="H11" i="26"/>
  <c r="L11" i="26" s="1"/>
  <c r="H13" i="26"/>
  <c r="L13" i="26" s="1"/>
  <c r="H10" i="26"/>
  <c r="L10" i="26" s="1"/>
  <c r="G14" i="23"/>
  <c r="H11" i="23"/>
  <c r="L11" i="23" s="1"/>
  <c r="H12" i="23"/>
  <c r="L12" i="23" s="1"/>
  <c r="G13" i="23"/>
  <c r="H13" i="23"/>
  <c r="L13" i="23" s="1"/>
  <c r="H14" i="23"/>
  <c r="L14" i="23" s="1"/>
  <c r="H15" i="23"/>
  <c r="L15" i="23" s="1"/>
  <c r="H10" i="23"/>
  <c r="L10" i="23" s="1"/>
  <c r="K14" i="27" l="1"/>
  <c r="K10" i="25"/>
  <c r="M10" i="25" s="1"/>
  <c r="L15" i="29"/>
  <c r="H31" i="29" s="1"/>
  <c r="L15" i="28"/>
  <c r="H69" i="28" s="1"/>
  <c r="L15" i="27"/>
  <c r="H45" i="27" s="1"/>
  <c r="L15" i="24"/>
  <c r="H99" i="24" s="1"/>
  <c r="L15" i="26"/>
  <c r="H38" i="26" s="1"/>
  <c r="K14" i="28"/>
  <c r="K14" i="25"/>
  <c r="K13" i="25"/>
  <c r="K15" i="25"/>
  <c r="H28" i="25" s="1"/>
  <c r="K11" i="25"/>
  <c r="K12" i="25"/>
  <c r="K13" i="26"/>
  <c r="K14" i="26"/>
  <c r="K12" i="26"/>
  <c r="K11" i="26"/>
  <c r="K10" i="26"/>
  <c r="M10" i="26" s="1"/>
  <c r="K10" i="23"/>
  <c r="M10" i="23" s="1"/>
  <c r="K13" i="23"/>
  <c r="K14" i="24"/>
  <c r="K12" i="23"/>
  <c r="K15" i="23"/>
  <c r="K14" i="23"/>
  <c r="K11" i="23"/>
  <c r="K14" i="29"/>
  <c r="M14" i="29" s="1"/>
  <c r="K13" i="28"/>
  <c r="K12" i="28"/>
  <c r="K11" i="28"/>
  <c r="K13" i="27"/>
  <c r="K12" i="27"/>
  <c r="K11" i="27"/>
  <c r="K10" i="27"/>
  <c r="M10" i="27" s="1"/>
  <c r="K13" i="24"/>
  <c r="K12" i="24"/>
  <c r="K11" i="24"/>
  <c r="K10" i="24"/>
  <c r="M10" i="24" s="1"/>
  <c r="K15" i="28" l="1"/>
  <c r="H49" i="28" s="1"/>
  <c r="K15" i="27"/>
  <c r="H35" i="27" s="1"/>
  <c r="M11" i="25"/>
  <c r="K15" i="29"/>
  <c r="H28" i="29" s="1"/>
  <c r="K15" i="24"/>
  <c r="H63" i="24" s="1"/>
  <c r="K15" i="26"/>
  <c r="H32" i="26" s="1"/>
  <c r="M11" i="27"/>
  <c r="M11" i="24"/>
  <c r="M11" i="26"/>
  <c r="M11" i="23"/>
  <c r="M12" i="27" l="1"/>
  <c r="M12" i="24"/>
  <c r="M12" i="25"/>
  <c r="M12" i="26"/>
  <c r="M12" i="23"/>
  <c r="M15" i="29"/>
  <c r="M13" i="25" l="1"/>
  <c r="M14" i="25" s="1"/>
  <c r="M15" i="25" s="1"/>
  <c r="M13" i="27"/>
  <c r="M13" i="24"/>
  <c r="M13" i="26"/>
  <c r="M13" i="23"/>
  <c r="M14" i="23" s="1"/>
  <c r="M15" i="23" s="1"/>
  <c r="M14" i="27" l="1"/>
  <c r="M15" i="27" s="1"/>
  <c r="M14" i="24"/>
  <c r="M14" i="26"/>
  <c r="M15" i="24"/>
  <c r="M11" i="28"/>
  <c r="M15" i="26" l="1"/>
  <c r="M12" i="28"/>
  <c r="M13" i="28" l="1"/>
  <c r="M14" i="28" l="1"/>
  <c r="M15" i="28" l="1"/>
</calcChain>
</file>

<file path=xl/sharedStrings.xml><?xml version="1.0" encoding="utf-8"?>
<sst xmlns="http://schemas.openxmlformats.org/spreadsheetml/2006/main" count="275" uniqueCount="49">
  <si>
    <t>Month</t>
  </si>
  <si>
    <t>Plant Balance</t>
  </si>
  <si>
    <t>Book Depreciation</t>
  </si>
  <si>
    <t>Louisville Gas and Electric Company</t>
  </si>
  <si>
    <t>Deferred Taxes on Retirements</t>
  </si>
  <si>
    <t>Accumulated Deferred Taxes</t>
  </si>
  <si>
    <t>Deferred Tax Calculations</t>
  </si>
  <si>
    <t>Environmental Compliance Plans, by Approved Project</t>
  </si>
  <si>
    <t>Beg Balance</t>
  </si>
  <si>
    <t>2009 - Plan</t>
  </si>
  <si>
    <t>Project 23 - Trimble County Ash Treatment Basis (BAP/GSP)</t>
  </si>
  <si>
    <t>Project 26 - Mill Creek Station Air Compliance</t>
  </si>
  <si>
    <t>2011 - Plan</t>
  </si>
  <si>
    <t>Project 25 -Beneficial Reuse</t>
  </si>
  <si>
    <t>Project 27 - Trimble County Unit 1 Air Compliance</t>
  </si>
  <si>
    <t>2016 - Plan</t>
  </si>
  <si>
    <t>Project 28 - Supplemental Mecury Control</t>
  </si>
  <si>
    <t>Project 30 - Trimble County New Process Water Systems</t>
  </si>
  <si>
    <t>Fed Tax Depreciation</t>
  </si>
  <si>
    <t>State Tax Depreciation</t>
  </si>
  <si>
    <t>Fed Temporary Difference</t>
  </si>
  <si>
    <t>State Temporary Difference</t>
  </si>
  <si>
    <t>Fed Tax Rate</t>
  </si>
  <si>
    <t>State Tax Rate</t>
  </si>
  <si>
    <t>Fed Deferred Tax</t>
  </si>
  <si>
    <t>State Deferred Tax</t>
  </si>
  <si>
    <t xml:space="preserve">Due to Bonus Depreciation for tax purposes taken on certain components of Project 27, the deferred tax calculation for this project </t>
  </si>
  <si>
    <t>is shown below:</t>
  </si>
  <si>
    <t>Federal Basis</t>
  </si>
  <si>
    <t>Book Depr.</t>
  </si>
  <si>
    <t>Federal Tax Depr</t>
  </si>
  <si>
    <t>Fed. Difference</t>
  </si>
  <si>
    <t>Fed Def Tax</t>
  </si>
  <si>
    <t xml:space="preserve">Due to Bonus Depreciation for tax purposes taken on certain components of Project 24, the deferred tax calculation for this project </t>
  </si>
  <si>
    <t>State Basis</t>
  </si>
  <si>
    <t>State Tax Depr</t>
  </si>
  <si>
    <t>St. Difference</t>
  </si>
  <si>
    <t>St Def Tax</t>
  </si>
  <si>
    <t>State Offset</t>
  </si>
  <si>
    <t xml:space="preserve">Due to Bonus Depreciation for tax purposes taken on certain components of Project 25, the deferred tax calculation for this project </t>
  </si>
  <si>
    <t>Subtotal</t>
  </si>
  <si>
    <t xml:space="preserve">Due to Bonus Depreciation for tax purposes taken on certain components of Project 26, the deferred tax calculation for this project </t>
  </si>
  <si>
    <t xml:space="preserve">Due to Bonus Depreciation for tax purposes taken on certain components of Project 28, the deferred tax calculation for this project </t>
  </si>
  <si>
    <t xml:space="preserve">Due to Bonus Depreciation for tax purposes taken on certain components of Project 30, the deferred tax calculation for this project </t>
  </si>
  <si>
    <t>Project 24 - Trimble County CCP Storage (Landfill - Phase I)</t>
  </si>
  <si>
    <t>Project 29 - Mill Creek New Process Water Systems</t>
  </si>
  <si>
    <t xml:space="preserve">Due to Bonus Depreciation for tax purposes taken on certain components of Project 29, the deferred tax calculation for this project </t>
  </si>
  <si>
    <t>depreciation, which reduces the Federal tax basis of the plant balance.  A sample calculation of deferred taxes for Aug 2019</t>
  </si>
  <si>
    <t>is computed separately for Federal and State purposes.  Specifically, for Federal taxes, certain assets received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</si>
</sst>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[$-409]mmm\-yy;@"/>
    <numFmt numFmtId="166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0" fillId="0" borderId="0" xfId="0" applyNumberFormat="1"/>
    <xf numFmtId="0" fontId="3" fillId="0" borderId="0" xfId="0" applyFont="1" applyFill="1" applyAlignment="1"/>
    <xf numFmtId="165" fontId="3" fillId="0" borderId="0" xfId="0" applyNumberFormat="1" applyFont="1" applyFill="1" applyAlignment="1"/>
    <xf numFmtId="165" fontId="2" fillId="0" borderId="0" xfId="0" applyNumberFormat="1" applyFont="1" applyFill="1" applyBorder="1"/>
    <xf numFmtId="165" fontId="3" fillId="0" borderId="1" xfId="0" applyNumberFormat="1" applyFont="1" applyBorder="1" applyAlignment="1">
      <alignment horizontal="center" wrapText="1"/>
    </xf>
    <xf numFmtId="165" fontId="0" fillId="0" borderId="0" xfId="0" applyNumberFormat="1"/>
    <xf numFmtId="41" fontId="0" fillId="0" borderId="0" xfId="0" applyNumberFormat="1"/>
    <xf numFmtId="166" fontId="1" fillId="0" borderId="0" xfId="1" applyNumberFormat="1"/>
    <xf numFmtId="41" fontId="4" fillId="0" borderId="0" xfId="0" applyNumberFormat="1" applyFont="1"/>
    <xf numFmtId="38" fontId="4" fillId="0" borderId="0" xfId="0" applyNumberFormat="1" applyFont="1"/>
    <xf numFmtId="166" fontId="4" fillId="0" borderId="0" xfId="1" applyNumberFormat="1" applyFont="1"/>
    <xf numFmtId="41" fontId="0" fillId="0" borderId="0" xfId="0" applyNumberFormat="1" applyFill="1"/>
    <xf numFmtId="165" fontId="4" fillId="0" borderId="0" xfId="0" applyNumberFormat="1" applyFont="1" applyAlignment="1">
      <alignment horizontal="left"/>
    </xf>
    <xf numFmtId="0" fontId="4" fillId="0" borderId="0" xfId="0" quotePrefix="1" applyFont="1" applyFill="1" applyBorder="1" applyAlignment="1" applyProtection="1">
      <alignment horizontal="left"/>
    </xf>
    <xf numFmtId="165" fontId="2" fillId="0" borderId="0" xfId="0" quotePrefix="1" applyNumberFormat="1" applyFont="1" applyFill="1" applyBorder="1" applyAlignment="1">
      <alignment horizontal="left"/>
    </xf>
    <xf numFmtId="0" fontId="1" fillId="0" borderId="0" xfId="0" quotePrefix="1" applyFont="1" applyFill="1" applyBorder="1" applyAlignment="1" applyProtection="1">
      <alignment horizontal="left"/>
    </xf>
    <xf numFmtId="166" fontId="0" fillId="0" borderId="0" xfId="0" applyNumberFormat="1"/>
    <xf numFmtId="41" fontId="1" fillId="0" borderId="0" xfId="0" quotePrefix="1" applyNumberFormat="1" applyFont="1" applyFill="1" applyAlignment="1">
      <alignment horizontal="left"/>
    </xf>
    <xf numFmtId="166" fontId="1" fillId="0" borderId="0" xfId="3" applyNumberFormat="1" applyFont="1" applyFill="1"/>
    <xf numFmtId="43" fontId="1" fillId="0" borderId="0" xfId="3" applyFont="1" applyFill="1"/>
    <xf numFmtId="0" fontId="1" fillId="0" borderId="0" xfId="0" quotePrefix="1" applyFont="1" applyFill="1" applyAlignment="1">
      <alignment horizontal="left"/>
    </xf>
    <xf numFmtId="166" fontId="1" fillId="0" borderId="0" xfId="3" quotePrefix="1" applyNumberFormat="1" applyFont="1" applyFill="1" applyAlignment="1">
      <alignment horizontal="left"/>
    </xf>
    <xf numFmtId="164" fontId="0" fillId="0" borderId="0" xfId="0" applyNumberFormat="1" applyFill="1"/>
    <xf numFmtId="41" fontId="8" fillId="0" borderId="0" xfId="0" applyNumberFormat="1" applyFont="1"/>
    <xf numFmtId="0" fontId="1" fillId="0" borderId="0" xfId="0" applyFont="1"/>
    <xf numFmtId="165" fontId="1" fillId="0" borderId="0" xfId="8" applyNumberFormat="1" applyFont="1" applyAlignment="1">
      <alignment horizontal="left"/>
    </xf>
    <xf numFmtId="165" fontId="1" fillId="0" borderId="0" xfId="8" applyNumberFormat="1" applyFont="1" applyFill="1" applyAlignment="1">
      <alignment horizontal="left"/>
    </xf>
    <xf numFmtId="41" fontId="1" fillId="0" borderId="0" xfId="0" applyNumberFormat="1" applyFont="1"/>
    <xf numFmtId="164" fontId="1" fillId="0" borderId="0" xfId="0" applyNumberFormat="1" applyFont="1"/>
    <xf numFmtId="41" fontId="1" fillId="0" borderId="1" xfId="0" applyNumberFormat="1" applyFont="1" applyBorder="1"/>
    <xf numFmtId="41" fontId="1" fillId="0" borderId="0" xfId="0" quotePrefix="1" applyNumberFormat="1" applyFont="1" applyAlignment="1">
      <alignment horizontal="left"/>
    </xf>
    <xf numFmtId="166" fontId="1" fillId="0" borderId="0" xfId="3" applyNumberFormat="1" applyFont="1"/>
    <xf numFmtId="43" fontId="1" fillId="0" borderId="0" xfId="3" applyFont="1"/>
    <xf numFmtId="0" fontId="1" fillId="0" borderId="0" xfId="0" quotePrefix="1" applyFont="1" applyAlignment="1">
      <alignment horizontal="left"/>
    </xf>
    <xf numFmtId="166" fontId="1" fillId="0" borderId="0" xfId="3" quotePrefix="1" applyNumberFormat="1" applyFont="1" applyAlignment="1">
      <alignment horizontal="left"/>
    </xf>
    <xf numFmtId="0" fontId="9" fillId="0" borderId="0" xfId="0" applyFont="1"/>
    <xf numFmtId="41" fontId="9" fillId="0" borderId="0" xfId="0" applyNumberFormat="1" applyFont="1"/>
    <xf numFmtId="164" fontId="9" fillId="0" borderId="0" xfId="0" applyNumberFormat="1" applyFont="1"/>
    <xf numFmtId="0" fontId="1" fillId="0" borderId="0" xfId="8" applyFont="1"/>
    <xf numFmtId="0" fontId="3" fillId="0" borderId="0" xfId="0" applyFont="1" applyFill="1" applyAlignment="1">
      <alignment horizontal="center"/>
    </xf>
    <xf numFmtId="165" fontId="1" fillId="0" borderId="0" xfId="0" quotePrefix="1" applyNumberFormat="1" applyFont="1" applyFill="1" applyAlignment="1">
      <alignment horizontal="left"/>
    </xf>
  </cellXfs>
  <cellStyles count="9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3 2" xfId="5" xr:uid="{00000000-0005-0000-0000-000004000000}"/>
    <cellStyle name="Comma 4" xfId="6" xr:uid="{00000000-0005-0000-0000-000005000000}"/>
    <cellStyle name="Comma 5" xfId="7" xr:uid="{00000000-0005-0000-0000-000006000000}"/>
    <cellStyle name="Normal" xfId="0" builtinId="0"/>
    <cellStyle name="Normal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1:N18"/>
  <sheetViews>
    <sheetView tabSelected="1" zoomScaleNormal="100" workbookViewId="0">
      <selection sqref="A1:N1"/>
    </sheetView>
  </sheetViews>
  <sheetFormatPr defaultRowHeight="12.75" x14ac:dyDescent="0.2"/>
  <cols>
    <col min="1" max="1" width="11.28515625" style="8" customWidth="1"/>
    <col min="2" max="2" width="1.7109375" customWidth="1"/>
    <col min="3" max="14" width="12.7109375" customWidth="1"/>
  </cols>
  <sheetData>
    <row r="1" spans="1:14" x14ac:dyDescent="0.2">
      <c r="A1" s="42" t="s">
        <v>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42" t="s">
        <v>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2">
      <c r="A3" s="42" t="s">
        <v>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">
      <c r="A5" s="6" t="s">
        <v>9</v>
      </c>
    </row>
    <row r="6" spans="1:14" x14ac:dyDescent="0.2">
      <c r="A6" s="16" t="s">
        <v>10</v>
      </c>
    </row>
    <row r="8" spans="1:14" s="1" customFormat="1" ht="38.25" x14ac:dyDescent="0.2">
      <c r="A8" s="7" t="s">
        <v>0</v>
      </c>
      <c r="B8" s="2"/>
      <c r="C8" s="2" t="s">
        <v>1</v>
      </c>
      <c r="D8" s="2" t="s">
        <v>2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5</v>
      </c>
      <c r="N8" s="2" t="s">
        <v>4</v>
      </c>
    </row>
    <row r="9" spans="1:14" x14ac:dyDescent="0.2">
      <c r="A9" s="8" t="s">
        <v>8</v>
      </c>
      <c r="M9" s="10">
        <v>1044282</v>
      </c>
    </row>
    <row r="10" spans="1:14" x14ac:dyDescent="0.2">
      <c r="A10" s="29">
        <v>43533</v>
      </c>
      <c r="C10" s="11">
        <v>9599354</v>
      </c>
      <c r="D10" s="12">
        <v>10336</v>
      </c>
      <c r="E10" s="13">
        <f t="shared" ref="E10:F12" si="0">35697.03</f>
        <v>35697.03</v>
      </c>
      <c r="F10" s="13">
        <f t="shared" si="0"/>
        <v>35697.03</v>
      </c>
      <c r="G10" s="11">
        <f t="shared" ref="G10:G15" si="1">E10-D10</f>
        <v>25361.03</v>
      </c>
      <c r="H10" s="11">
        <f t="shared" ref="H10:H15" si="2">F10-D10</f>
        <v>25361.03</v>
      </c>
      <c r="I10" s="3">
        <v>0.21</v>
      </c>
      <c r="J10" s="3">
        <v>0.05</v>
      </c>
      <c r="K10" s="9">
        <f t="shared" ref="K10:K15" si="3">G10*I10-L10*I10</f>
        <v>5059.5254849999992</v>
      </c>
      <c r="L10" s="9">
        <f t="shared" ref="L10:L15" si="4">H10*J10</f>
        <v>1268.0515</v>
      </c>
      <c r="M10" s="14">
        <f t="shared" ref="M10:M15" si="5">M9+K10+L10</f>
        <v>1050609.5769850002</v>
      </c>
      <c r="N10" s="9">
        <v>0</v>
      </c>
    </row>
    <row r="11" spans="1:14" x14ac:dyDescent="0.2">
      <c r="A11" s="28">
        <v>43556</v>
      </c>
      <c r="C11" s="11">
        <v>9599354</v>
      </c>
      <c r="D11" s="12">
        <v>10336</v>
      </c>
      <c r="E11" s="13">
        <f t="shared" si="0"/>
        <v>35697.03</v>
      </c>
      <c r="F11" s="13">
        <f t="shared" si="0"/>
        <v>35697.03</v>
      </c>
      <c r="G11" s="11">
        <f t="shared" si="1"/>
        <v>25361.03</v>
      </c>
      <c r="H11" s="11">
        <f t="shared" si="2"/>
        <v>25361.03</v>
      </c>
      <c r="I11" s="3">
        <v>0.21</v>
      </c>
      <c r="J11" s="3">
        <v>0.05</v>
      </c>
      <c r="K11" s="9">
        <f t="shared" si="3"/>
        <v>5059.5254849999992</v>
      </c>
      <c r="L11" s="9">
        <f t="shared" si="4"/>
        <v>1268.0515</v>
      </c>
      <c r="M11" s="14">
        <f t="shared" si="5"/>
        <v>1056937.1539700003</v>
      </c>
      <c r="N11" s="9">
        <v>0</v>
      </c>
    </row>
    <row r="12" spans="1:14" x14ac:dyDescent="0.2">
      <c r="A12" s="28">
        <v>43586</v>
      </c>
      <c r="C12" s="11">
        <v>9599354</v>
      </c>
      <c r="D12" s="12">
        <v>16570</v>
      </c>
      <c r="E12" s="13">
        <f>35697.03+3.1</f>
        <v>35700.129999999997</v>
      </c>
      <c r="F12" s="13">
        <f t="shared" si="0"/>
        <v>35697.03</v>
      </c>
      <c r="G12" s="11">
        <f t="shared" si="1"/>
        <v>19130.129999999997</v>
      </c>
      <c r="H12" s="11">
        <f t="shared" si="2"/>
        <v>19127.03</v>
      </c>
      <c r="I12" s="3">
        <v>0.21</v>
      </c>
      <c r="J12" s="3">
        <v>0.05</v>
      </c>
      <c r="K12" s="9">
        <f t="shared" si="3"/>
        <v>3816.4934849999995</v>
      </c>
      <c r="L12" s="9">
        <f t="shared" si="4"/>
        <v>956.35149999999999</v>
      </c>
      <c r="M12" s="14">
        <f t="shared" si="5"/>
        <v>1061709.9989550004</v>
      </c>
      <c r="N12" s="9">
        <v>0</v>
      </c>
    </row>
    <row r="13" spans="1:14" x14ac:dyDescent="0.2">
      <c r="A13" s="28">
        <v>43617</v>
      </c>
      <c r="C13" s="11">
        <v>9599354</v>
      </c>
      <c r="D13" s="12">
        <v>16570</v>
      </c>
      <c r="E13" s="13">
        <f t="shared" ref="E13:F15" si="6">35697.03</f>
        <v>35697.03</v>
      </c>
      <c r="F13" s="13">
        <f t="shared" si="6"/>
        <v>35697.03</v>
      </c>
      <c r="G13" s="11">
        <f t="shared" si="1"/>
        <v>19127.03</v>
      </c>
      <c r="H13" s="11">
        <f t="shared" si="2"/>
        <v>19127.03</v>
      </c>
      <c r="I13" s="3">
        <v>0.21</v>
      </c>
      <c r="J13" s="3">
        <v>0.05</v>
      </c>
      <c r="K13" s="9">
        <f t="shared" si="3"/>
        <v>3815.8424849999997</v>
      </c>
      <c r="L13" s="9">
        <f t="shared" si="4"/>
        <v>956.35149999999999</v>
      </c>
      <c r="M13" s="14">
        <f t="shared" si="5"/>
        <v>1066482.1929400004</v>
      </c>
      <c r="N13" s="9">
        <v>0</v>
      </c>
    </row>
    <row r="14" spans="1:14" x14ac:dyDescent="0.2">
      <c r="A14" s="28">
        <v>43647</v>
      </c>
      <c r="C14" s="11">
        <v>9599354</v>
      </c>
      <c r="D14" s="12">
        <v>16570</v>
      </c>
      <c r="E14" s="13">
        <f t="shared" si="6"/>
        <v>35697.03</v>
      </c>
      <c r="F14" s="13">
        <f t="shared" si="6"/>
        <v>35697.03</v>
      </c>
      <c r="G14" s="11">
        <f t="shared" si="1"/>
        <v>19127.03</v>
      </c>
      <c r="H14" s="11">
        <f t="shared" si="2"/>
        <v>19127.03</v>
      </c>
      <c r="I14" s="3">
        <v>0.21</v>
      </c>
      <c r="J14" s="3">
        <v>0.05</v>
      </c>
      <c r="K14" s="9">
        <f t="shared" si="3"/>
        <v>3815.8424849999997</v>
      </c>
      <c r="L14" s="9">
        <f t="shared" si="4"/>
        <v>956.35149999999999</v>
      </c>
      <c r="M14" s="14">
        <f t="shared" si="5"/>
        <v>1071254.3869250005</v>
      </c>
      <c r="N14" s="9">
        <v>0</v>
      </c>
    </row>
    <row r="15" spans="1:14" x14ac:dyDescent="0.2">
      <c r="A15" s="28">
        <v>43678</v>
      </c>
      <c r="C15" s="11">
        <v>9599354</v>
      </c>
      <c r="D15" s="12">
        <v>16570</v>
      </c>
      <c r="E15" s="13">
        <f>35697.03-2</f>
        <v>35695.03</v>
      </c>
      <c r="F15" s="13">
        <f t="shared" si="6"/>
        <v>35697.03</v>
      </c>
      <c r="G15" s="11">
        <f t="shared" si="1"/>
        <v>19125.03</v>
      </c>
      <c r="H15" s="11">
        <f t="shared" si="2"/>
        <v>19127.03</v>
      </c>
      <c r="I15" s="3">
        <v>0.21</v>
      </c>
      <c r="J15" s="3">
        <v>0.05</v>
      </c>
      <c r="K15" s="9">
        <f t="shared" si="3"/>
        <v>3815.4224849999996</v>
      </c>
      <c r="L15" s="9">
        <f t="shared" si="4"/>
        <v>956.35149999999999</v>
      </c>
      <c r="M15" s="14">
        <f t="shared" si="5"/>
        <v>1076026.1609100006</v>
      </c>
      <c r="N15" s="9">
        <v>0</v>
      </c>
    </row>
    <row r="16" spans="1:14" x14ac:dyDescent="0.2">
      <c r="A16" s="15"/>
      <c r="C16" s="11"/>
      <c r="D16" s="12"/>
      <c r="E16" s="12"/>
      <c r="F16" s="12"/>
      <c r="G16" s="13"/>
      <c r="H16" s="13"/>
      <c r="I16" s="13"/>
      <c r="J16" s="11"/>
      <c r="K16" s="11"/>
      <c r="L16" s="3"/>
      <c r="M16" s="3"/>
      <c r="N16" s="9"/>
    </row>
    <row r="17" spans="1:14" x14ac:dyDescent="0.2">
      <c r="A17" s="15"/>
      <c r="C17" s="11"/>
      <c r="D17" s="12"/>
      <c r="E17" s="12"/>
      <c r="F17" s="12"/>
      <c r="G17" s="13"/>
      <c r="H17" s="13"/>
      <c r="I17" s="13"/>
      <c r="J17" s="11"/>
      <c r="K17" s="11"/>
      <c r="L17" s="3"/>
      <c r="M17" s="3"/>
      <c r="N17" s="9"/>
    </row>
    <row r="18" spans="1:14" x14ac:dyDescent="0.2">
      <c r="A18" s="15"/>
      <c r="C18" s="11"/>
      <c r="D18" s="12"/>
      <c r="E18" s="12"/>
      <c r="F18" s="12"/>
      <c r="G18" s="13"/>
      <c r="H18" s="13"/>
      <c r="I18" s="13"/>
      <c r="J18" s="11"/>
      <c r="K18" s="11"/>
      <c r="L18" s="3"/>
      <c r="M18" s="3"/>
      <c r="N18" s="9"/>
    </row>
  </sheetData>
  <mergeCells count="3">
    <mergeCell ref="A1:N1"/>
    <mergeCell ref="A2:N2"/>
    <mergeCell ref="A3:N3"/>
  </mergeCells>
  <pageMargins left="0.5" right="0.5" top="1.5" bottom="0.5" header="0.5" footer="0.5"/>
  <pageSetup scale="58" orientation="portrait" r:id="rId1"/>
  <headerFooter alignWithMargins="0">
    <oddHeader>&amp;R&amp;"Times New Roman,Bold"&amp;12Attachment to Response to Question No. 3
Page &amp;P of &amp;N
Williams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8"/>
  <sheetViews>
    <sheetView zoomScaleNormal="100" workbookViewId="0">
      <selection sqref="A1:N1"/>
    </sheetView>
  </sheetViews>
  <sheetFormatPr defaultRowHeight="12.75" x14ac:dyDescent="0.2"/>
  <cols>
    <col min="1" max="1" width="11.28515625" style="8" customWidth="1"/>
    <col min="2" max="2" width="1.7109375" customWidth="1"/>
    <col min="3" max="3" width="13.28515625" customWidth="1"/>
    <col min="4" max="4" width="12.7109375" customWidth="1"/>
    <col min="5" max="5" width="16" customWidth="1"/>
    <col min="6" max="6" width="14.7109375" customWidth="1"/>
    <col min="7" max="7" width="14" customWidth="1"/>
    <col min="8" max="14" width="12.7109375" customWidth="1"/>
  </cols>
  <sheetData>
    <row r="1" spans="1:15" x14ac:dyDescent="0.2">
      <c r="A1" s="42" t="s">
        <v>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x14ac:dyDescent="0.2">
      <c r="A2" s="42" t="s">
        <v>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5" x14ac:dyDescent="0.2">
      <c r="A3" s="42" t="s">
        <v>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5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5" x14ac:dyDescent="0.2">
      <c r="A5" s="17" t="s">
        <v>9</v>
      </c>
    </row>
    <row r="6" spans="1:15" x14ac:dyDescent="0.2">
      <c r="A6" s="43" t="s">
        <v>44</v>
      </c>
    </row>
    <row r="8" spans="1:15" s="1" customFormat="1" ht="38.25" x14ac:dyDescent="0.2">
      <c r="A8" s="7" t="s">
        <v>0</v>
      </c>
      <c r="B8" s="2"/>
      <c r="C8" s="2" t="s">
        <v>1</v>
      </c>
      <c r="D8" s="2" t="s">
        <v>2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5</v>
      </c>
      <c r="N8" s="2" t="s">
        <v>4</v>
      </c>
    </row>
    <row r="9" spans="1:15" x14ac:dyDescent="0.2">
      <c r="A9" s="8" t="s">
        <v>8</v>
      </c>
      <c r="M9" s="10">
        <v>2266095</v>
      </c>
    </row>
    <row r="10" spans="1:15" x14ac:dyDescent="0.2">
      <c r="A10" s="29">
        <v>43533</v>
      </c>
      <c r="C10" s="11">
        <v>13662883</v>
      </c>
      <c r="D10" s="12">
        <v>28766</v>
      </c>
      <c r="E10" s="12">
        <f>33570.58-202.51</f>
        <v>33368.07</v>
      </c>
      <c r="F10" s="12">
        <f>65539.82</f>
        <v>65539.820000000007</v>
      </c>
      <c r="G10" s="13">
        <f t="shared" ref="G10:G15" si="0">E10-D10</f>
        <v>4602.07</v>
      </c>
      <c r="H10" s="13">
        <f t="shared" ref="H10:H15" si="1">F10-D10</f>
        <v>36773.820000000007</v>
      </c>
      <c r="I10" s="3">
        <v>0.21</v>
      </c>
      <c r="J10" s="3">
        <v>0.05</v>
      </c>
      <c r="K10" s="9">
        <f t="shared" ref="K10:K15" si="2">G10*I10-L10*I10</f>
        <v>580.30958999999984</v>
      </c>
      <c r="L10" s="9">
        <f t="shared" ref="L10:L15" si="3">H10*J10</f>
        <v>1838.6910000000005</v>
      </c>
      <c r="M10" s="14">
        <f t="shared" ref="M10:M15" si="4">M9+K10+L10</f>
        <v>2268514.0005900003</v>
      </c>
      <c r="N10" s="9">
        <v>296464</v>
      </c>
      <c r="O10" s="19"/>
    </row>
    <row r="11" spans="1:15" x14ac:dyDescent="0.2">
      <c r="A11" s="28">
        <v>43556</v>
      </c>
      <c r="C11" s="11">
        <v>79812108</v>
      </c>
      <c r="D11" s="12">
        <v>104287</v>
      </c>
      <c r="E11" s="12">
        <f>3138709.23-79753.41</f>
        <v>3058955.82</v>
      </c>
      <c r="F11" s="12">
        <v>341161.6</v>
      </c>
      <c r="G11" s="13">
        <f t="shared" si="0"/>
        <v>2954668.82</v>
      </c>
      <c r="H11" s="13">
        <f t="shared" si="1"/>
        <v>236874.59999999998</v>
      </c>
      <c r="I11" s="3">
        <v>0.21</v>
      </c>
      <c r="J11" s="3">
        <v>0.05</v>
      </c>
      <c r="K11" s="9">
        <f t="shared" si="2"/>
        <v>617993.26889999991</v>
      </c>
      <c r="L11" s="9">
        <f t="shared" si="3"/>
        <v>11843.73</v>
      </c>
      <c r="M11" s="14">
        <f t="shared" si="4"/>
        <v>2898350.9994900003</v>
      </c>
      <c r="N11" s="9">
        <v>296464</v>
      </c>
      <c r="O11" s="19"/>
    </row>
    <row r="12" spans="1:15" x14ac:dyDescent="0.2">
      <c r="A12" s="28">
        <v>43586</v>
      </c>
      <c r="C12" s="11">
        <v>79812108</v>
      </c>
      <c r="D12" s="12">
        <v>160551</v>
      </c>
      <c r="E12" s="12">
        <f>3138709.23+9969.78</f>
        <v>3148679.01</v>
      </c>
      <c r="F12" s="12">
        <f>341161.6</f>
        <v>341161.6</v>
      </c>
      <c r="G12" s="13">
        <f t="shared" si="0"/>
        <v>2988128.01</v>
      </c>
      <c r="H12" s="13">
        <f t="shared" si="1"/>
        <v>180610.59999999998</v>
      </c>
      <c r="I12" s="3">
        <v>0.21</v>
      </c>
      <c r="J12" s="3">
        <v>0.05</v>
      </c>
      <c r="K12" s="9">
        <f t="shared" si="2"/>
        <v>625610.47079999989</v>
      </c>
      <c r="L12" s="9">
        <f t="shared" si="3"/>
        <v>9030.5299999999988</v>
      </c>
      <c r="M12" s="14">
        <f t="shared" si="4"/>
        <v>3532992.0002899999</v>
      </c>
      <c r="N12" s="9">
        <v>296464</v>
      </c>
      <c r="O12" s="19"/>
    </row>
    <row r="13" spans="1:15" x14ac:dyDescent="0.2">
      <c r="A13" s="28">
        <v>43617</v>
      </c>
      <c r="C13" s="11">
        <v>79812108</v>
      </c>
      <c r="D13" s="12">
        <v>160551</v>
      </c>
      <c r="E13" s="12">
        <f>3138709.23+9969.77</f>
        <v>3148679</v>
      </c>
      <c r="F13" s="12">
        <f>341161.6</f>
        <v>341161.6</v>
      </c>
      <c r="G13" s="13">
        <f t="shared" si="0"/>
        <v>2988128</v>
      </c>
      <c r="H13" s="13">
        <f t="shared" si="1"/>
        <v>180610.59999999998</v>
      </c>
      <c r="I13" s="3">
        <v>0.21</v>
      </c>
      <c r="J13" s="3">
        <v>0.05</v>
      </c>
      <c r="K13" s="9">
        <f t="shared" si="2"/>
        <v>625610.46869999997</v>
      </c>
      <c r="L13" s="9">
        <f t="shared" si="3"/>
        <v>9030.5299999999988</v>
      </c>
      <c r="M13" s="14">
        <f t="shared" si="4"/>
        <v>4167632.9989899998</v>
      </c>
      <c r="N13" s="9">
        <v>296464</v>
      </c>
      <c r="O13" s="19"/>
    </row>
    <row r="14" spans="1:15" x14ac:dyDescent="0.2">
      <c r="A14" s="28">
        <v>43647</v>
      </c>
      <c r="C14" s="11">
        <v>79812108</v>
      </c>
      <c r="D14" s="12">
        <v>160551</v>
      </c>
      <c r="E14" s="12">
        <f>3138709.23+9969.78</f>
        <v>3148679.01</v>
      </c>
      <c r="F14" s="12">
        <f>341161.6</f>
        <v>341161.6</v>
      </c>
      <c r="G14" s="13">
        <f t="shared" si="0"/>
        <v>2988128.01</v>
      </c>
      <c r="H14" s="13">
        <f t="shared" si="1"/>
        <v>180610.59999999998</v>
      </c>
      <c r="I14" s="3">
        <v>0.21</v>
      </c>
      <c r="J14" s="3">
        <v>0.05</v>
      </c>
      <c r="K14" s="9">
        <f t="shared" si="2"/>
        <v>625610.47079999989</v>
      </c>
      <c r="L14" s="9">
        <f t="shared" si="3"/>
        <v>9030.5299999999988</v>
      </c>
      <c r="M14" s="14">
        <f t="shared" si="4"/>
        <v>4802273.9997899998</v>
      </c>
      <c r="N14" s="9">
        <v>296464</v>
      </c>
      <c r="O14" s="19"/>
    </row>
    <row r="15" spans="1:15" x14ac:dyDescent="0.2">
      <c r="A15" s="28">
        <v>43678</v>
      </c>
      <c r="C15" s="11">
        <v>79812108</v>
      </c>
      <c r="D15" s="12">
        <v>160551</v>
      </c>
      <c r="E15" s="12">
        <f>3138709.23+9969.78</f>
        <v>3148679.01</v>
      </c>
      <c r="F15" s="12">
        <f>341161.6</f>
        <v>341161.6</v>
      </c>
      <c r="G15" s="13">
        <f t="shared" si="0"/>
        <v>2988128.01</v>
      </c>
      <c r="H15" s="13">
        <f t="shared" si="1"/>
        <v>180610.59999999998</v>
      </c>
      <c r="I15" s="3">
        <v>0.21</v>
      </c>
      <c r="J15" s="3">
        <v>0.05</v>
      </c>
      <c r="K15" s="9">
        <f t="shared" si="2"/>
        <v>625610.47079999989</v>
      </c>
      <c r="L15" s="9">
        <f t="shared" si="3"/>
        <v>9030.5299999999988</v>
      </c>
      <c r="M15" s="14">
        <f t="shared" si="4"/>
        <v>5436915.0005900003</v>
      </c>
      <c r="N15" s="9">
        <v>296464</v>
      </c>
      <c r="O15" s="19"/>
    </row>
    <row r="16" spans="1:15" x14ac:dyDescent="0.2">
      <c r="A16" s="15"/>
      <c r="C16" s="11"/>
      <c r="D16" s="12"/>
      <c r="E16" s="12"/>
      <c r="F16" s="12"/>
      <c r="G16" s="13"/>
      <c r="H16" s="13"/>
      <c r="I16" s="13"/>
      <c r="J16" s="11"/>
      <c r="K16" s="11"/>
      <c r="L16" s="3"/>
      <c r="M16" s="3"/>
      <c r="N16" s="9"/>
    </row>
    <row r="17" spans="1:14" x14ac:dyDescent="0.2">
      <c r="A17" s="15"/>
      <c r="C17" s="11"/>
      <c r="D17" s="12"/>
      <c r="E17" s="12"/>
      <c r="F17" s="12"/>
      <c r="G17" s="13"/>
      <c r="H17" s="13"/>
      <c r="I17" s="13"/>
      <c r="J17" s="11"/>
      <c r="K17" s="11"/>
      <c r="L17" s="3"/>
      <c r="M17" s="3"/>
      <c r="N17" s="9"/>
    </row>
    <row r="18" spans="1:14" x14ac:dyDescent="0.2">
      <c r="A18" s="15"/>
      <c r="C18" s="11"/>
      <c r="D18" s="12"/>
      <c r="E18" s="12"/>
      <c r="F18" s="12"/>
      <c r="G18" s="13"/>
      <c r="H18" s="13"/>
      <c r="I18" s="13"/>
      <c r="J18" s="11"/>
      <c r="K18" s="11"/>
      <c r="L18" s="3"/>
      <c r="M18" s="3"/>
      <c r="N18" s="9"/>
    </row>
    <row r="19" spans="1:14" x14ac:dyDescent="0.2">
      <c r="C19" s="33" t="s">
        <v>33</v>
      </c>
      <c r="D19" s="34"/>
      <c r="E19" s="34"/>
      <c r="F19" s="34"/>
      <c r="G19" s="35"/>
      <c r="H19" s="35"/>
    </row>
    <row r="20" spans="1:14" x14ac:dyDescent="0.2">
      <c r="C20" s="33" t="s">
        <v>48</v>
      </c>
      <c r="D20" s="34"/>
      <c r="E20" s="34"/>
      <c r="F20" s="34"/>
      <c r="G20" s="35"/>
      <c r="H20" s="35"/>
    </row>
    <row r="21" spans="1:14" x14ac:dyDescent="0.2">
      <c r="C21" s="33" t="s">
        <v>47</v>
      </c>
      <c r="D21" s="34"/>
      <c r="E21" s="34"/>
      <c r="F21" s="34"/>
      <c r="G21" s="35"/>
      <c r="H21" s="35"/>
    </row>
    <row r="22" spans="1:14" x14ac:dyDescent="0.2">
      <c r="C22" s="9" t="s">
        <v>27</v>
      </c>
      <c r="D22" s="34"/>
      <c r="E22" s="34"/>
      <c r="F22" s="34"/>
      <c r="G22" s="35"/>
      <c r="H22" s="35"/>
    </row>
    <row r="23" spans="1:14" x14ac:dyDescent="0.2">
      <c r="C23" s="36"/>
      <c r="D23" s="34"/>
      <c r="E23" s="34"/>
      <c r="F23" s="34"/>
      <c r="G23" s="34"/>
      <c r="H23" s="34"/>
    </row>
    <row r="24" spans="1:14" x14ac:dyDescent="0.2">
      <c r="C24" s="9" t="s">
        <v>28</v>
      </c>
      <c r="D24" s="37" t="s">
        <v>29</v>
      </c>
      <c r="E24" s="35" t="s">
        <v>30</v>
      </c>
      <c r="F24" s="9" t="s">
        <v>31</v>
      </c>
      <c r="G24" s="3" t="s">
        <v>22</v>
      </c>
      <c r="H24" s="9" t="s">
        <v>32</v>
      </c>
    </row>
    <row r="25" spans="1:14" x14ac:dyDescent="0.2">
      <c r="C25" s="30">
        <v>7609098</v>
      </c>
      <c r="D25" s="30">
        <v>160551</v>
      </c>
      <c r="E25" s="30">
        <v>33371</v>
      </c>
      <c r="F25" s="30">
        <f>E25-D25</f>
        <v>-127180</v>
      </c>
      <c r="G25" s="3">
        <v>0.21</v>
      </c>
      <c r="H25" s="30">
        <f>F25*G25</f>
        <v>-26707.8</v>
      </c>
    </row>
    <row r="26" spans="1:14" x14ac:dyDescent="0.2">
      <c r="C26" s="30">
        <v>-21358.34</v>
      </c>
      <c r="D26" s="30"/>
      <c r="E26" s="30">
        <v>0</v>
      </c>
      <c r="F26" s="30">
        <f t="shared" ref="F26:F28" si="5">E26-D26</f>
        <v>0</v>
      </c>
      <c r="G26" s="3">
        <v>0.21</v>
      </c>
      <c r="H26" s="30">
        <f t="shared" ref="H26:H28" si="6">F26*G26</f>
        <v>0</v>
      </c>
    </row>
    <row r="27" spans="1:14" x14ac:dyDescent="0.2">
      <c r="C27" s="30">
        <v>26459690.212000001</v>
      </c>
      <c r="D27" s="30"/>
      <c r="E27" s="30">
        <v>2949935.18</v>
      </c>
      <c r="F27" s="30">
        <f t="shared" si="5"/>
        <v>2949935.18</v>
      </c>
      <c r="G27" s="3">
        <v>0.21</v>
      </c>
      <c r="H27" s="30">
        <f t="shared" si="6"/>
        <v>619486.38780000003</v>
      </c>
    </row>
    <row r="28" spans="1:14" ht="15" x14ac:dyDescent="0.35">
      <c r="C28" s="26">
        <v>39689535.317999996</v>
      </c>
      <c r="D28" s="30"/>
      <c r="E28" s="26">
        <v>165372.79999999999</v>
      </c>
      <c r="F28" s="26">
        <f t="shared" si="5"/>
        <v>165372.79999999999</v>
      </c>
      <c r="G28" s="3">
        <v>0.21</v>
      </c>
      <c r="H28" s="26">
        <f t="shared" si="6"/>
        <v>34728.287999999993</v>
      </c>
    </row>
    <row r="29" spans="1:14" x14ac:dyDescent="0.2">
      <c r="C29" s="9">
        <f>SUM(C25:C28)</f>
        <v>73736965.189999998</v>
      </c>
      <c r="E29" s="9">
        <f>SUM(E25:E28)</f>
        <v>3148678.98</v>
      </c>
      <c r="F29" s="9">
        <f>SUM(F25:F28)</f>
        <v>2988127.98</v>
      </c>
      <c r="G29" s="27" t="s">
        <v>40</v>
      </c>
      <c r="H29" s="30">
        <f>SUM(H25:H28)</f>
        <v>627506.87579999992</v>
      </c>
    </row>
    <row r="30" spans="1:14" ht="15" x14ac:dyDescent="0.35">
      <c r="G30" s="27" t="s">
        <v>38</v>
      </c>
      <c r="H30" s="26">
        <f>-H37*0.21</f>
        <v>-1896.4189650000001</v>
      </c>
    </row>
    <row r="31" spans="1:14" x14ac:dyDescent="0.2">
      <c r="H31" s="9">
        <f>H29+H30</f>
        <v>625610.45683499996</v>
      </c>
    </row>
    <row r="32" spans="1:14" x14ac:dyDescent="0.2">
      <c r="H32" s="30">
        <f>H31-K15</f>
        <v>-1.3964999932795763E-2</v>
      </c>
    </row>
    <row r="33" spans="3:8" x14ac:dyDescent="0.2">
      <c r="C33" s="9" t="s">
        <v>34</v>
      </c>
      <c r="D33" s="34" t="s">
        <v>29</v>
      </c>
      <c r="E33" s="35" t="s">
        <v>35</v>
      </c>
      <c r="F33" s="9" t="s">
        <v>36</v>
      </c>
      <c r="G33" s="3" t="s">
        <v>23</v>
      </c>
      <c r="H33" s="9" t="s">
        <v>37</v>
      </c>
    </row>
    <row r="34" spans="3:8" x14ac:dyDescent="0.2">
      <c r="C34" s="30">
        <v>13684241</v>
      </c>
      <c r="D34" s="30">
        <f>D25</f>
        <v>160551</v>
      </c>
      <c r="E34" s="30">
        <v>65540</v>
      </c>
      <c r="F34" s="30">
        <f>E34-D34</f>
        <v>-95011</v>
      </c>
      <c r="G34" s="3">
        <v>0.05</v>
      </c>
      <c r="H34" s="30">
        <f>F34*G34</f>
        <v>-4750.55</v>
      </c>
    </row>
    <row r="35" spans="3:8" x14ac:dyDescent="0.2">
      <c r="C35" s="30">
        <v>-21358.34</v>
      </c>
      <c r="D35" s="30"/>
      <c r="E35" s="30">
        <v>0</v>
      </c>
      <c r="F35" s="30">
        <f t="shared" ref="F35:F36" si="7">E35-D35</f>
        <v>0</v>
      </c>
      <c r="G35" s="3">
        <v>0.05</v>
      </c>
      <c r="H35" s="30">
        <f t="shared" ref="H35:H36" si="8">F35*G35</f>
        <v>0</v>
      </c>
    </row>
    <row r="36" spans="3:8" ht="15" x14ac:dyDescent="0.35">
      <c r="C36" s="26">
        <v>66149225</v>
      </c>
      <c r="D36" s="30"/>
      <c r="E36" s="26">
        <v>275622.33</v>
      </c>
      <c r="F36" s="26">
        <f t="shared" si="7"/>
        <v>275622.33</v>
      </c>
      <c r="G36" s="3">
        <v>0.05</v>
      </c>
      <c r="H36" s="26">
        <f t="shared" si="8"/>
        <v>13781.116500000002</v>
      </c>
    </row>
    <row r="37" spans="3:8" x14ac:dyDescent="0.2">
      <c r="C37" s="9">
        <f>SUM(C34:C36)</f>
        <v>79812107.659999996</v>
      </c>
      <c r="E37" s="9">
        <f>SUM(E34:E36)</f>
        <v>341162.33</v>
      </c>
      <c r="F37" s="9">
        <f>SUM(F34:F36)</f>
        <v>180611.33000000002</v>
      </c>
      <c r="H37" s="30">
        <f>SUM(H34:H36)</f>
        <v>9030.5665000000008</v>
      </c>
    </row>
    <row r="38" spans="3:8" x14ac:dyDescent="0.2">
      <c r="H38" s="9">
        <f>H37-L15</f>
        <v>3.650000000197906E-2</v>
      </c>
    </row>
  </sheetData>
  <mergeCells count="3">
    <mergeCell ref="A1:N1"/>
    <mergeCell ref="A2:N2"/>
    <mergeCell ref="A3:N3"/>
  </mergeCells>
  <pageMargins left="0.5" right="0.5" top="1.5" bottom="0.5" header="0.5" footer="0.5"/>
  <pageSetup scale="56" orientation="portrait" r:id="rId1"/>
  <headerFooter alignWithMargins="0">
    <oddHeader>&amp;R&amp;"Times New Roman,Bold"&amp;12Attachment to Response to Question No. 3
Page &amp;P of &amp;N
Williams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pageSetUpPr fitToPage="1"/>
  </sheetPr>
  <dimension ref="A1:N35"/>
  <sheetViews>
    <sheetView zoomScaleNormal="100" workbookViewId="0">
      <selection sqref="A1:N1"/>
    </sheetView>
  </sheetViews>
  <sheetFormatPr defaultRowHeight="12.75" x14ac:dyDescent="0.2"/>
  <cols>
    <col min="1" max="1" width="11.28515625" style="8" customWidth="1"/>
    <col min="2" max="2" width="1.7109375" customWidth="1"/>
    <col min="3" max="3" width="13.7109375" customWidth="1"/>
    <col min="4" max="4" width="12.7109375" customWidth="1"/>
    <col min="5" max="5" width="16.42578125" customWidth="1"/>
    <col min="6" max="6" width="15" customWidth="1"/>
    <col min="7" max="14" width="12.7109375" customWidth="1"/>
  </cols>
  <sheetData>
    <row r="1" spans="1:14" x14ac:dyDescent="0.2">
      <c r="A1" s="42" t="s">
        <v>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42" t="s">
        <v>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2">
      <c r="A3" s="42" t="s">
        <v>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">
      <c r="A5" s="6" t="s">
        <v>9</v>
      </c>
    </row>
    <row r="6" spans="1:14" x14ac:dyDescent="0.2">
      <c r="A6" s="16" t="s">
        <v>13</v>
      </c>
    </row>
    <row r="8" spans="1:14" s="1" customFormat="1" ht="38.25" x14ac:dyDescent="0.2">
      <c r="A8" s="7" t="s">
        <v>0</v>
      </c>
      <c r="B8" s="2"/>
      <c r="C8" s="2" t="s">
        <v>1</v>
      </c>
      <c r="D8" s="2" t="s">
        <v>2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5</v>
      </c>
      <c r="N8" s="2" t="s">
        <v>4</v>
      </c>
    </row>
    <row r="9" spans="1:14" x14ac:dyDescent="0.2">
      <c r="A9" s="8" t="s">
        <v>8</v>
      </c>
      <c r="M9" s="10">
        <v>1452116</v>
      </c>
    </row>
    <row r="10" spans="1:14" x14ac:dyDescent="0.2">
      <c r="A10" s="29">
        <v>43533</v>
      </c>
      <c r="C10" s="11">
        <v>7413755</v>
      </c>
      <c r="D10" s="12">
        <v>14253</v>
      </c>
      <c r="E10" s="12">
        <f t="shared" ref="E10:E15" si="0">16494.65</f>
        <v>16494.650000000001</v>
      </c>
      <c r="F10" s="12">
        <f t="shared" ref="F10:F15" si="1">32989.3</f>
        <v>32989.300000000003</v>
      </c>
      <c r="G10" s="13">
        <f t="shared" ref="G10:G15" si="2">E10-D10</f>
        <v>2241.6500000000015</v>
      </c>
      <c r="H10" s="13">
        <f t="shared" ref="H10:H15" si="3">F10-D10</f>
        <v>18736.300000000003</v>
      </c>
      <c r="I10" s="3">
        <v>0.21</v>
      </c>
      <c r="J10" s="3">
        <v>0.05</v>
      </c>
      <c r="K10" s="9">
        <f t="shared" ref="K10:K15" si="4">G10*I10-L10*I10</f>
        <v>274.01535000000024</v>
      </c>
      <c r="L10" s="9">
        <f t="shared" ref="L10:L15" si="5">H10*J10</f>
        <v>936.81500000000017</v>
      </c>
      <c r="M10" s="14">
        <f t="shared" ref="M10:M15" si="6">M9+K10+L10</f>
        <v>1453326.8303499999</v>
      </c>
      <c r="N10" s="9">
        <v>0</v>
      </c>
    </row>
    <row r="11" spans="1:14" x14ac:dyDescent="0.2">
      <c r="A11" s="28">
        <v>43556</v>
      </c>
      <c r="C11" s="11">
        <v>7413755</v>
      </c>
      <c r="D11" s="12">
        <v>14253</v>
      </c>
      <c r="E11" s="12">
        <f t="shared" si="0"/>
        <v>16494.650000000001</v>
      </c>
      <c r="F11" s="12">
        <f t="shared" si="1"/>
        <v>32989.300000000003</v>
      </c>
      <c r="G11" s="13">
        <f t="shared" si="2"/>
        <v>2241.6500000000015</v>
      </c>
      <c r="H11" s="13">
        <f t="shared" si="3"/>
        <v>18736.300000000003</v>
      </c>
      <c r="I11" s="3">
        <v>0.21</v>
      </c>
      <c r="J11" s="3">
        <v>0.05</v>
      </c>
      <c r="K11" s="9">
        <f t="shared" si="4"/>
        <v>274.01535000000024</v>
      </c>
      <c r="L11" s="9">
        <f t="shared" si="5"/>
        <v>936.81500000000017</v>
      </c>
      <c r="M11" s="14">
        <f t="shared" si="6"/>
        <v>1454537.6606999999</v>
      </c>
      <c r="N11" s="9">
        <v>0</v>
      </c>
    </row>
    <row r="12" spans="1:14" x14ac:dyDescent="0.2">
      <c r="A12" s="28">
        <v>43586</v>
      </c>
      <c r="C12" s="11">
        <v>7413755</v>
      </c>
      <c r="D12" s="12">
        <v>19482</v>
      </c>
      <c r="E12" s="12">
        <f t="shared" si="0"/>
        <v>16494.650000000001</v>
      </c>
      <c r="F12" s="12">
        <f t="shared" si="1"/>
        <v>32989.300000000003</v>
      </c>
      <c r="G12" s="13">
        <f t="shared" si="2"/>
        <v>-2987.3499999999985</v>
      </c>
      <c r="H12" s="13">
        <f t="shared" si="3"/>
        <v>13507.300000000003</v>
      </c>
      <c r="I12" s="3">
        <v>0.21</v>
      </c>
      <c r="J12" s="3">
        <v>0.05</v>
      </c>
      <c r="K12" s="9">
        <f t="shared" si="4"/>
        <v>-769.17014999999981</v>
      </c>
      <c r="L12" s="9">
        <f t="shared" si="5"/>
        <v>675.36500000000024</v>
      </c>
      <c r="M12" s="14">
        <f t="shared" si="6"/>
        <v>1454443.85555</v>
      </c>
      <c r="N12" s="9">
        <v>0</v>
      </c>
    </row>
    <row r="13" spans="1:14" x14ac:dyDescent="0.2">
      <c r="A13" s="28">
        <v>43617</v>
      </c>
      <c r="C13" s="11">
        <v>7413755</v>
      </c>
      <c r="D13" s="12">
        <v>19482</v>
      </c>
      <c r="E13" s="12">
        <f t="shared" si="0"/>
        <v>16494.650000000001</v>
      </c>
      <c r="F13" s="12">
        <f t="shared" si="1"/>
        <v>32989.300000000003</v>
      </c>
      <c r="G13" s="13">
        <f t="shared" si="2"/>
        <v>-2987.3499999999985</v>
      </c>
      <c r="H13" s="13">
        <f t="shared" si="3"/>
        <v>13507.300000000003</v>
      </c>
      <c r="I13" s="3">
        <v>0.21</v>
      </c>
      <c r="J13" s="3">
        <v>0.05</v>
      </c>
      <c r="K13" s="9">
        <f t="shared" si="4"/>
        <v>-769.17014999999981</v>
      </c>
      <c r="L13" s="9">
        <f t="shared" si="5"/>
        <v>675.36500000000024</v>
      </c>
      <c r="M13" s="14">
        <f t="shared" si="6"/>
        <v>1454350.0504000001</v>
      </c>
      <c r="N13" s="9">
        <v>0</v>
      </c>
    </row>
    <row r="14" spans="1:14" x14ac:dyDescent="0.2">
      <c r="A14" s="28">
        <v>43647</v>
      </c>
      <c r="C14" s="11">
        <v>7413755</v>
      </c>
      <c r="D14" s="12">
        <v>19482</v>
      </c>
      <c r="E14" s="12">
        <f t="shared" si="0"/>
        <v>16494.650000000001</v>
      </c>
      <c r="F14" s="12">
        <f t="shared" si="1"/>
        <v>32989.300000000003</v>
      </c>
      <c r="G14" s="13">
        <f t="shared" si="2"/>
        <v>-2987.3499999999985</v>
      </c>
      <c r="H14" s="13">
        <f t="shared" si="3"/>
        <v>13507.300000000003</v>
      </c>
      <c r="I14" s="3">
        <v>0.21</v>
      </c>
      <c r="J14" s="3">
        <v>0.05</v>
      </c>
      <c r="K14" s="9">
        <f t="shared" si="4"/>
        <v>-769.17014999999981</v>
      </c>
      <c r="L14" s="9">
        <f t="shared" si="5"/>
        <v>675.36500000000024</v>
      </c>
      <c r="M14" s="14">
        <f t="shared" si="6"/>
        <v>1454256.2452500002</v>
      </c>
      <c r="N14" s="9">
        <v>0</v>
      </c>
    </row>
    <row r="15" spans="1:14" x14ac:dyDescent="0.2">
      <c r="A15" s="28">
        <v>43678</v>
      </c>
      <c r="C15" s="11">
        <v>7413755</v>
      </c>
      <c r="D15" s="12">
        <v>19482</v>
      </c>
      <c r="E15" s="12">
        <f t="shared" si="0"/>
        <v>16494.650000000001</v>
      </c>
      <c r="F15" s="12">
        <f t="shared" si="1"/>
        <v>32989.300000000003</v>
      </c>
      <c r="G15" s="13">
        <f t="shared" si="2"/>
        <v>-2987.3499999999985</v>
      </c>
      <c r="H15" s="13">
        <f t="shared" si="3"/>
        <v>13507.300000000003</v>
      </c>
      <c r="I15" s="3">
        <v>0.21</v>
      </c>
      <c r="J15" s="3">
        <v>0.05</v>
      </c>
      <c r="K15" s="9">
        <f t="shared" si="4"/>
        <v>-769.17014999999981</v>
      </c>
      <c r="L15" s="9">
        <f t="shared" si="5"/>
        <v>675.36500000000024</v>
      </c>
      <c r="M15" s="14">
        <f t="shared" si="6"/>
        <v>1454162.4401000002</v>
      </c>
      <c r="N15" s="9">
        <v>0</v>
      </c>
    </row>
    <row r="16" spans="1:14" x14ac:dyDescent="0.2">
      <c r="A16" s="15"/>
      <c r="C16" s="11"/>
      <c r="D16" s="12"/>
      <c r="E16" s="12"/>
      <c r="F16" s="12"/>
      <c r="G16" s="13"/>
      <c r="H16" s="13"/>
      <c r="I16" s="13"/>
      <c r="J16" s="11"/>
      <c r="K16" s="11"/>
      <c r="L16" s="3"/>
      <c r="M16" s="3"/>
      <c r="N16" s="9"/>
    </row>
    <row r="17" spans="1:14" x14ac:dyDescent="0.2">
      <c r="A17" s="15"/>
      <c r="C17" s="11"/>
      <c r="D17" s="12"/>
      <c r="E17" s="12"/>
      <c r="F17" s="12"/>
      <c r="G17" s="13"/>
      <c r="H17" s="13"/>
      <c r="I17" s="13"/>
      <c r="J17" s="11"/>
      <c r="K17" s="11"/>
      <c r="L17" s="3"/>
      <c r="M17" s="3"/>
      <c r="N17" s="9"/>
    </row>
    <row r="18" spans="1:14" x14ac:dyDescent="0.2">
      <c r="A18" s="15"/>
      <c r="C18" s="11"/>
      <c r="D18" s="12"/>
      <c r="E18" s="12"/>
      <c r="F18" s="12"/>
      <c r="G18" s="13"/>
      <c r="H18" s="13"/>
      <c r="I18" s="13"/>
      <c r="J18" s="11"/>
      <c r="K18" s="11"/>
      <c r="L18" s="3"/>
      <c r="M18" s="3"/>
      <c r="N18" s="9"/>
    </row>
    <row r="19" spans="1:14" x14ac:dyDescent="0.2">
      <c r="C19" s="20" t="s">
        <v>39</v>
      </c>
      <c r="D19" s="21"/>
      <c r="E19" s="21"/>
      <c r="F19" s="21"/>
      <c r="G19" s="22"/>
      <c r="H19" s="22"/>
    </row>
    <row r="20" spans="1:14" x14ac:dyDescent="0.2">
      <c r="C20" s="20" t="s">
        <v>48</v>
      </c>
      <c r="D20" s="21"/>
      <c r="E20" s="21"/>
      <c r="F20" s="21"/>
      <c r="G20" s="22"/>
      <c r="H20" s="22"/>
    </row>
    <row r="21" spans="1:14" x14ac:dyDescent="0.2">
      <c r="C21" s="20" t="s">
        <v>47</v>
      </c>
      <c r="D21" s="21"/>
      <c r="E21" s="21"/>
      <c r="F21" s="21"/>
      <c r="G21" s="22"/>
      <c r="H21" s="22"/>
    </row>
    <row r="22" spans="1:14" x14ac:dyDescent="0.2">
      <c r="C22" s="14" t="s">
        <v>27</v>
      </c>
      <c r="D22" s="21"/>
      <c r="E22" s="21"/>
      <c r="F22" s="21"/>
      <c r="G22" s="22"/>
      <c r="H22" s="22"/>
    </row>
    <row r="23" spans="1:14" x14ac:dyDescent="0.2">
      <c r="C23" s="23"/>
      <c r="D23" s="21"/>
      <c r="E23" s="21"/>
      <c r="F23" s="21"/>
      <c r="G23" s="21"/>
      <c r="H23" s="21"/>
    </row>
    <row r="24" spans="1:14" x14ac:dyDescent="0.2">
      <c r="C24" s="14" t="s">
        <v>28</v>
      </c>
      <c r="D24" s="24" t="s">
        <v>29</v>
      </c>
      <c r="E24" s="22" t="s">
        <v>30</v>
      </c>
      <c r="F24" s="14" t="s">
        <v>31</v>
      </c>
      <c r="G24" s="25" t="s">
        <v>22</v>
      </c>
      <c r="H24" s="14" t="s">
        <v>32</v>
      </c>
    </row>
    <row r="25" spans="1:14" x14ac:dyDescent="0.2">
      <c r="C25" s="30">
        <v>3706878</v>
      </c>
      <c r="D25" s="30">
        <v>19482</v>
      </c>
      <c r="E25" s="30">
        <v>16495</v>
      </c>
      <c r="F25" s="30">
        <f>E25-D25</f>
        <v>-2987</v>
      </c>
      <c r="G25" s="3">
        <v>0.21</v>
      </c>
      <c r="H25" s="30">
        <f>F25*G25</f>
        <v>-627.27</v>
      </c>
    </row>
    <row r="26" spans="1:14" ht="15" x14ac:dyDescent="0.35">
      <c r="E26" s="9"/>
      <c r="F26" s="9"/>
      <c r="G26" s="27" t="s">
        <v>38</v>
      </c>
      <c r="H26" s="26">
        <f>-H30*0.21</f>
        <v>-141.8235</v>
      </c>
    </row>
    <row r="27" spans="1:14" x14ac:dyDescent="0.2">
      <c r="H27" s="9">
        <f>H25+H26</f>
        <v>-769.09349999999995</v>
      </c>
    </row>
    <row r="28" spans="1:14" x14ac:dyDescent="0.2">
      <c r="H28" s="9">
        <f>H27-K15</f>
        <v>7.6649999999858665E-2</v>
      </c>
    </row>
    <row r="29" spans="1:14" x14ac:dyDescent="0.2">
      <c r="C29" s="14" t="s">
        <v>34</v>
      </c>
      <c r="D29" s="21" t="s">
        <v>29</v>
      </c>
      <c r="E29" s="22" t="s">
        <v>35</v>
      </c>
      <c r="F29" s="14" t="s">
        <v>36</v>
      </c>
      <c r="G29" s="25" t="s">
        <v>23</v>
      </c>
      <c r="H29" s="14" t="s">
        <v>37</v>
      </c>
    </row>
    <row r="30" spans="1:14" x14ac:dyDescent="0.2">
      <c r="C30" s="30">
        <v>7413755</v>
      </c>
      <c r="D30" s="30">
        <f>D25</f>
        <v>19482</v>
      </c>
      <c r="E30" s="30">
        <v>32989</v>
      </c>
      <c r="F30" s="30">
        <f>E30-D30</f>
        <v>13507</v>
      </c>
      <c r="G30" s="3">
        <v>0.05</v>
      </c>
      <c r="H30" s="30">
        <f>F30*G30</f>
        <v>675.35</v>
      </c>
    </row>
    <row r="31" spans="1:14" x14ac:dyDescent="0.2">
      <c r="E31" s="9"/>
      <c r="F31" s="9"/>
      <c r="H31" s="9">
        <f>H30-L15</f>
        <v>-1.5000000000213731E-2</v>
      </c>
    </row>
    <row r="32" spans="1:14" x14ac:dyDescent="0.2">
      <c r="H32" s="9"/>
    </row>
    <row r="33" spans="3:8" ht="15" x14ac:dyDescent="0.35">
      <c r="C33" s="11"/>
      <c r="D33" s="11"/>
      <c r="E33" s="26"/>
      <c r="F33" s="26"/>
      <c r="G33" s="3"/>
      <c r="H33" s="26"/>
    </row>
    <row r="34" spans="3:8" x14ac:dyDescent="0.2">
      <c r="E34" s="9"/>
      <c r="F34" s="9"/>
      <c r="H34" s="9"/>
    </row>
    <row r="35" spans="3:8" x14ac:dyDescent="0.2">
      <c r="H35" s="9"/>
    </row>
  </sheetData>
  <mergeCells count="3">
    <mergeCell ref="A1:N1"/>
    <mergeCell ref="A2:N2"/>
    <mergeCell ref="A3:N3"/>
  </mergeCells>
  <pageMargins left="0.5" right="0.5" top="1.5" bottom="0.5" header="0.5" footer="0.5"/>
  <pageSetup scale="56" orientation="portrait" r:id="rId1"/>
  <headerFooter alignWithMargins="0">
    <oddHeader>&amp;R&amp;"Times New Roman,Bold"&amp;12Attachment to Response to Question No. 3
Page &amp;P of &amp;N
Williams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Q99"/>
  <sheetViews>
    <sheetView zoomScaleNormal="100" workbookViewId="0">
      <selection sqref="A1:N1"/>
    </sheetView>
  </sheetViews>
  <sheetFormatPr defaultRowHeight="12.75" x14ac:dyDescent="0.2"/>
  <cols>
    <col min="1" max="1" width="11.28515625" style="8" customWidth="1"/>
    <col min="2" max="2" width="1.7109375" customWidth="1"/>
    <col min="3" max="3" width="14" customWidth="1"/>
    <col min="4" max="4" width="12.7109375" customWidth="1"/>
    <col min="5" max="5" width="16.7109375" customWidth="1"/>
    <col min="6" max="6" width="15" customWidth="1"/>
    <col min="7" max="14" width="12.7109375" customWidth="1"/>
  </cols>
  <sheetData>
    <row r="1" spans="1:14" x14ac:dyDescent="0.2">
      <c r="A1" s="42" t="s">
        <v>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42" t="s">
        <v>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2">
      <c r="A3" s="42" t="s">
        <v>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">
      <c r="A5" s="6" t="s">
        <v>12</v>
      </c>
    </row>
    <row r="6" spans="1:14" x14ac:dyDescent="0.2">
      <c r="A6" s="16" t="s">
        <v>11</v>
      </c>
    </row>
    <row r="8" spans="1:14" s="1" customFormat="1" ht="38.25" x14ac:dyDescent="0.2">
      <c r="A8" s="7" t="s">
        <v>0</v>
      </c>
      <c r="B8" s="2"/>
      <c r="C8" s="2" t="s">
        <v>1</v>
      </c>
      <c r="D8" s="2" t="s">
        <v>2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5</v>
      </c>
      <c r="N8" s="2" t="s">
        <v>4</v>
      </c>
    </row>
    <row r="9" spans="1:14" x14ac:dyDescent="0.2">
      <c r="A9" s="8" t="s">
        <v>8</v>
      </c>
      <c r="M9" s="10">
        <v>237859398</v>
      </c>
    </row>
    <row r="10" spans="1:14" x14ac:dyDescent="0.2">
      <c r="A10" s="29">
        <v>43533</v>
      </c>
      <c r="C10" s="11">
        <v>1036143609</v>
      </c>
      <c r="D10" s="12">
        <v>2131331</v>
      </c>
      <c r="E10" s="12">
        <f>5824521.61+2228.64</f>
        <v>5826750.25</v>
      </c>
      <c r="F10" s="12">
        <f t="shared" ref="F10:F15" si="0">10415329.94</f>
        <v>10415329.939999999</v>
      </c>
      <c r="G10" s="13">
        <f t="shared" ref="G10:G15" si="1">E10-D10</f>
        <v>3695419.25</v>
      </c>
      <c r="H10" s="13">
        <f t="shared" ref="H10:H15" si="2">F10-D10</f>
        <v>8283998.9399999995</v>
      </c>
      <c r="I10" s="3">
        <v>0.21</v>
      </c>
      <c r="J10" s="3">
        <v>0.05</v>
      </c>
      <c r="K10" s="9">
        <f t="shared" ref="K10:K15" si="3">G10*I10-L10*I10</f>
        <v>689056.05362999998</v>
      </c>
      <c r="L10" s="9">
        <f t="shared" ref="L10:L15" si="4">H10*J10</f>
        <v>414199.94699999999</v>
      </c>
      <c r="M10" s="14">
        <f t="shared" ref="M10:M15" si="5">M9+K10+L10</f>
        <v>238962654.00062999</v>
      </c>
      <c r="N10" s="9">
        <v>5181.0600000000004</v>
      </c>
    </row>
    <row r="11" spans="1:14" x14ac:dyDescent="0.2">
      <c r="A11" s="28">
        <v>43556</v>
      </c>
      <c r="C11" s="11">
        <v>1036143609</v>
      </c>
      <c r="D11" s="12">
        <v>2131335</v>
      </c>
      <c r="E11" s="12">
        <f>5824521.61+2228.64</f>
        <v>5826750.25</v>
      </c>
      <c r="F11" s="12">
        <f t="shared" si="0"/>
        <v>10415329.939999999</v>
      </c>
      <c r="G11" s="13">
        <f t="shared" si="1"/>
        <v>3695415.25</v>
      </c>
      <c r="H11" s="13">
        <f t="shared" si="2"/>
        <v>8283994.9399999995</v>
      </c>
      <c r="I11" s="3">
        <v>0.21</v>
      </c>
      <c r="J11" s="3">
        <v>0.05</v>
      </c>
      <c r="K11" s="9">
        <f t="shared" si="3"/>
        <v>689055.25563000003</v>
      </c>
      <c r="L11" s="9">
        <f t="shared" si="4"/>
        <v>414199.74699999997</v>
      </c>
      <c r="M11" s="14">
        <f t="shared" si="5"/>
        <v>240065909.00325999</v>
      </c>
      <c r="N11" s="9">
        <v>7575.73</v>
      </c>
    </row>
    <row r="12" spans="1:14" x14ac:dyDescent="0.2">
      <c r="A12" s="28">
        <v>43586</v>
      </c>
      <c r="C12" s="11">
        <v>1036143609</v>
      </c>
      <c r="D12" s="12">
        <v>4386364</v>
      </c>
      <c r="E12" s="12">
        <f>5824521.61+2232.11</f>
        <v>5826753.7200000007</v>
      </c>
      <c r="F12" s="12">
        <f t="shared" si="0"/>
        <v>10415329.939999999</v>
      </c>
      <c r="G12" s="13">
        <f t="shared" si="1"/>
        <v>1440389.7200000007</v>
      </c>
      <c r="H12" s="13">
        <f t="shared" si="2"/>
        <v>6028965.9399999995</v>
      </c>
      <c r="I12" s="3">
        <v>0.21</v>
      </c>
      <c r="J12" s="3">
        <v>0.05</v>
      </c>
      <c r="K12" s="9">
        <f t="shared" si="3"/>
        <v>239177.69883000015</v>
      </c>
      <c r="L12" s="9">
        <f t="shared" si="4"/>
        <v>301448.29699999996</v>
      </c>
      <c r="M12" s="14">
        <f t="shared" si="5"/>
        <v>240606534.99908999</v>
      </c>
      <c r="N12" s="9">
        <v>7549.56</v>
      </c>
    </row>
    <row r="13" spans="1:14" x14ac:dyDescent="0.2">
      <c r="A13" s="28">
        <v>43617</v>
      </c>
      <c r="C13" s="11">
        <v>1036143609</v>
      </c>
      <c r="D13" s="12">
        <v>4386364</v>
      </c>
      <c r="E13" s="12">
        <f>5824521.61+2227.37</f>
        <v>5826748.9800000004</v>
      </c>
      <c r="F13" s="12">
        <f t="shared" si="0"/>
        <v>10415329.939999999</v>
      </c>
      <c r="G13" s="13">
        <f t="shared" si="1"/>
        <v>1440384.9800000004</v>
      </c>
      <c r="H13" s="13">
        <f t="shared" si="2"/>
        <v>6028965.9399999995</v>
      </c>
      <c r="I13" s="3">
        <v>0.21</v>
      </c>
      <c r="J13" s="3">
        <v>0.05</v>
      </c>
      <c r="K13" s="9">
        <f t="shared" si="3"/>
        <v>239176.70343000008</v>
      </c>
      <c r="L13" s="9">
        <f t="shared" si="4"/>
        <v>301448.29699999996</v>
      </c>
      <c r="M13" s="14">
        <f t="shared" si="5"/>
        <v>241147159.99951997</v>
      </c>
      <c r="N13" s="9">
        <v>7469.83</v>
      </c>
    </row>
    <row r="14" spans="1:14" x14ac:dyDescent="0.2">
      <c r="A14" s="28">
        <v>43647</v>
      </c>
      <c r="C14" s="11">
        <v>1036143609</v>
      </c>
      <c r="D14" s="12">
        <v>4386364</v>
      </c>
      <c r="E14" s="12">
        <f>5824521.61+2227.37+4</f>
        <v>5826752.9800000004</v>
      </c>
      <c r="F14" s="12">
        <f t="shared" si="0"/>
        <v>10415329.939999999</v>
      </c>
      <c r="G14" s="13">
        <f t="shared" si="1"/>
        <v>1440388.9800000004</v>
      </c>
      <c r="H14" s="13">
        <f t="shared" si="2"/>
        <v>6028965.9399999995</v>
      </c>
      <c r="I14" s="3">
        <v>0.21</v>
      </c>
      <c r="J14" s="3">
        <v>0.05</v>
      </c>
      <c r="K14" s="9">
        <f t="shared" si="3"/>
        <v>239177.54343000011</v>
      </c>
      <c r="L14" s="9">
        <f t="shared" si="4"/>
        <v>301448.29699999996</v>
      </c>
      <c r="M14" s="14">
        <f t="shared" si="5"/>
        <v>241687785.83994997</v>
      </c>
      <c r="N14" s="9">
        <v>7416.88</v>
      </c>
    </row>
    <row r="15" spans="1:14" x14ac:dyDescent="0.2">
      <c r="A15" s="28">
        <v>43678</v>
      </c>
      <c r="C15" s="11">
        <v>1036143609</v>
      </c>
      <c r="D15" s="12">
        <v>4386364</v>
      </c>
      <c r="E15" s="12">
        <f>5824521.61+2232.89</f>
        <v>5826754.5</v>
      </c>
      <c r="F15" s="12">
        <f t="shared" si="0"/>
        <v>10415329.939999999</v>
      </c>
      <c r="G15" s="13">
        <f t="shared" si="1"/>
        <v>1440390.5</v>
      </c>
      <c r="H15" s="13">
        <f t="shared" si="2"/>
        <v>6028965.9399999995</v>
      </c>
      <c r="I15" s="3">
        <v>0.21</v>
      </c>
      <c r="J15" s="3">
        <v>0.05</v>
      </c>
      <c r="K15" s="9">
        <f t="shared" si="3"/>
        <v>239177.86263000002</v>
      </c>
      <c r="L15" s="9">
        <f t="shared" si="4"/>
        <v>301448.29699999996</v>
      </c>
      <c r="M15" s="14">
        <f t="shared" si="5"/>
        <v>242228411.99957997</v>
      </c>
      <c r="N15" s="9">
        <v>7363.92</v>
      </c>
    </row>
    <row r="16" spans="1:14" x14ac:dyDescent="0.2">
      <c r="A16" s="15"/>
      <c r="C16" s="11"/>
      <c r="D16" s="12"/>
      <c r="E16" s="12"/>
      <c r="F16" s="12"/>
      <c r="G16" s="13"/>
      <c r="H16" s="13"/>
      <c r="I16" s="13"/>
      <c r="J16" s="11"/>
      <c r="K16" s="11"/>
      <c r="L16" s="3"/>
      <c r="M16" s="3"/>
      <c r="N16" s="9"/>
    </row>
    <row r="17" spans="1:14" x14ac:dyDescent="0.2">
      <c r="A17" s="15"/>
      <c r="C17" s="11"/>
      <c r="D17" s="12"/>
      <c r="E17" s="12"/>
      <c r="F17" s="12"/>
      <c r="G17" s="13"/>
      <c r="H17" s="13"/>
      <c r="I17" s="13"/>
      <c r="J17" s="11"/>
      <c r="K17" s="11"/>
      <c r="L17" s="3"/>
      <c r="M17" s="3"/>
      <c r="N17" s="9"/>
    </row>
    <row r="18" spans="1:14" x14ac:dyDescent="0.2">
      <c r="A18" s="15"/>
      <c r="C18" s="11"/>
      <c r="D18" s="12"/>
      <c r="E18" s="12"/>
      <c r="F18" s="12"/>
      <c r="G18" s="13"/>
      <c r="H18" s="13"/>
      <c r="I18" s="13"/>
      <c r="J18" s="11"/>
      <c r="K18" s="11"/>
      <c r="L18" s="3"/>
      <c r="M18" s="3"/>
      <c r="N18" s="9"/>
    </row>
    <row r="19" spans="1:14" x14ac:dyDescent="0.2">
      <c r="C19" s="20" t="s">
        <v>41</v>
      </c>
      <c r="D19" s="21"/>
      <c r="E19" s="21"/>
      <c r="F19" s="21"/>
      <c r="G19" s="22"/>
      <c r="H19" s="22"/>
    </row>
    <row r="20" spans="1:14" x14ac:dyDescent="0.2">
      <c r="C20" s="20" t="s">
        <v>48</v>
      </c>
      <c r="D20" s="21"/>
      <c r="E20" s="21"/>
      <c r="F20" s="21"/>
      <c r="G20" s="22"/>
      <c r="H20" s="22"/>
    </row>
    <row r="21" spans="1:14" x14ac:dyDescent="0.2">
      <c r="C21" s="20" t="s">
        <v>47</v>
      </c>
      <c r="D21" s="21"/>
      <c r="E21" s="21"/>
      <c r="F21" s="21"/>
      <c r="G21" s="22"/>
      <c r="H21" s="22"/>
    </row>
    <row r="22" spans="1:14" x14ac:dyDescent="0.2">
      <c r="C22" s="14" t="s">
        <v>27</v>
      </c>
      <c r="D22" s="21"/>
      <c r="E22" s="21"/>
      <c r="F22" s="21"/>
      <c r="G22" s="22"/>
      <c r="H22" s="22"/>
    </row>
    <row r="23" spans="1:14" x14ac:dyDescent="0.2">
      <c r="C23" s="23"/>
      <c r="D23" s="21"/>
      <c r="E23" s="21"/>
      <c r="F23" s="21"/>
      <c r="G23" s="21"/>
      <c r="H23" s="21"/>
    </row>
    <row r="24" spans="1:14" x14ac:dyDescent="0.2">
      <c r="C24" s="9" t="s">
        <v>28</v>
      </c>
      <c r="D24" s="37" t="s">
        <v>29</v>
      </c>
      <c r="E24" s="35" t="s">
        <v>30</v>
      </c>
      <c r="F24" s="9" t="s">
        <v>31</v>
      </c>
      <c r="G24" s="3" t="s">
        <v>22</v>
      </c>
      <c r="H24" s="9" t="s">
        <v>32</v>
      </c>
    </row>
    <row r="25" spans="1:14" x14ac:dyDescent="0.2">
      <c r="C25" s="30">
        <v>360851</v>
      </c>
      <c r="D25" s="30">
        <v>4386364</v>
      </c>
      <c r="E25" s="30">
        <v>0</v>
      </c>
      <c r="F25" s="30">
        <f>E25-D25</f>
        <v>-4386364</v>
      </c>
      <c r="G25" s="3">
        <v>0.21</v>
      </c>
      <c r="H25" s="30">
        <f>F25*G25</f>
        <v>-921136.44</v>
      </c>
    </row>
    <row r="26" spans="1:14" x14ac:dyDescent="0.2">
      <c r="C26" s="30">
        <v>982514</v>
      </c>
      <c r="D26" s="30"/>
      <c r="E26" s="30">
        <v>3702</v>
      </c>
      <c r="F26" s="30">
        <f>E26</f>
        <v>3702</v>
      </c>
      <c r="G26" s="3">
        <v>0.21</v>
      </c>
      <c r="H26" s="30">
        <f t="shared" ref="H26:H59" si="6">F26*G26</f>
        <v>777.42</v>
      </c>
    </row>
    <row r="27" spans="1:14" x14ac:dyDescent="0.2">
      <c r="C27" s="30">
        <v>9377.5</v>
      </c>
      <c r="D27" s="30"/>
      <c r="E27" s="30"/>
      <c r="F27" s="30">
        <f t="shared" ref="F27:F59" si="7">E27</f>
        <v>0</v>
      </c>
      <c r="G27" s="3">
        <v>0.21</v>
      </c>
      <c r="H27" s="30">
        <f t="shared" si="6"/>
        <v>0</v>
      </c>
    </row>
    <row r="28" spans="1:14" x14ac:dyDescent="0.2">
      <c r="C28" s="30">
        <v>2975815</v>
      </c>
      <c r="D28" s="30"/>
      <c r="E28" s="30">
        <v>12121</v>
      </c>
      <c r="F28" s="30">
        <f t="shared" si="7"/>
        <v>12121</v>
      </c>
      <c r="G28" s="3">
        <v>0.21</v>
      </c>
      <c r="H28" s="30">
        <f t="shared" si="6"/>
        <v>2545.41</v>
      </c>
    </row>
    <row r="29" spans="1:14" x14ac:dyDescent="0.2">
      <c r="C29" s="30">
        <v>-5631.44</v>
      </c>
      <c r="D29" s="30"/>
      <c r="E29" s="30">
        <v>-25</v>
      </c>
      <c r="F29" s="30">
        <f t="shared" si="7"/>
        <v>-25</v>
      </c>
      <c r="G29" s="3">
        <v>0.21</v>
      </c>
      <c r="H29" s="30">
        <f t="shared" si="6"/>
        <v>-5.25</v>
      </c>
    </row>
    <row r="30" spans="1:14" x14ac:dyDescent="0.2">
      <c r="C30" s="30">
        <v>64989652.743999988</v>
      </c>
      <c r="D30" s="30"/>
      <c r="E30" s="30">
        <v>286225</v>
      </c>
      <c r="F30" s="30">
        <f t="shared" si="7"/>
        <v>286225</v>
      </c>
      <c r="G30" s="3">
        <v>0.21</v>
      </c>
      <c r="H30" s="30">
        <f t="shared" si="6"/>
        <v>60107.25</v>
      </c>
    </row>
    <row r="31" spans="1:14" x14ac:dyDescent="0.2">
      <c r="C31" s="30">
        <v>97484479.115999967</v>
      </c>
      <c r="D31" s="30"/>
      <c r="E31" s="30">
        <v>1160530</v>
      </c>
      <c r="F31" s="30">
        <f t="shared" si="7"/>
        <v>1160530</v>
      </c>
      <c r="G31" s="3">
        <v>0.21</v>
      </c>
      <c r="H31" s="30">
        <f t="shared" si="6"/>
        <v>243711.3</v>
      </c>
    </row>
    <row r="32" spans="1:14" x14ac:dyDescent="0.2">
      <c r="C32" s="30">
        <v>3354199.04</v>
      </c>
      <c r="D32" s="30"/>
      <c r="E32" s="30">
        <v>14772</v>
      </c>
      <c r="F32" s="30">
        <f t="shared" si="7"/>
        <v>14772</v>
      </c>
      <c r="G32" s="3">
        <v>0.21</v>
      </c>
      <c r="H32" s="30">
        <f t="shared" si="6"/>
        <v>3102.12</v>
      </c>
    </row>
    <row r="33" spans="3:8" x14ac:dyDescent="0.2">
      <c r="C33" s="30">
        <v>2749178.17</v>
      </c>
      <c r="D33" s="30"/>
      <c r="E33" s="30">
        <v>13088</v>
      </c>
      <c r="F33" s="30">
        <f t="shared" si="7"/>
        <v>13088</v>
      </c>
      <c r="G33" s="3">
        <v>0.21</v>
      </c>
      <c r="H33" s="30">
        <f t="shared" si="6"/>
        <v>2748.48</v>
      </c>
    </row>
    <row r="34" spans="3:8" x14ac:dyDescent="0.2">
      <c r="C34" s="30">
        <v>4123767.2549999999</v>
      </c>
      <c r="D34" s="30"/>
      <c r="E34" s="30">
        <v>49092.467321428565</v>
      </c>
      <c r="F34" s="30">
        <f t="shared" si="7"/>
        <v>49092.467321428565</v>
      </c>
      <c r="G34" s="3">
        <v>0.21</v>
      </c>
      <c r="H34" s="30">
        <f t="shared" si="6"/>
        <v>10309.418137499999</v>
      </c>
    </row>
    <row r="35" spans="3:8" x14ac:dyDescent="0.2">
      <c r="C35" s="30">
        <v>73250212.46800001</v>
      </c>
      <c r="D35" s="30"/>
      <c r="E35" s="30">
        <v>348732</v>
      </c>
      <c r="F35" s="30">
        <f t="shared" si="7"/>
        <v>348732</v>
      </c>
      <c r="G35" s="3">
        <v>0.21</v>
      </c>
      <c r="H35" s="30">
        <f t="shared" si="6"/>
        <v>73233.72</v>
      </c>
    </row>
    <row r="36" spans="3:8" x14ac:dyDescent="0.2">
      <c r="C36" s="30">
        <v>109875318.70200001</v>
      </c>
      <c r="D36" s="30"/>
      <c r="E36" s="30">
        <v>1831255.3117000002</v>
      </c>
      <c r="F36" s="30">
        <f t="shared" si="7"/>
        <v>1831255.3117000002</v>
      </c>
      <c r="G36" s="3">
        <v>0.21</v>
      </c>
      <c r="H36" s="30">
        <f t="shared" si="6"/>
        <v>384563.61545700004</v>
      </c>
    </row>
    <row r="37" spans="3:8" x14ac:dyDescent="0.2">
      <c r="C37" s="30">
        <v>787778.5340000001</v>
      </c>
      <c r="D37" s="30"/>
      <c r="E37" s="30">
        <v>3750</v>
      </c>
      <c r="F37" s="30">
        <f t="shared" si="7"/>
        <v>3750</v>
      </c>
      <c r="G37" s="3">
        <v>0.21</v>
      </c>
      <c r="H37" s="30">
        <f t="shared" si="6"/>
        <v>787.5</v>
      </c>
    </row>
    <row r="38" spans="3:8" x14ac:dyDescent="0.2">
      <c r="C38" s="30">
        <v>1181667.801</v>
      </c>
      <c r="D38" s="30"/>
      <c r="E38" s="30">
        <v>14067.47382142857</v>
      </c>
      <c r="F38" s="30">
        <f t="shared" si="7"/>
        <v>14067.47382142857</v>
      </c>
      <c r="G38" s="3">
        <v>0.21</v>
      </c>
      <c r="H38" s="30">
        <f t="shared" si="6"/>
        <v>2954.1695024999995</v>
      </c>
    </row>
    <row r="39" spans="3:8" x14ac:dyDescent="0.2">
      <c r="C39" s="30">
        <v>2965892.7320000008</v>
      </c>
      <c r="D39" s="30"/>
      <c r="E39" s="30">
        <v>14120</v>
      </c>
      <c r="F39" s="30">
        <f t="shared" si="7"/>
        <v>14120</v>
      </c>
      <c r="G39" s="3">
        <v>0.21</v>
      </c>
      <c r="H39" s="30">
        <f t="shared" si="6"/>
        <v>2965.2</v>
      </c>
    </row>
    <row r="40" spans="3:8" x14ac:dyDescent="0.2">
      <c r="C40" s="30">
        <v>4448839.0980000012</v>
      </c>
      <c r="D40" s="30"/>
      <c r="E40" s="30">
        <v>74147.318300000028</v>
      </c>
      <c r="F40" s="30">
        <f t="shared" si="7"/>
        <v>74147.318300000028</v>
      </c>
      <c r="G40" s="3">
        <v>0.21</v>
      </c>
      <c r="H40" s="30">
        <f t="shared" si="6"/>
        <v>15570.936843000005</v>
      </c>
    </row>
    <row r="41" spans="3:8" x14ac:dyDescent="0.2">
      <c r="C41" s="30">
        <v>61477.070000000007</v>
      </c>
      <c r="D41" s="30"/>
      <c r="E41" s="30">
        <v>293</v>
      </c>
      <c r="F41" s="30">
        <f t="shared" si="7"/>
        <v>293</v>
      </c>
      <c r="G41" s="3">
        <v>0.21</v>
      </c>
      <c r="H41" s="30">
        <f t="shared" si="6"/>
        <v>61.53</v>
      </c>
    </row>
    <row r="42" spans="3:8" x14ac:dyDescent="0.2">
      <c r="C42" s="30">
        <v>48864.22</v>
      </c>
      <c r="D42" s="30"/>
      <c r="E42" s="30">
        <v>252</v>
      </c>
      <c r="F42" s="30">
        <f t="shared" si="7"/>
        <v>252</v>
      </c>
      <c r="G42" s="3">
        <v>0.21</v>
      </c>
      <c r="H42" s="30">
        <f t="shared" si="6"/>
        <v>52.919999999999995</v>
      </c>
    </row>
    <row r="43" spans="3:8" x14ac:dyDescent="0.2">
      <c r="C43" s="30">
        <v>59018708.316</v>
      </c>
      <c r="D43" s="30"/>
      <c r="E43" s="30">
        <v>303799</v>
      </c>
      <c r="F43" s="30">
        <f t="shared" si="7"/>
        <v>303799</v>
      </c>
      <c r="G43" s="3">
        <v>0.21</v>
      </c>
      <c r="H43" s="30">
        <f t="shared" si="6"/>
        <v>63797.79</v>
      </c>
    </row>
    <row r="44" spans="3:8" x14ac:dyDescent="0.2">
      <c r="C44" s="30">
        <v>88528062.473999992</v>
      </c>
      <c r="D44" s="30"/>
      <c r="E44" s="30">
        <v>1053908</v>
      </c>
      <c r="F44" s="30">
        <f t="shared" si="7"/>
        <v>1053908</v>
      </c>
      <c r="G44" s="3">
        <v>0.21</v>
      </c>
      <c r="H44" s="30">
        <f t="shared" si="6"/>
        <v>221320.68</v>
      </c>
    </row>
    <row r="45" spans="3:8" x14ac:dyDescent="0.2">
      <c r="C45" s="30">
        <v>2761999.0980000007</v>
      </c>
      <c r="D45" s="30"/>
      <c r="E45" s="30">
        <v>14217</v>
      </c>
      <c r="F45" s="30">
        <f t="shared" si="7"/>
        <v>14217</v>
      </c>
      <c r="G45" s="3">
        <v>0.21</v>
      </c>
      <c r="H45" s="30">
        <f t="shared" si="6"/>
        <v>2985.5699999999997</v>
      </c>
    </row>
    <row r="46" spans="3:8" x14ac:dyDescent="0.2">
      <c r="C46" s="30">
        <v>1834207.4429999997</v>
      </c>
      <c r="D46" s="30"/>
      <c r="E46" s="30">
        <v>30570</v>
      </c>
      <c r="F46" s="30">
        <f t="shared" si="7"/>
        <v>30570</v>
      </c>
      <c r="G46" s="3">
        <v>0.21</v>
      </c>
      <c r="H46" s="30">
        <f t="shared" si="6"/>
        <v>6419.7</v>
      </c>
    </row>
    <row r="47" spans="3:8" x14ac:dyDescent="0.2">
      <c r="C47" s="30">
        <v>2308791.2039999999</v>
      </c>
      <c r="D47" s="30"/>
      <c r="E47" s="30">
        <v>27486</v>
      </c>
      <c r="F47" s="30">
        <f t="shared" si="7"/>
        <v>27486</v>
      </c>
      <c r="G47" s="3">
        <v>0.21</v>
      </c>
      <c r="H47" s="30">
        <f t="shared" si="6"/>
        <v>5772.0599999999995</v>
      </c>
    </row>
    <row r="48" spans="3:8" x14ac:dyDescent="0.2">
      <c r="C48" s="30">
        <v>28925.010000000002</v>
      </c>
      <c r="D48" s="30"/>
      <c r="E48" s="30">
        <v>161</v>
      </c>
      <c r="F48" s="30">
        <f t="shared" si="7"/>
        <v>161</v>
      </c>
      <c r="G48" s="3">
        <v>0.21</v>
      </c>
      <c r="H48" s="30">
        <f t="shared" si="6"/>
        <v>33.81</v>
      </c>
    </row>
    <row r="49" spans="3:8" x14ac:dyDescent="0.2">
      <c r="C49" s="30">
        <v>1678783.1149999998</v>
      </c>
      <c r="D49" s="30"/>
      <c r="E49" s="30">
        <v>9341</v>
      </c>
      <c r="F49" s="30">
        <f t="shared" si="7"/>
        <v>9341</v>
      </c>
      <c r="G49" s="3">
        <v>0.21</v>
      </c>
      <c r="H49" s="30">
        <f t="shared" si="6"/>
        <v>1961.61</v>
      </c>
    </row>
    <row r="50" spans="3:8" x14ac:dyDescent="0.2">
      <c r="C50" s="30">
        <v>2238219.0099999998</v>
      </c>
      <c r="D50" s="30"/>
      <c r="E50" s="30">
        <v>13465</v>
      </c>
      <c r="F50" s="30">
        <f t="shared" si="7"/>
        <v>13465</v>
      </c>
      <c r="G50" s="3">
        <v>0.21</v>
      </c>
      <c r="H50" s="30">
        <f t="shared" si="6"/>
        <v>2827.65</v>
      </c>
    </row>
    <row r="51" spans="3:8" x14ac:dyDescent="0.2">
      <c r="C51" s="30">
        <v>2433434.77</v>
      </c>
      <c r="D51" s="30"/>
      <c r="E51" s="30">
        <v>28969</v>
      </c>
      <c r="F51" s="30">
        <f t="shared" si="7"/>
        <v>28969</v>
      </c>
      <c r="G51" s="3">
        <v>0.21</v>
      </c>
      <c r="H51" s="30">
        <f t="shared" si="6"/>
        <v>6083.49</v>
      </c>
    </row>
    <row r="52" spans="3:8" x14ac:dyDescent="0.2">
      <c r="C52" s="30">
        <v>923893.74</v>
      </c>
      <c r="D52" s="30"/>
      <c r="E52" s="30">
        <v>15398</v>
      </c>
      <c r="F52" s="30">
        <f t="shared" si="7"/>
        <v>15398</v>
      </c>
      <c r="G52" s="31">
        <v>0.21</v>
      </c>
      <c r="H52" s="30">
        <f t="shared" si="6"/>
        <v>3233.58</v>
      </c>
    </row>
    <row r="53" spans="3:8" x14ac:dyDescent="0.2">
      <c r="C53" s="30">
        <v>1019102.6799999999</v>
      </c>
      <c r="D53" s="30"/>
      <c r="E53" s="30">
        <v>6131</v>
      </c>
      <c r="F53" s="30">
        <f t="shared" si="7"/>
        <v>6131</v>
      </c>
      <c r="G53" s="31">
        <v>0.21</v>
      </c>
      <c r="H53" s="30">
        <f t="shared" si="6"/>
        <v>1287.51</v>
      </c>
    </row>
    <row r="54" spans="3:8" x14ac:dyDescent="0.2">
      <c r="C54" s="30">
        <v>1528654.0199999998</v>
      </c>
      <c r="D54" s="30"/>
      <c r="E54" s="30">
        <v>18198</v>
      </c>
      <c r="F54" s="30">
        <f t="shared" si="7"/>
        <v>18198</v>
      </c>
      <c r="G54" s="31">
        <v>0.21</v>
      </c>
      <c r="H54" s="30">
        <f t="shared" si="6"/>
        <v>3821.58</v>
      </c>
    </row>
    <row r="55" spans="3:8" x14ac:dyDescent="0.2">
      <c r="C55" s="30">
        <v>6238781.716</v>
      </c>
      <c r="D55" s="30"/>
      <c r="E55" s="30">
        <f>519898+2228</f>
        <v>522126</v>
      </c>
      <c r="F55" s="30">
        <f t="shared" si="7"/>
        <v>522126</v>
      </c>
      <c r="G55" s="31">
        <v>0.21</v>
      </c>
      <c r="H55" s="30">
        <f t="shared" si="6"/>
        <v>109646.45999999999</v>
      </c>
    </row>
    <row r="56" spans="3:8" x14ac:dyDescent="0.2">
      <c r="C56" s="30">
        <v>-2203567.1184000005</v>
      </c>
      <c r="D56" s="30"/>
      <c r="E56" s="30">
        <v>-6886</v>
      </c>
      <c r="F56" s="30">
        <f t="shared" si="7"/>
        <v>-6886</v>
      </c>
      <c r="G56" s="31">
        <v>0.21</v>
      </c>
      <c r="H56" s="30">
        <f t="shared" si="6"/>
        <v>-1446.06</v>
      </c>
    </row>
    <row r="57" spans="3:8" x14ac:dyDescent="0.2">
      <c r="C57" s="30">
        <v>-3258370.2816000003</v>
      </c>
      <c r="D57" s="30"/>
      <c r="E57" s="30">
        <v>-35558</v>
      </c>
      <c r="F57" s="30">
        <f t="shared" si="7"/>
        <v>-35558</v>
      </c>
      <c r="G57" s="31">
        <v>0.21</v>
      </c>
      <c r="H57" s="30">
        <f t="shared" si="6"/>
        <v>-7467.1799999999994</v>
      </c>
    </row>
    <row r="58" spans="3:8" x14ac:dyDescent="0.2">
      <c r="C58" s="30">
        <v>-46980.396000000052</v>
      </c>
      <c r="D58" s="30"/>
      <c r="E58" s="30">
        <v>-718</v>
      </c>
      <c r="F58" s="30">
        <f t="shared" si="7"/>
        <v>-718</v>
      </c>
      <c r="G58" s="31">
        <v>0.21</v>
      </c>
      <c r="H58" s="30">
        <f t="shared" si="6"/>
        <v>-150.78</v>
      </c>
    </row>
    <row r="59" spans="3:8" ht="15" x14ac:dyDescent="0.35">
      <c r="C59" s="26">
        <v>5285.41</v>
      </c>
      <c r="D59" s="30"/>
      <c r="E59" s="26">
        <v>25.52</v>
      </c>
      <c r="F59" s="26">
        <f t="shared" si="7"/>
        <v>25.52</v>
      </c>
      <c r="G59" s="31">
        <v>0.21</v>
      </c>
      <c r="H59" s="30">
        <f t="shared" si="6"/>
        <v>5.3591999999999995</v>
      </c>
    </row>
    <row r="60" spans="3:8" x14ac:dyDescent="0.2">
      <c r="C60" s="9">
        <f>SUM(C25:C59)</f>
        <v>534682183.21999985</v>
      </c>
      <c r="E60" s="9">
        <f>SUM(E25:E59)</f>
        <v>5826755.0911428574</v>
      </c>
      <c r="F60" s="9">
        <f>SUM(F25:F59)</f>
        <v>1440391.0911428574</v>
      </c>
      <c r="G60" s="27" t="s">
        <v>40</v>
      </c>
      <c r="H60" s="30">
        <f>SUM(H25:H59)</f>
        <v>302482.12914000003</v>
      </c>
    </row>
    <row r="61" spans="3:8" ht="15" x14ac:dyDescent="0.35">
      <c r="E61" s="9"/>
      <c r="F61" s="9"/>
      <c r="G61" s="27" t="s">
        <v>38</v>
      </c>
      <c r="H61" s="26">
        <f>-H98*0.21</f>
        <v>-63304.138546705486</v>
      </c>
    </row>
    <row r="62" spans="3:8" x14ac:dyDescent="0.2">
      <c r="H62" s="9">
        <f>H60+H61</f>
        <v>239177.99059329455</v>
      </c>
    </row>
    <row r="63" spans="3:8" x14ac:dyDescent="0.2">
      <c r="H63" s="9">
        <f>H62-K15</f>
        <v>0.12796329453703947</v>
      </c>
    </row>
    <row r="64" spans="3:8" x14ac:dyDescent="0.2">
      <c r="C64" s="9" t="s">
        <v>34</v>
      </c>
      <c r="D64" s="34" t="s">
        <v>29</v>
      </c>
      <c r="E64" s="35" t="s">
        <v>35</v>
      </c>
      <c r="F64" s="9" t="s">
        <v>36</v>
      </c>
      <c r="G64" s="3" t="s">
        <v>23</v>
      </c>
      <c r="H64" s="9" t="s">
        <v>37</v>
      </c>
    </row>
    <row r="65" spans="3:8" x14ac:dyDescent="0.2">
      <c r="C65" s="30">
        <v>360851</v>
      </c>
      <c r="D65" s="30">
        <f>D25</f>
        <v>4386364</v>
      </c>
      <c r="E65" s="30">
        <v>0</v>
      </c>
      <c r="F65" s="30">
        <f>E65-D65</f>
        <v>-4386364</v>
      </c>
      <c r="G65" s="3">
        <v>0.05</v>
      </c>
      <c r="H65" s="30">
        <f>F65*G65</f>
        <v>-219318.2</v>
      </c>
    </row>
    <row r="66" spans="3:8" x14ac:dyDescent="0.2">
      <c r="C66" s="30">
        <v>1965028</v>
      </c>
      <c r="D66" s="30"/>
      <c r="E66" s="30">
        <v>7404.8805133333335</v>
      </c>
      <c r="F66" s="30">
        <f>E66</f>
        <v>7404.8805133333335</v>
      </c>
      <c r="G66" s="3">
        <v>0.05</v>
      </c>
      <c r="H66" s="30">
        <f t="shared" ref="H66:H97" si="8">F66*G66</f>
        <v>370.24402566666669</v>
      </c>
    </row>
    <row r="67" spans="3:8" x14ac:dyDescent="0.2">
      <c r="C67" s="30">
        <v>18755</v>
      </c>
      <c r="D67" s="30"/>
      <c r="E67" s="30">
        <v>0</v>
      </c>
      <c r="F67" s="30">
        <f t="shared" ref="F67:F97" si="9">E67</f>
        <v>0</v>
      </c>
      <c r="G67" s="3">
        <v>0.05</v>
      </c>
      <c r="H67" s="30">
        <f t="shared" si="8"/>
        <v>0</v>
      </c>
    </row>
    <row r="68" spans="3:8" x14ac:dyDescent="0.2">
      <c r="C68" s="30">
        <v>3107470</v>
      </c>
      <c r="D68" s="30"/>
      <c r="E68" s="30">
        <v>12657.761133333333</v>
      </c>
      <c r="F68" s="30">
        <f t="shared" si="9"/>
        <v>12657.761133333333</v>
      </c>
      <c r="G68" s="3">
        <v>0.05</v>
      </c>
      <c r="H68" s="30">
        <f t="shared" si="8"/>
        <v>632.88805666666667</v>
      </c>
    </row>
    <row r="69" spans="3:8" x14ac:dyDescent="0.2">
      <c r="C69" s="30">
        <v>-5724.94</v>
      </c>
      <c r="D69" s="30"/>
      <c r="E69" s="30">
        <v>-25.213589916666663</v>
      </c>
      <c r="F69" s="30">
        <f t="shared" si="9"/>
        <v>-25.213589916666663</v>
      </c>
      <c r="G69" s="3">
        <v>0.05</v>
      </c>
      <c r="H69" s="30">
        <f t="shared" si="8"/>
        <v>-1.2606794958333332</v>
      </c>
    </row>
    <row r="70" spans="3:8" x14ac:dyDescent="0.2">
      <c r="C70" s="30">
        <v>127918333.47199999</v>
      </c>
      <c r="D70" s="30"/>
      <c r="E70" s="30">
        <v>563374</v>
      </c>
      <c r="F70" s="30">
        <f t="shared" si="9"/>
        <v>563374</v>
      </c>
      <c r="G70" s="3">
        <v>0.05</v>
      </c>
      <c r="H70" s="30">
        <f t="shared" si="8"/>
        <v>28168.7</v>
      </c>
    </row>
    <row r="71" spans="3:8" x14ac:dyDescent="0.2">
      <c r="C71" s="30">
        <v>191877500.20799997</v>
      </c>
      <c r="D71" s="30"/>
      <c r="E71" s="30">
        <v>2284256</v>
      </c>
      <c r="F71" s="30">
        <f t="shared" si="9"/>
        <v>2284256</v>
      </c>
      <c r="G71" s="3">
        <v>0.05</v>
      </c>
      <c r="H71" s="30">
        <f t="shared" si="8"/>
        <v>114212.8</v>
      </c>
    </row>
    <row r="72" spans="3:8" x14ac:dyDescent="0.2">
      <c r="C72" s="30">
        <v>3354199.04</v>
      </c>
      <c r="D72" s="30"/>
      <c r="E72" s="30">
        <v>14772.451605333334</v>
      </c>
      <c r="F72" s="30">
        <f t="shared" si="9"/>
        <v>14772.451605333334</v>
      </c>
      <c r="G72" s="3">
        <v>0.05</v>
      </c>
      <c r="H72" s="30">
        <f t="shared" si="8"/>
        <v>738.62258026666677</v>
      </c>
    </row>
    <row r="73" spans="3:8" x14ac:dyDescent="0.2">
      <c r="C73" s="30">
        <v>5411173.5480000004</v>
      </c>
      <c r="D73" s="30"/>
      <c r="E73" s="30">
        <v>25762</v>
      </c>
      <c r="F73" s="30">
        <f t="shared" si="9"/>
        <v>25762</v>
      </c>
      <c r="G73" s="3">
        <v>0.05</v>
      </c>
      <c r="H73" s="30">
        <f t="shared" si="8"/>
        <v>1288.1000000000001</v>
      </c>
    </row>
    <row r="74" spans="3:8" x14ac:dyDescent="0.2">
      <c r="C74" s="30">
        <v>8116760.3219999988</v>
      </c>
      <c r="D74" s="30"/>
      <c r="E74" s="30">
        <v>96628.099071428544</v>
      </c>
      <c r="F74" s="30">
        <f t="shared" si="9"/>
        <v>96628.099071428544</v>
      </c>
      <c r="G74" s="3">
        <v>0.05</v>
      </c>
      <c r="H74" s="30">
        <f t="shared" si="8"/>
        <v>4831.4049535714275</v>
      </c>
    </row>
    <row r="75" spans="3:8" x14ac:dyDescent="0.2">
      <c r="C75" s="30">
        <v>143218226.94000003</v>
      </c>
      <c r="D75" s="30"/>
      <c r="E75" s="30">
        <v>681838.10875685012</v>
      </c>
      <c r="F75" s="30">
        <f t="shared" si="9"/>
        <v>681838.10875685012</v>
      </c>
      <c r="G75" s="3">
        <v>0.05</v>
      </c>
      <c r="H75" s="30">
        <f t="shared" si="8"/>
        <v>34091.905437842506</v>
      </c>
    </row>
    <row r="76" spans="3:8" x14ac:dyDescent="0.2">
      <c r="C76" s="30">
        <v>214827340.41</v>
      </c>
      <c r="D76" s="30"/>
      <c r="E76" s="30">
        <v>3580456</v>
      </c>
      <c r="F76" s="30">
        <f t="shared" si="9"/>
        <v>3580456</v>
      </c>
      <c r="G76" s="3">
        <v>0.05</v>
      </c>
      <c r="H76" s="30">
        <f t="shared" si="8"/>
        <v>179022.80000000002</v>
      </c>
    </row>
    <row r="77" spans="3:8" x14ac:dyDescent="0.2">
      <c r="C77" s="30">
        <v>1550574.7880000002</v>
      </c>
      <c r="D77" s="30"/>
      <c r="E77" s="30">
        <v>7382.0281365366673</v>
      </c>
      <c r="F77" s="30">
        <f t="shared" si="9"/>
        <v>7382.0281365366673</v>
      </c>
      <c r="G77" s="3">
        <v>0.05</v>
      </c>
      <c r="H77" s="30">
        <f t="shared" si="8"/>
        <v>369.1014068268334</v>
      </c>
    </row>
    <row r="78" spans="3:8" x14ac:dyDescent="0.2">
      <c r="C78" s="30">
        <v>2325862.182</v>
      </c>
      <c r="D78" s="30"/>
      <c r="E78" s="30">
        <v>27689</v>
      </c>
      <c r="F78" s="30">
        <f t="shared" si="9"/>
        <v>27689</v>
      </c>
      <c r="G78" s="3">
        <v>0.05</v>
      </c>
      <c r="H78" s="30">
        <f t="shared" si="8"/>
        <v>1384.45</v>
      </c>
    </row>
    <row r="79" spans="3:8" x14ac:dyDescent="0.2">
      <c r="C79" s="30">
        <v>5798889.6400000006</v>
      </c>
      <c r="D79" s="30"/>
      <c r="E79" s="30">
        <v>27608</v>
      </c>
      <c r="F79" s="30">
        <f t="shared" si="9"/>
        <v>27608</v>
      </c>
      <c r="G79" s="3">
        <v>0.05</v>
      </c>
      <c r="H79" s="30">
        <f t="shared" si="8"/>
        <v>1380.4</v>
      </c>
    </row>
    <row r="80" spans="3:8" x14ac:dyDescent="0.2">
      <c r="C80" s="30">
        <v>8698334.459999999</v>
      </c>
      <c r="D80" s="30"/>
      <c r="E80" s="30">
        <v>144972.24099999998</v>
      </c>
      <c r="F80" s="30">
        <f t="shared" si="9"/>
        <v>144972.24099999998</v>
      </c>
      <c r="G80" s="3">
        <v>0.05</v>
      </c>
      <c r="H80" s="30">
        <f t="shared" si="8"/>
        <v>7248.6120499999997</v>
      </c>
    </row>
    <row r="81" spans="3:9" x14ac:dyDescent="0.2">
      <c r="C81" s="30">
        <v>61477.070000000007</v>
      </c>
      <c r="D81" s="30"/>
      <c r="E81" s="30">
        <v>293</v>
      </c>
      <c r="F81" s="30">
        <f t="shared" si="9"/>
        <v>293</v>
      </c>
      <c r="G81" s="3">
        <v>0.05</v>
      </c>
      <c r="H81" s="30">
        <f t="shared" si="8"/>
        <v>14.65</v>
      </c>
    </row>
    <row r="82" spans="3:9" x14ac:dyDescent="0.2">
      <c r="C82" s="30">
        <v>97728.44</v>
      </c>
      <c r="D82" s="30"/>
      <c r="E82" s="30">
        <v>503.05714489999997</v>
      </c>
      <c r="F82" s="30">
        <f t="shared" si="9"/>
        <v>503.05714489999997</v>
      </c>
      <c r="G82" s="3">
        <v>0.05</v>
      </c>
      <c r="H82" s="30">
        <f t="shared" si="8"/>
        <v>25.152857245</v>
      </c>
    </row>
    <row r="83" spans="3:9" x14ac:dyDescent="0.2">
      <c r="C83" s="30">
        <v>113639335.91600001</v>
      </c>
      <c r="D83" s="30"/>
      <c r="E83" s="30">
        <v>584958.48162761005</v>
      </c>
      <c r="F83" s="30">
        <f t="shared" si="9"/>
        <v>584958.48162761005</v>
      </c>
      <c r="G83" s="3">
        <v>0.05</v>
      </c>
      <c r="H83" s="30">
        <f t="shared" si="8"/>
        <v>29247.924081380505</v>
      </c>
    </row>
    <row r="84" spans="3:9" x14ac:dyDescent="0.2">
      <c r="C84" s="30">
        <v>170459003.87400001</v>
      </c>
      <c r="D84" s="30"/>
      <c r="E84" s="30">
        <v>2029274</v>
      </c>
      <c r="F84" s="30">
        <f t="shared" si="9"/>
        <v>2029274</v>
      </c>
      <c r="G84" s="3">
        <v>0.05</v>
      </c>
      <c r="H84" s="30">
        <f t="shared" si="8"/>
        <v>101463.70000000001</v>
      </c>
    </row>
    <row r="85" spans="3:9" x14ac:dyDescent="0.2">
      <c r="C85" s="30">
        <v>5354505.7920000004</v>
      </c>
      <c r="D85" s="30"/>
      <c r="E85" s="30">
        <v>27562.318564320001</v>
      </c>
      <c r="F85" s="30">
        <f t="shared" si="9"/>
        <v>27562.318564320001</v>
      </c>
      <c r="G85" s="3">
        <v>0.05</v>
      </c>
      <c r="H85" s="30">
        <f t="shared" si="8"/>
        <v>1378.1159282160002</v>
      </c>
    </row>
    <row r="86" spans="3:9" x14ac:dyDescent="0.2">
      <c r="C86" s="30">
        <v>3586227.6599999997</v>
      </c>
      <c r="D86" s="30"/>
      <c r="E86" s="30">
        <v>59770.460999999988</v>
      </c>
      <c r="F86" s="30">
        <f t="shared" si="9"/>
        <v>59770.460999999988</v>
      </c>
      <c r="G86" s="3">
        <v>0.05</v>
      </c>
      <c r="H86" s="30">
        <f t="shared" si="8"/>
        <v>2988.5230499999998</v>
      </c>
    </row>
    <row r="87" spans="3:9" x14ac:dyDescent="0.2">
      <c r="C87" s="30">
        <v>4445531.0279999999</v>
      </c>
      <c r="D87" s="30"/>
      <c r="E87" s="30">
        <v>52922.988428571429</v>
      </c>
      <c r="F87" s="30">
        <f t="shared" si="9"/>
        <v>52922.988428571429</v>
      </c>
      <c r="G87" s="3">
        <v>0.05</v>
      </c>
      <c r="H87" s="30">
        <f t="shared" si="8"/>
        <v>2646.1494214285717</v>
      </c>
    </row>
    <row r="88" spans="3:9" x14ac:dyDescent="0.2">
      <c r="C88" s="30">
        <v>3386491.2399999993</v>
      </c>
      <c r="D88" s="30"/>
      <c r="E88" s="30">
        <v>18843.001674566662</v>
      </c>
      <c r="F88" s="30">
        <f t="shared" si="9"/>
        <v>18843.001674566662</v>
      </c>
      <c r="G88" s="31">
        <v>0.05</v>
      </c>
      <c r="H88" s="30">
        <f t="shared" si="8"/>
        <v>942.15008372833313</v>
      </c>
    </row>
    <row r="89" spans="3:9" x14ac:dyDescent="0.2">
      <c r="C89" s="30">
        <v>4327946.216</v>
      </c>
      <c r="D89" s="30"/>
      <c r="E89" s="30">
        <v>26036.203111086666</v>
      </c>
      <c r="F89" s="30">
        <f t="shared" si="9"/>
        <v>26036.203111086666</v>
      </c>
      <c r="G89" s="31">
        <v>0.05</v>
      </c>
      <c r="H89" s="30">
        <f t="shared" si="8"/>
        <v>1301.8101555543335</v>
      </c>
    </row>
    <row r="90" spans="3:9" x14ac:dyDescent="0.2">
      <c r="C90" s="30">
        <v>4685529.7139999997</v>
      </c>
      <c r="D90" s="30"/>
      <c r="E90" s="30">
        <v>55780.115642857134</v>
      </c>
      <c r="F90" s="30">
        <f t="shared" si="9"/>
        <v>55780.115642857134</v>
      </c>
      <c r="G90" s="31">
        <v>0.05</v>
      </c>
      <c r="H90" s="30">
        <f t="shared" si="8"/>
        <v>2789.0057821428568</v>
      </c>
    </row>
    <row r="91" spans="3:9" x14ac:dyDescent="0.2">
      <c r="C91" s="30">
        <v>1806389.61</v>
      </c>
      <c r="D91" s="30"/>
      <c r="E91" s="30">
        <v>30106.4935</v>
      </c>
      <c r="F91" s="30">
        <f t="shared" si="9"/>
        <v>30106.4935</v>
      </c>
      <c r="G91" s="31">
        <v>0.05</v>
      </c>
      <c r="H91" s="30">
        <f t="shared" si="8"/>
        <v>1505.3246750000001</v>
      </c>
    </row>
    <row r="92" spans="3:9" x14ac:dyDescent="0.2">
      <c r="C92" s="30">
        <v>2005887.2599999998</v>
      </c>
      <c r="D92" s="30"/>
      <c r="E92" s="30">
        <v>12067.083441616667</v>
      </c>
      <c r="F92" s="30">
        <f t="shared" si="9"/>
        <v>12067.083441616667</v>
      </c>
      <c r="G92" s="31">
        <v>0.05</v>
      </c>
      <c r="H92" s="30">
        <f t="shared" si="8"/>
        <v>603.35417208083334</v>
      </c>
    </row>
    <row r="93" spans="3:9" x14ac:dyDescent="0.2">
      <c r="C93" s="30">
        <v>3008830.8899999997</v>
      </c>
      <c r="D93" s="30"/>
      <c r="E93" s="30">
        <v>35819.415357142854</v>
      </c>
      <c r="F93" s="30">
        <f t="shared" si="9"/>
        <v>35819.415357142854</v>
      </c>
      <c r="G93" s="31">
        <v>0.05</v>
      </c>
      <c r="H93" s="30">
        <f t="shared" si="8"/>
        <v>1790.9707678571428</v>
      </c>
    </row>
    <row r="94" spans="3:9" x14ac:dyDescent="0.2">
      <c r="C94" s="30">
        <v>291946</v>
      </c>
      <c r="D94" s="30"/>
      <c r="E94" s="30">
        <v>912.32990000000007</v>
      </c>
      <c r="F94" s="30">
        <f t="shared" si="9"/>
        <v>912.32990000000007</v>
      </c>
      <c r="G94" s="31">
        <v>0.05</v>
      </c>
      <c r="H94" s="30">
        <f t="shared" si="8"/>
        <v>45.616495000000008</v>
      </c>
    </row>
    <row r="95" spans="3:9" x14ac:dyDescent="0.2">
      <c r="C95" s="30">
        <v>229665.45600000001</v>
      </c>
      <c r="D95" s="30"/>
      <c r="E95" s="30">
        <v>2506.2698571428573</v>
      </c>
      <c r="F95" s="30">
        <f t="shared" si="9"/>
        <v>2506.2698571428573</v>
      </c>
      <c r="G95" s="31">
        <v>0.05</v>
      </c>
      <c r="H95" s="30">
        <f t="shared" si="8"/>
        <v>125.31349285714288</v>
      </c>
    </row>
    <row r="96" spans="3:9" x14ac:dyDescent="0.2">
      <c r="C96" s="30">
        <v>208253</v>
      </c>
      <c r="D96" s="30"/>
      <c r="E96" s="30">
        <v>3182</v>
      </c>
      <c r="F96" s="30">
        <f t="shared" si="9"/>
        <v>3182</v>
      </c>
      <c r="G96" s="31">
        <v>0.05</v>
      </c>
      <c r="H96" s="30">
        <f t="shared" si="8"/>
        <v>159.10000000000002</v>
      </c>
      <c r="I96" s="27"/>
    </row>
    <row r="97" spans="3:8" ht="15" x14ac:dyDescent="0.35">
      <c r="C97" s="26">
        <v>5285.41</v>
      </c>
      <c r="D97" s="30"/>
      <c r="E97" s="26">
        <v>17</v>
      </c>
      <c r="F97" s="26">
        <f t="shared" si="9"/>
        <v>17</v>
      </c>
      <c r="G97" s="31">
        <v>0.05</v>
      </c>
      <c r="H97" s="26">
        <f t="shared" si="8"/>
        <v>0.85000000000000009</v>
      </c>
    </row>
    <row r="98" spans="3:8" x14ac:dyDescent="0.2">
      <c r="C98" s="9">
        <f>SUM(C65:C97)</f>
        <v>1036143608.646</v>
      </c>
      <c r="E98" s="9">
        <f>SUM(E65:E97)</f>
        <v>10415329.575876711</v>
      </c>
      <c r="F98" s="9">
        <f>SUM(F65:F97)</f>
        <v>6028965.5758767128</v>
      </c>
      <c r="H98" s="30">
        <f>SUM(H65:H97)</f>
        <v>301448.27879383566</v>
      </c>
    </row>
    <row r="99" spans="3:8" x14ac:dyDescent="0.2">
      <c r="E99" s="9"/>
      <c r="F99" s="9"/>
      <c r="H99" s="9">
        <f>H98-L15</f>
        <v>-1.8206164299044758E-2</v>
      </c>
    </row>
  </sheetData>
  <mergeCells count="3">
    <mergeCell ref="A1:N1"/>
    <mergeCell ref="A2:N2"/>
    <mergeCell ref="A3:N3"/>
  </mergeCells>
  <pageMargins left="0.5" right="0.5" top="1.5" bottom="0.5" header="0.5" footer="0.5"/>
  <pageSetup scale="51" orientation="portrait" r:id="rId1"/>
  <headerFooter alignWithMargins="0">
    <oddHeader>&amp;R&amp;"Times New Roman,Bold"&amp;12Attachment to Response to Question No. 3
Page &amp;P of &amp;N
Williams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5"/>
  <sheetViews>
    <sheetView zoomScaleNormal="100" workbookViewId="0">
      <selection sqref="A1:N1"/>
    </sheetView>
  </sheetViews>
  <sheetFormatPr defaultRowHeight="12.75" x14ac:dyDescent="0.2"/>
  <cols>
    <col min="1" max="1" width="11.28515625" style="8" customWidth="1"/>
    <col min="2" max="2" width="1.7109375" customWidth="1"/>
    <col min="3" max="3" width="13.7109375" customWidth="1"/>
    <col min="4" max="4" width="12.7109375" customWidth="1"/>
    <col min="5" max="5" width="16.140625" customWidth="1"/>
    <col min="6" max="6" width="15" customWidth="1"/>
    <col min="7" max="14" width="12.7109375" customWidth="1"/>
  </cols>
  <sheetData>
    <row r="1" spans="1:14" x14ac:dyDescent="0.2">
      <c r="A1" s="42" t="s">
        <v>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42" t="s">
        <v>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2">
      <c r="A3" s="42" t="s">
        <v>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">
      <c r="A5" s="6" t="s">
        <v>12</v>
      </c>
    </row>
    <row r="6" spans="1:14" x14ac:dyDescent="0.2">
      <c r="A6" s="16" t="s">
        <v>14</v>
      </c>
    </row>
    <row r="8" spans="1:14" s="1" customFormat="1" ht="38.25" x14ac:dyDescent="0.2">
      <c r="A8" s="7" t="s">
        <v>0</v>
      </c>
      <c r="B8" s="2"/>
      <c r="C8" s="2" t="s">
        <v>1</v>
      </c>
      <c r="D8" s="2" t="s">
        <v>2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5</v>
      </c>
      <c r="N8" s="2" t="s">
        <v>4</v>
      </c>
    </row>
    <row r="9" spans="1:14" x14ac:dyDescent="0.2">
      <c r="A9" s="8" t="s">
        <v>8</v>
      </c>
      <c r="M9" s="10">
        <v>21974560</v>
      </c>
    </row>
    <row r="10" spans="1:14" x14ac:dyDescent="0.2">
      <c r="A10" s="29">
        <v>43533</v>
      </c>
      <c r="C10" s="11">
        <v>100993470</v>
      </c>
      <c r="D10" s="12">
        <v>230399</v>
      </c>
      <c r="E10" s="12">
        <f>457026.21+22.76</f>
        <v>457048.97000000003</v>
      </c>
      <c r="F10" s="12">
        <f t="shared" ref="F10:F15" si="0">913551.06</f>
        <v>913551.06</v>
      </c>
      <c r="G10" s="13">
        <f t="shared" ref="G10:G15" si="1">E10-D10</f>
        <v>226649.97000000003</v>
      </c>
      <c r="H10" s="13">
        <f t="shared" ref="H10:H15" si="2">F10-D10</f>
        <v>683152.06</v>
      </c>
      <c r="I10" s="3">
        <v>0.21</v>
      </c>
      <c r="J10" s="3">
        <v>0.05</v>
      </c>
      <c r="K10" s="9">
        <f t="shared" ref="K10:K15" si="3">G10*I10-L10*I10</f>
        <v>40423.397070000006</v>
      </c>
      <c r="L10" s="9">
        <f t="shared" ref="L10:L15" si="4">H10*J10</f>
        <v>34157.603000000003</v>
      </c>
      <c r="M10" s="14">
        <f t="shared" ref="M10:M15" si="5">M9+K10+L10</f>
        <v>22049141.000070002</v>
      </c>
      <c r="N10" s="9">
        <v>0</v>
      </c>
    </row>
    <row r="11" spans="1:14" x14ac:dyDescent="0.2">
      <c r="A11" s="28">
        <v>43556</v>
      </c>
      <c r="C11" s="11">
        <v>100993470</v>
      </c>
      <c r="D11" s="12">
        <v>230399</v>
      </c>
      <c r="E11" s="12">
        <f>457026.21+22.76-4</f>
        <v>457044.97000000003</v>
      </c>
      <c r="F11" s="12">
        <f t="shared" si="0"/>
        <v>913551.06</v>
      </c>
      <c r="G11" s="13">
        <f t="shared" si="1"/>
        <v>226645.97000000003</v>
      </c>
      <c r="H11" s="13">
        <f t="shared" si="2"/>
        <v>683152.06</v>
      </c>
      <c r="I11" s="3">
        <v>0.21</v>
      </c>
      <c r="J11" s="3">
        <v>0.05</v>
      </c>
      <c r="K11" s="9">
        <f t="shared" si="3"/>
        <v>40422.557070000003</v>
      </c>
      <c r="L11" s="9">
        <f t="shared" si="4"/>
        <v>34157.603000000003</v>
      </c>
      <c r="M11" s="14">
        <f t="shared" si="5"/>
        <v>22123721.16014</v>
      </c>
      <c r="N11" s="9">
        <v>0</v>
      </c>
    </row>
    <row r="12" spans="1:14" x14ac:dyDescent="0.2">
      <c r="A12" s="28">
        <v>43586</v>
      </c>
      <c r="C12" s="11">
        <v>100993470</v>
      </c>
      <c r="D12" s="12">
        <v>244315</v>
      </c>
      <c r="E12" s="12">
        <f>457026.21+17.44</f>
        <v>457043.65</v>
      </c>
      <c r="F12" s="12">
        <f t="shared" si="0"/>
        <v>913551.06</v>
      </c>
      <c r="G12" s="13">
        <f t="shared" si="1"/>
        <v>212728.65000000002</v>
      </c>
      <c r="H12" s="13">
        <f t="shared" si="2"/>
        <v>669236.06000000006</v>
      </c>
      <c r="I12" s="3">
        <v>0.21</v>
      </c>
      <c r="J12" s="3">
        <v>0.05</v>
      </c>
      <c r="K12" s="9">
        <f t="shared" si="3"/>
        <v>37646.03787</v>
      </c>
      <c r="L12" s="9">
        <f t="shared" si="4"/>
        <v>33461.803000000007</v>
      </c>
      <c r="M12" s="14">
        <f t="shared" si="5"/>
        <v>22194829.001010001</v>
      </c>
      <c r="N12" s="9">
        <v>0</v>
      </c>
    </row>
    <row r="13" spans="1:14" x14ac:dyDescent="0.2">
      <c r="A13" s="28">
        <v>43617</v>
      </c>
      <c r="C13" s="11">
        <v>100993470</v>
      </c>
      <c r="D13" s="12">
        <v>244315</v>
      </c>
      <c r="E13" s="12">
        <f>457026.21+18.19</f>
        <v>457044.4</v>
      </c>
      <c r="F13" s="12">
        <f t="shared" si="0"/>
        <v>913551.06</v>
      </c>
      <c r="G13" s="13">
        <f t="shared" si="1"/>
        <v>212729.40000000002</v>
      </c>
      <c r="H13" s="13">
        <f t="shared" si="2"/>
        <v>669236.06000000006</v>
      </c>
      <c r="I13" s="3">
        <v>0.21</v>
      </c>
      <c r="J13" s="3">
        <v>0.05</v>
      </c>
      <c r="K13" s="9">
        <f t="shared" si="3"/>
        <v>37646.195370000001</v>
      </c>
      <c r="L13" s="9">
        <f t="shared" si="4"/>
        <v>33461.803000000007</v>
      </c>
      <c r="M13" s="14">
        <f t="shared" si="5"/>
        <v>22265936.99938</v>
      </c>
      <c r="N13" s="9">
        <v>0</v>
      </c>
    </row>
    <row r="14" spans="1:14" x14ac:dyDescent="0.2">
      <c r="A14" s="28">
        <v>43647</v>
      </c>
      <c r="C14" s="11">
        <v>100993470</v>
      </c>
      <c r="D14" s="12">
        <v>244315</v>
      </c>
      <c r="E14" s="12">
        <f>457026.21+18.19</f>
        <v>457044.4</v>
      </c>
      <c r="F14" s="12">
        <f t="shared" si="0"/>
        <v>913551.06</v>
      </c>
      <c r="G14" s="13">
        <f t="shared" si="1"/>
        <v>212729.40000000002</v>
      </c>
      <c r="H14" s="13">
        <f t="shared" si="2"/>
        <v>669236.06000000006</v>
      </c>
      <c r="I14" s="3">
        <v>0.21</v>
      </c>
      <c r="J14" s="3">
        <v>0.05</v>
      </c>
      <c r="K14" s="9">
        <f t="shared" si="3"/>
        <v>37646.195370000001</v>
      </c>
      <c r="L14" s="9">
        <f t="shared" si="4"/>
        <v>33461.803000000007</v>
      </c>
      <c r="M14" s="14">
        <f t="shared" si="5"/>
        <v>22337044.997749999</v>
      </c>
      <c r="N14" s="9">
        <v>0</v>
      </c>
    </row>
    <row r="15" spans="1:14" x14ac:dyDescent="0.2">
      <c r="A15" s="28">
        <v>43678</v>
      </c>
      <c r="C15" s="11">
        <v>100993470</v>
      </c>
      <c r="D15" s="12">
        <v>244315</v>
      </c>
      <c r="E15" s="12">
        <f>457026.21+18.19</f>
        <v>457044.4</v>
      </c>
      <c r="F15" s="12">
        <f t="shared" si="0"/>
        <v>913551.06</v>
      </c>
      <c r="G15" s="13">
        <f t="shared" si="1"/>
        <v>212729.40000000002</v>
      </c>
      <c r="H15" s="13">
        <f t="shared" si="2"/>
        <v>669236.06000000006</v>
      </c>
      <c r="I15" s="3">
        <v>0.21</v>
      </c>
      <c r="J15" s="3">
        <v>0.05</v>
      </c>
      <c r="K15" s="9">
        <f t="shared" si="3"/>
        <v>37646.195370000001</v>
      </c>
      <c r="L15" s="9">
        <f t="shared" si="4"/>
        <v>33461.803000000007</v>
      </c>
      <c r="M15" s="14">
        <f t="shared" si="5"/>
        <v>22408152.996119998</v>
      </c>
      <c r="N15" s="9">
        <v>0</v>
      </c>
    </row>
    <row r="16" spans="1:14" x14ac:dyDescent="0.2">
      <c r="A16" s="15"/>
      <c r="C16" s="11"/>
      <c r="D16" s="12"/>
      <c r="E16" s="12"/>
      <c r="F16" s="12"/>
      <c r="G16" s="13"/>
      <c r="H16" s="13"/>
      <c r="I16" s="13"/>
      <c r="J16" s="11"/>
      <c r="K16" s="11"/>
      <c r="L16" s="3"/>
      <c r="M16" s="3"/>
      <c r="N16" s="9"/>
    </row>
    <row r="17" spans="1:14" x14ac:dyDescent="0.2">
      <c r="A17" s="15"/>
      <c r="C17" s="11"/>
      <c r="D17" s="12"/>
      <c r="E17" s="12"/>
      <c r="F17" s="12"/>
      <c r="G17" s="13"/>
      <c r="H17" s="13"/>
      <c r="I17" s="13"/>
      <c r="J17" s="11"/>
      <c r="K17" s="11"/>
      <c r="L17" s="3"/>
      <c r="M17" s="3"/>
      <c r="N17" s="9"/>
    </row>
    <row r="18" spans="1:14" x14ac:dyDescent="0.2">
      <c r="A18" s="15"/>
      <c r="C18" s="11"/>
      <c r="D18" s="12"/>
      <c r="E18" s="12"/>
      <c r="F18" s="12"/>
      <c r="G18" s="13"/>
      <c r="H18" s="13"/>
      <c r="I18" s="13"/>
      <c r="J18" s="11"/>
      <c r="K18" s="11"/>
      <c r="L18" s="3"/>
      <c r="M18" s="3"/>
      <c r="N18" s="9"/>
    </row>
    <row r="19" spans="1:14" x14ac:dyDescent="0.2">
      <c r="C19" s="33" t="s">
        <v>26</v>
      </c>
      <c r="D19" s="34"/>
      <c r="E19" s="34"/>
      <c r="F19" s="34"/>
      <c r="G19" s="35"/>
      <c r="H19" s="35"/>
    </row>
    <row r="20" spans="1:14" x14ac:dyDescent="0.2">
      <c r="C20" s="33" t="s">
        <v>48</v>
      </c>
      <c r="D20" s="34"/>
      <c r="E20" s="34"/>
      <c r="F20" s="34"/>
      <c r="G20" s="35"/>
      <c r="H20" s="35"/>
    </row>
    <row r="21" spans="1:14" x14ac:dyDescent="0.2">
      <c r="C21" s="33" t="s">
        <v>47</v>
      </c>
      <c r="D21" s="34"/>
      <c r="E21" s="34"/>
      <c r="F21" s="34"/>
      <c r="G21" s="35"/>
      <c r="H21" s="35"/>
    </row>
    <row r="22" spans="1:14" x14ac:dyDescent="0.2">
      <c r="C22" s="9" t="s">
        <v>27</v>
      </c>
      <c r="D22" s="34"/>
      <c r="E22" s="34"/>
      <c r="F22" s="34"/>
      <c r="G22" s="35"/>
      <c r="H22" s="35"/>
    </row>
    <row r="23" spans="1:14" x14ac:dyDescent="0.2">
      <c r="C23" s="36"/>
      <c r="D23" s="34"/>
      <c r="E23" s="34"/>
      <c r="F23" s="34"/>
      <c r="G23" s="34"/>
      <c r="H23" s="34"/>
    </row>
    <row r="24" spans="1:14" x14ac:dyDescent="0.2">
      <c r="C24" s="9" t="s">
        <v>28</v>
      </c>
      <c r="D24" s="37" t="s">
        <v>29</v>
      </c>
      <c r="E24" s="35" t="s">
        <v>30</v>
      </c>
      <c r="F24" s="9" t="s">
        <v>31</v>
      </c>
      <c r="G24" s="3" t="s">
        <v>22</v>
      </c>
      <c r="H24" s="9" t="s">
        <v>32</v>
      </c>
    </row>
    <row r="25" spans="1:14" x14ac:dyDescent="0.2">
      <c r="C25" s="30">
        <v>19447093.452</v>
      </c>
      <c r="D25" s="30">
        <v>244315</v>
      </c>
      <c r="E25" s="30">
        <v>92584</v>
      </c>
      <c r="F25" s="30">
        <f>E25-D25</f>
        <v>-151731</v>
      </c>
      <c r="G25" s="3">
        <v>0.21</v>
      </c>
      <c r="H25" s="30">
        <f>F25*G25</f>
        <v>-31863.51</v>
      </c>
    </row>
    <row r="26" spans="1:14" x14ac:dyDescent="0.2">
      <c r="C26" s="30">
        <v>29170640.177999996</v>
      </c>
      <c r="D26" s="30"/>
      <c r="E26" s="30">
        <v>347269.52592857141</v>
      </c>
      <c r="F26" s="30">
        <f>E26</f>
        <v>347269.52592857141</v>
      </c>
      <c r="G26" s="3">
        <v>0.21</v>
      </c>
      <c r="H26" s="30">
        <f t="shared" ref="H26:H31" si="6">F26*G26</f>
        <v>72926.600444999989</v>
      </c>
    </row>
    <row r="27" spans="1:14" x14ac:dyDescent="0.2">
      <c r="C27" s="30">
        <v>584700.50199999998</v>
      </c>
      <c r="D27" s="30"/>
      <c r="E27" s="30">
        <v>3010</v>
      </c>
      <c r="F27" s="30">
        <f t="shared" ref="F27:F31" si="7">E27</f>
        <v>3010</v>
      </c>
      <c r="G27" s="3">
        <v>0.21</v>
      </c>
      <c r="H27" s="30">
        <f t="shared" si="6"/>
        <v>632.1</v>
      </c>
    </row>
    <row r="28" spans="1:14" x14ac:dyDescent="0.2">
      <c r="C28" s="30">
        <v>877050.75299999991</v>
      </c>
      <c r="D28" s="30"/>
      <c r="E28" s="30">
        <v>10441.080392857142</v>
      </c>
      <c r="F28" s="30">
        <f t="shared" si="7"/>
        <v>10441.080392857142</v>
      </c>
      <c r="G28" s="31">
        <v>0.21</v>
      </c>
      <c r="H28" s="30">
        <f t="shared" si="6"/>
        <v>2192.6268824999997</v>
      </c>
    </row>
    <row r="29" spans="1:14" x14ac:dyDescent="0.2">
      <c r="C29" s="30">
        <v>137487</v>
      </c>
      <c r="D29" s="30"/>
      <c r="E29" s="30">
        <v>765</v>
      </c>
      <c r="F29" s="30">
        <f t="shared" si="7"/>
        <v>765</v>
      </c>
      <c r="G29" s="31">
        <v>0.21</v>
      </c>
      <c r="H29" s="30">
        <f t="shared" si="6"/>
        <v>160.65</v>
      </c>
    </row>
    <row r="30" spans="1:14" x14ac:dyDescent="0.2">
      <c r="C30" s="30">
        <v>206231</v>
      </c>
      <c r="D30" s="30"/>
      <c r="E30" s="30">
        <v>2455</v>
      </c>
      <c r="F30" s="30">
        <f t="shared" si="7"/>
        <v>2455</v>
      </c>
      <c r="G30" s="31">
        <v>0.21</v>
      </c>
      <c r="H30" s="30">
        <f t="shared" si="6"/>
        <v>515.54999999999995</v>
      </c>
    </row>
    <row r="31" spans="1:14" ht="15" x14ac:dyDescent="0.35">
      <c r="C31" s="26">
        <v>147065</v>
      </c>
      <c r="D31" s="30"/>
      <c r="E31" s="26">
        <v>519</v>
      </c>
      <c r="F31" s="26">
        <f t="shared" si="7"/>
        <v>519</v>
      </c>
      <c r="G31" s="31">
        <v>0.21</v>
      </c>
      <c r="H31" s="26">
        <f t="shared" si="6"/>
        <v>108.99</v>
      </c>
    </row>
    <row r="32" spans="1:14" x14ac:dyDescent="0.2">
      <c r="C32" s="30">
        <f>SUM(C25:C31)</f>
        <v>50570267.88499999</v>
      </c>
      <c r="D32" s="30"/>
      <c r="E32" s="30">
        <f>SUM(E25:E31)</f>
        <v>457043.60632142855</v>
      </c>
      <c r="F32" s="30">
        <f>SUM(F25:F31)</f>
        <v>212728.60632142855</v>
      </c>
      <c r="G32" s="27" t="s">
        <v>40</v>
      </c>
      <c r="H32" s="30">
        <f>SUM(H25:H31)</f>
        <v>44673.007327499996</v>
      </c>
    </row>
    <row r="33" spans="3:8" ht="15" x14ac:dyDescent="0.35">
      <c r="E33" s="9"/>
      <c r="F33" s="9"/>
      <c r="G33" s="27" t="s">
        <v>38</v>
      </c>
      <c r="H33" s="26">
        <f>-H44*0.21</f>
        <v>-7026.9802327499992</v>
      </c>
    </row>
    <row r="34" spans="3:8" x14ac:dyDescent="0.2">
      <c r="H34" s="9">
        <f>H32+H33</f>
        <v>37646.027094749996</v>
      </c>
    </row>
    <row r="35" spans="3:8" x14ac:dyDescent="0.2">
      <c r="H35" s="9">
        <f>H34-K15</f>
        <v>-0.16827525000553578</v>
      </c>
    </row>
    <row r="36" spans="3:8" x14ac:dyDescent="0.2">
      <c r="C36" s="9" t="s">
        <v>34</v>
      </c>
      <c r="D36" s="34" t="s">
        <v>29</v>
      </c>
      <c r="E36" s="35" t="s">
        <v>35</v>
      </c>
      <c r="F36" s="9" t="s">
        <v>36</v>
      </c>
      <c r="G36" s="3" t="s">
        <v>23</v>
      </c>
      <c r="H36" s="9" t="s">
        <v>37</v>
      </c>
    </row>
    <row r="37" spans="3:8" x14ac:dyDescent="0.2">
      <c r="C37" s="30">
        <v>38894186.903999999</v>
      </c>
      <c r="D37" s="30">
        <f>D25</f>
        <v>244315</v>
      </c>
      <c r="E37" s="30">
        <v>185169</v>
      </c>
      <c r="F37" s="30">
        <f>E37-D37</f>
        <v>-59146</v>
      </c>
      <c r="G37" s="3">
        <v>0.05</v>
      </c>
      <c r="H37" s="30">
        <f>F37*G37</f>
        <v>-2957.3</v>
      </c>
    </row>
    <row r="38" spans="3:8" x14ac:dyDescent="0.2">
      <c r="C38" s="30">
        <v>58341280.355999991</v>
      </c>
      <c r="D38" s="30"/>
      <c r="E38" s="30">
        <v>694539.05185714283</v>
      </c>
      <c r="F38" s="30">
        <f>E38</f>
        <v>694539.05185714283</v>
      </c>
      <c r="G38" s="3">
        <v>0.05</v>
      </c>
      <c r="H38" s="30">
        <f t="shared" ref="H38:H43" si="8">F38*G38</f>
        <v>34726.952592857146</v>
      </c>
    </row>
    <row r="39" spans="3:8" x14ac:dyDescent="0.2">
      <c r="C39" s="30">
        <v>1169401.004</v>
      </c>
      <c r="D39" s="30"/>
      <c r="E39" s="30">
        <v>6019</v>
      </c>
      <c r="F39" s="30">
        <f t="shared" ref="F39:F43" si="9">E39</f>
        <v>6019</v>
      </c>
      <c r="G39" s="3">
        <v>0.05</v>
      </c>
      <c r="H39" s="30">
        <f t="shared" si="8"/>
        <v>300.95</v>
      </c>
    </row>
    <row r="40" spans="3:8" x14ac:dyDescent="0.2">
      <c r="C40" s="30">
        <v>1754101.5059999998</v>
      </c>
      <c r="D40" s="30"/>
      <c r="E40" s="30">
        <v>20882.160785714284</v>
      </c>
      <c r="F40" s="30">
        <f t="shared" si="9"/>
        <v>20882.160785714284</v>
      </c>
      <c r="G40" s="3">
        <v>0.05</v>
      </c>
      <c r="H40" s="30">
        <f t="shared" si="8"/>
        <v>1044.1080392857143</v>
      </c>
    </row>
    <row r="41" spans="3:8" x14ac:dyDescent="0.2">
      <c r="C41" s="30">
        <v>274974</v>
      </c>
      <c r="D41" s="30"/>
      <c r="E41" s="30">
        <v>1530</v>
      </c>
      <c r="F41" s="30">
        <f t="shared" si="9"/>
        <v>1530</v>
      </c>
      <c r="G41" s="3">
        <v>0.05</v>
      </c>
      <c r="H41" s="30">
        <f t="shared" si="8"/>
        <v>76.5</v>
      </c>
    </row>
    <row r="42" spans="3:8" x14ac:dyDescent="0.2">
      <c r="C42" s="30">
        <v>412461</v>
      </c>
      <c r="D42" s="30"/>
      <c r="E42" s="30">
        <v>4910</v>
      </c>
      <c r="F42" s="30">
        <f t="shared" si="9"/>
        <v>4910</v>
      </c>
      <c r="G42" s="31">
        <v>0.05</v>
      </c>
      <c r="H42" s="30">
        <f t="shared" si="8"/>
        <v>245.5</v>
      </c>
    </row>
    <row r="43" spans="3:8" ht="15" x14ac:dyDescent="0.35">
      <c r="C43" s="26">
        <v>147065</v>
      </c>
      <c r="D43" s="30"/>
      <c r="E43" s="26">
        <v>502</v>
      </c>
      <c r="F43" s="26">
        <f t="shared" si="9"/>
        <v>502</v>
      </c>
      <c r="G43" s="31">
        <v>0.05</v>
      </c>
      <c r="H43" s="26">
        <f t="shared" si="8"/>
        <v>25.1</v>
      </c>
    </row>
    <row r="44" spans="3:8" x14ac:dyDescent="0.2">
      <c r="C44" s="9">
        <f>SUM(C37:C43)</f>
        <v>100993469.76999998</v>
      </c>
      <c r="E44" s="9">
        <f>SUM(E37:E43)</f>
        <v>913551.21264285711</v>
      </c>
      <c r="F44" s="9">
        <f>SUM(F37:F43)</f>
        <v>669236.21264285711</v>
      </c>
      <c r="H44" s="30">
        <f>SUM(H37:H43)</f>
        <v>33461.810632142857</v>
      </c>
    </row>
    <row r="45" spans="3:8" x14ac:dyDescent="0.2">
      <c r="E45" s="9"/>
      <c r="F45" s="9"/>
      <c r="H45" s="9">
        <f>H44-L15</f>
        <v>7.632142849615775E-3</v>
      </c>
    </row>
  </sheetData>
  <mergeCells count="3">
    <mergeCell ref="A1:N1"/>
    <mergeCell ref="A2:N2"/>
    <mergeCell ref="A3:N3"/>
  </mergeCells>
  <pageMargins left="0.5" right="0.5" top="1.5" bottom="0.5" header="0.5" footer="0.5"/>
  <pageSetup scale="56" orientation="portrait" r:id="rId1"/>
  <headerFooter alignWithMargins="0">
    <oddHeader>&amp;R&amp;"Times New Roman,Bold"&amp;12Attachment to Response to Question No. 3
Page &amp;P of &amp;N
Williams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69"/>
  <sheetViews>
    <sheetView zoomScaleNormal="100" workbookViewId="0">
      <selection sqref="A1:N1"/>
    </sheetView>
  </sheetViews>
  <sheetFormatPr defaultRowHeight="12.75" x14ac:dyDescent="0.2"/>
  <cols>
    <col min="1" max="1" width="11.28515625" style="8" customWidth="1"/>
    <col min="2" max="2" width="1.7109375" customWidth="1"/>
    <col min="3" max="3" width="13.5703125" customWidth="1"/>
    <col min="4" max="4" width="12.7109375" customWidth="1"/>
    <col min="5" max="5" width="16.140625" customWidth="1"/>
    <col min="6" max="6" width="14.7109375" customWidth="1"/>
    <col min="7" max="14" width="12.7109375" customWidth="1"/>
  </cols>
  <sheetData>
    <row r="1" spans="1:15" x14ac:dyDescent="0.2">
      <c r="A1" s="42" t="s">
        <v>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x14ac:dyDescent="0.2">
      <c r="A2" s="42" t="s">
        <v>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5" x14ac:dyDescent="0.2">
      <c r="A3" s="42" t="s">
        <v>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5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5" x14ac:dyDescent="0.2">
      <c r="A5" s="6" t="s">
        <v>15</v>
      </c>
    </row>
    <row r="6" spans="1:15" x14ac:dyDescent="0.2">
      <c r="A6" s="18" t="s">
        <v>16</v>
      </c>
    </row>
    <row r="8" spans="1:15" s="1" customFormat="1" ht="38.25" x14ac:dyDescent="0.2">
      <c r="A8" s="7" t="s">
        <v>0</v>
      </c>
      <c r="B8" s="2"/>
      <c r="C8" s="2" t="s">
        <v>1</v>
      </c>
      <c r="D8" s="2" t="s">
        <v>2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5</v>
      </c>
      <c r="N8" s="2" t="s">
        <v>4</v>
      </c>
    </row>
    <row r="9" spans="1:15" x14ac:dyDescent="0.2">
      <c r="A9" s="8" t="s">
        <v>8</v>
      </c>
      <c r="M9" s="10">
        <v>858581</v>
      </c>
    </row>
    <row r="10" spans="1:15" x14ac:dyDescent="0.2">
      <c r="A10" s="29">
        <v>43533</v>
      </c>
      <c r="C10" s="11">
        <v>4512896</v>
      </c>
      <c r="D10" s="12">
        <v>6779</v>
      </c>
      <c r="E10" s="12">
        <f>24213.64-4.56</f>
        <v>24209.079999999998</v>
      </c>
      <c r="F10" s="12">
        <f t="shared" ref="F10:F15" si="0">47327.95</f>
        <v>47327.95</v>
      </c>
      <c r="G10" s="13">
        <f t="shared" ref="G10:G13" si="1">E10-D10</f>
        <v>17430.079999999998</v>
      </c>
      <c r="H10" s="13">
        <f t="shared" ref="H10:H13" si="2">F10-D10</f>
        <v>40548.949999999997</v>
      </c>
      <c r="I10" s="3">
        <v>0.21</v>
      </c>
      <c r="J10" s="3">
        <v>0.05</v>
      </c>
      <c r="K10" s="9">
        <f t="shared" ref="K10:K15" si="3">G10*I10-L10*I10</f>
        <v>3234.5528249999998</v>
      </c>
      <c r="L10" s="9">
        <f t="shared" ref="L10:L15" si="4">H10*J10</f>
        <v>2027.4475</v>
      </c>
      <c r="M10" s="14">
        <f t="shared" ref="M10:M15" si="5">M9+K10+L10</f>
        <v>863843.00032500003</v>
      </c>
      <c r="N10" s="9">
        <v>0</v>
      </c>
    </row>
    <row r="11" spans="1:15" x14ac:dyDescent="0.2">
      <c r="A11" s="28">
        <v>43556</v>
      </c>
      <c r="C11" s="11">
        <v>4512896</v>
      </c>
      <c r="D11" s="12">
        <v>6784</v>
      </c>
      <c r="E11" s="12">
        <f>24213.64-4.56</f>
        <v>24209.079999999998</v>
      </c>
      <c r="F11" s="12">
        <f t="shared" si="0"/>
        <v>47327.95</v>
      </c>
      <c r="G11" s="13">
        <f t="shared" si="1"/>
        <v>17425.079999999998</v>
      </c>
      <c r="H11" s="13">
        <f t="shared" si="2"/>
        <v>40543.949999999997</v>
      </c>
      <c r="I11" s="3">
        <v>0.21</v>
      </c>
      <c r="J11" s="3">
        <v>0.05</v>
      </c>
      <c r="K11" s="9">
        <f t="shared" si="3"/>
        <v>3233.5553249999994</v>
      </c>
      <c r="L11" s="9">
        <f t="shared" si="4"/>
        <v>2027.1975</v>
      </c>
      <c r="M11" s="14">
        <f t="shared" si="5"/>
        <v>869103.75315</v>
      </c>
      <c r="N11" s="9">
        <v>0</v>
      </c>
      <c r="O11" s="9"/>
    </row>
    <row r="12" spans="1:15" x14ac:dyDescent="0.2">
      <c r="A12" s="28">
        <v>43586</v>
      </c>
      <c r="C12" s="11">
        <v>4512896</v>
      </c>
      <c r="D12" s="12">
        <v>20334</v>
      </c>
      <c r="E12" s="12">
        <f>24213.64+1.24</f>
        <v>24214.880000000001</v>
      </c>
      <c r="F12" s="12">
        <f t="shared" si="0"/>
        <v>47327.95</v>
      </c>
      <c r="G12" s="13">
        <f t="shared" si="1"/>
        <v>3880.880000000001</v>
      </c>
      <c r="H12" s="13">
        <f t="shared" si="2"/>
        <v>26993.949999999997</v>
      </c>
      <c r="I12" s="3">
        <v>0.21</v>
      </c>
      <c r="J12" s="3">
        <v>0.05</v>
      </c>
      <c r="K12" s="9">
        <f t="shared" si="3"/>
        <v>531.5483250000002</v>
      </c>
      <c r="L12" s="9">
        <f t="shared" si="4"/>
        <v>1349.6975</v>
      </c>
      <c r="M12" s="14">
        <f t="shared" si="5"/>
        <v>870984.99897499999</v>
      </c>
      <c r="N12" s="9">
        <v>0</v>
      </c>
      <c r="O12" s="9"/>
    </row>
    <row r="13" spans="1:15" x14ac:dyDescent="0.2">
      <c r="A13" s="28">
        <v>43617</v>
      </c>
      <c r="C13" s="11">
        <v>4512896</v>
      </c>
      <c r="D13" s="12">
        <v>20334</v>
      </c>
      <c r="E13" s="12">
        <f>24213.64</f>
        <v>24213.64</v>
      </c>
      <c r="F13" s="12">
        <f t="shared" si="0"/>
        <v>47327.95</v>
      </c>
      <c r="G13" s="13">
        <f t="shared" si="1"/>
        <v>3879.6399999999994</v>
      </c>
      <c r="H13" s="13">
        <f t="shared" si="2"/>
        <v>26993.949999999997</v>
      </c>
      <c r="I13" s="3">
        <v>0.21</v>
      </c>
      <c r="J13" s="3">
        <v>0.05</v>
      </c>
      <c r="K13" s="9">
        <f t="shared" si="3"/>
        <v>531.28792499999986</v>
      </c>
      <c r="L13" s="9">
        <f t="shared" si="4"/>
        <v>1349.6975</v>
      </c>
      <c r="M13" s="14">
        <f t="shared" si="5"/>
        <v>872865.98439999996</v>
      </c>
      <c r="N13" s="9">
        <v>0</v>
      </c>
      <c r="O13" s="9"/>
    </row>
    <row r="14" spans="1:15" x14ac:dyDescent="0.2">
      <c r="A14" s="28">
        <v>43647</v>
      </c>
      <c r="C14" s="11">
        <v>4512896</v>
      </c>
      <c r="D14" s="12">
        <v>20334</v>
      </c>
      <c r="E14" s="12">
        <f>24213.64</f>
        <v>24213.64</v>
      </c>
      <c r="F14" s="12">
        <f t="shared" si="0"/>
        <v>47327.95</v>
      </c>
      <c r="G14" s="13">
        <f t="shared" ref="G14" si="6">E14-D14</f>
        <v>3879.6399999999994</v>
      </c>
      <c r="H14" s="13">
        <f t="shared" ref="H14" si="7">F14-D14</f>
        <v>26993.949999999997</v>
      </c>
      <c r="I14" s="3">
        <v>0.21</v>
      </c>
      <c r="J14" s="3">
        <v>0.05</v>
      </c>
      <c r="K14" s="9">
        <f t="shared" si="3"/>
        <v>531.28792499999986</v>
      </c>
      <c r="L14" s="9">
        <f t="shared" si="4"/>
        <v>1349.6975</v>
      </c>
      <c r="M14" s="14">
        <f t="shared" si="5"/>
        <v>874746.96982499992</v>
      </c>
      <c r="N14" s="9">
        <v>0</v>
      </c>
      <c r="O14" s="9"/>
    </row>
    <row r="15" spans="1:15" x14ac:dyDescent="0.2">
      <c r="A15" s="28">
        <v>43678</v>
      </c>
      <c r="C15" s="11">
        <v>4512896</v>
      </c>
      <c r="D15" s="12">
        <v>20334</v>
      </c>
      <c r="E15" s="12">
        <f>24213.64</f>
        <v>24213.64</v>
      </c>
      <c r="F15" s="12">
        <f t="shared" si="0"/>
        <v>47327.95</v>
      </c>
      <c r="G15" s="13">
        <f t="shared" ref="G15" si="8">E15-D15</f>
        <v>3879.6399999999994</v>
      </c>
      <c r="H15" s="13">
        <f t="shared" ref="H15" si="9">F15-D15</f>
        <v>26993.949999999997</v>
      </c>
      <c r="I15" s="3">
        <v>0.21</v>
      </c>
      <c r="J15" s="3">
        <v>0.05</v>
      </c>
      <c r="K15" s="9">
        <f t="shared" si="3"/>
        <v>531.28792499999986</v>
      </c>
      <c r="L15" s="9">
        <f t="shared" si="4"/>
        <v>1349.6975</v>
      </c>
      <c r="M15" s="14">
        <f t="shared" si="5"/>
        <v>876627.95524999988</v>
      </c>
      <c r="N15" s="9">
        <v>0</v>
      </c>
      <c r="O15" s="9"/>
    </row>
    <row r="16" spans="1:15" x14ac:dyDescent="0.2">
      <c r="A16" s="15"/>
      <c r="C16" s="11"/>
      <c r="D16" s="12"/>
      <c r="E16" s="12"/>
      <c r="F16" s="12"/>
      <c r="G16" s="13"/>
      <c r="H16" s="13"/>
      <c r="I16" s="3"/>
      <c r="J16" s="3"/>
      <c r="K16" s="9"/>
      <c r="L16" s="9"/>
      <c r="M16" s="14"/>
      <c r="N16" s="9"/>
    </row>
    <row r="17" spans="1:14" x14ac:dyDescent="0.2">
      <c r="A17" s="15"/>
      <c r="C17" s="11"/>
      <c r="D17" s="12"/>
      <c r="E17" s="12"/>
      <c r="F17" s="12"/>
      <c r="G17" s="13"/>
      <c r="H17" s="13"/>
      <c r="I17" s="3"/>
      <c r="J17" s="3"/>
      <c r="K17" s="9"/>
      <c r="L17" s="9"/>
      <c r="M17" s="14"/>
      <c r="N17" s="9"/>
    </row>
    <row r="18" spans="1:14" x14ac:dyDescent="0.2">
      <c r="A18" s="15"/>
      <c r="C18" s="11"/>
      <c r="D18" s="12"/>
      <c r="E18" s="12"/>
      <c r="F18" s="12"/>
      <c r="G18" s="13"/>
      <c r="H18" s="13"/>
      <c r="I18" s="3"/>
      <c r="J18" s="3"/>
      <c r="K18" s="9"/>
      <c r="L18" s="9"/>
      <c r="M18" s="14"/>
      <c r="N18" s="9"/>
    </row>
    <row r="19" spans="1:14" x14ac:dyDescent="0.2">
      <c r="A19" s="15"/>
      <c r="C19" s="11"/>
      <c r="D19" s="12"/>
      <c r="E19" s="12"/>
      <c r="F19" s="12"/>
      <c r="G19" s="13"/>
      <c r="H19" s="13"/>
      <c r="I19" s="3"/>
      <c r="J19" s="3"/>
      <c r="K19" s="9"/>
      <c r="L19" s="9"/>
      <c r="M19" s="14"/>
      <c r="N19" s="9"/>
    </row>
    <row r="20" spans="1:14" x14ac:dyDescent="0.2">
      <c r="A20" s="15"/>
      <c r="C20" s="11"/>
      <c r="D20" s="12"/>
      <c r="E20" s="12"/>
      <c r="F20" s="12"/>
      <c r="G20" s="13"/>
      <c r="H20" s="13"/>
      <c r="I20" s="13"/>
      <c r="J20" s="11"/>
      <c r="K20" s="11"/>
      <c r="L20" s="3"/>
      <c r="M20" s="3"/>
      <c r="N20" s="9"/>
    </row>
    <row r="21" spans="1:14" x14ac:dyDescent="0.2">
      <c r="C21" s="33" t="s">
        <v>42</v>
      </c>
      <c r="D21" s="34"/>
      <c r="E21" s="34"/>
      <c r="F21" s="34"/>
      <c r="G21" s="35"/>
      <c r="H21" s="35"/>
    </row>
    <row r="22" spans="1:14" x14ac:dyDescent="0.2">
      <c r="C22" s="33" t="s">
        <v>48</v>
      </c>
      <c r="D22" s="34"/>
      <c r="E22" s="34"/>
      <c r="F22" s="34"/>
      <c r="G22" s="35"/>
      <c r="H22" s="35"/>
    </row>
    <row r="23" spans="1:14" x14ac:dyDescent="0.2">
      <c r="C23" s="33" t="s">
        <v>47</v>
      </c>
      <c r="D23" s="34"/>
      <c r="E23" s="34"/>
      <c r="F23" s="34"/>
      <c r="G23" s="35"/>
      <c r="H23" s="35"/>
    </row>
    <row r="24" spans="1:14" x14ac:dyDescent="0.2">
      <c r="C24" s="9" t="s">
        <v>27</v>
      </c>
      <c r="D24" s="34"/>
      <c r="E24" s="34"/>
      <c r="F24" s="34"/>
      <c r="G24" s="35"/>
      <c r="H24" s="35"/>
    </row>
    <row r="25" spans="1:14" x14ac:dyDescent="0.2">
      <c r="C25" s="36"/>
      <c r="D25" s="34"/>
      <c r="E25" s="34"/>
      <c r="F25" s="34"/>
      <c r="G25" s="34"/>
      <c r="H25" s="34"/>
    </row>
    <row r="26" spans="1:14" x14ac:dyDescent="0.2">
      <c r="C26" s="9" t="s">
        <v>28</v>
      </c>
      <c r="D26" s="37" t="s">
        <v>29</v>
      </c>
      <c r="E26" s="35" t="s">
        <v>30</v>
      </c>
      <c r="F26" s="9" t="s">
        <v>31</v>
      </c>
      <c r="G26" s="3" t="s">
        <v>22</v>
      </c>
      <c r="H26" s="9" t="s">
        <v>32</v>
      </c>
    </row>
    <row r="27" spans="1:14" x14ac:dyDescent="0.2">
      <c r="C27" s="30">
        <v>234559.42400000003</v>
      </c>
      <c r="D27" s="30">
        <v>20334</v>
      </c>
      <c r="E27" s="30">
        <v>1207</v>
      </c>
      <c r="F27" s="30">
        <f>E27-D27</f>
        <v>-19127</v>
      </c>
      <c r="G27" s="3">
        <v>0.21</v>
      </c>
      <c r="H27" s="30">
        <f>F27*G27</f>
        <v>-4016.67</v>
      </c>
    </row>
    <row r="28" spans="1:14" x14ac:dyDescent="0.2">
      <c r="C28" s="30">
        <v>351839.136</v>
      </c>
      <c r="D28" s="30"/>
      <c r="E28" s="30">
        <v>4188.5611428571428</v>
      </c>
      <c r="F28" s="30">
        <f>E28</f>
        <v>4188.5611428571428</v>
      </c>
      <c r="G28" s="31">
        <v>0.21</v>
      </c>
      <c r="H28" s="30">
        <f>F28*G28</f>
        <v>879.59784000000002</v>
      </c>
    </row>
    <row r="29" spans="1:14" x14ac:dyDescent="0.2">
      <c r="C29" s="30">
        <v>2765</v>
      </c>
      <c r="D29" s="30"/>
      <c r="E29" s="30">
        <v>15</v>
      </c>
      <c r="F29" s="30">
        <f t="shared" ref="F29:F45" si="10">E29</f>
        <v>15</v>
      </c>
      <c r="G29" s="31">
        <v>0.21</v>
      </c>
      <c r="H29" s="30">
        <f t="shared" ref="H29:H45" si="11">F29*G29</f>
        <v>3.15</v>
      </c>
    </row>
    <row r="30" spans="1:14" x14ac:dyDescent="0.2">
      <c r="C30" s="30">
        <v>4147</v>
      </c>
      <c r="D30" s="30"/>
      <c r="E30" s="30">
        <v>49</v>
      </c>
      <c r="F30" s="30">
        <f t="shared" si="10"/>
        <v>49</v>
      </c>
      <c r="G30" s="31">
        <v>0.21</v>
      </c>
      <c r="H30" s="30">
        <f t="shared" si="11"/>
        <v>10.29</v>
      </c>
    </row>
    <row r="31" spans="1:14" x14ac:dyDescent="0.2">
      <c r="C31" s="30">
        <v>363607</v>
      </c>
      <c r="D31" s="30"/>
      <c r="E31" s="30">
        <v>2023</v>
      </c>
      <c r="F31" s="30">
        <f t="shared" si="10"/>
        <v>2023</v>
      </c>
      <c r="G31" s="31">
        <v>0.21</v>
      </c>
      <c r="H31" s="30">
        <f t="shared" si="11"/>
        <v>424.83</v>
      </c>
    </row>
    <row r="32" spans="1:14" x14ac:dyDescent="0.2">
      <c r="C32" s="30">
        <v>545411</v>
      </c>
      <c r="D32" s="30"/>
      <c r="E32" s="30">
        <v>9090</v>
      </c>
      <c r="F32" s="30">
        <f t="shared" si="10"/>
        <v>9090</v>
      </c>
      <c r="G32" s="31">
        <v>0.21</v>
      </c>
      <c r="H32" s="30">
        <f t="shared" si="11"/>
        <v>1908.8999999999999</v>
      </c>
    </row>
    <row r="33" spans="3:8" x14ac:dyDescent="0.2">
      <c r="C33" s="30">
        <v>195243</v>
      </c>
      <c r="D33" s="30"/>
      <c r="E33" s="30">
        <v>1086</v>
      </c>
      <c r="F33" s="30">
        <f t="shared" si="10"/>
        <v>1086</v>
      </c>
      <c r="G33" s="31">
        <v>0.21</v>
      </c>
      <c r="H33" s="30">
        <f t="shared" si="11"/>
        <v>228.06</v>
      </c>
    </row>
    <row r="34" spans="3:8" x14ac:dyDescent="0.2">
      <c r="C34" s="30">
        <v>292865</v>
      </c>
      <c r="D34" s="30"/>
      <c r="E34" s="30">
        <v>3487</v>
      </c>
      <c r="F34" s="30">
        <f t="shared" si="10"/>
        <v>3487</v>
      </c>
      <c r="G34" s="31">
        <v>0.21</v>
      </c>
      <c r="H34" s="30">
        <f t="shared" si="11"/>
        <v>732.27</v>
      </c>
    </row>
    <row r="35" spans="3:8" x14ac:dyDescent="0.2">
      <c r="C35" s="30">
        <v>126132</v>
      </c>
      <c r="D35" s="30"/>
      <c r="E35" s="30">
        <v>759</v>
      </c>
      <c r="F35" s="30">
        <f t="shared" si="10"/>
        <v>759</v>
      </c>
      <c r="G35" s="31">
        <v>0.21</v>
      </c>
      <c r="H35" s="30">
        <f t="shared" si="11"/>
        <v>159.38999999999999</v>
      </c>
    </row>
    <row r="36" spans="3:8" x14ac:dyDescent="0.2">
      <c r="C36" s="30">
        <v>189198</v>
      </c>
      <c r="D36" s="30"/>
      <c r="E36" s="30">
        <v>2252</v>
      </c>
      <c r="F36" s="30">
        <f t="shared" si="10"/>
        <v>2252</v>
      </c>
      <c r="G36" s="31">
        <v>0.21</v>
      </c>
      <c r="H36" s="30">
        <f t="shared" si="11"/>
        <v>472.91999999999996</v>
      </c>
    </row>
    <row r="37" spans="3:8" x14ac:dyDescent="0.2">
      <c r="C37" s="30">
        <v>1553</v>
      </c>
      <c r="D37" s="30"/>
      <c r="E37" s="30">
        <v>9</v>
      </c>
      <c r="F37" s="30">
        <f t="shared" si="10"/>
        <v>9</v>
      </c>
      <c r="G37" s="31">
        <v>0.21</v>
      </c>
      <c r="H37" s="30">
        <f t="shared" si="11"/>
        <v>1.89</v>
      </c>
    </row>
    <row r="38" spans="3:8" x14ac:dyDescent="0.2">
      <c r="C38" s="30">
        <v>8274</v>
      </c>
      <c r="D38" s="30"/>
      <c r="E38" s="30">
        <v>98</v>
      </c>
      <c r="F38" s="30">
        <f t="shared" si="10"/>
        <v>98</v>
      </c>
      <c r="G38" s="31">
        <v>0.21</v>
      </c>
      <c r="H38" s="30">
        <f t="shared" si="11"/>
        <v>20.58</v>
      </c>
    </row>
    <row r="39" spans="3:8" x14ac:dyDescent="0.2">
      <c r="C39" s="30">
        <v>-5944</v>
      </c>
      <c r="D39" s="30"/>
      <c r="E39" s="30">
        <v>-99</v>
      </c>
      <c r="F39" s="30">
        <f t="shared" si="10"/>
        <v>-99</v>
      </c>
      <c r="G39" s="31">
        <v>0.21</v>
      </c>
      <c r="H39" s="30">
        <f t="shared" si="11"/>
        <v>-20.79</v>
      </c>
    </row>
    <row r="40" spans="3:8" x14ac:dyDescent="0.2">
      <c r="C40" s="30">
        <v>-1665</v>
      </c>
      <c r="D40" s="30"/>
      <c r="E40" s="30">
        <v>-5</v>
      </c>
      <c r="F40" s="30">
        <f t="shared" si="10"/>
        <v>-5</v>
      </c>
      <c r="G40" s="31">
        <v>0.21</v>
      </c>
      <c r="H40" s="30">
        <f t="shared" si="11"/>
        <v>-1.05</v>
      </c>
    </row>
    <row r="41" spans="3:8" x14ac:dyDescent="0.2">
      <c r="C41" s="30">
        <v>-2498</v>
      </c>
      <c r="D41" s="30"/>
      <c r="E41" s="30">
        <v>-27</v>
      </c>
      <c r="F41" s="30">
        <f t="shared" si="10"/>
        <v>-27</v>
      </c>
      <c r="G41" s="31">
        <v>0.21</v>
      </c>
      <c r="H41" s="30">
        <f t="shared" si="11"/>
        <v>-5.67</v>
      </c>
    </row>
    <row r="42" spans="3:8" x14ac:dyDescent="0.2">
      <c r="C42" s="30">
        <v>-2776</v>
      </c>
      <c r="D42" s="30"/>
      <c r="E42" s="30">
        <v>-228</v>
      </c>
      <c r="F42" s="30">
        <f t="shared" si="10"/>
        <v>-228</v>
      </c>
      <c r="G42" s="31">
        <v>0.21</v>
      </c>
      <c r="H42" s="30">
        <f t="shared" si="11"/>
        <v>-47.879999999999995</v>
      </c>
    </row>
    <row r="43" spans="3:8" x14ac:dyDescent="0.2">
      <c r="C43" s="30">
        <v>1665.3000000000002</v>
      </c>
      <c r="D43" s="30"/>
      <c r="E43" s="30">
        <v>5.2</v>
      </c>
      <c r="F43" s="30">
        <f t="shared" si="10"/>
        <v>5.2</v>
      </c>
      <c r="G43" s="31">
        <v>0.21</v>
      </c>
      <c r="H43" s="30">
        <f t="shared" si="11"/>
        <v>1.0920000000000001</v>
      </c>
    </row>
    <row r="44" spans="3:8" x14ac:dyDescent="0.2">
      <c r="C44" s="30">
        <v>2497.9499999999998</v>
      </c>
      <c r="D44" s="30"/>
      <c r="E44" s="30">
        <v>22.3</v>
      </c>
      <c r="F44" s="30">
        <f t="shared" si="10"/>
        <v>22.3</v>
      </c>
      <c r="G44" s="31">
        <v>0.21</v>
      </c>
      <c r="H44" s="30">
        <f t="shared" si="11"/>
        <v>4.6829999999999998</v>
      </c>
    </row>
    <row r="45" spans="3:8" ht="15" x14ac:dyDescent="0.35">
      <c r="C45" s="26">
        <v>2775.5</v>
      </c>
      <c r="D45" s="30"/>
      <c r="E45" s="26">
        <v>282.29000000000002</v>
      </c>
      <c r="F45" s="26">
        <f t="shared" si="10"/>
        <v>282.29000000000002</v>
      </c>
      <c r="G45" s="31">
        <v>0.21</v>
      </c>
      <c r="H45" s="30">
        <f t="shared" si="11"/>
        <v>59.280900000000003</v>
      </c>
    </row>
    <row r="46" spans="3:8" x14ac:dyDescent="0.2">
      <c r="C46" s="30">
        <f>SUM(C27:C45)</f>
        <v>2309649.31</v>
      </c>
      <c r="D46" s="30"/>
      <c r="E46" s="30">
        <f>SUM(E27:E45)</f>
        <v>24214.351142857144</v>
      </c>
      <c r="F46" s="30">
        <f>SUM(F27:F45)</f>
        <v>3880.3511428571428</v>
      </c>
      <c r="G46" s="27" t="s">
        <v>40</v>
      </c>
      <c r="H46" s="30">
        <f>SUM(H27:H45)</f>
        <v>814.87373999999966</v>
      </c>
    </row>
    <row r="47" spans="3:8" x14ac:dyDescent="0.2">
      <c r="E47" s="9"/>
      <c r="F47" s="9"/>
      <c r="G47" s="27" t="s">
        <v>38</v>
      </c>
      <c r="H47" s="32">
        <f>-H68*0.21</f>
        <v>-283.43660400000005</v>
      </c>
    </row>
    <row r="48" spans="3:8" x14ac:dyDescent="0.2">
      <c r="H48" s="9">
        <f>H46+H47</f>
        <v>531.43713599999955</v>
      </c>
    </row>
    <row r="49" spans="3:8" x14ac:dyDescent="0.2">
      <c r="H49" s="9">
        <f>H48-K15</f>
        <v>0.14921099999969556</v>
      </c>
    </row>
    <row r="50" spans="3:8" x14ac:dyDescent="0.2">
      <c r="C50" s="9" t="s">
        <v>34</v>
      </c>
      <c r="D50" s="34" t="s">
        <v>29</v>
      </c>
      <c r="E50" s="35" t="s">
        <v>35</v>
      </c>
      <c r="F50" s="9" t="s">
        <v>36</v>
      </c>
      <c r="G50" s="3" t="s">
        <v>23</v>
      </c>
      <c r="H50" s="9" t="s">
        <v>37</v>
      </c>
    </row>
    <row r="51" spans="3:8" x14ac:dyDescent="0.2">
      <c r="C51" s="30">
        <v>469118.84800000006</v>
      </c>
      <c r="D51" s="30">
        <f>D27</f>
        <v>20334</v>
      </c>
      <c r="E51" s="30">
        <v>2415</v>
      </c>
      <c r="F51" s="30">
        <f>E51-D51</f>
        <v>-17919</v>
      </c>
      <c r="G51" s="3">
        <v>0.05</v>
      </c>
      <c r="H51" s="30">
        <f>F51*G51</f>
        <v>-895.95</v>
      </c>
    </row>
    <row r="52" spans="3:8" x14ac:dyDescent="0.2">
      <c r="C52" s="30">
        <v>703678.272</v>
      </c>
      <c r="D52" s="30"/>
      <c r="E52" s="30">
        <f>8377.12228571429</f>
        <v>8377.1222857142893</v>
      </c>
      <c r="F52" s="30">
        <f>E52</f>
        <v>8377.1222857142893</v>
      </c>
      <c r="G52" s="3">
        <v>0.05</v>
      </c>
      <c r="H52" s="30">
        <f>F52*G52</f>
        <v>418.85611428571451</v>
      </c>
    </row>
    <row r="53" spans="3:8" x14ac:dyDescent="0.2">
      <c r="C53" s="30">
        <v>5529</v>
      </c>
      <c r="D53" s="30"/>
      <c r="E53" s="30">
        <v>30</v>
      </c>
      <c r="F53" s="30">
        <f t="shared" ref="F53:F67" si="12">E53</f>
        <v>30</v>
      </c>
      <c r="G53" s="3">
        <v>0.05</v>
      </c>
      <c r="H53" s="30">
        <f t="shared" ref="H53:H67" si="13">F53*G53</f>
        <v>1.5</v>
      </c>
    </row>
    <row r="54" spans="3:8" x14ac:dyDescent="0.2">
      <c r="C54" s="30">
        <v>8294</v>
      </c>
      <c r="D54" s="30"/>
      <c r="E54" s="30">
        <v>99</v>
      </c>
      <c r="F54" s="30">
        <f t="shared" si="12"/>
        <v>99</v>
      </c>
      <c r="G54" s="3">
        <v>0.05</v>
      </c>
      <c r="H54" s="30">
        <f t="shared" si="13"/>
        <v>4.95</v>
      </c>
    </row>
    <row r="55" spans="3:8" x14ac:dyDescent="0.2">
      <c r="C55" s="30">
        <v>727215</v>
      </c>
      <c r="D55" s="30"/>
      <c r="E55" s="30">
        <v>4046</v>
      </c>
      <c r="F55" s="30">
        <f t="shared" si="12"/>
        <v>4046</v>
      </c>
      <c r="G55" s="3">
        <v>0.05</v>
      </c>
      <c r="H55" s="30">
        <f t="shared" si="13"/>
        <v>202.3</v>
      </c>
    </row>
    <row r="56" spans="3:8" x14ac:dyDescent="0.2">
      <c r="C56" s="30">
        <v>1090822</v>
      </c>
      <c r="D56" s="30"/>
      <c r="E56" s="30">
        <v>18180</v>
      </c>
      <c r="F56" s="30">
        <f t="shared" si="12"/>
        <v>18180</v>
      </c>
      <c r="G56" s="3">
        <v>0.05</v>
      </c>
      <c r="H56" s="30">
        <f t="shared" si="13"/>
        <v>909</v>
      </c>
    </row>
    <row r="57" spans="3:8" x14ac:dyDescent="0.2">
      <c r="C57" s="30">
        <v>390487</v>
      </c>
      <c r="D57" s="30"/>
      <c r="E57" s="30">
        <v>2173</v>
      </c>
      <c r="F57" s="30">
        <f t="shared" si="12"/>
        <v>2173</v>
      </c>
      <c r="G57" s="3">
        <v>0.05</v>
      </c>
      <c r="H57" s="30">
        <f t="shared" si="13"/>
        <v>108.65</v>
      </c>
    </row>
    <row r="58" spans="3:8" x14ac:dyDescent="0.2">
      <c r="C58" s="30">
        <v>585730</v>
      </c>
      <c r="D58" s="30"/>
      <c r="E58" s="30">
        <v>6973</v>
      </c>
      <c r="F58" s="30">
        <f t="shared" si="12"/>
        <v>6973</v>
      </c>
      <c r="G58" s="3">
        <v>0.05</v>
      </c>
      <c r="H58" s="30">
        <f t="shared" si="13"/>
        <v>348.65000000000003</v>
      </c>
    </row>
    <row r="59" spans="3:8" x14ac:dyDescent="0.2">
      <c r="C59" s="30">
        <v>210220</v>
      </c>
      <c r="D59" s="30"/>
      <c r="E59" s="30">
        <v>1265</v>
      </c>
      <c r="F59" s="30">
        <f t="shared" si="12"/>
        <v>1265</v>
      </c>
      <c r="G59" s="3">
        <v>0.05</v>
      </c>
      <c r="H59" s="30">
        <f t="shared" si="13"/>
        <v>63.25</v>
      </c>
    </row>
    <row r="60" spans="3:8" x14ac:dyDescent="0.2">
      <c r="C60" s="30">
        <v>315330</v>
      </c>
      <c r="D60" s="30"/>
      <c r="E60" s="30">
        <v>3754</v>
      </c>
      <c r="F60" s="30">
        <f t="shared" si="12"/>
        <v>3754</v>
      </c>
      <c r="G60" s="31">
        <v>0.05</v>
      </c>
      <c r="H60" s="30">
        <f t="shared" si="13"/>
        <v>187.70000000000002</v>
      </c>
    </row>
    <row r="61" spans="3:8" x14ac:dyDescent="0.2">
      <c r="C61" s="30">
        <v>2589</v>
      </c>
      <c r="D61" s="30"/>
      <c r="E61" s="30">
        <v>16</v>
      </c>
      <c r="F61" s="30">
        <f t="shared" si="12"/>
        <v>16</v>
      </c>
      <c r="G61" s="31">
        <v>0.05</v>
      </c>
      <c r="H61" s="30">
        <f t="shared" si="13"/>
        <v>0.8</v>
      </c>
    </row>
    <row r="62" spans="3:8" x14ac:dyDescent="0.2">
      <c r="C62" s="30">
        <v>13790</v>
      </c>
      <c r="D62" s="30"/>
      <c r="E62" s="30">
        <v>164</v>
      </c>
      <c r="F62" s="30">
        <f t="shared" si="12"/>
        <v>164</v>
      </c>
      <c r="G62" s="31">
        <v>0.05</v>
      </c>
      <c r="H62" s="30">
        <f t="shared" si="13"/>
        <v>8.2000000000000011</v>
      </c>
    </row>
    <row r="63" spans="3:8" x14ac:dyDescent="0.2">
      <c r="C63" s="30">
        <v>-9906</v>
      </c>
      <c r="D63" s="30"/>
      <c r="E63" s="30">
        <v>-165</v>
      </c>
      <c r="F63" s="30">
        <f t="shared" si="12"/>
        <v>-165</v>
      </c>
      <c r="G63" s="31">
        <v>0.05</v>
      </c>
      <c r="H63" s="30">
        <f t="shared" si="13"/>
        <v>-8.25</v>
      </c>
    </row>
    <row r="64" spans="3:8" x14ac:dyDescent="0.2">
      <c r="C64" s="30">
        <v>-2776</v>
      </c>
      <c r="D64" s="30"/>
      <c r="E64" s="30">
        <v>-9</v>
      </c>
      <c r="F64" s="30">
        <f t="shared" si="12"/>
        <v>-9</v>
      </c>
      <c r="G64" s="31">
        <v>0.05</v>
      </c>
      <c r="H64" s="30">
        <f t="shared" si="13"/>
        <v>-0.45</v>
      </c>
    </row>
    <row r="65" spans="3:8" x14ac:dyDescent="0.2">
      <c r="C65" s="30">
        <v>-4164</v>
      </c>
      <c r="D65" s="30"/>
      <c r="E65" s="30">
        <v>-45</v>
      </c>
      <c r="F65" s="30">
        <f t="shared" si="12"/>
        <v>-45</v>
      </c>
      <c r="G65" s="31">
        <v>0.05</v>
      </c>
      <c r="H65" s="30">
        <f t="shared" si="13"/>
        <v>-2.25</v>
      </c>
    </row>
    <row r="66" spans="3:8" x14ac:dyDescent="0.2">
      <c r="C66" s="30">
        <v>2775.5</v>
      </c>
      <c r="D66" s="30"/>
      <c r="E66" s="30">
        <v>8.67</v>
      </c>
      <c r="F66" s="30">
        <f t="shared" si="12"/>
        <v>8.67</v>
      </c>
      <c r="G66" s="31">
        <v>0.05</v>
      </c>
      <c r="H66" s="30">
        <f t="shared" si="13"/>
        <v>0.4335</v>
      </c>
    </row>
    <row r="67" spans="3:8" ht="15" x14ac:dyDescent="0.35">
      <c r="C67" s="26">
        <v>4163.25</v>
      </c>
      <c r="D67" s="30"/>
      <c r="E67" s="26">
        <v>46.17</v>
      </c>
      <c r="F67" s="26">
        <f t="shared" si="12"/>
        <v>46.17</v>
      </c>
      <c r="G67" s="31">
        <v>0.05</v>
      </c>
      <c r="H67" s="26">
        <f t="shared" si="13"/>
        <v>2.3085</v>
      </c>
    </row>
    <row r="68" spans="3:8" x14ac:dyDescent="0.2">
      <c r="C68" s="30">
        <f>SUM(C51:C67)</f>
        <v>4512895.87</v>
      </c>
      <c r="D68" s="30"/>
      <c r="E68" s="30">
        <f>SUM(E51:E67)</f>
        <v>47327.962285714282</v>
      </c>
      <c r="F68" s="30">
        <f>SUM(F51:F67)</f>
        <v>26993.962285714286</v>
      </c>
      <c r="H68" s="30">
        <f>SUM(H51:H67)</f>
        <v>1349.6981142857146</v>
      </c>
    </row>
    <row r="69" spans="3:8" x14ac:dyDescent="0.2">
      <c r="E69" s="9"/>
      <c r="F69" s="9"/>
      <c r="H69" s="9">
        <f>H68-L15</f>
        <v>6.1428571461874526E-4</v>
      </c>
    </row>
  </sheetData>
  <mergeCells count="3">
    <mergeCell ref="A1:N1"/>
    <mergeCell ref="A2:N2"/>
    <mergeCell ref="A3:N3"/>
  </mergeCells>
  <pageMargins left="0.5" right="0.5" top="1.5" bottom="0.5" header="0.5" footer="0.5"/>
  <pageSetup scale="56" orientation="portrait" r:id="rId1"/>
  <headerFooter alignWithMargins="0">
    <oddHeader>&amp;R&amp;"Times New Roman,Bold"&amp;12Attachment to Response to Question No. 3
Page &amp;P of &amp;N
Williams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6"/>
  <sheetViews>
    <sheetView zoomScaleNormal="100" workbookViewId="0">
      <selection sqref="A1:N1"/>
    </sheetView>
  </sheetViews>
  <sheetFormatPr defaultRowHeight="12.75" x14ac:dyDescent="0.2"/>
  <cols>
    <col min="1" max="1" width="11.28515625" style="8" customWidth="1"/>
    <col min="2" max="2" width="1.7109375" customWidth="1"/>
    <col min="3" max="14" width="12.7109375" customWidth="1"/>
  </cols>
  <sheetData>
    <row r="1" spans="1:14" x14ac:dyDescent="0.2">
      <c r="A1" s="42" t="s">
        <v>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42" t="s">
        <v>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2">
      <c r="A3" s="42" t="s">
        <v>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">
      <c r="A5" s="6" t="s">
        <v>15</v>
      </c>
    </row>
    <row r="6" spans="1:14" x14ac:dyDescent="0.2">
      <c r="A6" s="18" t="s">
        <v>45</v>
      </c>
    </row>
    <row r="8" spans="1:14" s="1" customFormat="1" ht="38.25" x14ac:dyDescent="0.2">
      <c r="A8" s="7" t="s">
        <v>0</v>
      </c>
      <c r="B8" s="2"/>
      <c r="C8" s="2" t="s">
        <v>1</v>
      </c>
      <c r="D8" s="2" t="s">
        <v>2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5</v>
      </c>
      <c r="N8" s="2" t="s">
        <v>4</v>
      </c>
    </row>
    <row r="9" spans="1:14" x14ac:dyDescent="0.2">
      <c r="A9" s="8" t="s">
        <v>8</v>
      </c>
      <c r="M9" s="10">
        <v>2007941</v>
      </c>
    </row>
    <row r="10" spans="1:14" x14ac:dyDescent="0.2">
      <c r="A10" s="29">
        <v>43533</v>
      </c>
      <c r="C10" s="11">
        <v>12367114</v>
      </c>
      <c r="D10" s="12">
        <v>16677</v>
      </c>
      <c r="E10" s="13">
        <f>49797.44-2.61</f>
        <v>49794.83</v>
      </c>
      <c r="F10" s="13">
        <f t="shared" ref="F10:F15" si="0">99594.88</f>
        <v>99594.880000000005</v>
      </c>
      <c r="G10" s="11">
        <f t="shared" ref="G10:G15" si="1">E10-D10</f>
        <v>33117.83</v>
      </c>
      <c r="H10" s="11">
        <f t="shared" ref="H10:H15" si="2">F10-D10</f>
        <v>82917.88</v>
      </c>
      <c r="I10" s="3">
        <v>0.21</v>
      </c>
      <c r="J10" s="3">
        <v>0.05</v>
      </c>
      <c r="K10" s="9">
        <f t="shared" ref="K10:K15" si="3">G10*I10-L10*I10</f>
        <v>6084.1065600000002</v>
      </c>
      <c r="L10" s="9">
        <f t="shared" ref="L10:L15" si="4">H10*J10</f>
        <v>4145.8940000000002</v>
      </c>
      <c r="M10" s="14">
        <f t="shared" ref="M10:M15" si="5">M9+K10+L10</f>
        <v>2018171.0005600001</v>
      </c>
      <c r="N10" s="9">
        <f t="shared" ref="N10:N15" si="6">40400.24+104428.02</f>
        <v>144828.26</v>
      </c>
    </row>
    <row r="11" spans="1:14" x14ac:dyDescent="0.2">
      <c r="A11" s="28">
        <v>43556</v>
      </c>
      <c r="C11" s="11">
        <v>12367114</v>
      </c>
      <c r="D11" s="12">
        <v>16677</v>
      </c>
      <c r="E11" s="13">
        <f>49797.44</f>
        <v>49797.440000000002</v>
      </c>
      <c r="F11" s="13">
        <f t="shared" si="0"/>
        <v>99594.880000000005</v>
      </c>
      <c r="G11" s="11">
        <f t="shared" si="1"/>
        <v>33120.44</v>
      </c>
      <c r="H11" s="11">
        <f t="shared" si="2"/>
        <v>82917.88</v>
      </c>
      <c r="I11" s="3">
        <v>0.21</v>
      </c>
      <c r="J11" s="3">
        <v>0.05</v>
      </c>
      <c r="K11" s="9">
        <f t="shared" si="3"/>
        <v>6084.6546600000001</v>
      </c>
      <c r="L11" s="9">
        <f t="shared" si="4"/>
        <v>4145.8940000000002</v>
      </c>
      <c r="M11" s="14">
        <f t="shared" si="5"/>
        <v>2028401.5492200002</v>
      </c>
      <c r="N11" s="9">
        <f t="shared" si="6"/>
        <v>144828.26</v>
      </c>
    </row>
    <row r="12" spans="1:14" x14ac:dyDescent="0.2">
      <c r="A12" s="28">
        <v>43586</v>
      </c>
      <c r="C12" s="11">
        <v>12367114</v>
      </c>
      <c r="D12" s="12">
        <v>40952</v>
      </c>
      <c r="E12" s="13">
        <f>49797.44+2.45</f>
        <v>49799.89</v>
      </c>
      <c r="F12" s="13">
        <f t="shared" si="0"/>
        <v>99594.880000000005</v>
      </c>
      <c r="G12" s="11">
        <f>E12-D12</f>
        <v>8847.89</v>
      </c>
      <c r="H12" s="11">
        <f>F12-D12</f>
        <v>58642.880000000005</v>
      </c>
      <c r="I12" s="3">
        <v>0.21</v>
      </c>
      <c r="J12" s="3">
        <v>0.05</v>
      </c>
      <c r="K12" s="9">
        <f t="shared" si="3"/>
        <v>1242.3066599999997</v>
      </c>
      <c r="L12" s="9">
        <f t="shared" si="4"/>
        <v>2932.1440000000002</v>
      </c>
      <c r="M12" s="14">
        <f t="shared" si="5"/>
        <v>2032575.9998800003</v>
      </c>
      <c r="N12" s="9">
        <f t="shared" si="6"/>
        <v>144828.26</v>
      </c>
    </row>
    <row r="13" spans="1:14" x14ac:dyDescent="0.2">
      <c r="A13" s="28">
        <v>43617</v>
      </c>
      <c r="C13" s="11">
        <v>12367114</v>
      </c>
      <c r="D13" s="12">
        <v>40952</v>
      </c>
      <c r="E13" s="13">
        <f>49797.44</f>
        <v>49797.440000000002</v>
      </c>
      <c r="F13" s="13">
        <f t="shared" si="0"/>
        <v>99594.880000000005</v>
      </c>
      <c r="G13" s="11">
        <f t="shared" si="1"/>
        <v>8845.4400000000023</v>
      </c>
      <c r="H13" s="11">
        <f t="shared" si="2"/>
        <v>58642.880000000005</v>
      </c>
      <c r="I13" s="3">
        <v>0.21</v>
      </c>
      <c r="J13" s="3">
        <v>0.05</v>
      </c>
      <c r="K13" s="9">
        <f t="shared" si="3"/>
        <v>1241.7921600000004</v>
      </c>
      <c r="L13" s="9">
        <f t="shared" si="4"/>
        <v>2932.1440000000002</v>
      </c>
      <c r="M13" s="14">
        <f t="shared" si="5"/>
        <v>2036749.9360400003</v>
      </c>
      <c r="N13" s="9">
        <f t="shared" si="6"/>
        <v>144828.26</v>
      </c>
    </row>
    <row r="14" spans="1:14" x14ac:dyDescent="0.2">
      <c r="A14" s="28">
        <v>43647</v>
      </c>
      <c r="C14" s="11">
        <v>12367114</v>
      </c>
      <c r="D14" s="12">
        <v>40952</v>
      </c>
      <c r="E14" s="13">
        <f>49797.44</f>
        <v>49797.440000000002</v>
      </c>
      <c r="F14" s="13">
        <f t="shared" si="0"/>
        <v>99594.880000000005</v>
      </c>
      <c r="G14" s="11">
        <f>E14-D14</f>
        <v>8845.4400000000023</v>
      </c>
      <c r="H14" s="11">
        <f>F14-D14</f>
        <v>58642.880000000005</v>
      </c>
      <c r="I14" s="3">
        <v>0.21</v>
      </c>
      <c r="J14" s="3">
        <v>0.05</v>
      </c>
      <c r="K14" s="9">
        <f t="shared" si="3"/>
        <v>1241.7921600000004</v>
      </c>
      <c r="L14" s="9">
        <f t="shared" si="4"/>
        <v>2932.1440000000002</v>
      </c>
      <c r="M14" s="14">
        <f t="shared" si="5"/>
        <v>2040923.8722000003</v>
      </c>
      <c r="N14" s="9">
        <f t="shared" si="6"/>
        <v>144828.26</v>
      </c>
    </row>
    <row r="15" spans="1:14" x14ac:dyDescent="0.2">
      <c r="A15" s="28">
        <v>43678</v>
      </c>
      <c r="C15" s="11">
        <v>12367114</v>
      </c>
      <c r="D15" s="12">
        <v>40952</v>
      </c>
      <c r="E15" s="13">
        <f>49797.44</f>
        <v>49797.440000000002</v>
      </c>
      <c r="F15" s="13">
        <f t="shared" si="0"/>
        <v>99594.880000000005</v>
      </c>
      <c r="G15" s="11">
        <f t="shared" si="1"/>
        <v>8845.4400000000023</v>
      </c>
      <c r="H15" s="11">
        <f t="shared" si="2"/>
        <v>58642.880000000005</v>
      </c>
      <c r="I15" s="3">
        <v>0.21</v>
      </c>
      <c r="J15" s="3">
        <v>0.05</v>
      </c>
      <c r="K15" s="9">
        <f t="shared" si="3"/>
        <v>1241.7921600000004</v>
      </c>
      <c r="L15" s="9">
        <f t="shared" si="4"/>
        <v>2932.1440000000002</v>
      </c>
      <c r="M15" s="14">
        <f t="shared" si="5"/>
        <v>2045097.8083600004</v>
      </c>
      <c r="N15" s="9">
        <f t="shared" si="6"/>
        <v>144828.26</v>
      </c>
    </row>
    <row r="16" spans="1:14" x14ac:dyDescent="0.2">
      <c r="A16" s="15"/>
      <c r="C16" s="11"/>
      <c r="D16" s="12"/>
      <c r="E16" s="12"/>
      <c r="F16" s="12"/>
      <c r="G16" s="13"/>
      <c r="H16" s="13"/>
      <c r="I16" s="13"/>
      <c r="J16" s="11"/>
      <c r="K16" s="11"/>
      <c r="L16" s="3"/>
      <c r="M16" s="3"/>
      <c r="N16" s="9"/>
    </row>
    <row r="17" spans="1:14" x14ac:dyDescent="0.2">
      <c r="A17" s="15"/>
      <c r="C17" s="11"/>
      <c r="D17" s="12"/>
      <c r="E17" s="12"/>
      <c r="F17" s="12"/>
      <c r="G17" s="13"/>
      <c r="H17" s="13"/>
      <c r="I17" s="13"/>
      <c r="J17" s="11"/>
      <c r="K17" s="11"/>
      <c r="L17" s="3"/>
      <c r="M17" s="3"/>
      <c r="N17" s="9"/>
    </row>
    <row r="18" spans="1:14" x14ac:dyDescent="0.2">
      <c r="A18" s="15"/>
      <c r="C18" s="11"/>
      <c r="D18" s="12"/>
      <c r="E18" s="12"/>
      <c r="F18" s="12"/>
      <c r="G18" s="13"/>
      <c r="H18" s="13"/>
      <c r="I18" s="13"/>
      <c r="J18" s="11"/>
      <c r="K18" s="11"/>
      <c r="L18" s="3"/>
      <c r="M18" s="3"/>
      <c r="N18" s="9"/>
    </row>
    <row r="19" spans="1:14" x14ac:dyDescent="0.2">
      <c r="C19" s="33" t="s">
        <v>46</v>
      </c>
      <c r="D19" s="34"/>
      <c r="E19" s="34"/>
      <c r="F19" s="34"/>
      <c r="G19" s="35"/>
      <c r="H19" s="35"/>
      <c r="I19" s="38"/>
      <c r="J19" s="38"/>
      <c r="K19" s="38"/>
    </row>
    <row r="20" spans="1:14" x14ac:dyDescent="0.2">
      <c r="C20" s="33" t="s">
        <v>48</v>
      </c>
      <c r="D20" s="34"/>
      <c r="E20" s="34"/>
      <c r="F20" s="34"/>
      <c r="G20" s="35"/>
      <c r="H20" s="35"/>
      <c r="I20" s="38"/>
      <c r="J20" s="38"/>
      <c r="K20" s="38"/>
    </row>
    <row r="21" spans="1:14" x14ac:dyDescent="0.2">
      <c r="C21" s="33" t="s">
        <v>47</v>
      </c>
      <c r="D21" s="34"/>
      <c r="E21" s="34"/>
      <c r="F21" s="34"/>
      <c r="G21" s="35"/>
      <c r="H21" s="35"/>
      <c r="I21" s="38"/>
      <c r="J21" s="38"/>
      <c r="K21" s="38"/>
    </row>
    <row r="22" spans="1:14" x14ac:dyDescent="0.2">
      <c r="C22" s="39" t="s">
        <v>27</v>
      </c>
      <c r="D22" s="34"/>
      <c r="E22" s="34"/>
      <c r="F22" s="34"/>
      <c r="G22" s="35"/>
      <c r="H22" s="35"/>
      <c r="I22" s="38"/>
      <c r="J22" s="38"/>
      <c r="K22" s="38"/>
    </row>
    <row r="23" spans="1:14" x14ac:dyDescent="0.2">
      <c r="C23" s="38"/>
      <c r="D23" s="38"/>
      <c r="E23" s="38"/>
      <c r="F23" s="38"/>
      <c r="G23" s="38"/>
      <c r="H23" s="38"/>
      <c r="I23" s="38"/>
      <c r="J23" s="38"/>
      <c r="K23" s="38"/>
    </row>
    <row r="24" spans="1:14" x14ac:dyDescent="0.2">
      <c r="C24" s="39" t="s">
        <v>28</v>
      </c>
      <c r="D24" s="37" t="s">
        <v>29</v>
      </c>
      <c r="E24" s="35" t="s">
        <v>30</v>
      </c>
      <c r="F24" s="39" t="s">
        <v>31</v>
      </c>
      <c r="G24" s="40" t="s">
        <v>22</v>
      </c>
      <c r="H24" s="39" t="s">
        <v>32</v>
      </c>
      <c r="I24" s="38"/>
      <c r="J24" s="38"/>
      <c r="K24" s="38"/>
    </row>
    <row r="25" spans="1:14" x14ac:dyDescent="0.2">
      <c r="C25" s="30">
        <v>1313486.1100000001</v>
      </c>
      <c r="D25" s="30">
        <v>40952</v>
      </c>
      <c r="E25" s="30">
        <v>21891.439999999999</v>
      </c>
      <c r="F25" s="30">
        <f>E25-D25</f>
        <v>-19060.560000000001</v>
      </c>
      <c r="G25" s="40">
        <v>0.21</v>
      </c>
      <c r="H25" s="30">
        <f>F25*G25</f>
        <v>-4002.7175999999999</v>
      </c>
      <c r="I25" s="38"/>
      <c r="J25" s="38"/>
      <c r="K25" s="38"/>
    </row>
    <row r="26" spans="1:14" x14ac:dyDescent="0.2">
      <c r="C26" s="30">
        <v>875657.41</v>
      </c>
      <c r="D26" s="30"/>
      <c r="E26" s="30">
        <v>4872.3</v>
      </c>
      <c r="F26" s="30">
        <f>E26-D26</f>
        <v>4872.3</v>
      </c>
      <c r="G26" s="40">
        <v>0.21</v>
      </c>
      <c r="H26" s="30">
        <f t="shared" ref="H26:H31" si="7">F26*G26</f>
        <v>1023.183</v>
      </c>
      <c r="I26" s="38"/>
      <c r="J26" s="38"/>
      <c r="K26" s="38"/>
    </row>
    <row r="27" spans="1:14" x14ac:dyDescent="0.2">
      <c r="C27" s="30">
        <v>2189143.52</v>
      </c>
      <c r="D27" s="30"/>
      <c r="E27" s="30">
        <v>12180.76</v>
      </c>
      <c r="F27" s="30">
        <f>E27-D27</f>
        <v>12180.76</v>
      </c>
      <c r="G27" s="40">
        <v>0.21</v>
      </c>
      <c r="H27" s="30">
        <f t="shared" si="7"/>
        <v>2557.9596000000001</v>
      </c>
      <c r="I27" s="38"/>
      <c r="J27" s="38"/>
      <c r="K27" s="38"/>
    </row>
    <row r="28" spans="1:14" x14ac:dyDescent="0.2">
      <c r="C28" s="30">
        <v>353474</v>
      </c>
      <c r="D28" s="30"/>
      <c r="E28" s="30">
        <v>5891.24</v>
      </c>
      <c r="F28" s="30">
        <f t="shared" ref="F28:F31" si="8">E28-D28</f>
        <v>5891.24</v>
      </c>
      <c r="G28" s="40">
        <v>0.21</v>
      </c>
      <c r="H28" s="30">
        <f t="shared" si="7"/>
        <v>1237.1604</v>
      </c>
      <c r="I28" s="38"/>
      <c r="J28" s="38"/>
      <c r="K28" s="38"/>
    </row>
    <row r="29" spans="1:14" x14ac:dyDescent="0.2">
      <c r="C29" s="30">
        <v>235650</v>
      </c>
      <c r="D29" s="30"/>
      <c r="E29" s="30">
        <v>1417.63</v>
      </c>
      <c r="F29" s="30">
        <f t="shared" si="8"/>
        <v>1417.63</v>
      </c>
      <c r="G29" s="40">
        <v>0.21</v>
      </c>
      <c r="H29" s="30">
        <f t="shared" si="7"/>
        <v>297.70230000000004</v>
      </c>
      <c r="I29" s="38"/>
      <c r="J29" s="38"/>
      <c r="K29" s="38"/>
    </row>
    <row r="30" spans="1:14" x14ac:dyDescent="0.2">
      <c r="C30" s="30">
        <v>589124</v>
      </c>
      <c r="D30" s="30"/>
      <c r="E30" s="30">
        <f>3544.07</f>
        <v>3544.07</v>
      </c>
      <c r="F30" s="30">
        <f t="shared" si="8"/>
        <v>3544.07</v>
      </c>
      <c r="G30" s="40">
        <v>0.21</v>
      </c>
      <c r="H30" s="30">
        <f t="shared" si="7"/>
        <v>744.25469999999996</v>
      </c>
      <c r="I30" s="38"/>
      <c r="J30" s="38"/>
      <c r="K30" s="38"/>
    </row>
    <row r="31" spans="1:14" ht="15" x14ac:dyDescent="0.35">
      <c r="C31" s="26">
        <v>1254044</v>
      </c>
      <c r="D31" s="30"/>
      <c r="E31" s="26">
        <v>0</v>
      </c>
      <c r="F31" s="26">
        <f t="shared" si="8"/>
        <v>0</v>
      </c>
      <c r="G31" s="40">
        <v>0.21</v>
      </c>
      <c r="H31" s="26">
        <f t="shared" si="7"/>
        <v>0</v>
      </c>
      <c r="I31" s="38"/>
      <c r="J31" s="38"/>
      <c r="K31" s="38"/>
    </row>
    <row r="32" spans="1:14" x14ac:dyDescent="0.2">
      <c r="C32" s="30">
        <f>SUM(C25:C31)</f>
        <v>6810579.04</v>
      </c>
      <c r="D32" s="30"/>
      <c r="E32" s="30">
        <f>SUM(E25:E31)</f>
        <v>49797.439999999995</v>
      </c>
      <c r="F32" s="30">
        <f>SUM(F25:F31)</f>
        <v>8845.4399999999987</v>
      </c>
      <c r="G32" s="40"/>
      <c r="H32" s="30">
        <f>SUM(H25:H31)</f>
        <v>1857.5424000000003</v>
      </c>
      <c r="I32" s="38"/>
      <c r="J32" s="38"/>
      <c r="K32" s="38"/>
    </row>
    <row r="33" spans="3:11" ht="15" x14ac:dyDescent="0.35">
      <c r="C33" s="38"/>
      <c r="D33" s="38"/>
      <c r="E33" s="38"/>
      <c r="F33" s="38"/>
      <c r="G33" s="38" t="s">
        <v>38</v>
      </c>
      <c r="H33" s="26">
        <f>-H44*G25</f>
        <v>-615.75024000000008</v>
      </c>
      <c r="I33" s="38"/>
      <c r="J33" s="38"/>
      <c r="K33" s="38"/>
    </row>
    <row r="34" spans="3:11" x14ac:dyDescent="0.2">
      <c r="C34" s="38"/>
      <c r="D34" s="38"/>
      <c r="E34" s="38"/>
      <c r="F34" s="38"/>
      <c r="G34" s="38"/>
      <c r="H34" s="39">
        <f>H32+H33</f>
        <v>1241.7921600000002</v>
      </c>
      <c r="I34" s="38"/>
      <c r="J34" s="38"/>
      <c r="K34" s="38"/>
    </row>
    <row r="35" spans="3:11" x14ac:dyDescent="0.2">
      <c r="C35" s="38"/>
      <c r="D35" s="38"/>
      <c r="E35" s="38"/>
      <c r="F35" s="38"/>
      <c r="G35" s="38"/>
      <c r="H35" s="39">
        <f>H34-K15</f>
        <v>0</v>
      </c>
      <c r="I35" s="38"/>
      <c r="J35" s="38"/>
      <c r="K35" s="38"/>
    </row>
    <row r="36" spans="3:11" x14ac:dyDescent="0.2">
      <c r="C36" s="39" t="s">
        <v>34</v>
      </c>
      <c r="D36" s="34" t="s">
        <v>29</v>
      </c>
      <c r="E36" s="35" t="s">
        <v>35</v>
      </c>
      <c r="F36" s="39" t="s">
        <v>36</v>
      </c>
      <c r="G36" s="40" t="s">
        <v>23</v>
      </c>
      <c r="H36" s="39" t="s">
        <v>37</v>
      </c>
      <c r="I36" s="38"/>
      <c r="J36" s="38"/>
      <c r="K36" s="38"/>
    </row>
    <row r="37" spans="3:11" x14ac:dyDescent="0.2">
      <c r="C37" s="30">
        <v>2626972.2200000002</v>
      </c>
      <c r="D37" s="30">
        <f>D25</f>
        <v>40952</v>
      </c>
      <c r="E37" s="30">
        <v>43782.87</v>
      </c>
      <c r="F37" s="30">
        <f>E37-D37</f>
        <v>2830.8700000000026</v>
      </c>
      <c r="G37" s="40">
        <v>0.05</v>
      </c>
      <c r="H37" s="30">
        <f>F37*G37</f>
        <v>141.54350000000014</v>
      </c>
      <c r="I37" s="38"/>
      <c r="J37" s="38"/>
      <c r="K37" s="38"/>
    </row>
    <row r="38" spans="3:11" x14ac:dyDescent="0.2">
      <c r="C38" s="30">
        <v>1751314.81</v>
      </c>
      <c r="D38" s="30"/>
      <c r="E38" s="30">
        <v>9744.61</v>
      </c>
      <c r="F38" s="30">
        <f t="shared" ref="F38:F43" si="9">E38-D38</f>
        <v>9744.61</v>
      </c>
      <c r="G38" s="40">
        <v>0.05</v>
      </c>
      <c r="H38" s="30">
        <f t="shared" ref="H38:H43" si="10">F38*G38</f>
        <v>487.23050000000006</v>
      </c>
      <c r="I38" s="38"/>
      <c r="J38" s="38"/>
      <c r="K38" s="38"/>
    </row>
    <row r="39" spans="3:11" x14ac:dyDescent="0.2">
      <c r="C39" s="30">
        <v>4378287.03</v>
      </c>
      <c r="D39" s="30"/>
      <c r="E39" s="30">
        <v>24361.52</v>
      </c>
      <c r="F39" s="30">
        <f t="shared" si="9"/>
        <v>24361.52</v>
      </c>
      <c r="G39" s="40">
        <v>0.05</v>
      </c>
      <c r="H39" s="30">
        <f t="shared" si="10"/>
        <v>1218.076</v>
      </c>
      <c r="I39" s="38"/>
      <c r="J39" s="38"/>
      <c r="K39" s="38"/>
    </row>
    <row r="40" spans="3:11" x14ac:dyDescent="0.2">
      <c r="C40" s="30">
        <v>706949</v>
      </c>
      <c r="D40" s="30"/>
      <c r="E40" s="30">
        <v>11782.48</v>
      </c>
      <c r="F40" s="30">
        <f t="shared" si="9"/>
        <v>11782.48</v>
      </c>
      <c r="G40" s="40">
        <v>0.05</v>
      </c>
      <c r="H40" s="30">
        <f t="shared" si="10"/>
        <v>589.12400000000002</v>
      </c>
      <c r="I40" s="38"/>
      <c r="J40" s="38"/>
      <c r="K40" s="38"/>
    </row>
    <row r="41" spans="3:11" x14ac:dyDescent="0.2">
      <c r="C41" s="30">
        <v>471299</v>
      </c>
      <c r="D41" s="30"/>
      <c r="E41" s="30">
        <v>2835.26</v>
      </c>
      <c r="F41" s="30">
        <f t="shared" si="9"/>
        <v>2835.26</v>
      </c>
      <c r="G41" s="40">
        <v>0.05</v>
      </c>
      <c r="H41" s="30">
        <f t="shared" si="10"/>
        <v>141.76300000000001</v>
      </c>
      <c r="I41" s="38"/>
      <c r="J41" s="38"/>
      <c r="K41" s="38"/>
    </row>
    <row r="42" spans="3:11" x14ac:dyDescent="0.2">
      <c r="C42" s="30">
        <v>1178248</v>
      </c>
      <c r="D42" s="30"/>
      <c r="E42" s="30">
        <v>7088.14</v>
      </c>
      <c r="F42" s="30">
        <f t="shared" si="9"/>
        <v>7088.14</v>
      </c>
      <c r="G42" s="40">
        <v>0.05</v>
      </c>
      <c r="H42" s="30">
        <f t="shared" si="10"/>
        <v>354.40700000000004</v>
      </c>
      <c r="I42" s="38"/>
      <c r="J42" s="38"/>
      <c r="K42" s="38"/>
    </row>
    <row r="43" spans="3:11" ht="15" x14ac:dyDescent="0.35">
      <c r="C43" s="26">
        <v>1254044</v>
      </c>
      <c r="D43" s="30"/>
      <c r="E43" s="26">
        <v>0</v>
      </c>
      <c r="F43" s="26">
        <f t="shared" si="9"/>
        <v>0</v>
      </c>
      <c r="G43" s="40">
        <v>0.05</v>
      </c>
      <c r="H43" s="26">
        <f t="shared" si="10"/>
        <v>0</v>
      </c>
      <c r="I43" s="38"/>
      <c r="J43" s="38"/>
      <c r="K43" s="38"/>
    </row>
    <row r="44" spans="3:11" x14ac:dyDescent="0.2">
      <c r="C44" s="30">
        <f>SUM(C37:C43)</f>
        <v>12367114.060000001</v>
      </c>
      <c r="D44" s="30"/>
      <c r="E44" s="30">
        <f>SUM(E37:E43)</f>
        <v>99594.87999999999</v>
      </c>
      <c r="F44" s="30">
        <f>SUM(F37:F43)</f>
        <v>58642.879999999997</v>
      </c>
      <c r="G44" s="40"/>
      <c r="H44" s="30">
        <f>SUM(H37:H43)</f>
        <v>2932.1440000000002</v>
      </c>
      <c r="I44" s="38"/>
      <c r="J44" s="38"/>
      <c r="K44" s="38"/>
    </row>
    <row r="45" spans="3:11" x14ac:dyDescent="0.2">
      <c r="C45" s="38"/>
      <c r="D45" s="38"/>
      <c r="E45" s="38"/>
      <c r="F45" s="38"/>
      <c r="G45" s="38"/>
      <c r="H45" s="39">
        <f>H44-L15</f>
        <v>0</v>
      </c>
      <c r="I45" s="38"/>
      <c r="J45" s="38"/>
      <c r="K45" s="38"/>
    </row>
    <row r="46" spans="3:11" x14ac:dyDescent="0.2">
      <c r="C46" s="41"/>
      <c r="D46" s="41"/>
      <c r="E46" s="41"/>
      <c r="F46" s="41"/>
      <c r="G46" s="41"/>
      <c r="H46" s="41"/>
      <c r="I46" s="41"/>
      <c r="J46" s="41"/>
      <c r="K46" s="41"/>
    </row>
  </sheetData>
  <mergeCells count="3">
    <mergeCell ref="A1:N1"/>
    <mergeCell ref="A2:N2"/>
    <mergeCell ref="A3:N3"/>
  </mergeCells>
  <pageMargins left="0.5" right="0.5" top="1.5" bottom="0.5" header="0.5" footer="0.5"/>
  <pageSetup scale="58" orientation="portrait" r:id="rId1"/>
  <headerFooter alignWithMargins="0">
    <oddHeader>&amp;R&amp;"Times New Roman,Bold"&amp;12Attachment to Response to Question No. 3
Page &amp;P of &amp;N
Williams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33"/>
  <sheetViews>
    <sheetView zoomScaleNormal="100" workbookViewId="0">
      <selection sqref="A1:N1"/>
    </sheetView>
  </sheetViews>
  <sheetFormatPr defaultRowHeight="12.75" x14ac:dyDescent="0.2"/>
  <cols>
    <col min="1" max="1" width="11.28515625" style="8" customWidth="1"/>
    <col min="2" max="2" width="1.7109375" customWidth="1"/>
    <col min="3" max="3" width="13.42578125" customWidth="1"/>
    <col min="4" max="4" width="12.7109375" customWidth="1"/>
    <col min="5" max="5" width="15.85546875" customWidth="1"/>
    <col min="6" max="6" width="14.7109375" customWidth="1"/>
    <col min="7" max="14" width="12.7109375" customWidth="1"/>
  </cols>
  <sheetData>
    <row r="1" spans="1:16" x14ac:dyDescent="0.2">
      <c r="A1" s="42" t="s">
        <v>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6" x14ac:dyDescent="0.2">
      <c r="A2" s="42" t="s">
        <v>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6" x14ac:dyDescent="0.2">
      <c r="A3" s="42" t="s">
        <v>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6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x14ac:dyDescent="0.2">
      <c r="A5" s="6" t="s">
        <v>15</v>
      </c>
    </row>
    <row r="6" spans="1:16" x14ac:dyDescent="0.2">
      <c r="A6" s="18" t="s">
        <v>17</v>
      </c>
    </row>
    <row r="8" spans="1:16" s="1" customFormat="1" ht="38.25" x14ac:dyDescent="0.2">
      <c r="A8" s="7" t="s">
        <v>0</v>
      </c>
      <c r="B8" s="2"/>
      <c r="C8" s="2" t="s">
        <v>1</v>
      </c>
      <c r="D8" s="2" t="s">
        <v>2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5</v>
      </c>
      <c r="N8" s="2" t="s">
        <v>4</v>
      </c>
    </row>
    <row r="9" spans="1:16" x14ac:dyDescent="0.2">
      <c r="A9" s="8" t="s">
        <v>8</v>
      </c>
      <c r="M9" s="10">
        <v>67262</v>
      </c>
    </row>
    <row r="10" spans="1:16" x14ac:dyDescent="0.2">
      <c r="A10" s="29">
        <v>43533</v>
      </c>
      <c r="C10" s="11">
        <v>379213</v>
      </c>
      <c r="D10" s="12">
        <v>866</v>
      </c>
      <c r="E10" s="12">
        <f>1055</f>
        <v>1055</v>
      </c>
      <c r="F10" s="12">
        <f>2110</f>
        <v>2110</v>
      </c>
      <c r="G10" s="13">
        <f t="shared" ref="G10:G13" si="0">E10-D10</f>
        <v>189</v>
      </c>
      <c r="H10" s="13">
        <f t="shared" ref="H10:H13" si="1">F10-D10</f>
        <v>1244</v>
      </c>
      <c r="I10" s="3">
        <v>0.21</v>
      </c>
      <c r="J10" s="3">
        <v>0.05</v>
      </c>
      <c r="K10" s="9">
        <f t="shared" ref="K10:K13" si="2">G10*I10-L10*I10</f>
        <v>26.628</v>
      </c>
      <c r="L10" s="9">
        <f t="shared" ref="L10:L13" si="3">H10*J10</f>
        <v>62.2</v>
      </c>
      <c r="M10" s="14">
        <f t="shared" ref="M10:M15" si="4">M9+K10+L10</f>
        <v>67350.827999999994</v>
      </c>
      <c r="N10" s="9">
        <v>0</v>
      </c>
    </row>
    <row r="11" spans="1:16" x14ac:dyDescent="0.2">
      <c r="A11" s="28">
        <v>43556</v>
      </c>
      <c r="C11" s="11">
        <v>379213</v>
      </c>
      <c r="D11" s="12">
        <v>866</v>
      </c>
      <c r="E11" s="12">
        <f>1055</f>
        <v>1055</v>
      </c>
      <c r="F11" s="12">
        <f>2110</f>
        <v>2110</v>
      </c>
      <c r="G11" s="13">
        <f t="shared" si="0"/>
        <v>189</v>
      </c>
      <c r="H11" s="13">
        <f t="shared" si="1"/>
        <v>1244</v>
      </c>
      <c r="I11" s="3">
        <v>0.21</v>
      </c>
      <c r="J11" s="3">
        <v>0.05</v>
      </c>
      <c r="K11" s="9">
        <f t="shared" si="2"/>
        <v>26.628</v>
      </c>
      <c r="L11" s="9">
        <f t="shared" si="3"/>
        <v>62.2</v>
      </c>
      <c r="M11" s="14">
        <f t="shared" si="4"/>
        <v>67439.655999999988</v>
      </c>
      <c r="N11" s="9">
        <v>0</v>
      </c>
    </row>
    <row r="12" spans="1:16" x14ac:dyDescent="0.2">
      <c r="A12" s="28">
        <v>43586</v>
      </c>
      <c r="C12" s="11">
        <v>379213</v>
      </c>
      <c r="D12" s="12">
        <v>735</v>
      </c>
      <c r="E12" s="12">
        <f>1055-19.85</f>
        <v>1035.1500000000001</v>
      </c>
      <c r="F12" s="12">
        <f>2110</f>
        <v>2110</v>
      </c>
      <c r="G12" s="13">
        <f t="shared" si="0"/>
        <v>300.15000000000009</v>
      </c>
      <c r="H12" s="13">
        <f t="shared" si="1"/>
        <v>1375</v>
      </c>
      <c r="I12" s="3">
        <v>0.21</v>
      </c>
      <c r="J12" s="3">
        <v>0.05</v>
      </c>
      <c r="K12" s="9">
        <f t="shared" si="2"/>
        <v>48.594000000000015</v>
      </c>
      <c r="L12" s="9">
        <f t="shared" si="3"/>
        <v>68.75</v>
      </c>
      <c r="M12" s="14">
        <f t="shared" si="4"/>
        <v>67556.999999999985</v>
      </c>
      <c r="N12" s="9">
        <v>0</v>
      </c>
    </row>
    <row r="13" spans="1:16" x14ac:dyDescent="0.2">
      <c r="A13" s="28">
        <v>43617</v>
      </c>
      <c r="C13" s="11">
        <v>379213</v>
      </c>
      <c r="D13" s="12">
        <v>755</v>
      </c>
      <c r="E13" s="12">
        <f>1055-2</f>
        <v>1053</v>
      </c>
      <c r="F13" s="12">
        <f>2110</f>
        <v>2110</v>
      </c>
      <c r="G13" s="13">
        <f t="shared" si="0"/>
        <v>298</v>
      </c>
      <c r="H13" s="13">
        <f t="shared" si="1"/>
        <v>1355</v>
      </c>
      <c r="I13" s="3">
        <v>0.21</v>
      </c>
      <c r="J13" s="3">
        <v>0.05</v>
      </c>
      <c r="K13" s="9">
        <f t="shared" si="2"/>
        <v>48.352499999999999</v>
      </c>
      <c r="L13" s="9">
        <f t="shared" si="3"/>
        <v>67.75</v>
      </c>
      <c r="M13" s="14">
        <f t="shared" si="4"/>
        <v>67673.102499999979</v>
      </c>
      <c r="N13" s="9">
        <v>0</v>
      </c>
    </row>
    <row r="14" spans="1:16" x14ac:dyDescent="0.2">
      <c r="A14" s="28">
        <v>43647</v>
      </c>
      <c r="C14" s="11">
        <v>379213</v>
      </c>
      <c r="D14" s="12">
        <v>755</v>
      </c>
      <c r="E14" s="12">
        <f>1055-2</f>
        <v>1053</v>
      </c>
      <c r="F14" s="12">
        <f>2110</f>
        <v>2110</v>
      </c>
      <c r="G14" s="13">
        <f>E14-D14</f>
        <v>298</v>
      </c>
      <c r="H14" s="13">
        <f>F14-D14</f>
        <v>1355</v>
      </c>
      <c r="I14" s="3">
        <v>0.21</v>
      </c>
      <c r="J14" s="3">
        <v>0.05</v>
      </c>
      <c r="K14" s="9">
        <f>G14*I14-L14*I14</f>
        <v>48.352499999999999</v>
      </c>
      <c r="L14" s="9">
        <f>H14*J14</f>
        <v>67.75</v>
      </c>
      <c r="M14" s="14">
        <f t="shared" si="4"/>
        <v>67789.204999999973</v>
      </c>
      <c r="N14" s="9">
        <v>0</v>
      </c>
      <c r="O14" s="9"/>
      <c r="P14" s="9"/>
    </row>
    <row r="15" spans="1:16" x14ac:dyDescent="0.2">
      <c r="A15" s="28">
        <v>43678</v>
      </c>
      <c r="C15" s="11">
        <v>379213</v>
      </c>
      <c r="D15" s="12">
        <v>755</v>
      </c>
      <c r="E15" s="12">
        <f>1055</f>
        <v>1055</v>
      </c>
      <c r="F15" s="12">
        <f>2110</f>
        <v>2110</v>
      </c>
      <c r="G15" s="13">
        <f>E15-D15</f>
        <v>300</v>
      </c>
      <c r="H15" s="13">
        <f>F15-D15</f>
        <v>1355</v>
      </c>
      <c r="I15" s="3">
        <v>0.21</v>
      </c>
      <c r="J15" s="3">
        <v>0.05</v>
      </c>
      <c r="K15" s="9">
        <f>G15*I15-L15*I15</f>
        <v>48.772500000000001</v>
      </c>
      <c r="L15" s="9">
        <f>H15*J15</f>
        <v>67.75</v>
      </c>
      <c r="M15" s="14">
        <f t="shared" si="4"/>
        <v>67905.727499999979</v>
      </c>
      <c r="N15" s="9">
        <v>0</v>
      </c>
      <c r="P15" s="9"/>
    </row>
    <row r="16" spans="1:16" x14ac:dyDescent="0.2">
      <c r="A16" s="15"/>
      <c r="C16" s="11"/>
      <c r="D16" s="12"/>
      <c r="E16" s="12"/>
      <c r="F16" s="12"/>
      <c r="G16" s="13"/>
      <c r="H16" s="13"/>
      <c r="I16" s="13"/>
      <c r="J16" s="11"/>
      <c r="K16" s="11"/>
      <c r="L16" s="3"/>
      <c r="M16" s="3"/>
      <c r="N16" s="9"/>
    </row>
    <row r="17" spans="1:14" x14ac:dyDescent="0.2">
      <c r="A17" s="15"/>
      <c r="C17" s="11"/>
      <c r="D17" s="12"/>
      <c r="E17" s="12"/>
      <c r="F17" s="12"/>
      <c r="G17" s="13"/>
      <c r="H17" s="13"/>
      <c r="I17" s="13"/>
      <c r="J17" s="11"/>
      <c r="K17" s="11"/>
      <c r="L17" s="3"/>
      <c r="M17" s="3"/>
      <c r="N17" s="9"/>
    </row>
    <row r="18" spans="1:14" x14ac:dyDescent="0.2">
      <c r="A18" s="15"/>
      <c r="C18" s="11"/>
      <c r="D18" s="12"/>
      <c r="E18" s="12"/>
      <c r="F18" s="12"/>
      <c r="G18" s="13"/>
      <c r="H18" s="13"/>
      <c r="I18" s="13"/>
      <c r="J18" s="11"/>
      <c r="K18" s="11"/>
      <c r="L18" s="3"/>
      <c r="M18" s="3"/>
      <c r="N18" s="9"/>
    </row>
    <row r="19" spans="1:14" x14ac:dyDescent="0.2">
      <c r="C19" s="20" t="s">
        <v>43</v>
      </c>
      <c r="D19" s="21"/>
      <c r="E19" s="21"/>
      <c r="F19" s="21"/>
      <c r="G19" s="22"/>
      <c r="H19" s="22"/>
    </row>
    <row r="20" spans="1:14" x14ac:dyDescent="0.2">
      <c r="C20" s="20" t="s">
        <v>48</v>
      </c>
      <c r="D20" s="21"/>
      <c r="E20" s="21"/>
      <c r="F20" s="21"/>
      <c r="G20" s="22"/>
      <c r="H20" s="22"/>
    </row>
    <row r="21" spans="1:14" x14ac:dyDescent="0.2">
      <c r="C21" s="20" t="s">
        <v>47</v>
      </c>
      <c r="D21" s="21"/>
      <c r="E21" s="21"/>
      <c r="F21" s="21"/>
      <c r="G21" s="22"/>
      <c r="H21" s="22"/>
    </row>
    <row r="22" spans="1:14" x14ac:dyDescent="0.2">
      <c r="C22" s="14" t="s">
        <v>27</v>
      </c>
      <c r="D22" s="21"/>
      <c r="E22" s="21"/>
      <c r="F22" s="21"/>
      <c r="G22" s="22"/>
      <c r="H22" s="22"/>
    </row>
    <row r="23" spans="1:14" x14ac:dyDescent="0.2">
      <c r="C23" s="23"/>
      <c r="D23" s="21"/>
      <c r="E23" s="21"/>
      <c r="F23" s="21"/>
      <c r="G23" s="21"/>
      <c r="H23" s="21"/>
    </row>
    <row r="24" spans="1:14" x14ac:dyDescent="0.2">
      <c r="C24" s="14" t="s">
        <v>28</v>
      </c>
      <c r="D24" s="24" t="s">
        <v>29</v>
      </c>
      <c r="E24" s="22" t="s">
        <v>30</v>
      </c>
      <c r="F24" s="14" t="s">
        <v>31</v>
      </c>
      <c r="G24" s="25" t="s">
        <v>22</v>
      </c>
      <c r="H24" s="14" t="s">
        <v>32</v>
      </c>
    </row>
    <row r="25" spans="1:14" x14ac:dyDescent="0.2">
      <c r="C25" s="30">
        <v>189606.505</v>
      </c>
      <c r="D25" s="30">
        <v>755</v>
      </c>
      <c r="E25" s="30">
        <v>1055</v>
      </c>
      <c r="F25" s="30">
        <f>E25-D25</f>
        <v>300</v>
      </c>
      <c r="G25" s="3">
        <v>0.21</v>
      </c>
      <c r="H25" s="30">
        <f>F25*G25</f>
        <v>63</v>
      </c>
    </row>
    <row r="26" spans="1:14" ht="15" x14ac:dyDescent="0.35">
      <c r="C26" s="30"/>
      <c r="D26" s="30"/>
      <c r="E26" s="30"/>
      <c r="F26" s="30"/>
      <c r="G26" s="27" t="s">
        <v>38</v>
      </c>
      <c r="H26" s="26">
        <f>-H30*0.21</f>
        <v>-14.227499999999999</v>
      </c>
    </row>
    <row r="27" spans="1:14" x14ac:dyDescent="0.2">
      <c r="H27" s="30">
        <f>H25+H26</f>
        <v>48.772500000000001</v>
      </c>
    </row>
    <row r="28" spans="1:14" x14ac:dyDescent="0.2">
      <c r="H28" s="30">
        <f>H27-K15</f>
        <v>0</v>
      </c>
    </row>
    <row r="29" spans="1:14" x14ac:dyDescent="0.2">
      <c r="C29" s="14" t="s">
        <v>34</v>
      </c>
      <c r="D29" s="21" t="s">
        <v>29</v>
      </c>
      <c r="E29" s="22" t="s">
        <v>35</v>
      </c>
      <c r="F29" s="14" t="s">
        <v>36</v>
      </c>
      <c r="G29" s="25" t="s">
        <v>23</v>
      </c>
      <c r="H29" s="14" t="s">
        <v>37</v>
      </c>
    </row>
    <row r="30" spans="1:14" x14ac:dyDescent="0.2">
      <c r="C30" s="30">
        <v>379213.01</v>
      </c>
      <c r="D30" s="30">
        <f>D25</f>
        <v>755</v>
      </c>
      <c r="E30" s="30">
        <v>2110</v>
      </c>
      <c r="F30" s="30">
        <f>E30-D30</f>
        <v>1355</v>
      </c>
      <c r="G30" s="3">
        <v>0.05</v>
      </c>
      <c r="H30" s="30">
        <f>F30*G30</f>
        <v>67.75</v>
      </c>
    </row>
    <row r="31" spans="1:14" x14ac:dyDescent="0.2">
      <c r="C31" s="30"/>
      <c r="D31" s="30"/>
      <c r="E31" s="30"/>
      <c r="F31" s="30"/>
      <c r="H31" s="30">
        <f>H30-L15</f>
        <v>0</v>
      </c>
    </row>
    <row r="32" spans="1:14" x14ac:dyDescent="0.2">
      <c r="C32" s="11"/>
      <c r="D32" s="11"/>
      <c r="E32" s="11"/>
      <c r="F32" s="11"/>
      <c r="G32" s="3"/>
      <c r="H32" s="11"/>
    </row>
    <row r="33" spans="3:8" x14ac:dyDescent="0.2">
      <c r="C33" s="11"/>
      <c r="D33" s="11"/>
      <c r="E33" s="11"/>
      <c r="F33" s="11"/>
      <c r="H33" s="11"/>
    </row>
  </sheetData>
  <mergeCells count="3">
    <mergeCell ref="A1:N1"/>
    <mergeCell ref="A2:N2"/>
    <mergeCell ref="A3:N3"/>
  </mergeCells>
  <pageMargins left="0.5" right="0.5" top="1.5" bottom="0.5" header="0.5" footer="0.5"/>
  <pageSetup scale="56" orientation="portrait" r:id="rId1"/>
  <headerFooter alignWithMargins="0">
    <oddHeader>&amp;R&amp;"Times New Roman,Bold"&amp;12Attachment to Response to Question No. 3
Page &amp;P of &amp;N
Williams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>Williams, Scott</Witness_x0020_Testimony>
    <Year xmlns="65bfb563-8fe2-4d34-a09f-38a217d8feea">2020</Year>
    <Filing_x0020_Case_x0020__x0023_ xmlns="65bfb563-8fe2-4d34-a09f-38a217d8feea" xsi:nil="true"/>
    <Construction_x0020_Monitoring_x0020_Description xmlns="65bfb563-8fe2-4d34-a09f-38a217d8feea" xsi:nil="true"/>
    <Review_x0020_Case_x0020_Doc_x0020_Types xmlns="65bfb563-8fe2-4d34-a09f-38a217d8feea">01.2 – 1st Data Request Attachments</Review_x0020_Case_x0020_Doc_x0020_Types>
    <Status xmlns="65bfb563-8fe2-4d34-a09f-38a217d8feea"/>
    <Filing_x0020_Witness xmlns="65bfb563-8fe2-4d34-a09f-38a217d8feea" xsi:nil="true"/>
    <Filings xmlns="65bfb563-8fe2-4d34-a09f-38a217d8feea" xsi:nil="true"/>
    <IconOverlay xmlns="http://schemas.microsoft.com/sharepoint/v4" xsi:nil="true"/>
    <Document_x0020_Type xmlns="65bfb563-8fe2-4d34-a09f-38a217d8feea">
      <Value>ECR</Value>
    </Document_x0020_Type>
    <Filing_x0020_Type xmlns="65bfb563-8fe2-4d34-a09f-38a217d8feea">
      <Value>Review Cases (ECR/FAC/OST)</Value>
    </Filing_x0020_Type>
    <Construction_x0020_Monitoring xmlns="65bfb563-8fe2-4d34-a09f-38a217d8feea" xsi:nil="true"/>
    <Case_x0020__x0023_ xmlns="65bfb563-8fe2-4d34-a09f-38a217d8feea">2020-00171</Case_x0020__x0023_>
    <Review_x0020_Case_x0020_Expense_x0020_Period xmlns="65bfb563-8fe2-4d34-a09f-38a217d8feea">Mar-Aug (ECR)</Review_x0020_Case_x0020_Expense_x0020_Period>
    <Filing_x0020_Doc_x0020_Types xmlns="65bfb563-8fe2-4d34-a09f-38a217d8feea" xsi:nil="true"/>
    <Company xmlns="65bfb563-8fe2-4d34-a09f-38a217d8feea">
      <Value>LGE</Value>
    </Compan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10F20E04BCF41BE361D2F61EE6FFA" ma:contentTypeVersion="31" ma:contentTypeDescription="Create a new document." ma:contentTypeScope="" ma:versionID="1a7440fe774e3a49f8f8025c7f284a7f">
  <xsd:schema xmlns:xsd="http://www.w3.org/2001/XMLSchema" xmlns:xs="http://www.w3.org/2001/XMLSchema" xmlns:p="http://schemas.microsoft.com/office/2006/metadata/properties" xmlns:ns1="http://schemas.microsoft.com/sharepoint/v3" xmlns:ns2="65bfb563-8fe2-4d34-a09f-38a217d8feea" xmlns:ns3="http://schemas.microsoft.com/sharepoint/v4" targetNamespace="http://schemas.microsoft.com/office/2006/metadata/properties" ma:root="true" ma:fieldsID="e8f00517e1a5c3e1cb96a73fb0bdef8d" ns1:_="" ns2:_="" ns3:_="">
    <xsd:import namespace="http://schemas.microsoft.com/sharepoint/v3"/>
    <xsd:import namespace="65bfb563-8fe2-4d34-a09f-38a217d8fee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 minOccurs="0"/>
                <xsd:element ref="ns2:Filing_x0020_Type" minOccurs="0"/>
                <xsd:element ref="ns2:Filings" minOccurs="0"/>
                <xsd:element ref="ns2:Filing_x0020_Doc_x0020_Types" minOccurs="0"/>
                <xsd:element ref="ns2:Filing_x0020_Case_x0020__x0023_" minOccurs="0"/>
                <xsd:element ref="ns2:Filing_x0020_Witness" minOccurs="0"/>
                <xsd:element ref="ns2:Review_x0020_Case_x0020_Expense_x0020_Period" minOccurs="0"/>
                <xsd:element ref="ns2:Review_x0020_Case_x0020_Doc_x0020_Types" minOccurs="0"/>
                <xsd:element ref="ns2:Case_x0020__x0023_" minOccurs="0"/>
                <xsd:element ref="ns2:Witness_x0020_Testimony" minOccurs="0"/>
                <xsd:element ref="ns2:Construction_x0020_Monitoring_x0020_Description" minOccurs="0"/>
                <xsd:element ref="ns2:Construction_x0020_Monitoring" minOccurs="0"/>
                <xsd:element ref="ns2:Status" minOccurs="0"/>
                <xsd:element ref="ns3:IconOverlay" minOccurs="0"/>
                <xsd:element ref="ns1:_vti_ItemDeclaredRecord" minOccurs="0"/>
                <xsd:element ref="ns1:_vti_ItemHoldRecord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31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32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format="Dropdown" ma:internalName="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</xsd:restriction>
      </xsd:simpleType>
    </xsd:element>
    <xsd:element name="Document_x0020_Type" ma:index="4" nillable="true" ma:displayName="Document Type" ma:internalName="Document_x0020_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SM"/>
                    <xsd:enumeration value="ECR"/>
                    <xsd:enumeration value="FAC / OST"/>
                    <xsd:enumeration value="GLT"/>
                    <xsd:enumeration value="GSC"/>
                    <xsd:enumeration value="HEA"/>
                    <xsd:enumeration value="LFF"/>
                    <xsd:enumeration value="WNA"/>
                  </xsd:restriction>
                </xsd:simpleType>
              </xsd:element>
            </xsd:sequence>
          </xsd:extension>
        </xsd:complexContent>
      </xsd:complexType>
    </xsd:element>
    <xsd:element name="Filing_x0020_Type" ma:index="5" nillable="true" ma:displayName="Filing Type" ma:internalName="Filing_x0020_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onthly Filings (ECR/LFF)"/>
                    <xsd:enumeration value="Form A Filings (FAC/OST)"/>
                    <xsd:enumeration value="Form B Filings (FAC/OST)"/>
                    <xsd:enumeration value="Avoided Energy Cost (LQF)"/>
                    <xsd:enumeration value="Municipal WPS Reports (FAC)"/>
                    <xsd:enumeration value="Quarterly Filings (GSC)"/>
                    <xsd:enumeration value="Annual Filing (DSM)"/>
                    <xsd:enumeration value="Annual Filing (GLT/LFF/WNA)"/>
                    <xsd:enumeration value="Forecasted Annual Filing (GLT)"/>
                    <xsd:enumeration value="True-up Annual Filing (GLT)"/>
                    <xsd:enumeration value="Review Cases (ECR/FAC/OST)"/>
                    <xsd:enumeration value="Construction Monitoring (ECR)"/>
                    <xsd:enumeration value="Approved Project Detail (ECR)"/>
                  </xsd:restriction>
                </xsd:simpleType>
              </xsd:element>
            </xsd:sequence>
          </xsd:extension>
        </xsd:complexContent>
      </xsd:complexType>
    </xsd:element>
    <xsd:element name="Filings" ma:index="6" nillable="true" ma:displayName="Filing Expense Period" ma:format="Dropdown" ma:internalName="Filings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  <xsd:enumeration value="Nov-Jan (GSC)"/>
          <xsd:enumeration value="Feb-Apr (GSC)"/>
          <xsd:enumeration value="May-Jul (GSC)"/>
          <xsd:enumeration value="Aug-Oct (GSC)"/>
          <xsd:enumeration value="Apr-May (LFF)"/>
          <xsd:enumeration value="Jan-Dec (GLT/WNA)"/>
          <xsd:enumeration value="N/A"/>
        </xsd:restriction>
      </xsd:simpleType>
    </xsd:element>
    <xsd:element name="Filing_x0020_Doc_x0020_Types" ma:index="7" nillable="true" ma:displayName="Filing Doc Types" ma:format="Dropdown" ma:internalName="Filing_x0020_Doc_x0020_Types">
      <xsd:simpleType>
        <xsd:restriction base="dms:Choice">
          <xsd:enumeration value="00 – Orders/Requests for Information"/>
          <xsd:enumeration value="01.1 – 1st Data Request Responses/Testimony"/>
          <xsd:enumeration value="01.2 – 1st Data Request Attachments"/>
          <xsd:enumeration value="01.3 – 1st Data Request Confidentiality Petition"/>
          <xsd:enumeration value="01.4 – 1st Data Request/Testimony - As Filed"/>
          <xsd:enumeration value="02.1 – 2nd Data Request Responses/Testimony"/>
          <xsd:enumeration value="02.2 – 2nd Data Request Attachments"/>
          <xsd:enumeration value="02.3 – 2nd Data Request Confidentiality Petition"/>
          <xsd:enumeration value="02.4 – 2nd Data Request/Testimony - As Filed"/>
          <xsd:enumeration value="03.1 – 3rd Data Request Responses/Testimony"/>
          <xsd:enumeration value="03.2 – 3rd Data Request Attachments"/>
          <xsd:enumeration value="03.3 – 3rd Data Request Confidentiality Petition"/>
          <xsd:enumeration value="03.4 – 3rd Data Request/Testimony - As Filed"/>
          <xsd:enumeration value="04.1 – Post Hearing Data Request Responses/Testimony"/>
          <xsd:enumeration value="04.2 – Post Hearing Data Request Attachments"/>
          <xsd:enumeration value="04.3 – Post Hearing Data Request Confidentiality Petition"/>
          <xsd:enumeration value="04.4 – Post Hearing Data Request/Testimony - As Filed"/>
          <xsd:enumeration value="05 – Technical Conference or Hearings"/>
          <xsd:enumeration value="06 – Briefs"/>
          <xsd:enumeration value="07 – Support"/>
          <xsd:enumeration value="08 – Tariffs"/>
          <xsd:enumeration value="09 - Proof of Publication/Certificate of Notice"/>
          <xsd:enumeration value="10 – eFiled/Filed Documents"/>
          <xsd:enumeration value="10.1 – Application"/>
          <xsd:enumeration value="10.2 – Application - As Filed"/>
          <xsd:enumeration value="11 - Talking Points (Internal Use Only)"/>
        </xsd:restriction>
      </xsd:simpleType>
    </xsd:element>
    <xsd:element name="Filing_x0020_Case_x0020__x0023_" ma:index="8" nillable="true" ma:displayName="Filing Case #" ma:internalName="Filing_x0020_Case_x0020__x0023_">
      <xsd:simpleType>
        <xsd:restriction base="dms:Text">
          <xsd:maxLength value="255"/>
        </xsd:restriction>
      </xsd:simpleType>
    </xsd:element>
    <xsd:element name="Filing_x0020_Witness" ma:index="9" nillable="true" ma:displayName="Filing Witness" ma:format="Dropdown" ma:internalName="Filing_x0020_Witness">
      <xsd:simpleType>
        <xsd:restriction base="dms:Choice">
          <xsd:enumeration value="Billiter, Delbert"/>
          <xsd:enumeration value="Fackler, Andrea"/>
          <xsd:enumeration value="Garrett, Chris"/>
          <xsd:enumeration value="Rahn, Derek"/>
          <xsd:enumeration value="Rieth, Tom"/>
          <xsd:enumeration value="Schram, Chuck"/>
          <xsd:enumeration value="Wilson, Stuart"/>
        </xsd:restriction>
      </xsd:simpleType>
    </xsd:element>
    <xsd:element name="Review_x0020_Case_x0020_Expense_x0020_Period" ma:index="10" nillable="true" ma:displayName="Review Case Expense Period" ma:format="Dropdown" ma:internalName="Review_x0020_Case_x0020_Expense_x0020_Period">
      <xsd:simpleType>
        <xsd:restriction base="dms:Choice">
          <xsd:enumeration value="Mar-Aug (ECR)"/>
          <xsd:enumeration value="Sep-Feb (ECR)"/>
          <xsd:enumeration value="Mar-Feb (ECR)"/>
          <xsd:enumeration value="May-Oct (ECR)"/>
          <xsd:enumeration value="May-Oct (FAC)"/>
          <xsd:enumeration value="Nov-Apr (FAC)"/>
          <xsd:enumeration value="Nov-Oct (FAC)"/>
        </xsd:restriction>
      </xsd:simpleType>
    </xsd:element>
    <xsd:element name="Review_x0020_Case_x0020_Doc_x0020_Types" ma:index="11" nillable="true" ma:displayName="Review Case Doc Types" ma:format="Dropdown" ma:internalName="Review_x0020_Case_x0020_Doc_x0020_Types">
      <xsd:simpleType>
        <xsd:restriction base="dms:Choice">
          <xsd:enumeration value="00.1 – Orders"/>
          <xsd:enumeration value="00.2 – Requests for Information"/>
          <xsd:enumeration value="00.4 – Other Communications/eFilings"/>
          <xsd:enumeration value="01.1 – 1st Data Request Responses/Testimony"/>
          <xsd:enumeration value="01.2 – 1st Data Request Attachments"/>
          <xsd:enumeration value="01.3 – 1st Data Request Confidentiality Petition"/>
          <xsd:enumeration value="01.4 – 1st Data Request/Testimony - As Filed"/>
          <xsd:enumeration value="02.1 – 2nd Data Request Responses/Testimony"/>
          <xsd:enumeration value="02.2 – 2nd Data Request Attachments"/>
          <xsd:enumeration value="02.3 – 2nd Data Request Confidentiality Petition"/>
          <xsd:enumeration value="02.4 – 2nd Data Request/Testimony - As Filed"/>
          <xsd:enumeration value="03.1 – 3rd Data Request Responses/Testimony"/>
          <xsd:enumeration value="03.2 – 3rd Data Request Attachments"/>
          <xsd:enumeration value="03.3 – 3rd Data Request Confidentiality Petition"/>
          <xsd:enumeration value="03.4 – 3rd Data Request/Testimony - As Filed"/>
          <xsd:enumeration value="04.1 – Post Hearing Data Request Responses/Testimony/Briefs"/>
          <xsd:enumeration value="04.2 – Post Hearing Data Request Attachments"/>
          <xsd:enumeration value="04.3 – Post Hearing Data Request Confidentiality Petition"/>
          <xsd:enumeration value="04.4 – Post Hearing Data Request/Testimony - As Filed"/>
          <xsd:enumeration value="05 – Technical Conference or Hearings"/>
          <xsd:enumeration value="10 – Application"/>
          <xsd:enumeration value="10.1 – Application - As Filed"/>
          <xsd:enumeration value="11 - Talking Points (Internal Use Only)"/>
        </xsd:restriction>
      </xsd:simpleType>
    </xsd:element>
    <xsd:element name="Case_x0020__x0023_" ma:index="12" nillable="true" ma:displayName="Review Case #" ma:internalName="Case_x0020__x0023_">
      <xsd:simpleType>
        <xsd:restriction base="dms:Text">
          <xsd:maxLength value="255"/>
        </xsd:restriction>
      </xsd:simpleType>
    </xsd:element>
    <xsd:element name="Witness_x0020_Testimony" ma:index="13" nillable="true" ma:displayName="Review Case Witness" ma:format="Dropdown" ma:internalName="Witness_x0020_Testimony">
      <xsd:simpleType>
        <xsd:restriction base="dms:Choice">
          <xsd:enumeration value="Billiter, Delbert"/>
          <xsd:enumeration value="Drake, Michael"/>
          <xsd:enumeration value="Fackler, Andrea"/>
          <xsd:enumeration value="Garrett, Christopher"/>
          <xsd:enumeration value="Neal, Susan"/>
          <xsd:enumeration value="Williams, Scott"/>
          <xsd:enumeration value="Multiple"/>
          <xsd:enumeration value="N/A"/>
          <xsd:enumeration value="Rahn, Derek"/>
          <xsd:enumeration value="Schram, Chuck"/>
          <xsd:enumeration value="Wilson, Stuart"/>
        </xsd:restriction>
      </xsd:simpleType>
    </xsd:element>
    <xsd:element name="Construction_x0020_Monitoring_x0020_Description" ma:index="14" nillable="true" ma:displayName="Construction Monitoring Description" ma:format="Dropdown" ma:internalName="Construction_x0020_Monitoring_x0020_Description">
      <xsd:simpleType>
        <xsd:restriction base="dms:Choice">
          <xsd:enumeration value="2011 ECR Plan"/>
          <xsd:enumeration value="2016 ECR Plan"/>
          <xsd:enumeration value="TC Landfill"/>
        </xsd:restriction>
      </xsd:simpleType>
    </xsd:element>
    <xsd:element name="Construction_x0020_Monitoring" ma:index="15" nillable="true" ma:displayName="Construction Monitoring Period" ma:format="Dropdown" ma:internalName="Construction_x0020_Monitoring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Status" ma:index="23" nillable="true" ma:displayName="Status (Internal Use Only)" ma:internalName="Statu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  <xsd:enumeration value="Filed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D6C4D6-62B5-4326-9BF5-712D0C9272A0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5bfb563-8fe2-4d34-a09f-38a217d8feea"/>
    <ds:schemaRef ds:uri="http://purl.org/dc/dcmitype/"/>
    <ds:schemaRef ds:uri="http://schemas.microsoft.com/sharepoint/v4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8A49903-5049-46D1-B2D6-13B5F43A48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DCA733-D0D6-431A-B66B-FE8D544F9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5bfb563-8fe2-4d34-a09f-38a217d8feea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Project 23</vt:lpstr>
      <vt:lpstr>Project 24</vt:lpstr>
      <vt:lpstr>Project 25</vt:lpstr>
      <vt:lpstr>Project 26</vt:lpstr>
      <vt:lpstr>Project 27</vt:lpstr>
      <vt:lpstr>Project 28</vt:lpstr>
      <vt:lpstr>Project 29</vt:lpstr>
      <vt:lpstr>Project 30</vt:lpstr>
      <vt:lpstr>'Project 23'!Print_Area</vt:lpstr>
      <vt:lpstr>'Project 24'!Print_Area</vt:lpstr>
      <vt:lpstr>'Project 25'!Print_Area</vt:lpstr>
      <vt:lpstr>'Project 26'!Print_Area</vt:lpstr>
      <vt:lpstr>'Project 27'!Print_Area</vt:lpstr>
      <vt:lpstr>'Project 28'!Print_Area</vt:lpstr>
      <vt:lpstr>'Project 29'!Print_Area</vt:lpstr>
      <vt:lpstr>'Project 30'!Print_Area</vt:lpstr>
    </vt:vector>
  </TitlesOfParts>
  <Company>LG&amp;E Energy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N093419</dc:creator>
  <cp:lastModifiedBy>Hamilton, Stephanie</cp:lastModifiedBy>
  <cp:lastPrinted>2020-06-30T16:30:34Z</cp:lastPrinted>
  <dcterms:created xsi:type="dcterms:W3CDTF">2006-06-09T14:23:56Z</dcterms:created>
  <dcterms:modified xsi:type="dcterms:W3CDTF">2020-06-30T16:34:08Z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0x010100FF510F20E04BCF41BE361D2F61EE6FFA</vt:lpwstr>
  </property>
</Properties>
</file>