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20\CNs-00170-00171 - K L ECR 6-month review\KU\2 - Data Requests and Testimony\"/>
    </mc:Choice>
  </mc:AlternateContent>
  <xr:revisionPtr revIDLastSave="0" documentId="13_ncr:1_{866EDC27-671D-4726-BE3B-94158DDFEA02}" xr6:coauthVersionLast="44" xr6:coauthVersionMax="44" xr10:uidLastSave="{00000000-0000-0000-0000-000000000000}"/>
  <bookViews>
    <workbookView xWindow="-28920" yWindow="-120" windowWidth="29040" windowHeight="15840" tabRatio="931" xr2:uid="{00000000-000D-0000-FFFF-FFFF00000000}"/>
  </bookViews>
  <sheets>
    <sheet name="Project 28" sheetId="32" r:id="rId1"/>
    <sheet name="Project 29" sheetId="31" r:id="rId2"/>
    <sheet name="Project 29_2011 Plan" sheetId="38" r:id="rId3"/>
    <sheet name="Project 30" sheetId="35" r:id="rId4"/>
    <sheet name="Project 31" sheetId="28" r:id="rId5"/>
    <sheet name="Project 32" sheetId="36" r:id="rId6"/>
    <sheet name="Project 33" sheetId="33" r:id="rId7"/>
    <sheet name="Project 34" sheetId="37" r:id="rId8"/>
    <sheet name="Project 35" sheetId="29" r:id="rId9"/>
    <sheet name="Project 37" sheetId="40" r:id="rId10"/>
    <sheet name="Project 38" sheetId="41" r:id="rId11"/>
    <sheet name="Project 41" sheetId="39" r:id="rId12"/>
  </sheets>
  <definedNames>
    <definedName name="_xlnm.Print_Area" localSheetId="0">'Project 28'!$A$1:$N$58</definedName>
    <definedName name="_xlnm.Print_Area" localSheetId="1">'Project 29'!$A$1:$N$43</definedName>
    <definedName name="_xlnm.Print_Area" localSheetId="2">'Project 29_2011 Plan'!$A$1:$N$66</definedName>
    <definedName name="_xlnm.Print_Area" localSheetId="3">'Project 30'!$A$1:$N$106</definedName>
    <definedName name="_xlnm.Print_Area" localSheetId="4">'Project 31'!$A$1:$N$15</definedName>
    <definedName name="_xlnm.Print_Area" localSheetId="5">'Project 32'!$A$1:$N$42</definedName>
    <definedName name="_xlnm.Print_Area" localSheetId="6">'Project 33'!$A$1:$N$35</definedName>
    <definedName name="_xlnm.Print_Area" localSheetId="7">'Project 34'!$A$1:$N$43</definedName>
    <definedName name="_xlnm.Print_Area" localSheetId="8">'Project 35'!$A$1:$N$92</definedName>
    <definedName name="_xlnm.Print_Area" localSheetId="9">'Project 37'!$A$1:$N$35</definedName>
    <definedName name="_xlnm.Print_Area" localSheetId="10">'Project 38'!$A$1:$N$43</definedName>
    <definedName name="_xlnm.Print_Area" localSheetId="11">'Project 41'!$A$1:$N$32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32" l="1"/>
  <c r="N14" i="32"/>
  <c r="N13" i="32"/>
  <c r="N12" i="32"/>
  <c r="N11" i="32"/>
  <c r="N10" i="32"/>
  <c r="E52" i="29" l="1"/>
  <c r="E87" i="29"/>
  <c r="C84" i="29"/>
  <c r="E15" i="29"/>
  <c r="F15" i="29"/>
  <c r="E15" i="40"/>
  <c r="E12" i="40"/>
  <c r="E14" i="40"/>
  <c r="C34" i="40" l="1"/>
  <c r="C27" i="40"/>
  <c r="C42" i="37"/>
  <c r="C31" i="37"/>
  <c r="C34" i="33"/>
  <c r="C27" i="33"/>
  <c r="C41" i="36" l="1"/>
  <c r="C31" i="36"/>
  <c r="F29" i="35"/>
  <c r="H29" i="35" s="1"/>
  <c r="F72" i="35"/>
  <c r="H72" i="35" s="1"/>
  <c r="C105" i="35"/>
  <c r="C63" i="35"/>
  <c r="C43" i="38"/>
  <c r="F25" i="38"/>
  <c r="H25" i="38"/>
  <c r="F26" i="38"/>
  <c r="H26" i="38" s="1"/>
  <c r="C27" i="38"/>
  <c r="F27" i="38"/>
  <c r="H27" i="38" s="1"/>
  <c r="F28" i="38"/>
  <c r="H28" i="38" s="1"/>
  <c r="F29" i="38"/>
  <c r="H29" i="38" s="1"/>
  <c r="F30" i="38"/>
  <c r="H30" i="38" s="1"/>
  <c r="F31" i="38"/>
  <c r="H31" i="38" s="1"/>
  <c r="F32" i="38"/>
  <c r="H32" i="38" s="1"/>
  <c r="F33" i="38"/>
  <c r="H33" i="38" s="1"/>
  <c r="F34" i="38"/>
  <c r="H34" i="38" s="1"/>
  <c r="F35" i="38"/>
  <c r="H35" i="38" s="1"/>
  <c r="F36" i="38"/>
  <c r="H36" i="38" s="1"/>
  <c r="F37" i="38"/>
  <c r="H37" i="38" s="1"/>
  <c r="F38" i="38"/>
  <c r="H38" i="38" s="1"/>
  <c r="F39" i="38"/>
  <c r="H39" i="38" s="1"/>
  <c r="F40" i="38"/>
  <c r="H40" i="38" s="1"/>
  <c r="F41" i="38"/>
  <c r="H41" i="38" s="1"/>
  <c r="F42" i="38"/>
  <c r="H42" i="38" s="1"/>
  <c r="E43" i="38"/>
  <c r="D48" i="38"/>
  <c r="F48" i="38" s="1"/>
  <c r="H48" i="38" s="1"/>
  <c r="F49" i="38"/>
  <c r="H49" i="38"/>
  <c r="C50" i="38"/>
  <c r="C65" i="38" s="1"/>
  <c r="F50" i="38"/>
  <c r="H50" i="38" s="1"/>
  <c r="F51" i="38"/>
  <c r="H51" i="38" s="1"/>
  <c r="F52" i="38"/>
  <c r="H52" i="38" s="1"/>
  <c r="F53" i="38"/>
  <c r="H53" i="38" s="1"/>
  <c r="F54" i="38"/>
  <c r="H54" i="38" s="1"/>
  <c r="E42" i="31"/>
  <c r="C42" i="31"/>
  <c r="F41" i="31"/>
  <c r="H41" i="31" s="1"/>
  <c r="C41" i="31"/>
  <c r="F40" i="31"/>
  <c r="H40" i="31" s="1"/>
  <c r="C40" i="31"/>
  <c r="F39" i="31"/>
  <c r="H39" i="31" s="1"/>
  <c r="F38" i="31"/>
  <c r="H38" i="31" s="1"/>
  <c r="F37" i="31"/>
  <c r="H37" i="31" s="1"/>
  <c r="D36" i="31"/>
  <c r="F36" i="31" s="1"/>
  <c r="E31" i="31"/>
  <c r="F30" i="31"/>
  <c r="H30" i="31" s="1"/>
  <c r="F29" i="31"/>
  <c r="H29" i="31" s="1"/>
  <c r="F28" i="31"/>
  <c r="H28" i="31" s="1"/>
  <c r="C28" i="31"/>
  <c r="F27" i="31"/>
  <c r="H27" i="31" s="1"/>
  <c r="C27" i="31"/>
  <c r="C31" i="31" s="1"/>
  <c r="F26" i="31"/>
  <c r="H26" i="31" s="1"/>
  <c r="F25" i="31"/>
  <c r="H25" i="31" s="1"/>
  <c r="E57" i="32"/>
  <c r="C57" i="32"/>
  <c r="H56" i="32"/>
  <c r="F56" i="32"/>
  <c r="F55" i="32"/>
  <c r="H55" i="32" s="1"/>
  <c r="F54" i="32"/>
  <c r="H54" i="32" s="1"/>
  <c r="F53" i="32"/>
  <c r="H53" i="32" s="1"/>
  <c r="H52" i="32"/>
  <c r="F52" i="32"/>
  <c r="F51" i="32"/>
  <c r="H51" i="32" s="1"/>
  <c r="F50" i="32"/>
  <c r="H50" i="32" s="1"/>
  <c r="F49" i="32"/>
  <c r="H49" i="32" s="1"/>
  <c r="H48" i="32"/>
  <c r="F48" i="32"/>
  <c r="F47" i="32"/>
  <c r="H47" i="32" s="1"/>
  <c r="F46" i="32"/>
  <c r="H46" i="32" s="1"/>
  <c r="F45" i="32"/>
  <c r="F44" i="32"/>
  <c r="H44" i="32" s="1"/>
  <c r="F38" i="32"/>
  <c r="H38" i="32" s="1"/>
  <c r="F37" i="32"/>
  <c r="H37" i="32" s="1"/>
  <c r="F36" i="32"/>
  <c r="H36" i="32" s="1"/>
  <c r="F35" i="32"/>
  <c r="H35" i="32" s="1"/>
  <c r="F34" i="32"/>
  <c r="H34" i="32" s="1"/>
  <c r="F33" i="32"/>
  <c r="H33" i="32" s="1"/>
  <c r="F32" i="32"/>
  <c r="H32" i="32" s="1"/>
  <c r="F31" i="32"/>
  <c r="H31" i="32" s="1"/>
  <c r="F30" i="32"/>
  <c r="H30" i="32" s="1"/>
  <c r="F29" i="32"/>
  <c r="H29" i="32" s="1"/>
  <c r="F28" i="32"/>
  <c r="H28" i="32" s="1"/>
  <c r="C28" i="32"/>
  <c r="F27" i="32"/>
  <c r="H27" i="32" s="1"/>
  <c r="C27" i="32"/>
  <c r="F26" i="32"/>
  <c r="H26" i="32" s="1"/>
  <c r="E25" i="32"/>
  <c r="F25" i="32" s="1"/>
  <c r="C25" i="32"/>
  <c r="F43" i="38" l="1"/>
  <c r="C39" i="32"/>
  <c r="F57" i="32"/>
  <c r="H43" i="38"/>
  <c r="H25" i="32"/>
  <c r="H39" i="32" s="1"/>
  <c r="F39" i="32"/>
  <c r="H31" i="31"/>
  <c r="H36" i="31"/>
  <c r="H42" i="31" s="1"/>
  <c r="F42" i="31"/>
  <c r="E39" i="32"/>
  <c r="H45" i="32"/>
  <c r="H57" i="32" s="1"/>
  <c r="F31" i="31"/>
  <c r="D31" i="39"/>
  <c r="F31" i="39" s="1"/>
  <c r="H31" i="39" s="1"/>
  <c r="F25" i="39"/>
  <c r="H25" i="39" s="1"/>
  <c r="H26" i="39" s="1"/>
  <c r="E42" i="41"/>
  <c r="F41" i="41"/>
  <c r="H41" i="41" s="1"/>
  <c r="C41" i="41"/>
  <c r="C42" i="41" s="1"/>
  <c r="F40" i="41"/>
  <c r="H40" i="41" s="1"/>
  <c r="F39" i="41"/>
  <c r="H39" i="41" s="1"/>
  <c r="F38" i="41"/>
  <c r="H38" i="41" s="1"/>
  <c r="F37" i="41"/>
  <c r="H37" i="41" s="1"/>
  <c r="D36" i="41"/>
  <c r="F36" i="41" s="1"/>
  <c r="E31" i="41"/>
  <c r="C31" i="41"/>
  <c r="F30" i="41"/>
  <c r="H30" i="41" s="1"/>
  <c r="F29" i="41"/>
  <c r="H29" i="41" s="1"/>
  <c r="H28" i="41"/>
  <c r="F28" i="41"/>
  <c r="F27" i="41"/>
  <c r="H27" i="41" s="1"/>
  <c r="F26" i="41"/>
  <c r="H26" i="41" s="1"/>
  <c r="F25" i="41"/>
  <c r="H25" i="41" s="1"/>
  <c r="H33" i="40"/>
  <c r="F33" i="40"/>
  <c r="E34" i="40"/>
  <c r="D32" i="40"/>
  <c r="F32" i="40" s="1"/>
  <c r="F26" i="40"/>
  <c r="H26" i="40" s="1"/>
  <c r="F25" i="40"/>
  <c r="E27" i="40"/>
  <c r="E10" i="29"/>
  <c r="H85" i="29"/>
  <c r="E91" i="29"/>
  <c r="F90" i="29"/>
  <c r="H90" i="29" s="1"/>
  <c r="F89" i="29"/>
  <c r="H89" i="29" s="1"/>
  <c r="F88" i="29"/>
  <c r="H88" i="29" s="1"/>
  <c r="F87" i="29"/>
  <c r="H87" i="29" s="1"/>
  <c r="F86" i="29"/>
  <c r="H86" i="29" s="1"/>
  <c r="F85" i="29"/>
  <c r="C91" i="29"/>
  <c r="H53" i="29"/>
  <c r="E56" i="29"/>
  <c r="F50" i="29"/>
  <c r="H50" i="29" s="1"/>
  <c r="F51" i="29"/>
  <c r="H51" i="29" s="1"/>
  <c r="F52" i="29"/>
  <c r="F53" i="29"/>
  <c r="F54" i="29"/>
  <c r="H54" i="29" s="1"/>
  <c r="F55" i="29"/>
  <c r="H55" i="29" s="1"/>
  <c r="C56" i="29"/>
  <c r="F84" i="29"/>
  <c r="H84" i="29" s="1"/>
  <c r="F83" i="29"/>
  <c r="H83" i="29" s="1"/>
  <c r="F82" i="29"/>
  <c r="H82" i="29" s="1"/>
  <c r="F81" i="29"/>
  <c r="H81" i="29" s="1"/>
  <c r="F80" i="29"/>
  <c r="H80" i="29" s="1"/>
  <c r="F79" i="29"/>
  <c r="H79" i="29" s="1"/>
  <c r="F78" i="29"/>
  <c r="H78" i="29" s="1"/>
  <c r="F77" i="29"/>
  <c r="H77" i="29" s="1"/>
  <c r="F76" i="29"/>
  <c r="H76" i="29" s="1"/>
  <c r="F75" i="29"/>
  <c r="H75" i="29" s="1"/>
  <c r="F74" i="29"/>
  <c r="H74" i="29" s="1"/>
  <c r="F73" i="29"/>
  <c r="H73" i="29" s="1"/>
  <c r="F72" i="29"/>
  <c r="H72" i="29" s="1"/>
  <c r="F71" i="29"/>
  <c r="H71" i="29" s="1"/>
  <c r="F70" i="29"/>
  <c r="H70" i="29" s="1"/>
  <c r="F69" i="29"/>
  <c r="H69" i="29" s="1"/>
  <c r="F68" i="29"/>
  <c r="H68" i="29" s="1"/>
  <c r="F67" i="29"/>
  <c r="H67" i="29" s="1"/>
  <c r="F66" i="29"/>
  <c r="H66" i="29" s="1"/>
  <c r="F65" i="29"/>
  <c r="H65" i="29" s="1"/>
  <c r="F64" i="29"/>
  <c r="H64" i="29" s="1"/>
  <c r="F63" i="29"/>
  <c r="H63" i="29" s="1"/>
  <c r="F62" i="29"/>
  <c r="H62" i="29" s="1"/>
  <c r="D61" i="29"/>
  <c r="F61" i="29" s="1"/>
  <c r="F49" i="29"/>
  <c r="H49" i="29" s="1"/>
  <c r="F48" i="29"/>
  <c r="H48" i="29" s="1"/>
  <c r="F47" i="29"/>
  <c r="H47" i="29" s="1"/>
  <c r="F46" i="29"/>
  <c r="H46" i="29" s="1"/>
  <c r="F45" i="29"/>
  <c r="H45" i="29" s="1"/>
  <c r="F44" i="29"/>
  <c r="H44" i="29" s="1"/>
  <c r="F43" i="29"/>
  <c r="H43" i="29" s="1"/>
  <c r="F42" i="29"/>
  <c r="H42" i="29" s="1"/>
  <c r="F41" i="29"/>
  <c r="H41" i="29" s="1"/>
  <c r="F40" i="29"/>
  <c r="H40" i="29" s="1"/>
  <c r="F39" i="29"/>
  <c r="H39" i="29" s="1"/>
  <c r="F38" i="29"/>
  <c r="H38" i="29" s="1"/>
  <c r="F37" i="29"/>
  <c r="H37" i="29" s="1"/>
  <c r="F36" i="29"/>
  <c r="H36" i="29" s="1"/>
  <c r="F35" i="29"/>
  <c r="H35" i="29" s="1"/>
  <c r="F34" i="29"/>
  <c r="H34" i="29" s="1"/>
  <c r="F33" i="29"/>
  <c r="H33" i="29" s="1"/>
  <c r="F32" i="29"/>
  <c r="H32" i="29" s="1"/>
  <c r="F31" i="29"/>
  <c r="H31" i="29" s="1"/>
  <c r="F30" i="29"/>
  <c r="H30" i="29" s="1"/>
  <c r="F29" i="29"/>
  <c r="H29" i="29" s="1"/>
  <c r="F28" i="29"/>
  <c r="H28" i="29" s="1"/>
  <c r="F27" i="29"/>
  <c r="H27" i="29" s="1"/>
  <c r="F26" i="29"/>
  <c r="H26" i="29" s="1"/>
  <c r="F25" i="29"/>
  <c r="H25" i="29" s="1"/>
  <c r="H39" i="37"/>
  <c r="H41" i="37"/>
  <c r="E42" i="37"/>
  <c r="F38" i="37"/>
  <c r="H38" i="37" s="1"/>
  <c r="F39" i="37"/>
  <c r="F40" i="37"/>
  <c r="H40" i="37" s="1"/>
  <c r="F41" i="37"/>
  <c r="H27" i="37"/>
  <c r="H30" i="37"/>
  <c r="F26" i="37"/>
  <c r="H26" i="37" s="1"/>
  <c r="F27" i="37"/>
  <c r="F28" i="37"/>
  <c r="H28" i="37" s="1"/>
  <c r="F29" i="37"/>
  <c r="H29" i="37" s="1"/>
  <c r="F30" i="37"/>
  <c r="E31" i="37"/>
  <c r="E39" i="36"/>
  <c r="E28" i="36"/>
  <c r="F15" i="36"/>
  <c r="E15" i="36"/>
  <c r="E14" i="36"/>
  <c r="F14" i="36"/>
  <c r="E13" i="36"/>
  <c r="F13" i="36"/>
  <c r="E12" i="36"/>
  <c r="F12" i="36"/>
  <c r="F11" i="36"/>
  <c r="E11" i="36"/>
  <c r="H32" i="40" l="1"/>
  <c r="H34" i="40" s="1"/>
  <c r="H28" i="40" s="1"/>
  <c r="F34" i="40"/>
  <c r="F27" i="40"/>
  <c r="H91" i="29"/>
  <c r="F91" i="29"/>
  <c r="H40" i="32"/>
  <c r="H32" i="31"/>
  <c r="H33" i="31" s="1"/>
  <c r="H41" i="32"/>
  <c r="H27" i="39"/>
  <c r="H28" i="39" s="1"/>
  <c r="H31" i="41"/>
  <c r="F42" i="41"/>
  <c r="H36" i="41"/>
  <c r="H42" i="41" s="1"/>
  <c r="F31" i="41"/>
  <c r="H25" i="40"/>
  <c r="H27" i="40" s="1"/>
  <c r="F56" i="29"/>
  <c r="H52" i="29"/>
  <c r="H56" i="29" s="1"/>
  <c r="H61" i="29"/>
  <c r="H32" i="41" l="1"/>
  <c r="H33" i="41" s="1"/>
  <c r="H29" i="40"/>
  <c r="H57" i="29"/>
  <c r="H58" i="29" s="1"/>
  <c r="E41" i="36" l="1"/>
  <c r="H37" i="36"/>
  <c r="F37" i="36"/>
  <c r="F38" i="36"/>
  <c r="H38" i="36" s="1"/>
  <c r="F39" i="36"/>
  <c r="F40" i="36"/>
  <c r="H40" i="36" s="1"/>
  <c r="H26" i="36"/>
  <c r="H27" i="36"/>
  <c r="E31" i="36"/>
  <c r="F26" i="36"/>
  <c r="F27" i="36"/>
  <c r="F28" i="36"/>
  <c r="H28" i="36" s="1"/>
  <c r="F29" i="36"/>
  <c r="H29" i="36" s="1"/>
  <c r="F30" i="36"/>
  <c r="H30" i="36" s="1"/>
  <c r="H97" i="35"/>
  <c r="H98" i="35"/>
  <c r="H100" i="35"/>
  <c r="E105" i="35"/>
  <c r="F104" i="35"/>
  <c r="H104" i="35" s="1"/>
  <c r="F103" i="35"/>
  <c r="H103" i="35" s="1"/>
  <c r="F102" i="35"/>
  <c r="H102" i="35" s="1"/>
  <c r="F101" i="35"/>
  <c r="H101" i="35" s="1"/>
  <c r="F100" i="35"/>
  <c r="F99" i="35"/>
  <c r="H99" i="35" s="1"/>
  <c r="F98" i="35"/>
  <c r="F97" i="35"/>
  <c r="F96" i="35"/>
  <c r="H96" i="35" s="1"/>
  <c r="F95" i="35"/>
  <c r="H95" i="35" s="1"/>
  <c r="F94" i="35"/>
  <c r="H94" i="35" s="1"/>
  <c r="F93" i="35"/>
  <c r="H93" i="35" s="1"/>
  <c r="F92" i="35"/>
  <c r="H92" i="35" s="1"/>
  <c r="F62" i="35"/>
  <c r="F61" i="35"/>
  <c r="H61" i="35" s="1"/>
  <c r="F60" i="35"/>
  <c r="H60" i="35" s="1"/>
  <c r="F59" i="35"/>
  <c r="H59" i="35" s="1"/>
  <c r="F58" i="35"/>
  <c r="H58" i="35" s="1"/>
  <c r="F57" i="35"/>
  <c r="H57" i="35" s="1"/>
  <c r="F56" i="35"/>
  <c r="H56" i="35" s="1"/>
  <c r="F55" i="35"/>
  <c r="H55" i="35" s="1"/>
  <c r="F54" i="35"/>
  <c r="H54" i="35" s="1"/>
  <c r="F53" i="35"/>
  <c r="H53" i="35" s="1"/>
  <c r="F52" i="35"/>
  <c r="H52" i="35" s="1"/>
  <c r="F51" i="35"/>
  <c r="H51" i="35" s="1"/>
  <c r="F50" i="35"/>
  <c r="H50" i="35"/>
  <c r="H62" i="35"/>
  <c r="E63" i="35"/>
  <c r="E15" i="38"/>
  <c r="H58" i="38"/>
  <c r="H59" i="38"/>
  <c r="H61" i="38"/>
  <c r="H62" i="38"/>
  <c r="E65" i="38"/>
  <c r="F64" i="38"/>
  <c r="F63" i="38"/>
  <c r="H63" i="38" s="1"/>
  <c r="F62" i="38"/>
  <c r="F61" i="38"/>
  <c r="F60" i="38"/>
  <c r="H60" i="38" s="1"/>
  <c r="F59" i="38"/>
  <c r="F58" i="38"/>
  <c r="F57" i="38"/>
  <c r="H57" i="38" s="1"/>
  <c r="F56" i="38"/>
  <c r="H56" i="38" s="1"/>
  <c r="F55" i="38"/>
  <c r="H55" i="38" s="1"/>
  <c r="E13" i="38"/>
  <c r="E12" i="38"/>
  <c r="E14" i="38"/>
  <c r="E11" i="31"/>
  <c r="E15" i="31"/>
  <c r="E14" i="31"/>
  <c r="E13" i="31"/>
  <c r="E12" i="31"/>
  <c r="E10" i="31"/>
  <c r="H65" i="38" l="1"/>
  <c r="H44" i="38" s="1"/>
  <c r="H45" i="38" s="1"/>
  <c r="F65" i="38"/>
  <c r="H64" i="38"/>
  <c r="H39" i="36"/>
  <c r="E10" i="32" l="1"/>
  <c r="E11" i="32"/>
  <c r="E12" i="32"/>
  <c r="E13" i="32"/>
  <c r="E14" i="32"/>
  <c r="E15" i="32"/>
  <c r="E15" i="37" l="1"/>
  <c r="E15" i="35"/>
  <c r="F15" i="39" l="1"/>
  <c r="E15" i="39"/>
  <c r="F15" i="41"/>
  <c r="E15" i="41"/>
  <c r="F15" i="40"/>
  <c r="F15" i="37"/>
  <c r="F15" i="33"/>
  <c r="E15" i="33"/>
  <c r="F15" i="28"/>
  <c r="E15" i="28"/>
  <c r="F15" i="35"/>
  <c r="F15" i="31"/>
  <c r="F15" i="32"/>
  <c r="E14" i="39" l="1"/>
  <c r="F14" i="39"/>
  <c r="E14" i="41"/>
  <c r="F14" i="41"/>
  <c r="F14" i="40"/>
  <c r="E14" i="29"/>
  <c r="F14" i="29"/>
  <c r="E14" i="37"/>
  <c r="F14" i="37"/>
  <c r="F14" i="33"/>
  <c r="E14" i="33"/>
  <c r="F14" i="28"/>
  <c r="E14" i="28"/>
  <c r="E14" i="35"/>
  <c r="F14" i="35"/>
  <c r="F14" i="38"/>
  <c r="F14" i="31"/>
  <c r="F14" i="32"/>
  <c r="E13" i="39" l="1"/>
  <c r="E13" i="41"/>
  <c r="E13" i="29"/>
  <c r="E13" i="37"/>
  <c r="E13" i="35"/>
  <c r="F13" i="32"/>
  <c r="F13" i="39" l="1"/>
  <c r="F13" i="41"/>
  <c r="F13" i="40"/>
  <c r="E13" i="40"/>
  <c r="F13" i="29"/>
  <c r="F13" i="37"/>
  <c r="F13" i="33"/>
  <c r="E13" i="33"/>
  <c r="F13" i="28"/>
  <c r="E13" i="28"/>
  <c r="F13" i="35"/>
  <c r="F13" i="38"/>
  <c r="F13" i="31"/>
  <c r="E12" i="41" l="1"/>
  <c r="E12" i="29"/>
  <c r="E12" i="37" l="1"/>
  <c r="E12" i="35"/>
  <c r="F12" i="39" l="1"/>
  <c r="E12" i="39"/>
  <c r="F12" i="41"/>
  <c r="F12" i="40"/>
  <c r="F12" i="29"/>
  <c r="F12" i="37"/>
  <c r="E12" i="33"/>
  <c r="F12" i="28"/>
  <c r="E12" i="28"/>
  <c r="F12" i="35"/>
  <c r="F12" i="38"/>
  <c r="F12" i="31"/>
  <c r="F12" i="32"/>
  <c r="E11" i="39" l="1"/>
  <c r="F11" i="39"/>
  <c r="F11" i="41"/>
  <c r="E11" i="41"/>
  <c r="F11" i="40"/>
  <c r="E11" i="40"/>
  <c r="E11" i="29"/>
  <c r="F11" i="37"/>
  <c r="E11" i="37"/>
  <c r="F11" i="33"/>
  <c r="E11" i="33"/>
  <c r="F11" i="28"/>
  <c r="E11" i="28"/>
  <c r="F11" i="35"/>
  <c r="E11" i="35"/>
  <c r="F11" i="38"/>
  <c r="E11" i="38"/>
  <c r="F11" i="32"/>
  <c r="E10" i="35" l="1"/>
  <c r="F10" i="39" l="1"/>
  <c r="E10" i="39"/>
  <c r="F10" i="41"/>
  <c r="E10" i="41"/>
  <c r="F10" i="40"/>
  <c r="E10" i="40"/>
  <c r="F10" i="29"/>
  <c r="F10" i="37"/>
  <c r="E10" i="37"/>
  <c r="F10" i="33"/>
  <c r="E10" i="33"/>
  <c r="F10" i="36"/>
  <c r="E10" i="36"/>
  <c r="F10" i="28"/>
  <c r="E10" i="28"/>
  <c r="F10" i="35"/>
  <c r="F10" i="38"/>
  <c r="E10" i="38"/>
  <c r="F10" i="31"/>
  <c r="F10" i="32"/>
  <c r="G14" i="41" l="1"/>
  <c r="H15" i="41"/>
  <c r="L15" i="41" s="1"/>
  <c r="H43" i="41" s="1"/>
  <c r="G15" i="41"/>
  <c r="H14" i="41"/>
  <c r="L14" i="41" s="1"/>
  <c r="H13" i="41"/>
  <c r="L13" i="41" s="1"/>
  <c r="G13" i="41"/>
  <c r="H12" i="41"/>
  <c r="L12" i="41" s="1"/>
  <c r="G12" i="41"/>
  <c r="H11" i="41"/>
  <c r="L11" i="41" s="1"/>
  <c r="G11" i="41"/>
  <c r="H10" i="41"/>
  <c r="L10" i="41" s="1"/>
  <c r="G10" i="41"/>
  <c r="K13" i="41" l="1"/>
  <c r="K11" i="41"/>
  <c r="K14" i="41"/>
  <c r="K10" i="41"/>
  <c r="M10" i="41" s="1"/>
  <c r="K12" i="41"/>
  <c r="K15" i="41"/>
  <c r="H34" i="41" s="1"/>
  <c r="M11" i="41" l="1"/>
  <c r="M12" i="41" l="1"/>
  <c r="M13" i="41" l="1"/>
  <c r="M14" i="41" s="1"/>
  <c r="M15" i="41" s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H15" i="40" l="1"/>
  <c r="L15" i="40" s="1"/>
  <c r="H35" i="40" s="1"/>
  <c r="G15" i="40"/>
  <c r="H14" i="40"/>
  <c r="L14" i="40" s="1"/>
  <c r="G14" i="40"/>
  <c r="H13" i="40"/>
  <c r="L13" i="40" s="1"/>
  <c r="G13" i="40"/>
  <c r="H12" i="40"/>
  <c r="L12" i="40" s="1"/>
  <c r="G12" i="40"/>
  <c r="H11" i="40"/>
  <c r="L11" i="40" s="1"/>
  <c r="G11" i="40"/>
  <c r="H10" i="40"/>
  <c r="L10" i="40" s="1"/>
  <c r="G10" i="40"/>
  <c r="K13" i="40" l="1"/>
  <c r="K15" i="40"/>
  <c r="H30" i="40" s="1"/>
  <c r="K14" i="40"/>
  <c r="K12" i="40"/>
  <c r="K10" i="40"/>
  <c r="M10" i="40" s="1"/>
  <c r="K11" i="40"/>
  <c r="M10" i="39"/>
  <c r="F37" i="37"/>
  <c r="H37" i="37" s="1"/>
  <c r="D36" i="37"/>
  <c r="F36" i="37" s="1"/>
  <c r="F25" i="37"/>
  <c r="E34" i="33"/>
  <c r="F33" i="33"/>
  <c r="H33" i="33" s="1"/>
  <c r="D32" i="33"/>
  <c r="F32" i="33" s="1"/>
  <c r="E27" i="33"/>
  <c r="F26" i="33"/>
  <c r="H26" i="33" s="1"/>
  <c r="F25" i="33"/>
  <c r="H25" i="33" s="1"/>
  <c r="D36" i="36"/>
  <c r="F36" i="36" s="1"/>
  <c r="F25" i="36"/>
  <c r="F70" i="35"/>
  <c r="H70" i="35" s="1"/>
  <c r="F71" i="35"/>
  <c r="H71" i="35" s="1"/>
  <c r="F73" i="35"/>
  <c r="H73" i="35" s="1"/>
  <c r="F74" i="35"/>
  <c r="H74" i="35" s="1"/>
  <c r="F75" i="35"/>
  <c r="H75" i="35" s="1"/>
  <c r="F76" i="35"/>
  <c r="H76" i="35" s="1"/>
  <c r="F77" i="35"/>
  <c r="H77" i="35" s="1"/>
  <c r="F78" i="35"/>
  <c r="H78" i="35" s="1"/>
  <c r="F79" i="35"/>
  <c r="H79" i="35" s="1"/>
  <c r="F80" i="35"/>
  <c r="H80" i="35" s="1"/>
  <c r="F81" i="35"/>
  <c r="H81" i="35" s="1"/>
  <c r="F82" i="35"/>
  <c r="H82" i="35" s="1"/>
  <c r="F83" i="35"/>
  <c r="H83" i="35" s="1"/>
  <c r="F84" i="35"/>
  <c r="H84" i="35" s="1"/>
  <c r="F85" i="35"/>
  <c r="H85" i="35" s="1"/>
  <c r="F86" i="35"/>
  <c r="H86" i="35" s="1"/>
  <c r="F87" i="35"/>
  <c r="H87" i="35" s="1"/>
  <c r="F88" i="35"/>
  <c r="H88" i="35" s="1"/>
  <c r="F89" i="35"/>
  <c r="H89" i="35" s="1"/>
  <c r="F90" i="35"/>
  <c r="H90" i="35" s="1"/>
  <c r="F91" i="35"/>
  <c r="H91" i="35" s="1"/>
  <c r="F69" i="35"/>
  <c r="H69" i="35" s="1"/>
  <c r="D68" i="35"/>
  <c r="F68" i="35" s="1"/>
  <c r="F47" i="35"/>
  <c r="H47" i="35" s="1"/>
  <c r="F48" i="35"/>
  <c r="H48" i="35" s="1"/>
  <c r="F49" i="35"/>
  <c r="H49" i="35" s="1"/>
  <c r="F46" i="35"/>
  <c r="H46" i="35" s="1"/>
  <c r="F27" i="35"/>
  <c r="H27" i="35" s="1"/>
  <c r="F28" i="35"/>
  <c r="H28" i="35" s="1"/>
  <c r="F30" i="35"/>
  <c r="H30" i="35" s="1"/>
  <c r="F31" i="35"/>
  <c r="H31" i="35" s="1"/>
  <c r="F32" i="35"/>
  <c r="H32" i="35" s="1"/>
  <c r="F33" i="35"/>
  <c r="H33" i="35" s="1"/>
  <c r="F34" i="35"/>
  <c r="H34" i="35" s="1"/>
  <c r="F35" i="35"/>
  <c r="H35" i="35" s="1"/>
  <c r="F36" i="35"/>
  <c r="H36" i="35" s="1"/>
  <c r="F37" i="35"/>
  <c r="H37" i="35" s="1"/>
  <c r="F38" i="35"/>
  <c r="H38" i="35" s="1"/>
  <c r="F39" i="35"/>
  <c r="H39" i="35" s="1"/>
  <c r="F40" i="35"/>
  <c r="H40" i="35" s="1"/>
  <c r="F41" i="35"/>
  <c r="H41" i="35" s="1"/>
  <c r="F42" i="35"/>
  <c r="H42" i="35" s="1"/>
  <c r="F43" i="35"/>
  <c r="H43" i="35" s="1"/>
  <c r="F44" i="35"/>
  <c r="H44" i="35" s="1"/>
  <c r="F45" i="35"/>
  <c r="H45" i="35" s="1"/>
  <c r="F26" i="35"/>
  <c r="H26" i="35" s="1"/>
  <c r="F25" i="35"/>
  <c r="H25" i="37" l="1"/>
  <c r="H31" i="37" s="1"/>
  <c r="F31" i="37"/>
  <c r="H36" i="37"/>
  <c r="H42" i="37" s="1"/>
  <c r="H32" i="37" s="1"/>
  <c r="F42" i="37"/>
  <c r="H25" i="36"/>
  <c r="H31" i="36" s="1"/>
  <c r="F31" i="36"/>
  <c r="H36" i="36"/>
  <c r="H41" i="36" s="1"/>
  <c r="H32" i="36" s="1"/>
  <c r="H33" i="36" s="1"/>
  <c r="F41" i="36"/>
  <c r="H68" i="35"/>
  <c r="H105" i="35" s="1"/>
  <c r="F105" i="35"/>
  <c r="H25" i="35"/>
  <c r="F63" i="35"/>
  <c r="H27" i="33"/>
  <c r="M11" i="39"/>
  <c r="M11" i="40"/>
  <c r="H32" i="33"/>
  <c r="H34" i="33" s="1"/>
  <c r="H28" i="33" s="1"/>
  <c r="F34" i="33"/>
  <c r="F27" i="33"/>
  <c r="H63" i="35"/>
  <c r="H64" i="35"/>
  <c r="M12" i="39" l="1"/>
  <c r="H33" i="37"/>
  <c r="M12" i="40"/>
  <c r="H29" i="33"/>
  <c r="H65" i="35"/>
  <c r="M13" i="39" l="1"/>
  <c r="M13" i="40"/>
  <c r="M14" i="40" l="1"/>
  <c r="M15" i="40" s="1"/>
  <c r="G15" i="39" l="1"/>
  <c r="H15" i="39"/>
  <c r="L15" i="39" s="1"/>
  <c r="H32" i="39" s="1"/>
  <c r="H14" i="39"/>
  <c r="L14" i="39" s="1"/>
  <c r="G14" i="39"/>
  <c r="G15" i="29"/>
  <c r="G13" i="29"/>
  <c r="H12" i="29"/>
  <c r="L12" i="29" s="1"/>
  <c r="H10" i="29"/>
  <c r="L10" i="29" s="1"/>
  <c r="G10" i="29"/>
  <c r="G11" i="29"/>
  <c r="H11" i="29"/>
  <c r="L11" i="29" s="1"/>
  <c r="G12" i="29"/>
  <c r="H13" i="29"/>
  <c r="L13" i="29" s="1"/>
  <c r="G14" i="29"/>
  <c r="H14" i="29"/>
  <c r="L14" i="29" s="1"/>
  <c r="H15" i="29"/>
  <c r="L15" i="29" s="1"/>
  <c r="H92" i="29" s="1"/>
  <c r="K14" i="29" l="1"/>
  <c r="K12" i="29"/>
  <c r="K15" i="39"/>
  <c r="H29" i="39" s="1"/>
  <c r="K14" i="39"/>
  <c r="K15" i="29"/>
  <c r="H59" i="29" s="1"/>
  <c r="K13" i="29"/>
  <c r="K11" i="29"/>
  <c r="K10" i="29"/>
  <c r="M10" i="29" s="1"/>
  <c r="M14" i="39" l="1"/>
  <c r="M11" i="29"/>
  <c r="G12" i="37"/>
  <c r="H13" i="37"/>
  <c r="L13" i="37" s="1"/>
  <c r="H15" i="37"/>
  <c r="L15" i="37" s="1"/>
  <c r="H43" i="37" s="1"/>
  <c r="G11" i="37"/>
  <c r="H11" i="37"/>
  <c r="L11" i="37" s="1"/>
  <c r="H12" i="37"/>
  <c r="L12" i="37" s="1"/>
  <c r="G13" i="37"/>
  <c r="G14" i="37"/>
  <c r="H14" i="37"/>
  <c r="L14" i="37" s="1"/>
  <c r="G15" i="37"/>
  <c r="H10" i="37"/>
  <c r="L10" i="37" s="1"/>
  <c r="G10" i="37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3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42" i="36" s="1"/>
  <c r="H10" i="36"/>
  <c r="L10" i="36" s="1"/>
  <c r="G10" i="36"/>
  <c r="G13" i="28"/>
  <c r="G12" i="28"/>
  <c r="G14" i="28"/>
  <c r="G15" i="28"/>
  <c r="G10" i="28"/>
  <c r="G11" i="28"/>
  <c r="H11" i="28"/>
  <c r="L11" i="28" s="1"/>
  <c r="H12" i="28"/>
  <c r="L12" i="28" s="1"/>
  <c r="H13" i="28"/>
  <c r="L13" i="28" s="1"/>
  <c r="H14" i="28"/>
  <c r="L14" i="28" s="1"/>
  <c r="H15" i="28"/>
  <c r="L15" i="28" s="1"/>
  <c r="H10" i="28"/>
  <c r="L10" i="28" s="1"/>
  <c r="H15" i="35"/>
  <c r="L15" i="35" s="1"/>
  <c r="H106" i="35" s="1"/>
  <c r="G14" i="35"/>
  <c r="H10" i="35"/>
  <c r="L10" i="35" s="1"/>
  <c r="H13" i="35"/>
  <c r="L13" i="35" s="1"/>
  <c r="H12" i="35"/>
  <c r="L12" i="35" s="1"/>
  <c r="G11" i="35"/>
  <c r="H11" i="35"/>
  <c r="L11" i="35" s="1"/>
  <c r="G12" i="35"/>
  <c r="G13" i="35"/>
  <c r="H14" i="35"/>
  <c r="L14" i="35" s="1"/>
  <c r="G15" i="35"/>
  <c r="G10" i="35"/>
  <c r="M12" i="29" l="1"/>
  <c r="M15" i="39"/>
  <c r="K14" i="37"/>
  <c r="K11" i="37"/>
  <c r="K11" i="28"/>
  <c r="K10" i="37"/>
  <c r="M10" i="37" s="1"/>
  <c r="K15" i="37"/>
  <c r="H34" i="37" s="1"/>
  <c r="K13" i="37"/>
  <c r="K10" i="33"/>
  <c r="M10" i="33" s="1"/>
  <c r="K13" i="33"/>
  <c r="K12" i="33"/>
  <c r="K11" i="33"/>
  <c r="K14" i="36"/>
  <c r="K12" i="36"/>
  <c r="K10" i="36"/>
  <c r="M10" i="36" s="1"/>
  <c r="K15" i="36"/>
  <c r="H34" i="36" s="1"/>
  <c r="K10" i="28"/>
  <c r="K12" i="37"/>
  <c r="K13" i="36"/>
  <c r="K11" i="36"/>
  <c r="K13" i="35"/>
  <c r="K12" i="35"/>
  <c r="K15" i="33"/>
  <c r="H30" i="33" s="1"/>
  <c r="K14" i="33"/>
  <c r="K15" i="28"/>
  <c r="K14" i="28"/>
  <c r="K13" i="28"/>
  <c r="K12" i="28"/>
  <c r="K15" i="35"/>
  <c r="H66" i="35" s="1"/>
  <c r="K14" i="35"/>
  <c r="K11" i="35"/>
  <c r="K10" i="35"/>
  <c r="G11" i="38"/>
  <c r="H11" i="38"/>
  <c r="L11" i="38" s="1"/>
  <c r="G12" i="38"/>
  <c r="H12" i="38"/>
  <c r="L12" i="38" s="1"/>
  <c r="G13" i="38"/>
  <c r="H13" i="38"/>
  <c r="L13" i="38" s="1"/>
  <c r="G14" i="38"/>
  <c r="H14" i="38"/>
  <c r="L14" i="38" s="1"/>
  <c r="G15" i="38"/>
  <c r="H15" i="38"/>
  <c r="L15" i="38" s="1"/>
  <c r="H66" i="38" s="1"/>
  <c r="H10" i="38"/>
  <c r="L10" i="38" s="1"/>
  <c r="G10" i="38"/>
  <c r="G14" i="31"/>
  <c r="H11" i="31"/>
  <c r="L11" i="31" s="1"/>
  <c r="H13" i="31"/>
  <c r="L13" i="31" s="1"/>
  <c r="H15" i="31"/>
  <c r="G11" i="31"/>
  <c r="G12" i="31"/>
  <c r="H12" i="31"/>
  <c r="L12" i="31" s="1"/>
  <c r="G13" i="31"/>
  <c r="K13" i="31" s="1"/>
  <c r="H14" i="31"/>
  <c r="L14" i="31" s="1"/>
  <c r="G15" i="31"/>
  <c r="H10" i="31"/>
  <c r="L10" i="31" s="1"/>
  <c r="G10" i="31"/>
  <c r="K11" i="38" l="1"/>
  <c r="K14" i="31"/>
  <c r="K12" i="31"/>
  <c r="K15" i="31"/>
  <c r="H34" i="31" s="1"/>
  <c r="K11" i="31"/>
  <c r="K10" i="31"/>
  <c r="M13" i="29"/>
  <c r="K14" i="38"/>
  <c r="M11" i="37"/>
  <c r="M11" i="33"/>
  <c r="L15" i="31"/>
  <c r="H43" i="31" s="1"/>
  <c r="M11" i="36"/>
  <c r="M10" i="28"/>
  <c r="M10" i="35"/>
  <c r="K13" i="38"/>
  <c r="K15" i="38"/>
  <c r="H46" i="38" s="1"/>
  <c r="K12" i="38"/>
  <c r="K10" i="38"/>
  <c r="M10" i="38" s="1"/>
  <c r="M14" i="29" l="1"/>
  <c r="M12" i="37"/>
  <c r="M12" i="33"/>
  <c r="M12" i="36"/>
  <c r="M11" i="28"/>
  <c r="M11" i="35"/>
  <c r="M11" i="38"/>
  <c r="M10" i="31"/>
  <c r="M13" i="33" l="1"/>
  <c r="M14" i="33" s="1"/>
  <c r="M15" i="33" s="1"/>
  <c r="M15" i="29"/>
  <c r="M13" i="37"/>
  <c r="M13" i="36"/>
  <c r="M12" i="28"/>
  <c r="M12" i="35"/>
  <c r="M12" i="38"/>
  <c r="M11" i="31"/>
  <c r="G11" i="32"/>
  <c r="K11" i="32" s="1"/>
  <c r="H11" i="32"/>
  <c r="L11" i="32" s="1"/>
  <c r="G12" i="32"/>
  <c r="K12" i="32" s="1"/>
  <c r="H12" i="32"/>
  <c r="L12" i="32" s="1"/>
  <c r="G13" i="32"/>
  <c r="K13" i="32" s="1"/>
  <c r="H13" i="32"/>
  <c r="L13" i="32" s="1"/>
  <c r="G14" i="32"/>
  <c r="K14" i="32" s="1"/>
  <c r="G15" i="32"/>
  <c r="K15" i="32" s="1"/>
  <c r="H42" i="32" s="1"/>
  <c r="H14" i="32"/>
  <c r="L14" i="32" s="1"/>
  <c r="H15" i="32"/>
  <c r="L15" i="32" s="1"/>
  <c r="H58" i="32" s="1"/>
  <c r="M13" i="28" l="1"/>
  <c r="M14" i="28" s="1"/>
  <c r="M15" i="28" s="1"/>
  <c r="M14" i="37"/>
  <c r="M15" i="37" s="1"/>
  <c r="M14" i="36"/>
  <c r="M15" i="36" s="1"/>
  <c r="M13" i="38"/>
  <c r="M13" i="35"/>
  <c r="M12" i="31"/>
  <c r="M14" i="35" l="1"/>
  <c r="M14" i="38"/>
  <c r="M13" i="31"/>
  <c r="H10" i="32"/>
  <c r="L10" i="32" s="1"/>
  <c r="G10" i="32"/>
  <c r="K10" i="32" s="1"/>
  <c r="M15" i="35" l="1"/>
  <c r="M15" i="38"/>
  <c r="M14" i="31"/>
  <c r="M15" i="31" l="1"/>
  <c r="M10" i="32"/>
  <c r="M11" i="32" l="1"/>
  <c r="M12" i="32" l="1"/>
  <c r="M13" i="32" l="1"/>
  <c r="M14" i="32" l="1"/>
  <c r="M15" i="32" s="1"/>
</calcChain>
</file>

<file path=xl/sharedStrings.xml><?xml version="1.0" encoding="utf-8"?>
<sst xmlns="http://schemas.openxmlformats.org/spreadsheetml/2006/main" count="431" uniqueCount="60">
  <si>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</si>
  <si>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</si>
  <si>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</si>
  <si>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</si>
  <si>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</si>
  <si>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</si>
  <si>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</si>
  <si>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</si>
  <si>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</si>
  <si>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Project 31 - Trimble County Ash Treatment Basin (BAP/GSP)</t>
  </si>
  <si>
    <t>2009 - Plan</t>
  </si>
  <si>
    <t>2011 - Plan</t>
  </si>
  <si>
    <t>Project 35 - Ghent Station Air Compliance</t>
  </si>
  <si>
    <t>Project 29 - ATB Expansion at E.W. Brown Station (Phase II)</t>
  </si>
  <si>
    <t>Project 28 - Brown 3 SCR</t>
  </si>
  <si>
    <t>Project 33 - Beneficial Reuse</t>
  </si>
  <si>
    <t>Project 30 - Ghent CCP Storage (Landfill-Phase I)</t>
  </si>
  <si>
    <t>Project 32 - Trimble County CCP Storage (Landfill - Phase I)</t>
  </si>
  <si>
    <t>Project 34 - E.W. Brown Station Air Compliance</t>
  </si>
  <si>
    <t>Project 29 - Brown Landfill (Phase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</si>
  <si>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</si>
  <si>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</si>
  <si>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</si>
  <si>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</si>
  <si>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</si>
  <si>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</si>
  <si>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</si>
  <si>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</si>
  <si>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</si>
  <si>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</si>
  <si>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shown below:</t>
  </si>
  <si>
    <t xml:space="preserve">Due to Bonus Depreciation for tax purposes taken on certain components of Project 28, the deferred tax calculation for this project 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</si>
  <si>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</si>
  <si>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</si>
  <si>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</si>
  <si>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</si>
  <si>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</si>
  <si>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</si>
  <si>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</si>
  <si>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</si>
  <si>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</si>
  <si>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</si>
  <si>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</si>
  <si>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29 of the 2009 Plan, the deferred tax calculation for this project </t>
  </si>
  <si>
    <t xml:space="preserve">Due to Bonus Depreciation for tax purposes taken on certain components of Project 29 of the 2011 Plan, the deferred tax calculation for this project </t>
  </si>
  <si>
    <t xml:space="preserve">Due to Bonus Depreciation for tax purposes taken on certain components of Project 30, the deferred tax calculation for this project 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</si>
  <si>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</si>
  <si>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34,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</si>
  <si>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</si>
  <si>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35, the deferred tax calculation for this project </t>
  </si>
  <si>
    <t xml:space="preserve">Due to Bonus Depreciation for tax purposes taken on certain components of Project 41, the deferred tax calculation for this project </t>
  </si>
  <si>
    <t>Project 37 - Ghent 2 WFGD Improvments</t>
  </si>
  <si>
    <t>Project 38 - Supplemental Mercury Control</t>
  </si>
  <si>
    <t>The federal deferred tax column includes an amount for amortization of excess deferred tax amounts.</t>
  </si>
  <si>
    <t>Excess deferred tax amortization</t>
  </si>
  <si>
    <t xml:space="preserve">Due to Bonus Depreciation for tax purposes taken on certain components of Project 38, the deferred tax calculation for this project </t>
  </si>
  <si>
    <t>The federal deferred tax and state deferred tax columns include an amount for amortization of excess deferred tax amounts.</t>
  </si>
  <si>
    <t xml:space="preserve">Due to Bonus Depreciation for tax purposes taken on certain components of Project 37, the deferred tax calculation for this project </t>
  </si>
  <si>
    <t>is computed separately for Federal and State purposes.  Specifically, for Federal taxes, certain assets received bonus</t>
  </si>
  <si>
    <t>depreciation, which reduces the Federal tax basis of the plant balance.  A sample calculation of deferred taxes for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</si>
</sst>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 applyFill="1"/>
    <xf numFmtId="41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37" fontId="0" fillId="0" borderId="0" xfId="0" applyNumberFormat="1" applyBorder="1"/>
    <xf numFmtId="164" fontId="8" fillId="0" borderId="0" xfId="1" applyNumberFormat="1" applyFont="1"/>
    <xf numFmtId="41" fontId="1" fillId="0" borderId="0" xfId="0" applyNumberFormat="1" applyFont="1"/>
    <xf numFmtId="165" fontId="1" fillId="0" borderId="0" xfId="8" applyNumberFormat="1" applyFont="1" applyAlignment="1">
      <alignment horizontal="left"/>
    </xf>
    <xf numFmtId="165" fontId="1" fillId="0" borderId="0" xfId="8" applyNumberFormat="1" applyFont="1" applyFill="1" applyAlignment="1">
      <alignment horizontal="left"/>
    </xf>
    <xf numFmtId="164" fontId="1" fillId="0" borderId="0" xfId="0" applyNumberFormat="1" applyFont="1"/>
    <xf numFmtId="37" fontId="1" fillId="0" borderId="0" xfId="0" applyNumberFormat="1" applyFont="1" applyBorder="1"/>
    <xf numFmtId="166" fontId="1" fillId="0" borderId="0" xfId="0" applyNumberFormat="1" applyFont="1"/>
    <xf numFmtId="164" fontId="8" fillId="0" borderId="0" xfId="0" applyNumberFormat="1" applyFont="1" applyBorder="1"/>
    <xf numFmtId="37" fontId="0" fillId="0" borderId="0" xfId="0" applyNumberFormat="1"/>
    <xf numFmtId="164" fontId="1" fillId="0" borderId="0" xfId="3" quotePrefix="1" applyNumberFormat="1" applyFont="1" applyAlignment="1">
      <alignment horizontal="left"/>
    </xf>
    <xf numFmtId="43" fontId="1" fillId="0" borderId="0" xfId="3" applyFont="1"/>
    <xf numFmtId="164" fontId="1" fillId="0" borderId="0" xfId="3" applyNumberFormat="1" applyFont="1"/>
    <xf numFmtId="41" fontId="1" fillId="0" borderId="0" xfId="0" quotePrefix="1" applyNumberFormat="1" applyFont="1" applyAlignment="1">
      <alignment horizontal="left"/>
    </xf>
    <xf numFmtId="41" fontId="9" fillId="0" borderId="0" xfId="0" applyNumberFormat="1" applyFont="1"/>
    <xf numFmtId="164" fontId="1" fillId="0" borderId="0" xfId="2" applyNumberFormat="1" applyFont="1"/>
    <xf numFmtId="166" fontId="9" fillId="0" borderId="0" xfId="0" applyNumberFormat="1" applyFont="1"/>
    <xf numFmtId="0" fontId="1" fillId="0" borderId="0" xfId="8" applyFont="1"/>
    <xf numFmtId="0" fontId="9" fillId="0" borderId="0" xfId="0" applyFont="1"/>
    <xf numFmtId="164" fontId="9" fillId="0" borderId="0" xfId="0" applyNumberFormat="1" applyFont="1"/>
    <xf numFmtId="164" fontId="9" fillId="0" borderId="0" xfId="2" applyNumberFormat="1" applyFont="1" applyAlignment="1">
      <alignment horizontal="center"/>
    </xf>
    <xf numFmtId="37" fontId="9" fillId="0" borderId="0" xfId="0" applyNumberFormat="1" applyFont="1"/>
    <xf numFmtId="37" fontId="10" fillId="0" borderId="0" xfId="0" applyNumberFormat="1" applyFont="1"/>
    <xf numFmtId="164" fontId="8" fillId="0" borderId="0" xfId="2" applyNumberFormat="1" applyFont="1" applyAlignment="1">
      <alignment horizontal="center"/>
    </xf>
    <xf numFmtId="37" fontId="10" fillId="0" borderId="0" xfId="0" applyNumberFormat="1" applyFont="1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Q58"/>
  <sheetViews>
    <sheetView tabSelected="1" zoomScaleNormal="100" workbookViewId="0">
      <selection sqref="A1:N1"/>
    </sheetView>
  </sheetViews>
  <sheetFormatPr defaultRowHeight="12.75" x14ac:dyDescent="0.2"/>
  <cols>
    <col min="1" max="1" width="13.140625" style="3" customWidth="1"/>
    <col min="2" max="2" width="1.7109375" customWidth="1"/>
    <col min="3" max="3" width="12.7109375" customWidth="1"/>
    <col min="4" max="9" width="13.7109375" customWidth="1"/>
    <col min="10" max="10" width="13" customWidth="1"/>
    <col min="11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54" t="s">
        <v>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14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27457925</v>
      </c>
    </row>
    <row r="10" spans="1:14" x14ac:dyDescent="0.2">
      <c r="A10" s="33">
        <v>43533</v>
      </c>
      <c r="C10" s="7">
        <v>100049070</v>
      </c>
      <c r="D10" s="14">
        <v>220942</v>
      </c>
      <c r="E10" s="14">
        <f t="shared" ref="E10:E15" si="0">93328.91</f>
        <v>93328.91</v>
      </c>
      <c r="F10" s="14">
        <f t="shared" ref="F10:F15" si="1">186657.83</f>
        <v>186657.83</v>
      </c>
      <c r="G10" s="14">
        <f t="shared" ref="G10:G15" si="2">E10-D10</f>
        <v>-127613.09</v>
      </c>
      <c r="H10" s="14">
        <f t="shared" ref="H10:H15" si="3">F10-D10</f>
        <v>-34284.170000000013</v>
      </c>
      <c r="I10" s="8">
        <v>0.21</v>
      </c>
      <c r="J10" s="8">
        <v>0.05</v>
      </c>
      <c r="K10" s="14">
        <f>(G10*I10+1714*I10)-14440</f>
        <v>-40878.808900000004</v>
      </c>
      <c r="L10" s="14">
        <f>H10*J10-117.55</f>
        <v>-1831.7585000000006</v>
      </c>
      <c r="M10" s="7">
        <f t="shared" ref="M10:M15" si="4">M9+K10+L10</f>
        <v>27415214.432600003</v>
      </c>
      <c r="N10" s="7">
        <f>152657.04+9174.58</f>
        <v>161831.62</v>
      </c>
    </row>
    <row r="11" spans="1:14" x14ac:dyDescent="0.2">
      <c r="A11" s="32">
        <v>43556</v>
      </c>
      <c r="C11" s="7">
        <v>100049070</v>
      </c>
      <c r="D11" s="14">
        <v>220942</v>
      </c>
      <c r="E11" s="14">
        <f t="shared" si="0"/>
        <v>93328.91</v>
      </c>
      <c r="F11" s="14">
        <f t="shared" si="1"/>
        <v>186657.83</v>
      </c>
      <c r="G11" s="14">
        <f t="shared" si="2"/>
        <v>-127613.09</v>
      </c>
      <c r="H11" s="14">
        <f t="shared" si="3"/>
        <v>-34284.170000000013</v>
      </c>
      <c r="I11" s="8">
        <v>0.21</v>
      </c>
      <c r="J11" s="8">
        <v>0.05</v>
      </c>
      <c r="K11" s="14">
        <f>(G11*I11+1714*I11)-14442</f>
        <v>-40880.808900000004</v>
      </c>
      <c r="L11" s="14">
        <f>H11*J11-117.55</f>
        <v>-1831.7585000000006</v>
      </c>
      <c r="M11" s="7">
        <f t="shared" si="4"/>
        <v>27372501.865200005</v>
      </c>
      <c r="N11" s="7">
        <f>152002.8+9135.12</f>
        <v>161137.91999999998</v>
      </c>
    </row>
    <row r="12" spans="1:14" x14ac:dyDescent="0.2">
      <c r="A12" s="32">
        <v>43586</v>
      </c>
      <c r="C12" s="7">
        <v>100049070</v>
      </c>
      <c r="D12" s="14">
        <v>432712</v>
      </c>
      <c r="E12" s="14">
        <f t="shared" si="0"/>
        <v>93328.91</v>
      </c>
      <c r="F12" s="14">
        <f t="shared" si="1"/>
        <v>186657.83</v>
      </c>
      <c r="G12" s="14">
        <f t="shared" si="2"/>
        <v>-339383.08999999997</v>
      </c>
      <c r="H12" s="14">
        <f t="shared" si="3"/>
        <v>-246054.17</v>
      </c>
      <c r="I12" s="8">
        <v>0.21</v>
      </c>
      <c r="J12" s="8">
        <v>0.05</v>
      </c>
      <c r="K12" s="14">
        <f>(G12*I12+12303*I12)-14441</f>
        <v>-83127.818899999984</v>
      </c>
      <c r="L12" s="14">
        <f>(H12*J12)-117.55</f>
        <v>-12420.2585</v>
      </c>
      <c r="M12" s="7">
        <f t="shared" si="4"/>
        <v>27276953.787800007</v>
      </c>
      <c r="N12" s="7">
        <f>151348.57+9095.65</f>
        <v>160444.22</v>
      </c>
    </row>
    <row r="13" spans="1:14" x14ac:dyDescent="0.2">
      <c r="A13" s="32">
        <v>43617</v>
      </c>
      <c r="C13" s="7">
        <v>100049070</v>
      </c>
      <c r="D13" s="14">
        <v>432712</v>
      </c>
      <c r="E13" s="14">
        <f t="shared" si="0"/>
        <v>93328.91</v>
      </c>
      <c r="F13" s="14">
        <f t="shared" si="1"/>
        <v>186657.83</v>
      </c>
      <c r="G13" s="14">
        <f t="shared" si="2"/>
        <v>-339383.08999999997</v>
      </c>
      <c r="H13" s="14">
        <f t="shared" si="3"/>
        <v>-246054.17</v>
      </c>
      <c r="I13" s="8">
        <v>0.21</v>
      </c>
      <c r="J13" s="8">
        <v>0.05</v>
      </c>
      <c r="K13" s="14">
        <f>(G13*I13+12303*I13)-14441</f>
        <v>-83127.818899999984</v>
      </c>
      <c r="L13" s="14">
        <f>(H13*J13)-117.55</f>
        <v>-12420.2585</v>
      </c>
      <c r="M13" s="7">
        <f t="shared" si="4"/>
        <v>27181405.710400008</v>
      </c>
      <c r="N13" s="7">
        <f>149440.16+8980.53</f>
        <v>158420.69</v>
      </c>
    </row>
    <row r="14" spans="1:14" x14ac:dyDescent="0.2">
      <c r="A14" s="32">
        <v>43647</v>
      </c>
      <c r="C14" s="7">
        <v>100049070</v>
      </c>
      <c r="D14" s="14">
        <v>432712</v>
      </c>
      <c r="E14" s="14">
        <f t="shared" si="0"/>
        <v>93328.91</v>
      </c>
      <c r="F14" s="14">
        <f t="shared" si="1"/>
        <v>186657.83</v>
      </c>
      <c r="G14" s="14">
        <f t="shared" si="2"/>
        <v>-339383.08999999997</v>
      </c>
      <c r="H14" s="14">
        <f t="shared" si="3"/>
        <v>-246054.17</v>
      </c>
      <c r="I14" s="8">
        <v>0.21</v>
      </c>
      <c r="J14" s="8">
        <v>0.05</v>
      </c>
      <c r="K14" s="14">
        <f>(G14*I14+12303*I14)-14442</f>
        <v>-83128.818899999984</v>
      </c>
      <c r="L14" s="14">
        <f>(H14*J14)-117.55</f>
        <v>-12420.2585</v>
      </c>
      <c r="M14" s="7">
        <f t="shared" si="4"/>
        <v>27085856.633000009</v>
      </c>
      <c r="N14" s="7">
        <f>148158.84+8903.24</f>
        <v>157062.07999999999</v>
      </c>
    </row>
    <row r="15" spans="1:14" x14ac:dyDescent="0.2">
      <c r="A15" s="32">
        <v>43678</v>
      </c>
      <c r="C15" s="7">
        <v>100049070</v>
      </c>
      <c r="D15" s="14">
        <v>432712</v>
      </c>
      <c r="E15" s="14">
        <f t="shared" si="0"/>
        <v>93328.91</v>
      </c>
      <c r="F15" s="14">
        <f t="shared" si="1"/>
        <v>186657.83</v>
      </c>
      <c r="G15" s="14">
        <f t="shared" si="2"/>
        <v>-339383.08999999997</v>
      </c>
      <c r="H15" s="14">
        <f t="shared" si="3"/>
        <v>-246054.17</v>
      </c>
      <c r="I15" s="8">
        <v>0.21</v>
      </c>
      <c r="J15" s="8">
        <v>0.05</v>
      </c>
      <c r="K15" s="14">
        <f>(G15*I15+12303*I15)-14441</f>
        <v>-83127.818899999984</v>
      </c>
      <c r="L15" s="14">
        <f>(H15*J15)-117.55</f>
        <v>-12420.2585</v>
      </c>
      <c r="M15" s="7">
        <f t="shared" si="4"/>
        <v>26990308.55560001</v>
      </c>
      <c r="N15" s="7">
        <f>146877.52+8825.95</f>
        <v>155703.47</v>
      </c>
    </row>
    <row r="16" spans="1:14" x14ac:dyDescent="0.2">
      <c r="A16" s="15"/>
      <c r="C16" s="7"/>
      <c r="D16" s="7"/>
      <c r="E16" s="14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43" t="s">
        <v>56</v>
      </c>
      <c r="D17" s="44"/>
      <c r="E17" s="44"/>
      <c r="F17" s="44"/>
      <c r="G17" s="44"/>
      <c r="H17" s="44"/>
      <c r="I17" s="45"/>
      <c r="J17" s="45"/>
      <c r="K17" s="46"/>
      <c r="L17" s="7"/>
      <c r="M17" s="7"/>
      <c r="N17" s="7"/>
    </row>
    <row r="18" spans="1:14" x14ac:dyDescent="0.2">
      <c r="A18" s="15"/>
      <c r="C18" s="43"/>
      <c r="D18" s="43"/>
      <c r="E18" s="43"/>
      <c r="F18" s="43"/>
      <c r="G18" s="43"/>
      <c r="H18" s="43"/>
      <c r="I18" s="43"/>
      <c r="J18" s="43"/>
      <c r="K18" s="46"/>
      <c r="L18" s="7"/>
      <c r="M18" s="7"/>
      <c r="N18" s="7"/>
    </row>
    <row r="19" spans="1:14" x14ac:dyDescent="0.2">
      <c r="B19" s="21"/>
      <c r="C19" s="42" t="s">
        <v>31</v>
      </c>
      <c r="D19" s="41"/>
      <c r="E19" s="40"/>
      <c r="F19" s="40"/>
      <c r="G19" s="40"/>
      <c r="H19" s="47"/>
      <c r="I19" s="47"/>
      <c r="J19" s="47"/>
      <c r="K19" s="46"/>
    </row>
    <row r="20" spans="1:14" x14ac:dyDescent="0.2">
      <c r="B20" s="21"/>
      <c r="C20" s="42" t="s">
        <v>58</v>
      </c>
      <c r="D20" s="41"/>
      <c r="E20" s="40"/>
      <c r="F20" s="40"/>
      <c r="G20" s="40"/>
      <c r="H20" s="47"/>
      <c r="I20" s="47"/>
      <c r="J20" s="47"/>
      <c r="K20" s="46"/>
    </row>
    <row r="21" spans="1:14" x14ac:dyDescent="0.2">
      <c r="B21" s="21"/>
      <c r="C21" s="42" t="s">
        <v>59</v>
      </c>
      <c r="D21" s="41"/>
      <c r="E21" s="40"/>
      <c r="F21" s="40"/>
      <c r="G21" s="40"/>
      <c r="H21" s="47"/>
      <c r="I21" s="47"/>
      <c r="J21" s="47"/>
      <c r="K21" s="46"/>
    </row>
    <row r="22" spans="1:14" x14ac:dyDescent="0.2">
      <c r="B22" s="21"/>
      <c r="C22" s="43" t="s">
        <v>30</v>
      </c>
      <c r="D22" s="41"/>
      <c r="E22" s="40"/>
      <c r="F22" s="40"/>
      <c r="G22" s="40"/>
      <c r="H22" s="47"/>
      <c r="I22" s="47"/>
      <c r="J22" s="47"/>
      <c r="K22" s="46"/>
    </row>
    <row r="23" spans="1:14" x14ac:dyDescent="0.2">
      <c r="C23" s="47"/>
      <c r="D23" s="47"/>
      <c r="E23" s="47"/>
      <c r="F23" s="47"/>
      <c r="G23" s="47"/>
      <c r="H23" s="47"/>
      <c r="I23" s="47"/>
      <c r="J23" s="47"/>
      <c r="K23" s="46"/>
    </row>
    <row r="24" spans="1:14" x14ac:dyDescent="0.2">
      <c r="C24" s="43" t="s">
        <v>32</v>
      </c>
      <c r="D24" s="39" t="s">
        <v>33</v>
      </c>
      <c r="E24" s="40" t="s">
        <v>34</v>
      </c>
      <c r="F24" s="43" t="s">
        <v>35</v>
      </c>
      <c r="G24" s="45" t="s">
        <v>26</v>
      </c>
      <c r="H24" s="43" t="s">
        <v>36</v>
      </c>
      <c r="I24" s="47"/>
      <c r="J24" s="47"/>
      <c r="K24" s="46"/>
    </row>
    <row r="25" spans="1:14" x14ac:dyDescent="0.2">
      <c r="C25" s="43">
        <f>18534899</f>
        <v>18534899</v>
      </c>
      <c r="D25" s="43">
        <v>432712</v>
      </c>
      <c r="E25" s="43">
        <f>69846+1</f>
        <v>69847</v>
      </c>
      <c r="F25" s="43">
        <f>E25-D25</f>
        <v>-362865</v>
      </c>
      <c r="G25" s="45">
        <v>0.21</v>
      </c>
      <c r="H25" s="48">
        <f>F25*G25</f>
        <v>-76201.649999999994</v>
      </c>
      <c r="I25" s="47"/>
      <c r="J25" s="47"/>
      <c r="K25" s="46"/>
    </row>
    <row r="26" spans="1:14" x14ac:dyDescent="0.2">
      <c r="C26" s="43">
        <v>27802349</v>
      </c>
      <c r="D26" s="43"/>
      <c r="E26" s="43">
        <v>0</v>
      </c>
      <c r="F26" s="43">
        <f>E26-D26</f>
        <v>0</v>
      </c>
      <c r="G26" s="45">
        <v>0.21</v>
      </c>
      <c r="H26" s="48">
        <f>F26*G26</f>
        <v>0</v>
      </c>
      <c r="I26" s="47"/>
      <c r="J26" s="47"/>
      <c r="K26" s="46"/>
    </row>
    <row r="27" spans="1:14" x14ac:dyDescent="0.2">
      <c r="C27" s="43">
        <f>-176214+-264321</f>
        <v>-440535</v>
      </c>
      <c r="D27" s="47"/>
      <c r="E27" s="43">
        <v>-718</v>
      </c>
      <c r="F27" s="43">
        <f t="shared" ref="F27:F38" si="5">E27</f>
        <v>-718</v>
      </c>
      <c r="G27" s="45">
        <v>0.21</v>
      </c>
      <c r="H27" s="48">
        <f t="shared" ref="H27:H38" si="6">F27*G27</f>
        <v>-150.78</v>
      </c>
      <c r="I27" s="47"/>
      <c r="J27" s="47"/>
      <c r="K27" s="46"/>
    </row>
    <row r="28" spans="1:14" x14ac:dyDescent="0.2">
      <c r="C28" s="43">
        <f>526898</f>
        <v>526898</v>
      </c>
      <c r="D28" s="47"/>
      <c r="E28" s="43">
        <v>2321</v>
      </c>
      <c r="F28" s="43">
        <f t="shared" si="5"/>
        <v>2321</v>
      </c>
      <c r="G28" s="45">
        <v>0.21</v>
      </c>
      <c r="H28" s="48">
        <f t="shared" si="6"/>
        <v>487.40999999999997</v>
      </c>
      <c r="I28" s="47"/>
      <c r="J28" s="47"/>
      <c r="K28" s="46"/>
    </row>
    <row r="29" spans="1:14" x14ac:dyDescent="0.2">
      <c r="C29" s="43">
        <v>790348</v>
      </c>
      <c r="D29" s="47"/>
      <c r="E29" s="43">
        <v>7684</v>
      </c>
      <c r="F29" s="43">
        <f t="shared" si="5"/>
        <v>7684</v>
      </c>
      <c r="G29" s="45">
        <v>0.21</v>
      </c>
      <c r="H29" s="48">
        <f t="shared" si="6"/>
        <v>1613.6399999999999</v>
      </c>
      <c r="I29" s="47"/>
      <c r="J29" s="47"/>
      <c r="K29" s="46"/>
    </row>
    <row r="30" spans="1:14" x14ac:dyDescent="0.2">
      <c r="C30" s="43">
        <v>398743</v>
      </c>
      <c r="D30" s="47"/>
      <c r="E30" s="43">
        <v>1898</v>
      </c>
      <c r="F30" s="43">
        <f t="shared" si="5"/>
        <v>1898</v>
      </c>
      <c r="G30" s="45">
        <v>0.21</v>
      </c>
      <c r="H30" s="48">
        <f t="shared" si="6"/>
        <v>398.58</v>
      </c>
      <c r="I30" s="47"/>
      <c r="J30" s="47"/>
      <c r="K30" s="46"/>
    </row>
    <row r="31" spans="1:14" x14ac:dyDescent="0.2">
      <c r="C31" s="43">
        <v>1064181</v>
      </c>
      <c r="D31" s="47"/>
      <c r="E31" s="43">
        <v>5066</v>
      </c>
      <c r="F31" s="43">
        <f t="shared" si="5"/>
        <v>5066</v>
      </c>
      <c r="G31" s="45">
        <v>0.21</v>
      </c>
      <c r="H31" s="48">
        <f t="shared" si="6"/>
        <v>1063.8599999999999</v>
      </c>
      <c r="I31" s="47"/>
      <c r="J31" s="47"/>
      <c r="K31" s="46"/>
    </row>
    <row r="32" spans="1:14" x14ac:dyDescent="0.2">
      <c r="C32" s="43">
        <v>81522</v>
      </c>
      <c r="D32" s="47"/>
      <c r="E32" s="43">
        <v>388</v>
      </c>
      <c r="F32" s="43">
        <f t="shared" si="5"/>
        <v>388</v>
      </c>
      <c r="G32" s="45">
        <v>0.21</v>
      </c>
      <c r="H32" s="48">
        <f t="shared" si="6"/>
        <v>81.48</v>
      </c>
      <c r="I32" s="47"/>
      <c r="J32" s="47"/>
      <c r="K32" s="46"/>
    </row>
    <row r="33" spans="3:11" x14ac:dyDescent="0.2">
      <c r="C33" s="43">
        <v>43567</v>
      </c>
      <c r="D33" s="47"/>
      <c r="E33" s="43">
        <v>207</v>
      </c>
      <c r="F33" s="43">
        <f t="shared" si="5"/>
        <v>207</v>
      </c>
      <c r="G33" s="45">
        <v>0.21</v>
      </c>
      <c r="H33" s="48">
        <f t="shared" si="6"/>
        <v>43.47</v>
      </c>
      <c r="I33" s="47"/>
      <c r="J33" s="47"/>
      <c r="K33" s="46"/>
    </row>
    <row r="34" spans="3:11" x14ac:dyDescent="0.2">
      <c r="C34" s="43">
        <v>80051</v>
      </c>
      <c r="D34" s="47"/>
      <c r="E34" s="43">
        <v>381</v>
      </c>
      <c r="F34" s="43">
        <f t="shared" si="5"/>
        <v>381</v>
      </c>
      <c r="G34" s="45">
        <v>0.21</v>
      </c>
      <c r="H34" s="48">
        <f t="shared" si="6"/>
        <v>80.009999999999991</v>
      </c>
      <c r="I34" s="47"/>
      <c r="J34" s="47"/>
      <c r="K34" s="46"/>
    </row>
    <row r="35" spans="3:11" x14ac:dyDescent="0.2">
      <c r="C35" s="43">
        <v>415872</v>
      </c>
      <c r="D35" s="47"/>
      <c r="E35" s="31">
        <v>2094</v>
      </c>
      <c r="F35" s="31">
        <f t="shared" si="5"/>
        <v>2094</v>
      </c>
      <c r="G35" s="45">
        <v>0.21</v>
      </c>
      <c r="H35" s="34">
        <f t="shared" si="6"/>
        <v>439.74</v>
      </c>
      <c r="I35" s="47"/>
      <c r="J35" s="47"/>
      <c r="K35" s="46"/>
    </row>
    <row r="36" spans="3:11" x14ac:dyDescent="0.2">
      <c r="C36" s="43">
        <v>9056</v>
      </c>
      <c r="D36" s="47"/>
      <c r="E36" s="31">
        <v>46</v>
      </c>
      <c r="F36" s="31">
        <f t="shared" si="5"/>
        <v>46</v>
      </c>
      <c r="G36" s="45">
        <v>0.21</v>
      </c>
      <c r="H36" s="34">
        <f t="shared" si="6"/>
        <v>9.66</v>
      </c>
      <c r="I36" s="47"/>
      <c r="J36" s="47"/>
      <c r="K36" s="46"/>
    </row>
    <row r="37" spans="3:11" x14ac:dyDescent="0.2">
      <c r="C37" s="43">
        <v>725252</v>
      </c>
      <c r="D37" s="47"/>
      <c r="E37" s="31">
        <v>4107</v>
      </c>
      <c r="F37" s="31">
        <f t="shared" si="5"/>
        <v>4107</v>
      </c>
      <c r="G37" s="45">
        <v>0.21</v>
      </c>
      <c r="H37" s="34">
        <f t="shared" si="6"/>
        <v>862.46999999999991</v>
      </c>
      <c r="I37" s="47"/>
      <c r="J37" s="47"/>
      <c r="K37" s="46"/>
    </row>
    <row r="38" spans="3:11" ht="15" x14ac:dyDescent="0.35">
      <c r="C38" s="26">
        <v>1388</v>
      </c>
      <c r="D38" s="47"/>
      <c r="E38" s="26">
        <v>8</v>
      </c>
      <c r="F38" s="26">
        <f t="shared" si="5"/>
        <v>8</v>
      </c>
      <c r="G38" s="45">
        <v>0.21</v>
      </c>
      <c r="H38" s="27">
        <f t="shared" si="6"/>
        <v>1.68</v>
      </c>
      <c r="I38" s="47"/>
      <c r="J38" s="47"/>
      <c r="K38" s="46"/>
    </row>
    <row r="39" spans="3:11" x14ac:dyDescent="0.2">
      <c r="C39" s="43">
        <f>SUM(C25:C38)</f>
        <v>50033591</v>
      </c>
      <c r="D39" s="47"/>
      <c r="E39" s="43">
        <f>SUM(E25:E38)</f>
        <v>93329</v>
      </c>
      <c r="F39" s="43">
        <f>SUM(F25:F38)</f>
        <v>-339383</v>
      </c>
      <c r="G39" s="28" t="s">
        <v>41</v>
      </c>
      <c r="H39" s="48">
        <f>SUM(H25:H38)</f>
        <v>-71270.429999999993</v>
      </c>
      <c r="I39" s="47"/>
      <c r="J39" s="47"/>
      <c r="K39" s="46"/>
    </row>
    <row r="40" spans="3:11" ht="15" x14ac:dyDescent="0.35">
      <c r="C40" s="47"/>
      <c r="D40" s="47"/>
      <c r="E40" s="43"/>
      <c r="F40" s="43"/>
      <c r="G40" s="28" t="s">
        <v>42</v>
      </c>
      <c r="H40" s="27">
        <f>-H57*0.21</f>
        <v>2583.5670000000005</v>
      </c>
      <c r="I40" s="47"/>
      <c r="J40" s="47"/>
      <c r="K40" s="46"/>
    </row>
    <row r="41" spans="3:11" x14ac:dyDescent="0.2">
      <c r="C41" s="47"/>
      <c r="D41" s="47"/>
      <c r="E41" s="47"/>
      <c r="F41" s="47"/>
      <c r="G41" s="47"/>
      <c r="H41" s="48">
        <f>H39+H40</f>
        <v>-68686.862999999998</v>
      </c>
      <c r="I41" s="47"/>
      <c r="J41" s="47"/>
      <c r="K41" s="46"/>
    </row>
    <row r="42" spans="3:11" x14ac:dyDescent="0.2">
      <c r="C42" s="47"/>
      <c r="D42" s="47"/>
      <c r="E42" s="47"/>
      <c r="F42" s="47"/>
      <c r="G42" s="47"/>
      <c r="H42" s="48">
        <f>-H41+K15</f>
        <v>-14440.955899999986</v>
      </c>
      <c r="I42" s="47" t="s">
        <v>54</v>
      </c>
      <c r="J42" s="47"/>
      <c r="K42" s="46"/>
    </row>
    <row r="43" spans="3:11" x14ac:dyDescent="0.2">
      <c r="C43" s="43" t="s">
        <v>37</v>
      </c>
      <c r="D43" s="41" t="s">
        <v>33</v>
      </c>
      <c r="E43" s="40" t="s">
        <v>38</v>
      </c>
      <c r="F43" s="43" t="s">
        <v>39</v>
      </c>
      <c r="G43" s="45" t="s">
        <v>27</v>
      </c>
      <c r="H43" s="43" t="s">
        <v>40</v>
      </c>
      <c r="I43" s="47"/>
      <c r="J43" s="47"/>
      <c r="K43" s="46"/>
    </row>
    <row r="44" spans="3:11" x14ac:dyDescent="0.2">
      <c r="C44" s="43">
        <v>37069798</v>
      </c>
      <c r="D44" s="43">
        <v>432712</v>
      </c>
      <c r="E44" s="43">
        <v>139691</v>
      </c>
      <c r="F44" s="43">
        <f>E44-D44</f>
        <v>-293021</v>
      </c>
      <c r="G44" s="45">
        <v>0.05</v>
      </c>
      <c r="H44" s="48">
        <f>F44*G44</f>
        <v>-14651.050000000001</v>
      </c>
      <c r="I44" s="47"/>
      <c r="J44" s="47"/>
      <c r="K44" s="46"/>
    </row>
    <row r="45" spans="3:11" x14ac:dyDescent="0.2">
      <c r="C45" s="43">
        <v>55076054.399999999</v>
      </c>
      <c r="D45" s="47"/>
      <c r="E45" s="43">
        <v>0</v>
      </c>
      <c r="F45" s="43">
        <f>E45</f>
        <v>0</v>
      </c>
      <c r="G45" s="45">
        <v>0.05</v>
      </c>
      <c r="H45" s="48">
        <f t="shared" ref="H45:H56" si="7">F45*G45</f>
        <v>0</v>
      </c>
      <c r="I45" s="47"/>
      <c r="J45" s="47"/>
      <c r="K45" s="46"/>
    </row>
    <row r="46" spans="3:11" x14ac:dyDescent="0.2">
      <c r="C46" s="43">
        <v>-352428.4</v>
      </c>
      <c r="D46" s="47"/>
      <c r="E46" s="43">
        <v>-1435</v>
      </c>
      <c r="F46" s="43">
        <f t="shared" ref="F46:F56" si="8">E46</f>
        <v>-1435</v>
      </c>
      <c r="G46" s="45">
        <v>0.05</v>
      </c>
      <c r="H46" s="48">
        <f t="shared" si="7"/>
        <v>-71.75</v>
      </c>
      <c r="I46" s="47"/>
      <c r="J46" s="47"/>
      <c r="K46" s="46"/>
    </row>
    <row r="47" spans="3:11" x14ac:dyDescent="0.2">
      <c r="C47" s="43">
        <v>1053797.2</v>
      </c>
      <c r="D47" s="47"/>
      <c r="E47" s="43">
        <v>4641</v>
      </c>
      <c r="F47" s="43">
        <f t="shared" si="8"/>
        <v>4641</v>
      </c>
      <c r="G47" s="45">
        <v>0.05</v>
      </c>
      <c r="H47" s="48">
        <f t="shared" si="7"/>
        <v>232.05</v>
      </c>
      <c r="I47" s="47"/>
      <c r="J47" s="47"/>
      <c r="K47" s="46"/>
    </row>
    <row r="48" spans="3:11" x14ac:dyDescent="0.2">
      <c r="C48" s="43">
        <v>1580695.8</v>
      </c>
      <c r="D48" s="47"/>
      <c r="E48" s="43">
        <v>15368</v>
      </c>
      <c r="F48" s="43">
        <f t="shared" si="8"/>
        <v>15368</v>
      </c>
      <c r="G48" s="45">
        <v>0.05</v>
      </c>
      <c r="H48" s="48">
        <f t="shared" si="7"/>
        <v>768.40000000000009</v>
      </c>
      <c r="I48" s="47"/>
      <c r="J48" s="47"/>
      <c r="K48" s="46"/>
    </row>
    <row r="49" spans="3:11" x14ac:dyDescent="0.2">
      <c r="C49" s="43">
        <v>797485.41</v>
      </c>
      <c r="D49" s="47"/>
      <c r="E49" s="43">
        <v>3797</v>
      </c>
      <c r="F49" s="43">
        <f t="shared" si="8"/>
        <v>3797</v>
      </c>
      <c r="G49" s="45">
        <v>0.05</v>
      </c>
      <c r="H49" s="48">
        <f t="shared" si="7"/>
        <v>189.85000000000002</v>
      </c>
      <c r="I49" s="47"/>
      <c r="J49" s="47"/>
      <c r="K49" s="46"/>
    </row>
    <row r="50" spans="3:11" x14ac:dyDescent="0.2">
      <c r="C50" s="43">
        <v>2291405.9500000002</v>
      </c>
      <c r="D50" s="47"/>
      <c r="E50" s="43">
        <v>10910</v>
      </c>
      <c r="F50" s="43">
        <f t="shared" si="8"/>
        <v>10910</v>
      </c>
      <c r="G50" s="45">
        <v>0.05</v>
      </c>
      <c r="H50" s="48">
        <f t="shared" si="7"/>
        <v>545.5</v>
      </c>
      <c r="I50" s="47"/>
      <c r="J50" s="47"/>
      <c r="K50" s="46"/>
    </row>
    <row r="51" spans="3:11" x14ac:dyDescent="0.2">
      <c r="C51" s="43">
        <v>87133.57</v>
      </c>
      <c r="D51" s="47"/>
      <c r="E51" s="43">
        <v>415</v>
      </c>
      <c r="F51" s="43">
        <f t="shared" si="8"/>
        <v>415</v>
      </c>
      <c r="G51" s="45">
        <v>0.05</v>
      </c>
      <c r="H51" s="48">
        <f t="shared" si="7"/>
        <v>20.75</v>
      </c>
      <c r="I51" s="47"/>
      <c r="J51" s="47"/>
      <c r="K51" s="46"/>
    </row>
    <row r="52" spans="3:11" x14ac:dyDescent="0.2">
      <c r="C52" s="43">
        <v>160101.32999999999</v>
      </c>
      <c r="D52" s="47"/>
      <c r="E52" s="43">
        <v>762</v>
      </c>
      <c r="F52" s="43">
        <f t="shared" si="8"/>
        <v>762</v>
      </c>
      <c r="G52" s="45">
        <v>0.05</v>
      </c>
      <c r="H52" s="48">
        <f t="shared" si="7"/>
        <v>38.1</v>
      </c>
      <c r="I52" s="47"/>
      <c r="J52" s="47"/>
      <c r="K52" s="46"/>
    </row>
    <row r="53" spans="3:11" x14ac:dyDescent="0.2">
      <c r="C53" s="43">
        <v>813633.53</v>
      </c>
      <c r="D53" s="47"/>
      <c r="E53" s="43">
        <v>4188</v>
      </c>
      <c r="F53" s="43">
        <f t="shared" si="8"/>
        <v>4188</v>
      </c>
      <c r="G53" s="45">
        <v>0.05</v>
      </c>
      <c r="H53" s="48">
        <f t="shared" si="7"/>
        <v>209.4</v>
      </c>
      <c r="I53" s="47"/>
      <c r="J53" s="47"/>
      <c r="K53" s="46"/>
    </row>
    <row r="54" spans="3:11" x14ac:dyDescent="0.2">
      <c r="C54" s="43">
        <v>18111.419999999998</v>
      </c>
      <c r="D54" s="47"/>
      <c r="E54" s="31">
        <v>93</v>
      </c>
      <c r="F54" s="31">
        <f t="shared" si="8"/>
        <v>93</v>
      </c>
      <c r="G54" s="45">
        <v>0.05</v>
      </c>
      <c r="H54" s="34">
        <f t="shared" si="7"/>
        <v>4.6500000000000004</v>
      </c>
      <c r="I54" s="47"/>
      <c r="J54" s="47"/>
      <c r="K54" s="46"/>
    </row>
    <row r="55" spans="3:11" x14ac:dyDescent="0.2">
      <c r="C55" s="43">
        <v>1450504.45</v>
      </c>
      <c r="D55" s="47"/>
      <c r="E55" s="31">
        <v>8213</v>
      </c>
      <c r="F55" s="31">
        <f t="shared" si="8"/>
        <v>8213</v>
      </c>
      <c r="G55" s="45">
        <v>0.05</v>
      </c>
      <c r="H55" s="34">
        <f t="shared" si="7"/>
        <v>410.65000000000003</v>
      </c>
      <c r="I55" s="47"/>
      <c r="J55" s="47"/>
      <c r="K55" s="46"/>
    </row>
    <row r="56" spans="3:11" ht="15" x14ac:dyDescent="0.35">
      <c r="C56" s="26">
        <v>2777</v>
      </c>
      <c r="D56" s="47"/>
      <c r="E56" s="26">
        <v>15</v>
      </c>
      <c r="F56" s="26">
        <f t="shared" si="8"/>
        <v>15</v>
      </c>
      <c r="G56" s="45">
        <v>0.05</v>
      </c>
      <c r="H56" s="27">
        <f t="shared" si="7"/>
        <v>0.75</v>
      </c>
      <c r="I56" s="47"/>
      <c r="J56" s="47"/>
      <c r="K56" s="46"/>
    </row>
    <row r="57" spans="3:11" x14ac:dyDescent="0.2">
      <c r="C57" s="43">
        <f>SUM(C44:C56)</f>
        <v>100049069.66</v>
      </c>
      <c r="D57" s="47"/>
      <c r="E57" s="43">
        <f>SUM(E44:E56)</f>
        <v>186658</v>
      </c>
      <c r="F57" s="43">
        <f>SUM(F44:F56)</f>
        <v>-246054</v>
      </c>
      <c r="G57" s="47"/>
      <c r="H57" s="43">
        <f>SUM(H44:H56)</f>
        <v>-12302.700000000003</v>
      </c>
      <c r="I57" s="47"/>
      <c r="J57" s="47"/>
      <c r="K57" s="46"/>
    </row>
    <row r="58" spans="3:11" x14ac:dyDescent="0.2">
      <c r="C58" s="47"/>
      <c r="D58" s="47"/>
      <c r="E58" s="43"/>
      <c r="F58" s="43"/>
      <c r="G58" s="47"/>
      <c r="H58" s="43">
        <f>-H57+L15</f>
        <v>-117.55849999999737</v>
      </c>
      <c r="I58" s="47" t="s">
        <v>54</v>
      </c>
      <c r="J58" s="47"/>
      <c r="K58" s="46"/>
    </row>
  </sheetData>
  <mergeCells count="3">
    <mergeCell ref="A1:N1"/>
    <mergeCell ref="A2:N2"/>
    <mergeCell ref="A3:N3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20</v>
      </c>
    </row>
    <row r="6" spans="1:14" x14ac:dyDescent="0.2">
      <c r="A6" s="11" t="s">
        <v>51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558641</v>
      </c>
    </row>
    <row r="10" spans="1:14" x14ac:dyDescent="0.2">
      <c r="A10" s="33">
        <v>43533</v>
      </c>
      <c r="C10" s="7">
        <v>3077193</v>
      </c>
      <c r="D10" s="14">
        <v>6103</v>
      </c>
      <c r="E10" s="14">
        <f>8561.01</f>
        <v>8561.01</v>
      </c>
      <c r="F10" s="14">
        <f t="shared" ref="F10:F15" si="0">17122.02</f>
        <v>17122.02</v>
      </c>
      <c r="G10" s="7">
        <f t="shared" ref="G10:G15" si="1">E10-D10</f>
        <v>2458.0100000000002</v>
      </c>
      <c r="H10" s="7">
        <f t="shared" ref="H10:H15" si="2">F10-D10</f>
        <v>11019.02</v>
      </c>
      <c r="I10" s="8">
        <v>0.21</v>
      </c>
      <c r="J10" s="8">
        <v>0.05</v>
      </c>
      <c r="K10" s="7">
        <f t="shared" ref="K10:K15" si="3">G10*I10-L10*I10</f>
        <v>400.48239000000001</v>
      </c>
      <c r="L10" s="7">
        <f t="shared" ref="L10:L15" si="4">H10*J10</f>
        <v>550.95100000000002</v>
      </c>
      <c r="M10" s="7">
        <f t="shared" ref="M10:M15" si="5">M9+K10+L10</f>
        <v>559592.43339000002</v>
      </c>
      <c r="N10" s="7">
        <v>0</v>
      </c>
    </row>
    <row r="11" spans="1:14" x14ac:dyDescent="0.2">
      <c r="A11" s="32">
        <v>43556</v>
      </c>
      <c r="C11" s="7">
        <v>3077193</v>
      </c>
      <c r="D11" s="14">
        <v>6103</v>
      </c>
      <c r="E11" s="14">
        <f>8561.01</f>
        <v>8561.01</v>
      </c>
      <c r="F11" s="14">
        <f t="shared" si="0"/>
        <v>17122.02</v>
      </c>
      <c r="G11" s="7">
        <f t="shared" si="1"/>
        <v>2458.0100000000002</v>
      </c>
      <c r="H11" s="7">
        <f t="shared" si="2"/>
        <v>11019.02</v>
      </c>
      <c r="I11" s="8">
        <v>0.21</v>
      </c>
      <c r="J11" s="8">
        <v>0.05</v>
      </c>
      <c r="K11" s="7">
        <f t="shared" si="3"/>
        <v>400.48239000000001</v>
      </c>
      <c r="L11" s="7">
        <f t="shared" si="4"/>
        <v>550.95100000000002</v>
      </c>
      <c r="M11" s="18">
        <f t="shared" si="5"/>
        <v>560543.86678000004</v>
      </c>
      <c r="N11" s="7">
        <v>0</v>
      </c>
    </row>
    <row r="12" spans="1:14" x14ac:dyDescent="0.2">
      <c r="A12" s="32">
        <v>43586</v>
      </c>
      <c r="C12" s="7">
        <v>3077193</v>
      </c>
      <c r="D12" s="14">
        <v>3052</v>
      </c>
      <c r="E12" s="14">
        <f>8560.8</f>
        <v>8560.7999999999993</v>
      </c>
      <c r="F12" s="14">
        <f t="shared" si="0"/>
        <v>17122.02</v>
      </c>
      <c r="G12" s="7">
        <f t="shared" si="1"/>
        <v>5508.7999999999993</v>
      </c>
      <c r="H12" s="7">
        <f t="shared" si="2"/>
        <v>14070.02</v>
      </c>
      <c r="I12" s="8">
        <v>0.21</v>
      </c>
      <c r="J12" s="8">
        <v>0.05</v>
      </c>
      <c r="K12" s="7">
        <f t="shared" si="3"/>
        <v>1009.1127899999997</v>
      </c>
      <c r="L12" s="7">
        <f t="shared" si="4"/>
        <v>703.50100000000009</v>
      </c>
      <c r="M12" s="7">
        <f t="shared" si="5"/>
        <v>562256.48057000013</v>
      </c>
      <c r="N12" s="7">
        <v>0</v>
      </c>
    </row>
    <row r="13" spans="1:14" x14ac:dyDescent="0.2">
      <c r="A13" s="32">
        <v>43617</v>
      </c>
      <c r="C13" s="7">
        <v>3077193</v>
      </c>
      <c r="D13" s="14">
        <v>3052</v>
      </c>
      <c r="E13" s="14">
        <f>8561.01</f>
        <v>8561.01</v>
      </c>
      <c r="F13" s="14">
        <f t="shared" si="0"/>
        <v>17122.02</v>
      </c>
      <c r="G13" s="7">
        <f t="shared" si="1"/>
        <v>5509.01</v>
      </c>
      <c r="H13" s="7">
        <f t="shared" si="2"/>
        <v>14070.02</v>
      </c>
      <c r="I13" s="8">
        <v>0.21</v>
      </c>
      <c r="J13" s="8">
        <v>0.05</v>
      </c>
      <c r="K13" s="7">
        <f t="shared" si="3"/>
        <v>1009.15689</v>
      </c>
      <c r="L13" s="7">
        <f t="shared" si="4"/>
        <v>703.50100000000009</v>
      </c>
      <c r="M13" s="7">
        <f t="shared" si="5"/>
        <v>563969.13846000016</v>
      </c>
      <c r="N13" s="7">
        <v>0</v>
      </c>
    </row>
    <row r="14" spans="1:14" x14ac:dyDescent="0.2">
      <c r="A14" s="32">
        <v>43647</v>
      </c>
      <c r="C14" s="7">
        <v>3077193</v>
      </c>
      <c r="D14" s="14">
        <v>3052</v>
      </c>
      <c r="E14" s="14">
        <f>8561.01</f>
        <v>8561.01</v>
      </c>
      <c r="F14" s="14">
        <f t="shared" si="0"/>
        <v>17122.02</v>
      </c>
      <c r="G14" s="7">
        <f t="shared" si="1"/>
        <v>5509.01</v>
      </c>
      <c r="H14" s="7">
        <f t="shared" si="2"/>
        <v>14070.02</v>
      </c>
      <c r="I14" s="8">
        <v>0.21</v>
      </c>
      <c r="J14" s="8">
        <v>0.05</v>
      </c>
      <c r="K14" s="7">
        <f t="shared" si="3"/>
        <v>1009.15689</v>
      </c>
      <c r="L14" s="7">
        <f t="shared" si="4"/>
        <v>703.50100000000009</v>
      </c>
      <c r="M14" s="7">
        <f t="shared" si="5"/>
        <v>565681.79635000019</v>
      </c>
      <c r="N14" s="7">
        <v>0</v>
      </c>
    </row>
    <row r="15" spans="1:14" x14ac:dyDescent="0.2">
      <c r="A15" s="32">
        <v>43678</v>
      </c>
      <c r="C15" s="7">
        <v>3077193</v>
      </c>
      <c r="D15" s="14">
        <v>3051.5</v>
      </c>
      <c r="E15" s="14">
        <f>8560.9</f>
        <v>8560.9</v>
      </c>
      <c r="F15" s="14">
        <f t="shared" si="0"/>
        <v>17122.02</v>
      </c>
      <c r="G15" s="7">
        <f t="shared" si="1"/>
        <v>5509.4</v>
      </c>
      <c r="H15" s="7">
        <f t="shared" si="2"/>
        <v>14070.52</v>
      </c>
      <c r="I15" s="8">
        <v>0.21</v>
      </c>
      <c r="J15" s="8">
        <v>0.05</v>
      </c>
      <c r="K15" s="7">
        <f t="shared" si="3"/>
        <v>1009.2335399999999</v>
      </c>
      <c r="L15" s="7">
        <f t="shared" si="4"/>
        <v>703.52600000000007</v>
      </c>
      <c r="M15" s="7">
        <f t="shared" si="5"/>
        <v>567394.55589000019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57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7">
        <v>1386019</v>
      </c>
      <c r="D25" s="7">
        <v>3052</v>
      </c>
      <c r="E25" s="7">
        <v>7712.04</v>
      </c>
      <c r="F25" s="7">
        <f>E25-D25</f>
        <v>4660.04</v>
      </c>
      <c r="G25" s="8">
        <v>0.21</v>
      </c>
      <c r="H25" s="7">
        <f>F25*G25</f>
        <v>978.60839999999996</v>
      </c>
    </row>
    <row r="26" spans="1:14" ht="15" x14ac:dyDescent="0.35">
      <c r="C26" s="26">
        <v>152578</v>
      </c>
      <c r="D26" s="7"/>
      <c r="E26" s="26">
        <v>848.97</v>
      </c>
      <c r="F26" s="26">
        <f>E26</f>
        <v>848.97</v>
      </c>
      <c r="G26" s="8">
        <v>0.21</v>
      </c>
      <c r="H26" s="26">
        <f>F26*G26</f>
        <v>178.28370000000001</v>
      </c>
    </row>
    <row r="27" spans="1:14" x14ac:dyDescent="0.2">
      <c r="C27" s="7">
        <f>SUM(C25:C26)</f>
        <v>1538597</v>
      </c>
      <c r="E27" s="7">
        <f>E25+E26</f>
        <v>8561.01</v>
      </c>
      <c r="F27" s="7">
        <f>F25+F26</f>
        <v>5509.01</v>
      </c>
      <c r="G27" s="28" t="s">
        <v>41</v>
      </c>
      <c r="H27" s="7">
        <f>H25+H26</f>
        <v>1156.8921</v>
      </c>
    </row>
    <row r="28" spans="1:14" ht="15" x14ac:dyDescent="0.35">
      <c r="G28" s="28" t="s">
        <v>42</v>
      </c>
      <c r="H28" s="26">
        <f>-H34*0.21</f>
        <v>-147.73521000000002</v>
      </c>
    </row>
    <row r="29" spans="1:14" x14ac:dyDescent="0.2">
      <c r="H29" s="7">
        <f>H27+H28</f>
        <v>1009.15689</v>
      </c>
    </row>
    <row r="30" spans="1:14" x14ac:dyDescent="0.2">
      <c r="H30" s="7">
        <f>H29-K15</f>
        <v>-7.6649999999972351E-2</v>
      </c>
    </row>
    <row r="31" spans="1:14" x14ac:dyDescent="0.2">
      <c r="C31" s="18" t="s">
        <v>37</v>
      </c>
      <c r="D31" s="21" t="s">
        <v>33</v>
      </c>
      <c r="E31" s="22" t="s">
        <v>38</v>
      </c>
      <c r="F31" s="18" t="s">
        <v>39</v>
      </c>
      <c r="G31" s="24" t="s">
        <v>27</v>
      </c>
      <c r="H31" s="18" t="s">
        <v>40</v>
      </c>
    </row>
    <row r="32" spans="1:14" x14ac:dyDescent="0.2">
      <c r="C32" s="7">
        <v>2772037</v>
      </c>
      <c r="D32" s="7">
        <f>D25</f>
        <v>3052</v>
      </c>
      <c r="E32" s="7">
        <v>15424.08</v>
      </c>
      <c r="F32" s="7">
        <f>E32-D32</f>
        <v>12372.08</v>
      </c>
      <c r="G32" s="8">
        <v>0.05</v>
      </c>
      <c r="H32" s="7">
        <f>F32*G32</f>
        <v>618.60400000000004</v>
      </c>
    </row>
    <row r="33" spans="3:8" ht="15" x14ac:dyDescent="0.35">
      <c r="C33" s="26">
        <v>305156</v>
      </c>
      <c r="D33" s="7"/>
      <c r="E33" s="26">
        <v>1697.94</v>
      </c>
      <c r="F33" s="26">
        <f>E33-D33</f>
        <v>1697.94</v>
      </c>
      <c r="G33" s="8">
        <v>0.05</v>
      </c>
      <c r="H33" s="26">
        <f>F33*G33</f>
        <v>84.897000000000006</v>
      </c>
    </row>
    <row r="34" spans="3:8" x14ac:dyDescent="0.2">
      <c r="C34" s="7">
        <f>SUM(C32:C33)</f>
        <v>3077193</v>
      </c>
      <c r="E34" s="7">
        <f>SUM(E32:E33)</f>
        <v>17122.02</v>
      </c>
      <c r="F34" s="7">
        <f>SUM(F32:F33)</f>
        <v>14070.02</v>
      </c>
      <c r="H34" s="7">
        <f>SUM(H32:H33)</f>
        <v>703.50100000000009</v>
      </c>
    </row>
    <row r="35" spans="3:8" x14ac:dyDescent="0.2">
      <c r="H35" s="7">
        <f>H34-L15</f>
        <v>-2.4999999999977263E-2</v>
      </c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&amp;P of &amp;N
Williams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3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20</v>
      </c>
    </row>
    <row r="6" spans="1:14" x14ac:dyDescent="0.2">
      <c r="A6" s="11" t="s">
        <v>52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433407</v>
      </c>
    </row>
    <row r="10" spans="1:14" x14ac:dyDescent="0.2">
      <c r="A10" s="33">
        <v>43533</v>
      </c>
      <c r="C10" s="7">
        <v>4236945</v>
      </c>
      <c r="D10" s="14">
        <v>12346</v>
      </c>
      <c r="E10" s="14">
        <f>24350.39</f>
        <v>24350.39</v>
      </c>
      <c r="F10" s="14">
        <f t="shared" ref="F10:F15" si="0">43655.89</f>
        <v>43655.89</v>
      </c>
      <c r="G10" s="7">
        <f t="shared" ref="G10:G15" si="1">E10-D10</f>
        <v>12004.39</v>
      </c>
      <c r="H10" s="7">
        <f t="shared" ref="H10:H15" si="2">F10-D10</f>
        <v>31309.89</v>
      </c>
      <c r="I10" s="8">
        <v>0.21</v>
      </c>
      <c r="J10" s="8">
        <v>0.05</v>
      </c>
      <c r="K10" s="7">
        <f t="shared" ref="K10:K15" si="3">G10*I10-L10*I10</f>
        <v>2192.1680549999996</v>
      </c>
      <c r="L10" s="7">
        <f t="shared" ref="L10:L15" si="4">H10*J10</f>
        <v>1565.4945</v>
      </c>
      <c r="M10" s="7">
        <f t="shared" ref="M10:M15" si="5">M9+K10+L10</f>
        <v>437164.66255499999</v>
      </c>
      <c r="N10" s="7">
        <v>0</v>
      </c>
    </row>
    <row r="11" spans="1:14" x14ac:dyDescent="0.2">
      <c r="A11" s="32">
        <v>43556</v>
      </c>
      <c r="C11" s="7">
        <v>4236945</v>
      </c>
      <c r="D11" s="14">
        <v>12346</v>
      </c>
      <c r="E11" s="14">
        <f>24350.39</f>
        <v>24350.39</v>
      </c>
      <c r="F11" s="14">
        <f t="shared" si="0"/>
        <v>43655.89</v>
      </c>
      <c r="G11" s="7">
        <f t="shared" si="1"/>
        <v>12004.39</v>
      </c>
      <c r="H11" s="7">
        <f t="shared" si="2"/>
        <v>31309.89</v>
      </c>
      <c r="I11" s="8">
        <v>0.21</v>
      </c>
      <c r="J11" s="8">
        <v>0.05</v>
      </c>
      <c r="K11" s="7">
        <f t="shared" si="3"/>
        <v>2192.1680549999996</v>
      </c>
      <c r="L11" s="7">
        <f t="shared" si="4"/>
        <v>1565.4945</v>
      </c>
      <c r="M11" s="18">
        <f t="shared" si="5"/>
        <v>440922.32510999998</v>
      </c>
      <c r="N11" s="7">
        <v>0</v>
      </c>
    </row>
    <row r="12" spans="1:14" x14ac:dyDescent="0.2">
      <c r="A12" s="32">
        <v>43586</v>
      </c>
      <c r="C12" s="7">
        <v>4236945</v>
      </c>
      <c r="D12" s="14">
        <v>10752</v>
      </c>
      <c r="E12" s="14">
        <f>24350.39-3.29</f>
        <v>24347.1</v>
      </c>
      <c r="F12" s="14">
        <f t="shared" si="0"/>
        <v>43655.89</v>
      </c>
      <c r="G12" s="7">
        <f t="shared" si="1"/>
        <v>13595.099999999999</v>
      </c>
      <c r="H12" s="7">
        <f t="shared" si="2"/>
        <v>32903.89</v>
      </c>
      <c r="I12" s="8">
        <v>0.21</v>
      </c>
      <c r="J12" s="8">
        <v>0.05</v>
      </c>
      <c r="K12" s="7">
        <f t="shared" si="3"/>
        <v>2509.4801549999997</v>
      </c>
      <c r="L12" s="7">
        <f t="shared" si="4"/>
        <v>1645.1945000000001</v>
      </c>
      <c r="M12" s="7">
        <f t="shared" si="5"/>
        <v>445076.99976499996</v>
      </c>
      <c r="N12" s="7">
        <v>0</v>
      </c>
    </row>
    <row r="13" spans="1:14" x14ac:dyDescent="0.2">
      <c r="A13" s="32">
        <v>43617</v>
      </c>
      <c r="C13" s="7">
        <v>4236945</v>
      </c>
      <c r="D13" s="14">
        <v>10752</v>
      </c>
      <c r="E13" s="14">
        <f>24350.39+2</f>
        <v>24352.39</v>
      </c>
      <c r="F13" s="14">
        <f t="shared" si="0"/>
        <v>43655.89</v>
      </c>
      <c r="G13" s="7">
        <f t="shared" si="1"/>
        <v>13600.39</v>
      </c>
      <c r="H13" s="7">
        <f t="shared" si="2"/>
        <v>32903.89</v>
      </c>
      <c r="I13" s="8">
        <v>0.21</v>
      </c>
      <c r="J13" s="8">
        <v>0.05</v>
      </c>
      <c r="K13" s="7">
        <f t="shared" si="3"/>
        <v>2510.5910549999999</v>
      </c>
      <c r="L13" s="7">
        <f t="shared" si="4"/>
        <v>1645.1945000000001</v>
      </c>
      <c r="M13" s="7">
        <f t="shared" si="5"/>
        <v>449232.78531999997</v>
      </c>
      <c r="N13" s="7">
        <v>0</v>
      </c>
    </row>
    <row r="14" spans="1:14" x14ac:dyDescent="0.2">
      <c r="A14" s="32">
        <v>43647</v>
      </c>
      <c r="C14" s="7">
        <v>4236945</v>
      </c>
      <c r="D14" s="14">
        <v>10752</v>
      </c>
      <c r="E14" s="14">
        <f>24350.39</f>
        <v>24350.39</v>
      </c>
      <c r="F14" s="14">
        <f t="shared" si="0"/>
        <v>43655.89</v>
      </c>
      <c r="G14" s="7">
        <f t="shared" si="1"/>
        <v>13598.39</v>
      </c>
      <c r="H14" s="7">
        <f t="shared" si="2"/>
        <v>32903.89</v>
      </c>
      <c r="I14" s="8">
        <v>0.21</v>
      </c>
      <c r="J14" s="8">
        <v>0.05</v>
      </c>
      <c r="K14" s="7">
        <f t="shared" si="3"/>
        <v>2510.1710549999998</v>
      </c>
      <c r="L14" s="7">
        <f t="shared" si="4"/>
        <v>1645.1945000000001</v>
      </c>
      <c r="M14" s="7">
        <f t="shared" si="5"/>
        <v>453388.15087499993</v>
      </c>
      <c r="N14" s="7">
        <v>0</v>
      </c>
    </row>
    <row r="15" spans="1:14" x14ac:dyDescent="0.2">
      <c r="A15" s="32">
        <v>43678</v>
      </c>
      <c r="C15" s="7">
        <v>4236945</v>
      </c>
      <c r="D15" s="14">
        <v>10752</v>
      </c>
      <c r="E15" s="14">
        <f>24350.39</f>
        <v>24350.39</v>
      </c>
      <c r="F15" s="14">
        <f t="shared" si="0"/>
        <v>43655.89</v>
      </c>
      <c r="G15" s="7">
        <f t="shared" si="1"/>
        <v>13598.39</v>
      </c>
      <c r="H15" s="7">
        <f t="shared" si="2"/>
        <v>32903.89</v>
      </c>
      <c r="I15" s="8">
        <v>0.21</v>
      </c>
      <c r="J15" s="8">
        <v>0.05</v>
      </c>
      <c r="K15" s="7">
        <f t="shared" si="3"/>
        <v>2510.1710549999998</v>
      </c>
      <c r="L15" s="7">
        <f t="shared" si="4"/>
        <v>1645.1945000000001</v>
      </c>
      <c r="M15" s="7">
        <f t="shared" si="5"/>
        <v>457543.5164299999</v>
      </c>
      <c r="N15" s="7">
        <v>0</v>
      </c>
    </row>
    <row r="16" spans="1:14" x14ac:dyDescent="0.2">
      <c r="A16" s="32"/>
      <c r="C16" s="7"/>
      <c r="D16" s="14"/>
      <c r="E16" s="14"/>
      <c r="F16" s="14"/>
      <c r="G16" s="7"/>
      <c r="H16" s="7"/>
      <c r="I16" s="8"/>
      <c r="J16" s="8"/>
      <c r="K16" s="7"/>
      <c r="L16" s="7"/>
      <c r="M16" s="7"/>
      <c r="N16" s="7"/>
    </row>
    <row r="17" spans="1:14" x14ac:dyDescent="0.2">
      <c r="A17" s="32"/>
      <c r="C17" s="7"/>
      <c r="D17" s="14"/>
      <c r="E17" s="14"/>
      <c r="F17" s="14"/>
      <c r="G17" s="7"/>
      <c r="H17" s="7"/>
      <c r="I17" s="8"/>
      <c r="J17" s="8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15"/>
      <c r="C19" s="20" t="s">
        <v>55</v>
      </c>
      <c r="L19" s="7"/>
      <c r="M19" s="7"/>
      <c r="N19" s="7"/>
    </row>
    <row r="20" spans="1:14" x14ac:dyDescent="0.2">
      <c r="A20" s="15"/>
      <c r="C20" s="20" t="s">
        <v>58</v>
      </c>
      <c r="L20" s="7"/>
      <c r="M20" s="7"/>
      <c r="N20" s="7"/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7" t="s">
        <v>32</v>
      </c>
      <c r="D24" s="39" t="s">
        <v>33</v>
      </c>
      <c r="E24" s="40" t="s">
        <v>34</v>
      </c>
      <c r="F24" s="7" t="s">
        <v>35</v>
      </c>
      <c r="G24" s="8" t="s">
        <v>26</v>
      </c>
      <c r="H24" s="7" t="s">
        <v>36</v>
      </c>
    </row>
    <row r="25" spans="1:14" x14ac:dyDescent="0.2">
      <c r="C25" s="7">
        <v>724052</v>
      </c>
      <c r="D25" s="7">
        <v>10752</v>
      </c>
      <c r="E25" s="7">
        <v>4356</v>
      </c>
      <c r="F25" s="7">
        <f>E25-D25</f>
        <v>-6396</v>
      </c>
      <c r="G25" s="8">
        <v>0.21</v>
      </c>
      <c r="H25" s="7">
        <f>F25*G25</f>
        <v>-1343.1599999999999</v>
      </c>
    </row>
    <row r="26" spans="1:14" x14ac:dyDescent="0.2">
      <c r="C26" s="7">
        <v>314156</v>
      </c>
      <c r="D26" s="7"/>
      <c r="E26" s="7">
        <v>5236</v>
      </c>
      <c r="F26" s="7">
        <f>E26</f>
        <v>5236</v>
      </c>
      <c r="G26" s="8">
        <v>0.21</v>
      </c>
      <c r="H26" s="7">
        <f t="shared" ref="H26:H30" si="6">F26*G26</f>
        <v>1099.56</v>
      </c>
    </row>
    <row r="27" spans="1:14" x14ac:dyDescent="0.2">
      <c r="C27" s="7">
        <v>771922</v>
      </c>
      <c r="D27" s="7"/>
      <c r="E27" s="7">
        <v>9190</v>
      </c>
      <c r="F27" s="7">
        <f>E27</f>
        <v>9190</v>
      </c>
      <c r="G27" s="8">
        <v>0.21</v>
      </c>
      <c r="H27" s="7">
        <f t="shared" si="6"/>
        <v>1929.8999999999999</v>
      </c>
    </row>
    <row r="28" spans="1:14" x14ac:dyDescent="0.2">
      <c r="C28" s="7">
        <v>228999</v>
      </c>
      <c r="D28" s="7"/>
      <c r="E28" s="31">
        <v>1377</v>
      </c>
      <c r="F28" s="31">
        <f t="shared" ref="F28:F30" si="7">E28</f>
        <v>1377</v>
      </c>
      <c r="G28" s="36">
        <v>0.21</v>
      </c>
      <c r="H28" s="31">
        <f t="shared" si="6"/>
        <v>289.17</v>
      </c>
    </row>
    <row r="29" spans="1:14" x14ac:dyDescent="0.2">
      <c r="C29" s="7">
        <v>21476</v>
      </c>
      <c r="D29" s="7"/>
      <c r="E29" s="31">
        <v>358</v>
      </c>
      <c r="F29" s="31">
        <f t="shared" si="7"/>
        <v>358</v>
      </c>
      <c r="G29" s="36">
        <v>0.21</v>
      </c>
      <c r="H29" s="31">
        <f t="shared" si="6"/>
        <v>75.179999999999993</v>
      </c>
    </row>
    <row r="30" spans="1:14" ht="15" x14ac:dyDescent="0.35">
      <c r="C30" s="26">
        <v>322022</v>
      </c>
      <c r="D30" s="7"/>
      <c r="E30" s="26">
        <v>3833</v>
      </c>
      <c r="F30" s="26">
        <f t="shared" si="7"/>
        <v>3833</v>
      </c>
      <c r="G30" s="36">
        <v>0.21</v>
      </c>
      <c r="H30" s="26">
        <f t="shared" si="6"/>
        <v>804.93</v>
      </c>
    </row>
    <row r="31" spans="1:14" x14ac:dyDescent="0.2">
      <c r="C31" s="7">
        <f>SUM(C25:C30)</f>
        <v>2382627</v>
      </c>
      <c r="E31" s="16">
        <f>SUM(E25:E30)</f>
        <v>24350</v>
      </c>
      <c r="F31" s="16">
        <f>SUM(F25:F30)</f>
        <v>13598</v>
      </c>
      <c r="G31" s="28" t="s">
        <v>41</v>
      </c>
      <c r="H31" s="16">
        <f>SUM(H25:H30)</f>
        <v>2855.58</v>
      </c>
    </row>
    <row r="32" spans="1:14" ht="15" x14ac:dyDescent="0.35">
      <c r="G32" s="28" t="s">
        <v>42</v>
      </c>
      <c r="H32" s="26">
        <f>-H42*0.21</f>
        <v>-345.49199999999996</v>
      </c>
    </row>
    <row r="33" spans="3:8" x14ac:dyDescent="0.2">
      <c r="H33" s="7">
        <f>H31+H32</f>
        <v>2510.0879999999997</v>
      </c>
    </row>
    <row r="34" spans="3:8" x14ac:dyDescent="0.2">
      <c r="H34" s="7">
        <f>H33-K15</f>
        <v>-8.3055000000058499E-2</v>
      </c>
    </row>
    <row r="35" spans="3:8" x14ac:dyDescent="0.2">
      <c r="C35" s="7" t="s">
        <v>37</v>
      </c>
      <c r="D35" s="41" t="s">
        <v>33</v>
      </c>
      <c r="E35" s="40" t="s">
        <v>38</v>
      </c>
      <c r="F35" s="7" t="s">
        <v>39</v>
      </c>
      <c r="G35" s="8" t="s">
        <v>27</v>
      </c>
      <c r="H35" s="7" t="s">
        <v>40</v>
      </c>
    </row>
    <row r="36" spans="3:8" x14ac:dyDescent="0.2">
      <c r="C36" s="7">
        <v>1276565</v>
      </c>
      <c r="D36" s="7">
        <f>D25</f>
        <v>10752</v>
      </c>
      <c r="E36" s="7">
        <v>7679</v>
      </c>
      <c r="F36" s="7">
        <f>E36-D36</f>
        <v>-3073</v>
      </c>
      <c r="G36" s="8">
        <v>0.05</v>
      </c>
      <c r="H36" s="7">
        <f>F36*G36</f>
        <v>-153.65</v>
      </c>
    </row>
    <row r="37" spans="3:8" x14ac:dyDescent="0.2">
      <c r="C37" s="7">
        <v>628311</v>
      </c>
      <c r="D37" s="7"/>
      <c r="E37" s="7">
        <v>10472</v>
      </c>
      <c r="F37" s="7">
        <f>E37</f>
        <v>10472</v>
      </c>
      <c r="G37" s="8">
        <v>0.05</v>
      </c>
      <c r="H37" s="7">
        <f>F37*G37</f>
        <v>523.6</v>
      </c>
    </row>
    <row r="38" spans="3:8" x14ac:dyDescent="0.2">
      <c r="C38" s="7">
        <v>1286537</v>
      </c>
      <c r="D38" s="7"/>
      <c r="E38" s="31">
        <v>15316</v>
      </c>
      <c r="F38" s="31">
        <f t="shared" ref="F38:F41" si="8">E38</f>
        <v>15316</v>
      </c>
      <c r="G38" s="36">
        <v>0.05</v>
      </c>
      <c r="H38" s="31">
        <f>F38*G38</f>
        <v>765.80000000000007</v>
      </c>
    </row>
    <row r="39" spans="3:8" x14ac:dyDescent="0.2">
      <c r="C39" s="7">
        <v>418213</v>
      </c>
      <c r="D39" s="7"/>
      <c r="E39" s="31">
        <v>2516</v>
      </c>
      <c r="F39" s="31">
        <f t="shared" si="8"/>
        <v>2516</v>
      </c>
      <c r="G39" s="36">
        <v>0.05</v>
      </c>
      <c r="H39" s="31">
        <f t="shared" ref="H39:H41" si="9">F39*G39</f>
        <v>125.80000000000001</v>
      </c>
    </row>
    <row r="40" spans="3:8" x14ac:dyDescent="0.2">
      <c r="C40" s="7">
        <v>42952</v>
      </c>
      <c r="D40" s="7"/>
      <c r="E40" s="31">
        <v>716</v>
      </c>
      <c r="F40" s="31">
        <f t="shared" si="8"/>
        <v>716</v>
      </c>
      <c r="G40" s="36">
        <v>0.05</v>
      </c>
      <c r="H40" s="31">
        <f t="shared" si="9"/>
        <v>35.800000000000004</v>
      </c>
    </row>
    <row r="41" spans="3:8" ht="15" x14ac:dyDescent="0.35">
      <c r="C41" s="26">
        <f>584368-1</f>
        <v>584367</v>
      </c>
      <c r="D41" s="7"/>
      <c r="E41" s="26">
        <v>6957</v>
      </c>
      <c r="F41" s="26">
        <f t="shared" si="8"/>
        <v>6957</v>
      </c>
      <c r="G41" s="36">
        <v>0.05</v>
      </c>
      <c r="H41" s="26">
        <f t="shared" si="9"/>
        <v>347.85</v>
      </c>
    </row>
    <row r="42" spans="3:8" x14ac:dyDescent="0.2">
      <c r="C42" s="7">
        <f>SUM(C36:C41)</f>
        <v>4236945</v>
      </c>
      <c r="E42" s="7">
        <f>SUM(E36:E41)</f>
        <v>43656</v>
      </c>
      <c r="F42" s="7">
        <f t="shared" ref="F42:H42" si="10">SUM(F36:F41)</f>
        <v>32904</v>
      </c>
      <c r="G42" s="7"/>
      <c r="H42" s="7">
        <f t="shared" si="10"/>
        <v>1645.1999999999998</v>
      </c>
    </row>
    <row r="43" spans="3:8" x14ac:dyDescent="0.2">
      <c r="H43" s="7">
        <f>H42-L15</f>
        <v>5.4999999997562554E-3</v>
      </c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&amp;P of &amp;N
Williams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20</v>
      </c>
    </row>
    <row r="6" spans="1:14" x14ac:dyDescent="0.2">
      <c r="A6" s="11" t="s">
        <v>21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62948</v>
      </c>
    </row>
    <row r="10" spans="1:14" x14ac:dyDescent="0.2">
      <c r="A10" s="33">
        <v>43533</v>
      </c>
      <c r="C10" s="7">
        <v>350074</v>
      </c>
      <c r="D10" s="14">
        <v>691</v>
      </c>
      <c r="E10" s="19">
        <f>973.94</f>
        <v>973.94</v>
      </c>
      <c r="F10" s="14">
        <f t="shared" ref="F10:F15" si="0">1947.87</f>
        <v>1947.87</v>
      </c>
      <c r="G10" s="7">
        <f>E10-D10</f>
        <v>282.94000000000005</v>
      </c>
      <c r="H10" s="7">
        <f>F10-D10</f>
        <v>1256.8699999999999</v>
      </c>
      <c r="I10" s="8">
        <v>0.21</v>
      </c>
      <c r="J10" s="8">
        <v>0.05</v>
      </c>
      <c r="K10" s="7">
        <f>G10*I10-L10*I10</f>
        <v>46.220265000000012</v>
      </c>
      <c r="L10" s="7">
        <f>H10*J10</f>
        <v>62.843499999999999</v>
      </c>
      <c r="M10" s="7">
        <f t="shared" ref="M10:M15" si="1">M9+K10+L10</f>
        <v>63057.063765000006</v>
      </c>
      <c r="N10" s="7">
        <v>0</v>
      </c>
    </row>
    <row r="11" spans="1:14" x14ac:dyDescent="0.2">
      <c r="A11" s="32">
        <v>43556</v>
      </c>
      <c r="C11" s="7">
        <v>350074</v>
      </c>
      <c r="D11" s="14">
        <v>691</v>
      </c>
      <c r="E11" s="19">
        <f>973.94-4</f>
        <v>969.94</v>
      </c>
      <c r="F11" s="14">
        <f t="shared" si="0"/>
        <v>1947.87</v>
      </c>
      <c r="G11" s="7">
        <f t="shared" ref="G11:G13" si="2">E11-D11</f>
        <v>278.94000000000005</v>
      </c>
      <c r="H11" s="7">
        <f t="shared" ref="H11:H13" si="3">F11-D11</f>
        <v>1256.8699999999999</v>
      </c>
      <c r="I11" s="8">
        <v>0.21</v>
      </c>
      <c r="J11" s="8">
        <v>0.05</v>
      </c>
      <c r="K11" s="7">
        <f t="shared" ref="K11:K13" si="4">G11*I11-L11*I11</f>
        <v>45.380265000000009</v>
      </c>
      <c r="L11" s="7">
        <f t="shared" ref="L11:L13" si="5">H11*J11</f>
        <v>62.843499999999999</v>
      </c>
      <c r="M11" s="7">
        <f t="shared" si="1"/>
        <v>63165.287530000009</v>
      </c>
      <c r="N11" s="7">
        <v>0</v>
      </c>
    </row>
    <row r="12" spans="1:14" x14ac:dyDescent="0.2">
      <c r="A12" s="32">
        <v>43586</v>
      </c>
      <c r="C12" s="7">
        <v>350074</v>
      </c>
      <c r="D12" s="14">
        <v>633</v>
      </c>
      <c r="E12" s="19">
        <f>973.94</f>
        <v>973.94</v>
      </c>
      <c r="F12" s="14">
        <f t="shared" si="0"/>
        <v>1947.87</v>
      </c>
      <c r="G12" s="7">
        <f t="shared" si="2"/>
        <v>340.94000000000005</v>
      </c>
      <c r="H12" s="7">
        <f t="shared" si="3"/>
        <v>1314.87</v>
      </c>
      <c r="I12" s="8">
        <v>0.21</v>
      </c>
      <c r="J12" s="8">
        <v>0.05</v>
      </c>
      <c r="K12" s="7">
        <f t="shared" si="4"/>
        <v>57.79126500000001</v>
      </c>
      <c r="L12" s="7">
        <f t="shared" si="5"/>
        <v>65.743499999999997</v>
      </c>
      <c r="M12" s="7">
        <f t="shared" si="1"/>
        <v>63288.822295000005</v>
      </c>
      <c r="N12" s="7">
        <v>0</v>
      </c>
    </row>
    <row r="13" spans="1:14" x14ac:dyDescent="0.2">
      <c r="A13" s="32">
        <v>43617</v>
      </c>
      <c r="C13" s="7">
        <v>350074</v>
      </c>
      <c r="D13" s="14">
        <v>633</v>
      </c>
      <c r="E13" s="19">
        <f>973.94+2</f>
        <v>975.94</v>
      </c>
      <c r="F13" s="14">
        <f t="shared" si="0"/>
        <v>1947.87</v>
      </c>
      <c r="G13" s="7">
        <f t="shared" si="2"/>
        <v>342.94000000000005</v>
      </c>
      <c r="H13" s="7">
        <f t="shared" si="3"/>
        <v>1314.87</v>
      </c>
      <c r="I13" s="8">
        <v>0.21</v>
      </c>
      <c r="J13" s="8">
        <v>0.05</v>
      </c>
      <c r="K13" s="7">
        <f t="shared" si="4"/>
        <v>58.211265000000012</v>
      </c>
      <c r="L13" s="7">
        <f t="shared" si="5"/>
        <v>65.743499999999997</v>
      </c>
      <c r="M13" s="7">
        <f t="shared" si="1"/>
        <v>63412.77706</v>
      </c>
      <c r="N13" s="7">
        <v>0</v>
      </c>
    </row>
    <row r="14" spans="1:14" x14ac:dyDescent="0.2">
      <c r="A14" s="32">
        <v>43647</v>
      </c>
      <c r="C14" s="7">
        <v>350074</v>
      </c>
      <c r="D14" s="14">
        <v>633</v>
      </c>
      <c r="E14" s="19">
        <f>973.94</f>
        <v>973.94</v>
      </c>
      <c r="F14" s="14">
        <f t="shared" si="0"/>
        <v>1947.87</v>
      </c>
      <c r="G14" s="7">
        <f>E14-D14</f>
        <v>340.94000000000005</v>
      </c>
      <c r="H14" s="7">
        <f>F14-D14</f>
        <v>1314.87</v>
      </c>
      <c r="I14" s="8">
        <v>0.21</v>
      </c>
      <c r="J14" s="8">
        <v>0.05</v>
      </c>
      <c r="K14" s="7">
        <f>G14*I14-L14*I14</f>
        <v>57.79126500000001</v>
      </c>
      <c r="L14" s="7">
        <f>H14*J14</f>
        <v>65.743499999999997</v>
      </c>
      <c r="M14" s="7">
        <f t="shared" si="1"/>
        <v>63536.311824999997</v>
      </c>
      <c r="N14" s="7">
        <v>0</v>
      </c>
    </row>
    <row r="15" spans="1:14" x14ac:dyDescent="0.2">
      <c r="A15" s="32">
        <v>43678</v>
      </c>
      <c r="C15" s="7">
        <v>350074</v>
      </c>
      <c r="D15" s="14">
        <v>633</v>
      </c>
      <c r="E15" s="19">
        <f>973.94</f>
        <v>973.94</v>
      </c>
      <c r="F15" s="14">
        <f t="shared" si="0"/>
        <v>1947.87</v>
      </c>
      <c r="G15" s="7">
        <f>E15-D15</f>
        <v>340.94000000000005</v>
      </c>
      <c r="H15" s="7">
        <f>F15-D15</f>
        <v>1314.87</v>
      </c>
      <c r="I15" s="8">
        <v>0.21</v>
      </c>
      <c r="J15" s="8">
        <v>0.05</v>
      </c>
      <c r="K15" s="7">
        <f>G15*I15-L15*I15</f>
        <v>57.79126500000001</v>
      </c>
      <c r="L15" s="7">
        <f>H15*J15</f>
        <v>65.743499999999997</v>
      </c>
      <c r="M15" s="7">
        <f t="shared" si="1"/>
        <v>63659.846589999994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2" t="s">
        <v>50</v>
      </c>
    </row>
    <row r="20" spans="1:14" x14ac:dyDescent="0.2">
      <c r="C20" s="42" t="s">
        <v>58</v>
      </c>
    </row>
    <row r="21" spans="1:14" x14ac:dyDescent="0.2">
      <c r="C21" s="42" t="s">
        <v>59</v>
      </c>
    </row>
    <row r="22" spans="1:14" x14ac:dyDescent="0.2">
      <c r="C22" s="7" t="s">
        <v>30</v>
      </c>
    </row>
    <row r="24" spans="1:14" x14ac:dyDescent="0.2">
      <c r="C24" s="7" t="s">
        <v>32</v>
      </c>
      <c r="D24" s="39" t="s">
        <v>33</v>
      </c>
      <c r="E24" s="40" t="s">
        <v>34</v>
      </c>
      <c r="F24" s="7" t="s">
        <v>35</v>
      </c>
      <c r="G24" s="8" t="s">
        <v>26</v>
      </c>
      <c r="H24" s="7" t="s">
        <v>36</v>
      </c>
    </row>
    <row r="25" spans="1:14" ht="15" x14ac:dyDescent="0.35">
      <c r="C25" s="7">
        <v>175037.2</v>
      </c>
      <c r="D25" s="7">
        <v>633</v>
      </c>
      <c r="E25" s="7">
        <v>974</v>
      </c>
      <c r="F25" s="7">
        <f>E25-D25</f>
        <v>341</v>
      </c>
      <c r="G25" s="8">
        <v>0.21</v>
      </c>
      <c r="H25" s="26">
        <f>F25*G25</f>
        <v>71.61</v>
      </c>
    </row>
    <row r="26" spans="1:14" x14ac:dyDescent="0.2">
      <c r="E26" s="7"/>
      <c r="F26" s="7"/>
      <c r="G26" s="28" t="s">
        <v>41</v>
      </c>
      <c r="H26" s="7">
        <f>H25</f>
        <v>71.61</v>
      </c>
    </row>
    <row r="27" spans="1:14" ht="15" x14ac:dyDescent="0.35">
      <c r="G27" s="28" t="s">
        <v>42</v>
      </c>
      <c r="H27" s="26">
        <f>-H31*0.21</f>
        <v>-13.807499999999999</v>
      </c>
    </row>
    <row r="28" spans="1:14" x14ac:dyDescent="0.2">
      <c r="H28" s="7">
        <f>H26+H27</f>
        <v>57.802500000000002</v>
      </c>
    </row>
    <row r="29" spans="1:14" x14ac:dyDescent="0.2">
      <c r="H29" s="7">
        <f>H28-K15</f>
        <v>1.1234999999992112E-2</v>
      </c>
    </row>
    <row r="30" spans="1:14" x14ac:dyDescent="0.2">
      <c r="C30" s="7" t="s">
        <v>37</v>
      </c>
      <c r="D30" s="41" t="s">
        <v>33</v>
      </c>
      <c r="E30" s="40" t="s">
        <v>38</v>
      </c>
      <c r="F30" s="7" t="s">
        <v>39</v>
      </c>
      <c r="G30" s="8" t="s">
        <v>27</v>
      </c>
      <c r="H30" s="7" t="s">
        <v>40</v>
      </c>
    </row>
    <row r="31" spans="1:14" x14ac:dyDescent="0.2">
      <c r="C31" s="7">
        <v>350074.4</v>
      </c>
      <c r="D31" s="7">
        <f>D25</f>
        <v>633</v>
      </c>
      <c r="E31" s="7">
        <v>1948</v>
      </c>
      <c r="F31" s="7">
        <f>E31-D31</f>
        <v>1315</v>
      </c>
      <c r="G31" s="8">
        <v>0.05</v>
      </c>
      <c r="H31" s="7">
        <f>F31*G31</f>
        <v>65.75</v>
      </c>
    </row>
    <row r="32" spans="1:14" x14ac:dyDescent="0.2">
      <c r="H32" s="7">
        <f>H31-L15</f>
        <v>6.5000000000026148E-3</v>
      </c>
    </row>
    <row r="33" spans="8:8" x14ac:dyDescent="0.2">
      <c r="H33" s="7"/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N43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54" t="s">
        <v>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13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5503206</v>
      </c>
    </row>
    <row r="10" spans="1:14" x14ac:dyDescent="0.2">
      <c r="A10" s="33">
        <v>43533</v>
      </c>
      <c r="C10" s="7">
        <v>19347703</v>
      </c>
      <c r="D10" s="14">
        <v>42693</v>
      </c>
      <c r="E10" s="14">
        <f t="shared" ref="E10:E15" si="0">28786.26</f>
        <v>28786.26</v>
      </c>
      <c r="F10" s="14">
        <f>57572.53</f>
        <v>57572.53</v>
      </c>
      <c r="G10" s="14">
        <f t="shared" ref="G10:G15" si="1">E10-D10</f>
        <v>-13906.740000000002</v>
      </c>
      <c r="H10" s="14">
        <f t="shared" ref="H10:H15" si="2">F10-D10</f>
        <v>14879.529999999999</v>
      </c>
      <c r="I10" s="8">
        <v>0.21</v>
      </c>
      <c r="J10" s="8">
        <v>0.05</v>
      </c>
      <c r="K10" s="7">
        <f>(G10*I10-L10*I10)-1270</f>
        <v>-4346.6504650000006</v>
      </c>
      <c r="L10" s="7">
        <f t="shared" ref="L10:L15" si="3">H10*J10</f>
        <v>743.97649999999999</v>
      </c>
      <c r="M10" s="7">
        <f t="shared" ref="M10:M15" si="4">M9+K10+L10</f>
        <v>5499603.3260349995</v>
      </c>
      <c r="N10" s="7">
        <v>0</v>
      </c>
    </row>
    <row r="11" spans="1:14" x14ac:dyDescent="0.2">
      <c r="A11" s="32">
        <v>43556</v>
      </c>
      <c r="C11" s="7">
        <v>19347703</v>
      </c>
      <c r="D11" s="14">
        <v>42693</v>
      </c>
      <c r="E11" s="14">
        <f t="shared" si="0"/>
        <v>28786.26</v>
      </c>
      <c r="F11" s="14">
        <v>57572.53</v>
      </c>
      <c r="G11" s="14">
        <f t="shared" si="1"/>
        <v>-13906.740000000002</v>
      </c>
      <c r="H11" s="14">
        <f t="shared" si="2"/>
        <v>14879.529999999999</v>
      </c>
      <c r="I11" s="8">
        <v>0.21</v>
      </c>
      <c r="J11" s="8">
        <v>0.05</v>
      </c>
      <c r="K11" s="7">
        <f>(G11*I11-L11*I11)-1271</f>
        <v>-4347.6504650000006</v>
      </c>
      <c r="L11" s="7">
        <f t="shared" si="3"/>
        <v>743.97649999999999</v>
      </c>
      <c r="M11" s="18">
        <f t="shared" si="4"/>
        <v>5495999.6520699989</v>
      </c>
      <c r="N11" s="7">
        <v>0</v>
      </c>
    </row>
    <row r="12" spans="1:14" x14ac:dyDescent="0.2">
      <c r="A12" s="32">
        <v>43586</v>
      </c>
      <c r="C12" s="7">
        <v>19347703</v>
      </c>
      <c r="D12" s="14">
        <v>83600</v>
      </c>
      <c r="E12" s="14">
        <f t="shared" si="0"/>
        <v>28786.26</v>
      </c>
      <c r="F12" s="14">
        <f>57572.53</f>
        <v>57572.53</v>
      </c>
      <c r="G12" s="14">
        <f t="shared" si="1"/>
        <v>-54813.740000000005</v>
      </c>
      <c r="H12" s="14">
        <f t="shared" si="2"/>
        <v>-26027.47</v>
      </c>
      <c r="I12" s="8">
        <v>0.21</v>
      </c>
      <c r="J12" s="8">
        <v>0.05</v>
      </c>
      <c r="K12" s="7">
        <f>(G12*I12-L12*I12)-1271</f>
        <v>-12508.596965000001</v>
      </c>
      <c r="L12" s="7">
        <f t="shared" si="3"/>
        <v>-1301.3735000000001</v>
      </c>
      <c r="M12" s="7">
        <f t="shared" si="4"/>
        <v>5482189.6816049991</v>
      </c>
      <c r="N12" s="7">
        <v>0</v>
      </c>
    </row>
    <row r="13" spans="1:14" x14ac:dyDescent="0.2">
      <c r="A13" s="32">
        <v>43617</v>
      </c>
      <c r="C13" s="7">
        <v>19347703</v>
      </c>
      <c r="D13" s="14">
        <v>83600</v>
      </c>
      <c r="E13" s="14">
        <f t="shared" si="0"/>
        <v>28786.26</v>
      </c>
      <c r="F13" s="14">
        <f>57572.53</f>
        <v>57572.53</v>
      </c>
      <c r="G13" s="14">
        <f t="shared" si="1"/>
        <v>-54813.740000000005</v>
      </c>
      <c r="H13" s="14">
        <f t="shared" si="2"/>
        <v>-26027.47</v>
      </c>
      <c r="I13" s="8">
        <v>0.21</v>
      </c>
      <c r="J13" s="8">
        <v>0.05</v>
      </c>
      <c r="K13" s="7">
        <f>(G13*I13-L13*I13)-1270</f>
        <v>-12507.596965000001</v>
      </c>
      <c r="L13" s="7">
        <f t="shared" si="3"/>
        <v>-1301.3735000000001</v>
      </c>
      <c r="M13" s="7">
        <f t="shared" si="4"/>
        <v>5468380.7111399993</v>
      </c>
      <c r="N13" s="7">
        <v>0</v>
      </c>
    </row>
    <row r="14" spans="1:14" x14ac:dyDescent="0.2">
      <c r="A14" s="32">
        <v>43647</v>
      </c>
      <c r="C14" s="7">
        <v>19347703</v>
      </c>
      <c r="D14" s="14">
        <v>83600</v>
      </c>
      <c r="E14" s="14">
        <f t="shared" si="0"/>
        <v>28786.26</v>
      </c>
      <c r="F14" s="14">
        <f>57572.53</f>
        <v>57572.53</v>
      </c>
      <c r="G14" s="14">
        <f t="shared" si="1"/>
        <v>-54813.740000000005</v>
      </c>
      <c r="H14" s="14">
        <f t="shared" si="2"/>
        <v>-26027.47</v>
      </c>
      <c r="I14" s="8">
        <v>0.21</v>
      </c>
      <c r="J14" s="8">
        <v>0.05</v>
      </c>
      <c r="K14" s="7">
        <f>(G14*I14-L14*I14)-1270</f>
        <v>-12507.596965000001</v>
      </c>
      <c r="L14" s="7">
        <f t="shared" si="3"/>
        <v>-1301.3735000000001</v>
      </c>
      <c r="M14" s="7">
        <f t="shared" si="4"/>
        <v>5454571.7406749995</v>
      </c>
      <c r="N14" s="7">
        <v>0</v>
      </c>
    </row>
    <row r="15" spans="1:14" x14ac:dyDescent="0.2">
      <c r="A15" s="32">
        <v>43678</v>
      </c>
      <c r="C15" s="7">
        <v>19347703</v>
      </c>
      <c r="D15" s="14">
        <v>83600</v>
      </c>
      <c r="E15" s="14">
        <f t="shared" si="0"/>
        <v>28786.26</v>
      </c>
      <c r="F15" s="14">
        <f>57572.53</f>
        <v>57572.53</v>
      </c>
      <c r="G15" s="14">
        <f t="shared" si="1"/>
        <v>-54813.740000000005</v>
      </c>
      <c r="H15" s="14">
        <f t="shared" si="2"/>
        <v>-26027.47</v>
      </c>
      <c r="I15" s="8">
        <v>0.21</v>
      </c>
      <c r="J15" s="8">
        <v>0.05</v>
      </c>
      <c r="K15" s="7">
        <f>(G15*I15-L15*I15)-1271</f>
        <v>-12508.596965000001</v>
      </c>
      <c r="L15" s="7">
        <f t="shared" si="3"/>
        <v>-1301.3735000000001</v>
      </c>
      <c r="M15" s="7">
        <f t="shared" si="4"/>
        <v>5440761.7702099998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43" t="s">
        <v>53</v>
      </c>
      <c r="D17" s="44"/>
      <c r="E17" s="44"/>
      <c r="F17" s="44"/>
      <c r="G17" s="44"/>
      <c r="H17" s="44"/>
      <c r="I17" s="45"/>
      <c r="J17" s="45"/>
      <c r="K17" s="43"/>
      <c r="L17" s="46"/>
      <c r="M17" s="7"/>
      <c r="N17" s="7"/>
    </row>
    <row r="18" spans="1:14" x14ac:dyDescent="0.2">
      <c r="A18" s="15"/>
      <c r="C18" s="43"/>
      <c r="D18" s="43"/>
      <c r="E18" s="43"/>
      <c r="F18" s="43"/>
      <c r="G18" s="43"/>
      <c r="H18" s="43"/>
      <c r="I18" s="43"/>
      <c r="J18" s="43"/>
      <c r="K18" s="43"/>
      <c r="L18" s="46"/>
      <c r="M18" s="7"/>
      <c r="N18" s="7"/>
    </row>
    <row r="19" spans="1:14" x14ac:dyDescent="0.2">
      <c r="C19" s="42" t="s">
        <v>43</v>
      </c>
      <c r="D19" s="47"/>
      <c r="E19" s="47"/>
      <c r="F19" s="47"/>
      <c r="G19" s="47"/>
      <c r="H19" s="47"/>
      <c r="I19" s="47"/>
      <c r="J19" s="47"/>
      <c r="K19" s="47"/>
      <c r="L19" s="46"/>
    </row>
    <row r="20" spans="1:14" x14ac:dyDescent="0.2">
      <c r="C20" s="42" t="s">
        <v>58</v>
      </c>
      <c r="D20" s="47"/>
      <c r="E20" s="47"/>
      <c r="F20" s="47"/>
      <c r="G20" s="47"/>
      <c r="H20" s="47"/>
      <c r="I20" s="47"/>
      <c r="J20" s="47"/>
      <c r="K20" s="47"/>
      <c r="L20" s="46"/>
    </row>
    <row r="21" spans="1:14" x14ac:dyDescent="0.2">
      <c r="C21" s="42" t="s">
        <v>59</v>
      </c>
      <c r="D21" s="47"/>
      <c r="E21" s="47"/>
      <c r="F21" s="47"/>
      <c r="G21" s="47"/>
      <c r="H21" s="47"/>
      <c r="I21" s="47"/>
      <c r="J21" s="47"/>
      <c r="K21" s="47"/>
      <c r="L21" s="46"/>
    </row>
    <row r="22" spans="1:14" x14ac:dyDescent="0.2">
      <c r="C22" s="43" t="s">
        <v>30</v>
      </c>
      <c r="D22" s="47"/>
      <c r="E22" s="47"/>
      <c r="F22" s="47"/>
      <c r="G22" s="47"/>
      <c r="H22" s="47"/>
      <c r="I22" s="47"/>
      <c r="J22" s="47"/>
      <c r="K22" s="47"/>
      <c r="L22" s="46"/>
    </row>
    <row r="23" spans="1:14" x14ac:dyDescent="0.2">
      <c r="C23" s="47"/>
      <c r="D23" s="47"/>
      <c r="E23" s="47"/>
      <c r="F23" s="47"/>
      <c r="G23" s="47"/>
      <c r="H23" s="47"/>
      <c r="I23" s="47"/>
      <c r="J23" s="47"/>
      <c r="K23" s="47"/>
      <c r="L23" s="46"/>
    </row>
    <row r="24" spans="1:14" x14ac:dyDescent="0.2">
      <c r="C24" s="43" t="s">
        <v>32</v>
      </c>
      <c r="D24" s="39" t="s">
        <v>33</v>
      </c>
      <c r="E24" s="40" t="s">
        <v>34</v>
      </c>
      <c r="F24" s="43" t="s">
        <v>35</v>
      </c>
      <c r="G24" s="45" t="s">
        <v>26</v>
      </c>
      <c r="H24" s="43" t="s">
        <v>36</v>
      </c>
      <c r="I24" s="47"/>
      <c r="J24" s="47"/>
      <c r="K24" s="47"/>
      <c r="L24" s="46"/>
    </row>
    <row r="25" spans="1:14" x14ac:dyDescent="0.2">
      <c r="C25" s="49">
        <v>3199833</v>
      </c>
      <c r="D25" s="49">
        <v>83600</v>
      </c>
      <c r="E25" s="49">
        <v>12058.04</v>
      </c>
      <c r="F25" s="48">
        <f>E25-D25</f>
        <v>-71541.959999999992</v>
      </c>
      <c r="G25" s="45">
        <v>0.21</v>
      </c>
      <c r="H25" s="48">
        <f>F25*G25</f>
        <v>-15023.811599999997</v>
      </c>
      <c r="I25" s="47"/>
      <c r="J25" s="47"/>
      <c r="K25" s="47"/>
      <c r="L25" s="46"/>
    </row>
    <row r="26" spans="1:14" x14ac:dyDescent="0.2">
      <c r="C26" s="49">
        <v>4799749</v>
      </c>
      <c r="D26" s="47"/>
      <c r="E26" s="49">
        <v>0</v>
      </c>
      <c r="F26" s="48">
        <f>E26</f>
        <v>0</v>
      </c>
      <c r="G26" s="45">
        <v>0.21</v>
      </c>
      <c r="H26" s="48">
        <f t="shared" ref="H26:H30" si="5">F26*G26</f>
        <v>0</v>
      </c>
      <c r="I26" s="47"/>
      <c r="J26" s="47"/>
      <c r="K26" s="47"/>
      <c r="L26" s="46"/>
    </row>
    <row r="27" spans="1:14" x14ac:dyDescent="0.2">
      <c r="C27" s="50">
        <f>623422/2*0.4</f>
        <v>124684.40000000001</v>
      </c>
      <c r="D27" s="47"/>
      <c r="E27" s="49">
        <v>507.88</v>
      </c>
      <c r="F27" s="48">
        <f t="shared" ref="F27:F30" si="6">E27</f>
        <v>507.88</v>
      </c>
      <c r="G27" s="45">
        <v>0.21</v>
      </c>
      <c r="H27" s="48">
        <f t="shared" si="5"/>
        <v>106.65479999999999</v>
      </c>
      <c r="I27" s="47"/>
      <c r="J27" s="47"/>
      <c r="K27" s="47"/>
      <c r="L27" s="46"/>
    </row>
    <row r="28" spans="1:14" x14ac:dyDescent="0.2">
      <c r="C28" s="50">
        <f>623422/2*0.6</f>
        <v>187026.6</v>
      </c>
      <c r="D28" s="47"/>
      <c r="E28" s="49">
        <v>0</v>
      </c>
      <c r="F28" s="48">
        <f t="shared" si="6"/>
        <v>0</v>
      </c>
      <c r="G28" s="45">
        <v>0.21</v>
      </c>
      <c r="H28" s="48">
        <f t="shared" si="5"/>
        <v>0</v>
      </c>
      <c r="I28" s="47"/>
      <c r="J28" s="47"/>
      <c r="K28" s="47"/>
      <c r="L28" s="46"/>
    </row>
    <row r="29" spans="1:14" x14ac:dyDescent="0.2">
      <c r="C29" s="50">
        <v>545023.20400000003</v>
      </c>
      <c r="D29" s="47"/>
      <c r="E29" s="49">
        <v>2594.7600000000002</v>
      </c>
      <c r="F29" s="48">
        <f t="shared" si="6"/>
        <v>2594.7600000000002</v>
      </c>
      <c r="G29" s="45">
        <v>0.21</v>
      </c>
      <c r="H29" s="48">
        <f t="shared" si="5"/>
        <v>544.89960000000008</v>
      </c>
      <c r="I29" s="47"/>
      <c r="J29" s="47"/>
      <c r="K29" s="47"/>
      <c r="L29" s="46"/>
    </row>
    <row r="30" spans="1:14" ht="15" x14ac:dyDescent="0.35">
      <c r="C30" s="51">
        <v>817534.80599999998</v>
      </c>
      <c r="D30" s="47"/>
      <c r="E30" s="52">
        <v>13625.58</v>
      </c>
      <c r="F30" s="27">
        <f t="shared" si="6"/>
        <v>13625.58</v>
      </c>
      <c r="G30" s="45">
        <v>0.21</v>
      </c>
      <c r="H30" s="27">
        <f t="shared" si="5"/>
        <v>2861.3717999999999</v>
      </c>
      <c r="I30" s="47"/>
      <c r="J30" s="47"/>
      <c r="K30" s="47"/>
      <c r="L30" s="46"/>
    </row>
    <row r="31" spans="1:14" x14ac:dyDescent="0.2">
      <c r="C31" s="48">
        <f>SUM(C25:C30)</f>
        <v>9673851.0099999998</v>
      </c>
      <c r="D31" s="47"/>
      <c r="E31" s="49">
        <f>SUM(E25:E30)</f>
        <v>28786.260000000002</v>
      </c>
      <c r="F31" s="49">
        <f>SUM(F25:F30)</f>
        <v>-54813.739999999991</v>
      </c>
      <c r="G31" s="28" t="s">
        <v>41</v>
      </c>
      <c r="H31" s="48">
        <f>SUM(H25:H30)</f>
        <v>-11510.885399999996</v>
      </c>
      <c r="I31" s="47"/>
      <c r="J31" s="47"/>
      <c r="K31" s="47"/>
      <c r="L31" s="46"/>
    </row>
    <row r="32" spans="1:14" ht="15" x14ac:dyDescent="0.35">
      <c r="C32" s="47"/>
      <c r="D32" s="47"/>
      <c r="E32" s="48"/>
      <c r="F32" s="48"/>
      <c r="G32" s="28" t="s">
        <v>42</v>
      </c>
      <c r="H32" s="27">
        <f>-H42*0.21</f>
        <v>273.28182000000004</v>
      </c>
      <c r="I32" s="47"/>
      <c r="J32" s="47"/>
      <c r="K32" s="47"/>
      <c r="L32" s="46"/>
    </row>
    <row r="33" spans="3:12" x14ac:dyDescent="0.2">
      <c r="C33" s="47"/>
      <c r="D33" s="47"/>
      <c r="E33" s="47"/>
      <c r="F33" s="47"/>
      <c r="G33" s="47"/>
      <c r="H33" s="48">
        <f>H31+H32</f>
        <v>-11237.603579999995</v>
      </c>
      <c r="I33" s="47"/>
      <c r="J33" s="47"/>
      <c r="K33" s="47"/>
      <c r="L33" s="46"/>
    </row>
    <row r="34" spans="3:12" x14ac:dyDescent="0.2">
      <c r="C34" s="47"/>
      <c r="D34" s="47"/>
      <c r="E34" s="47"/>
      <c r="F34" s="47"/>
      <c r="G34" s="47"/>
      <c r="H34" s="48">
        <f>-H33+K15</f>
        <v>-1270.9933850000052</v>
      </c>
      <c r="I34" s="47" t="s">
        <v>54</v>
      </c>
      <c r="J34" s="47"/>
      <c r="K34" s="47"/>
      <c r="L34" s="46"/>
    </row>
    <row r="35" spans="3:12" x14ac:dyDescent="0.2">
      <c r="C35" s="43" t="s">
        <v>37</v>
      </c>
      <c r="D35" s="41" t="s">
        <v>33</v>
      </c>
      <c r="E35" s="40" t="s">
        <v>38</v>
      </c>
      <c r="F35" s="43" t="s">
        <v>39</v>
      </c>
      <c r="G35" s="45" t="s">
        <v>27</v>
      </c>
      <c r="H35" s="43" t="s">
        <v>40</v>
      </c>
      <c r="I35" s="47"/>
      <c r="J35" s="47"/>
      <c r="K35" s="47"/>
      <c r="L35" s="46"/>
    </row>
    <row r="36" spans="3:12" x14ac:dyDescent="0.2">
      <c r="C36" s="50">
        <v>6399666</v>
      </c>
      <c r="D36" s="48">
        <f>D25</f>
        <v>83600</v>
      </c>
      <c r="E36" s="48">
        <v>24116</v>
      </c>
      <c r="F36" s="48">
        <f>E36-D36</f>
        <v>-59484</v>
      </c>
      <c r="G36" s="45">
        <v>0.05</v>
      </c>
      <c r="H36" s="48">
        <f>F36*G36</f>
        <v>-2974.2000000000003</v>
      </c>
      <c r="I36" s="47"/>
      <c r="J36" s="47"/>
      <c r="K36" s="47"/>
      <c r="L36" s="46"/>
    </row>
    <row r="37" spans="3:12" x14ac:dyDescent="0.2">
      <c r="C37" s="50">
        <v>9599498</v>
      </c>
      <c r="D37" s="47"/>
      <c r="E37" s="48">
        <v>0</v>
      </c>
      <c r="F37" s="48">
        <f>E37</f>
        <v>0</v>
      </c>
      <c r="G37" s="45">
        <v>0.05</v>
      </c>
      <c r="H37" s="48">
        <f t="shared" ref="H37:H41" si="7">F37*G37</f>
        <v>0</v>
      </c>
      <c r="I37" s="47"/>
      <c r="J37" s="47"/>
      <c r="K37" s="47"/>
      <c r="L37" s="46"/>
    </row>
    <row r="38" spans="3:12" x14ac:dyDescent="0.2">
      <c r="C38" s="50">
        <v>249369</v>
      </c>
      <c r="D38" s="47"/>
      <c r="E38" s="48">
        <v>1016</v>
      </c>
      <c r="F38" s="48">
        <f t="shared" ref="F38:F41" si="8">E38</f>
        <v>1016</v>
      </c>
      <c r="G38" s="45">
        <v>0.05</v>
      </c>
      <c r="H38" s="48">
        <f t="shared" si="7"/>
        <v>50.800000000000004</v>
      </c>
      <c r="I38" s="47"/>
      <c r="J38" s="47"/>
      <c r="K38" s="47"/>
      <c r="L38" s="46"/>
    </row>
    <row r="39" spans="3:12" x14ac:dyDescent="0.2">
      <c r="C39" s="50">
        <v>374053</v>
      </c>
      <c r="D39" s="47"/>
      <c r="E39" s="48">
        <v>0</v>
      </c>
      <c r="F39" s="48">
        <f t="shared" si="8"/>
        <v>0</v>
      </c>
      <c r="G39" s="45">
        <v>0.05</v>
      </c>
      <c r="H39" s="48">
        <f t="shared" si="7"/>
        <v>0</v>
      </c>
      <c r="I39" s="47"/>
      <c r="J39" s="47"/>
      <c r="K39" s="47"/>
      <c r="L39" s="46"/>
    </row>
    <row r="40" spans="3:12" x14ac:dyDescent="0.2">
      <c r="C40" s="50">
        <f>(2725460.82-344.8)*0.4</f>
        <v>1090046.4080000001</v>
      </c>
      <c r="D40" s="47"/>
      <c r="E40" s="48">
        <v>5190</v>
      </c>
      <c r="F40" s="48">
        <f t="shared" si="8"/>
        <v>5190</v>
      </c>
      <c r="G40" s="45">
        <v>0.05</v>
      </c>
      <c r="H40" s="48">
        <f t="shared" si="7"/>
        <v>259.5</v>
      </c>
      <c r="I40" s="47"/>
      <c r="J40" s="47"/>
      <c r="K40" s="47"/>
      <c r="L40" s="46"/>
    </row>
    <row r="41" spans="3:12" ht="15" x14ac:dyDescent="0.35">
      <c r="C41" s="51">
        <f>(2725460.82-344.8)*0.6+0.5</f>
        <v>1635070.112</v>
      </c>
      <c r="D41" s="47"/>
      <c r="E41" s="27">
        <v>27251.16</v>
      </c>
      <c r="F41" s="27">
        <f t="shared" si="8"/>
        <v>27251.16</v>
      </c>
      <c r="G41" s="45">
        <v>0.05</v>
      </c>
      <c r="H41" s="27">
        <f t="shared" si="7"/>
        <v>1362.558</v>
      </c>
      <c r="I41" s="47"/>
      <c r="J41" s="47"/>
      <c r="K41" s="47"/>
      <c r="L41" s="46"/>
    </row>
    <row r="42" spans="3:12" x14ac:dyDescent="0.2">
      <c r="C42" s="50">
        <f>SUM(C36:C41)</f>
        <v>19347702.52</v>
      </c>
      <c r="D42" s="47"/>
      <c r="E42" s="48">
        <f>SUM(E36:E41)</f>
        <v>57573.16</v>
      </c>
      <c r="F42" s="48">
        <f>SUM(F36:F41)</f>
        <v>-26026.84</v>
      </c>
      <c r="G42" s="47"/>
      <c r="H42" s="48">
        <f>SUM(H36:H41)</f>
        <v>-1301.3420000000001</v>
      </c>
      <c r="I42" s="47"/>
      <c r="J42" s="47"/>
      <c r="K42" s="47"/>
      <c r="L42" s="46"/>
    </row>
    <row r="43" spans="3:12" x14ac:dyDescent="0.2">
      <c r="C43" s="47"/>
      <c r="D43" s="47"/>
      <c r="E43" s="48"/>
      <c r="F43" s="48"/>
      <c r="G43" s="47"/>
      <c r="H43" s="48">
        <f>H42-L15</f>
        <v>3.1500000000050932E-2</v>
      </c>
      <c r="I43" s="47"/>
      <c r="J43" s="47"/>
      <c r="K43" s="47"/>
      <c r="L43" s="46"/>
    </row>
  </sheetData>
  <mergeCells count="3">
    <mergeCell ref="A1:N1"/>
    <mergeCell ref="A2:N2"/>
    <mergeCell ref="A3:N3"/>
  </mergeCells>
  <pageMargins left="0.7" right="0.7" top="1.15625" bottom="0.75" header="0.3" footer="0.3"/>
  <pageSetup scale="48" orientation="portrait" r:id="rId1"/>
  <headerFooter>
    <oddHeader>&amp;R&amp;"Times New Roman,Bold"&amp;12Attachment to Response to Question 3
Page &amp;P of &amp;N
Williams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12" width="13.85546875" customWidth="1"/>
    <col min="13" max="13" width="13.28515625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54" t="s">
        <v>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11</v>
      </c>
    </row>
    <row r="6" spans="1:14" x14ac:dyDescent="0.2">
      <c r="A6" s="11" t="s">
        <v>19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25494415</v>
      </c>
    </row>
    <row r="10" spans="1:14" x14ac:dyDescent="0.2">
      <c r="A10" s="33">
        <v>43533</v>
      </c>
      <c r="C10" s="7">
        <v>120292433</v>
      </c>
      <c r="D10" s="14">
        <v>251809</v>
      </c>
      <c r="E10" s="14">
        <f>748037.5</f>
        <v>748037.5</v>
      </c>
      <c r="F10" s="14">
        <f>1431970.26</f>
        <v>1431970.26</v>
      </c>
      <c r="G10" s="14">
        <f t="shared" ref="G10:G15" si="0">E10-D10</f>
        <v>496228.5</v>
      </c>
      <c r="H10" s="14">
        <f t="shared" ref="H10:H15" si="1">F10-D10</f>
        <v>1180161.26</v>
      </c>
      <c r="I10" s="8">
        <v>0.21</v>
      </c>
      <c r="J10" s="8">
        <v>0.05</v>
      </c>
      <c r="K10" s="7">
        <f t="shared" ref="K10:K15" si="2">G10*I10-L10*I10</f>
        <v>91816.291769999996</v>
      </c>
      <c r="L10" s="7">
        <f t="shared" ref="L10:L15" si="3">H10*J10</f>
        <v>59008.063000000002</v>
      </c>
      <c r="M10" s="7">
        <f t="shared" ref="M10:M15" si="4">M9+K10+L10</f>
        <v>25645239.354770001</v>
      </c>
      <c r="N10" s="7">
        <v>0</v>
      </c>
    </row>
    <row r="11" spans="1:14" x14ac:dyDescent="0.2">
      <c r="A11" s="32">
        <v>43556</v>
      </c>
      <c r="C11" s="7">
        <v>120292433</v>
      </c>
      <c r="D11" s="14">
        <v>251809</v>
      </c>
      <c r="E11" s="14">
        <f>748037.5</f>
        <v>748037.5</v>
      </c>
      <c r="F11" s="14">
        <f>1431970.26</f>
        <v>1431970.26</v>
      </c>
      <c r="G11" s="14">
        <f t="shared" si="0"/>
        <v>496228.5</v>
      </c>
      <c r="H11" s="14">
        <f t="shared" si="1"/>
        <v>1180161.26</v>
      </c>
      <c r="I11" s="8">
        <v>0.21</v>
      </c>
      <c r="J11" s="8">
        <v>0.05</v>
      </c>
      <c r="K11" s="7">
        <f>(G11*I11-L11*I11)-1</f>
        <v>91815.291769999996</v>
      </c>
      <c r="L11" s="7">
        <f t="shared" si="3"/>
        <v>59008.063000000002</v>
      </c>
      <c r="M11" s="7">
        <f t="shared" si="4"/>
        <v>25796062.709540002</v>
      </c>
      <c r="N11" s="7">
        <v>0</v>
      </c>
    </row>
    <row r="12" spans="1:14" x14ac:dyDescent="0.2">
      <c r="A12" s="32">
        <v>43586</v>
      </c>
      <c r="C12" s="7">
        <v>120896355</v>
      </c>
      <c r="D12" s="14">
        <v>500135</v>
      </c>
      <c r="E12" s="14">
        <f>739680.17</f>
        <v>739680.17</v>
      </c>
      <c r="F12" s="14">
        <f>1427816.36</f>
        <v>1427816.36</v>
      </c>
      <c r="G12" s="14">
        <f t="shared" si="0"/>
        <v>239545.17000000004</v>
      </c>
      <c r="H12" s="14">
        <f t="shared" si="1"/>
        <v>927681.3600000001</v>
      </c>
      <c r="I12" s="8">
        <v>0.21</v>
      </c>
      <c r="J12" s="8">
        <v>0.05</v>
      </c>
      <c r="K12" s="7">
        <f t="shared" si="2"/>
        <v>40563.831420000002</v>
      </c>
      <c r="L12" s="7">
        <f t="shared" si="3"/>
        <v>46384.068000000007</v>
      </c>
      <c r="M12" s="7">
        <f t="shared" si="4"/>
        <v>25883010.608960003</v>
      </c>
      <c r="N12" s="7">
        <v>0</v>
      </c>
    </row>
    <row r="13" spans="1:14" x14ac:dyDescent="0.2">
      <c r="A13" s="32">
        <v>43617</v>
      </c>
      <c r="C13" s="7">
        <v>120896355</v>
      </c>
      <c r="D13" s="14">
        <v>500135</v>
      </c>
      <c r="E13" s="14">
        <f>739680.17</f>
        <v>739680.17</v>
      </c>
      <c r="F13" s="14">
        <f>1427816.36</f>
        <v>1427816.36</v>
      </c>
      <c r="G13" s="14">
        <f t="shared" si="0"/>
        <v>239545.17000000004</v>
      </c>
      <c r="H13" s="14">
        <f t="shared" si="1"/>
        <v>927681.3600000001</v>
      </c>
      <c r="I13" s="8">
        <v>0.21</v>
      </c>
      <c r="J13" s="8">
        <v>0.05</v>
      </c>
      <c r="K13" s="7">
        <f t="shared" si="2"/>
        <v>40563.831420000002</v>
      </c>
      <c r="L13" s="7">
        <f t="shared" si="3"/>
        <v>46384.068000000007</v>
      </c>
      <c r="M13" s="7">
        <f t="shared" si="4"/>
        <v>25969958.508380003</v>
      </c>
      <c r="N13" s="7">
        <v>0</v>
      </c>
    </row>
    <row r="14" spans="1:14" x14ac:dyDescent="0.2">
      <c r="A14" s="32">
        <v>43647</v>
      </c>
      <c r="C14" s="7">
        <v>120896355</v>
      </c>
      <c r="D14" s="14">
        <v>500135</v>
      </c>
      <c r="E14" s="14">
        <f>739678.17</f>
        <v>739678.17</v>
      </c>
      <c r="F14" s="14">
        <f>1427816.36</f>
        <v>1427816.36</v>
      </c>
      <c r="G14" s="14">
        <f t="shared" si="0"/>
        <v>239543.17000000004</v>
      </c>
      <c r="H14" s="14">
        <f t="shared" si="1"/>
        <v>927681.3600000001</v>
      </c>
      <c r="I14" s="8">
        <v>0.21</v>
      </c>
      <c r="J14" s="8">
        <v>0.05</v>
      </c>
      <c r="K14" s="7">
        <f t="shared" si="2"/>
        <v>40563.411420000004</v>
      </c>
      <c r="L14" s="7">
        <f t="shared" si="3"/>
        <v>46384.068000000007</v>
      </c>
      <c r="M14" s="7">
        <f t="shared" si="4"/>
        <v>26056905.987800002</v>
      </c>
      <c r="N14" s="7">
        <v>0</v>
      </c>
    </row>
    <row r="15" spans="1:14" x14ac:dyDescent="0.2">
      <c r="A15" s="32">
        <v>43678</v>
      </c>
      <c r="C15" s="7">
        <v>121543607</v>
      </c>
      <c r="D15" s="14">
        <v>501550</v>
      </c>
      <c r="E15" s="14">
        <f>745458.65+587</f>
        <v>746045.65</v>
      </c>
      <c r="F15" s="14">
        <v>1432195.03</v>
      </c>
      <c r="G15" s="14">
        <f t="shared" si="0"/>
        <v>244495.65000000002</v>
      </c>
      <c r="H15" s="14">
        <f t="shared" si="1"/>
        <v>930645.03</v>
      </c>
      <c r="I15" s="8">
        <v>0.21</v>
      </c>
      <c r="J15" s="8">
        <v>0.05</v>
      </c>
      <c r="K15" s="7">
        <f t="shared" si="2"/>
        <v>41572.313685000001</v>
      </c>
      <c r="L15" s="7">
        <f t="shared" si="3"/>
        <v>46532.251500000006</v>
      </c>
      <c r="M15" s="7">
        <f t="shared" si="4"/>
        <v>26145010.552985001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44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17">
        <v>846667</v>
      </c>
      <c r="D25" s="17">
        <v>501550</v>
      </c>
      <c r="E25" s="17">
        <v>0</v>
      </c>
      <c r="F25" s="16">
        <f>E25-D25</f>
        <v>-501550</v>
      </c>
      <c r="G25" s="8">
        <v>0.21</v>
      </c>
      <c r="H25" s="16">
        <f>F25*G25</f>
        <v>-105325.5</v>
      </c>
    </row>
    <row r="26" spans="1:14" x14ac:dyDescent="0.2">
      <c r="C26" s="29">
        <v>826019.67</v>
      </c>
      <c r="E26" s="17">
        <v>0</v>
      </c>
      <c r="F26" s="16">
        <f>E26</f>
        <v>0</v>
      </c>
      <c r="G26" s="8">
        <v>0.21</v>
      </c>
      <c r="H26" s="16">
        <f t="shared" ref="H26:H42" si="5">F26*G26</f>
        <v>0</v>
      </c>
    </row>
    <row r="27" spans="1:14" x14ac:dyDescent="0.2">
      <c r="C27" s="29">
        <f>21052017.182-(265688.84/2)</f>
        <v>20919172.761999998</v>
      </c>
      <c r="E27" s="17">
        <v>108365.26</v>
      </c>
      <c r="F27" s="16">
        <f t="shared" ref="F27:F42" si="6">E27</f>
        <v>108365.26</v>
      </c>
      <c r="G27" s="8">
        <v>0.21</v>
      </c>
      <c r="H27" s="16">
        <f t="shared" si="5"/>
        <v>22756.704599999997</v>
      </c>
    </row>
    <row r="28" spans="1:14" x14ac:dyDescent="0.2">
      <c r="C28" s="29">
        <v>31578025.772999998</v>
      </c>
      <c r="E28" s="17">
        <v>526300.43000000005</v>
      </c>
      <c r="F28" s="16">
        <f t="shared" si="6"/>
        <v>526300.43000000005</v>
      </c>
      <c r="G28" s="8">
        <v>0.21</v>
      </c>
      <c r="H28" s="16">
        <f t="shared" si="5"/>
        <v>110523.09030000001</v>
      </c>
    </row>
    <row r="29" spans="1:14" x14ac:dyDescent="0.2">
      <c r="C29" s="29">
        <v>94801.065000000002</v>
      </c>
      <c r="E29" s="17">
        <v>0</v>
      </c>
      <c r="F29" s="16">
        <f t="shared" si="6"/>
        <v>0</v>
      </c>
      <c r="G29" s="8">
        <v>0.21</v>
      </c>
      <c r="H29" s="16">
        <f t="shared" si="5"/>
        <v>0</v>
      </c>
    </row>
    <row r="30" spans="1:14" x14ac:dyDescent="0.2">
      <c r="C30" s="35">
        <v>94801.065000000002</v>
      </c>
      <c r="D30" s="28"/>
      <c r="E30" s="19">
        <v>527.49</v>
      </c>
      <c r="F30" s="34">
        <f t="shared" si="6"/>
        <v>527.49</v>
      </c>
      <c r="G30" s="8">
        <v>0.21</v>
      </c>
      <c r="H30" s="16">
        <f t="shared" si="5"/>
        <v>110.77289999999999</v>
      </c>
    </row>
    <row r="31" spans="1:14" x14ac:dyDescent="0.2">
      <c r="C31" s="29">
        <v>1106690.4680000001</v>
      </c>
      <c r="E31" s="19">
        <v>6157.81</v>
      </c>
      <c r="F31" s="34">
        <f t="shared" si="6"/>
        <v>6157.81</v>
      </c>
      <c r="G31" s="8">
        <v>0.21</v>
      </c>
      <c r="H31" s="16">
        <f t="shared" si="5"/>
        <v>1293.1401000000001</v>
      </c>
    </row>
    <row r="32" spans="1:14" x14ac:dyDescent="0.2">
      <c r="C32" s="29">
        <v>1660035.7019999998</v>
      </c>
      <c r="E32" s="19">
        <v>27667.26</v>
      </c>
      <c r="F32" s="34">
        <f t="shared" si="6"/>
        <v>27667.26</v>
      </c>
      <c r="G32" s="8">
        <v>0.21</v>
      </c>
      <c r="H32" s="16">
        <f t="shared" si="5"/>
        <v>5810.1245999999992</v>
      </c>
    </row>
    <row r="33" spans="3:8" x14ac:dyDescent="0.2">
      <c r="C33" s="29">
        <v>-523961.54399999999</v>
      </c>
      <c r="E33" s="19">
        <v>-2915.41</v>
      </c>
      <c r="F33" s="34">
        <f t="shared" si="6"/>
        <v>-2915.41</v>
      </c>
      <c r="G33" s="8">
        <v>0.21</v>
      </c>
      <c r="H33" s="16">
        <f t="shared" si="5"/>
        <v>-612.23609999999996</v>
      </c>
    </row>
    <row r="34" spans="3:8" x14ac:dyDescent="0.2">
      <c r="C34" s="29">
        <v>-785942.31599999988</v>
      </c>
      <c r="E34" s="19">
        <v>-13099.04</v>
      </c>
      <c r="F34" s="34">
        <f t="shared" si="6"/>
        <v>-13099.04</v>
      </c>
      <c r="G34" s="8">
        <v>0.21</v>
      </c>
      <c r="H34" s="16">
        <f t="shared" si="5"/>
        <v>-2750.7984000000001</v>
      </c>
    </row>
    <row r="35" spans="3:8" x14ac:dyDescent="0.2">
      <c r="C35" s="29">
        <v>3072441.81</v>
      </c>
      <c r="E35" s="19">
        <v>17095.580000000002</v>
      </c>
      <c r="F35" s="34">
        <f t="shared" si="6"/>
        <v>17095.580000000002</v>
      </c>
      <c r="G35" s="8">
        <v>0.21</v>
      </c>
      <c r="H35" s="16">
        <f t="shared" si="5"/>
        <v>3590.0718000000002</v>
      </c>
    </row>
    <row r="36" spans="3:8" x14ac:dyDescent="0.2">
      <c r="C36" s="29">
        <v>4608662.7149999999</v>
      </c>
      <c r="E36" s="19">
        <v>76811.05</v>
      </c>
      <c r="F36" s="34">
        <f t="shared" si="6"/>
        <v>76811.05</v>
      </c>
      <c r="G36" s="8">
        <v>0.21</v>
      </c>
      <c r="H36" s="16">
        <f t="shared" si="5"/>
        <v>16130.3205</v>
      </c>
    </row>
    <row r="37" spans="3:8" x14ac:dyDescent="0.2">
      <c r="C37" s="29">
        <v>196790.66</v>
      </c>
      <c r="E37" s="19">
        <v>1094.98</v>
      </c>
      <c r="F37" s="34">
        <f t="shared" si="6"/>
        <v>1094.98</v>
      </c>
      <c r="G37" s="8">
        <v>0.21</v>
      </c>
      <c r="H37" s="16">
        <f t="shared" si="5"/>
        <v>229.94579999999999</v>
      </c>
    </row>
    <row r="38" spans="3:8" x14ac:dyDescent="0.2">
      <c r="C38" s="29">
        <v>5335.0559999999996</v>
      </c>
      <c r="E38" s="19">
        <v>32.090000000000003</v>
      </c>
      <c r="F38" s="34">
        <f t="shared" si="6"/>
        <v>32.090000000000003</v>
      </c>
      <c r="G38" s="8">
        <v>0.21</v>
      </c>
      <c r="H38" s="16">
        <f t="shared" si="5"/>
        <v>6.7389000000000001</v>
      </c>
    </row>
    <row r="39" spans="3:8" x14ac:dyDescent="0.2">
      <c r="C39" s="29">
        <v>704440.1399999999</v>
      </c>
      <c r="E39" s="19">
        <v>0</v>
      </c>
      <c r="F39" s="34">
        <f t="shared" si="6"/>
        <v>0</v>
      </c>
      <c r="G39" s="8">
        <v>0.21</v>
      </c>
      <c r="H39" s="16">
        <f t="shared" si="5"/>
        <v>0</v>
      </c>
    </row>
    <row r="40" spans="3:8" x14ac:dyDescent="0.2">
      <c r="C40" s="29">
        <v>-100517.93000000001</v>
      </c>
      <c r="E40" s="19">
        <v>-5572.88</v>
      </c>
      <c r="F40" s="34">
        <f t="shared" si="6"/>
        <v>-5572.88</v>
      </c>
      <c r="G40" s="8">
        <v>0.21</v>
      </c>
      <c r="H40" s="16">
        <f t="shared" si="5"/>
        <v>-1170.3047999999999</v>
      </c>
    </row>
    <row r="41" spans="3:8" x14ac:dyDescent="0.2">
      <c r="C41" s="29">
        <v>247599.79400000002</v>
      </c>
      <c r="E41" s="19">
        <v>773.75</v>
      </c>
      <c r="F41" s="34">
        <f t="shared" si="6"/>
        <v>773.75</v>
      </c>
      <c r="G41" s="8">
        <v>0.21</v>
      </c>
      <c r="H41" s="16">
        <f t="shared" si="5"/>
        <v>162.48749999999998</v>
      </c>
    </row>
    <row r="42" spans="3:8" ht="15" x14ac:dyDescent="0.35">
      <c r="C42" s="53">
        <v>399652.23600000003</v>
      </c>
      <c r="E42" s="30">
        <v>2807.29</v>
      </c>
      <c r="F42" s="27">
        <f t="shared" si="6"/>
        <v>2807.29</v>
      </c>
      <c r="G42" s="8">
        <v>0.21</v>
      </c>
      <c r="H42" s="27">
        <f t="shared" si="5"/>
        <v>589.53089999999997</v>
      </c>
    </row>
    <row r="43" spans="3:8" x14ac:dyDescent="0.2">
      <c r="C43" s="16">
        <f>SUM(C25:C42)</f>
        <v>64950714.126000002</v>
      </c>
      <c r="E43" s="16">
        <f>SUM(E25:E42)</f>
        <v>746045.66</v>
      </c>
      <c r="F43" s="16">
        <f>SUM(F25:F42)</f>
        <v>244495.66000000006</v>
      </c>
      <c r="G43" s="28" t="s">
        <v>41</v>
      </c>
      <c r="H43" s="16">
        <f>SUM(H25:H42)</f>
        <v>51344.088600000003</v>
      </c>
    </row>
    <row r="44" spans="3:8" ht="15" x14ac:dyDescent="0.35">
      <c r="G44" s="28" t="s">
        <v>42</v>
      </c>
      <c r="H44" s="27">
        <f>-H65*0.21</f>
        <v>-9771.7728150000003</v>
      </c>
    </row>
    <row r="45" spans="3:8" x14ac:dyDescent="0.2">
      <c r="H45" s="16">
        <f>H43+H44</f>
        <v>41572.315784999999</v>
      </c>
    </row>
    <row r="46" spans="3:8" x14ac:dyDescent="0.2">
      <c r="H46" s="16">
        <f>H45-K15</f>
        <v>2.0999999978812411E-3</v>
      </c>
    </row>
    <row r="47" spans="3:8" x14ac:dyDescent="0.2">
      <c r="C47" s="18" t="s">
        <v>37</v>
      </c>
      <c r="D47" s="21" t="s">
        <v>33</v>
      </c>
      <c r="E47" s="22" t="s">
        <v>38</v>
      </c>
      <c r="F47" s="18" t="s">
        <v>39</v>
      </c>
      <c r="G47" s="24" t="s">
        <v>27</v>
      </c>
      <c r="H47" s="18" t="s">
        <v>40</v>
      </c>
    </row>
    <row r="48" spans="3:8" x14ac:dyDescent="0.2">
      <c r="C48" s="17">
        <v>846667</v>
      </c>
      <c r="D48" s="16">
        <f>D25</f>
        <v>501550</v>
      </c>
      <c r="E48" s="22">
        <v>0</v>
      </c>
      <c r="F48" s="18">
        <f>E48-D48</f>
        <v>-501550</v>
      </c>
      <c r="G48" s="8">
        <v>0.05</v>
      </c>
      <c r="H48" s="18">
        <f>F48*G48</f>
        <v>-25077.5</v>
      </c>
    </row>
    <row r="49" spans="3:8" x14ac:dyDescent="0.2">
      <c r="C49" s="29">
        <v>826019.67</v>
      </c>
      <c r="D49" s="21"/>
      <c r="E49" s="22">
        <v>0</v>
      </c>
      <c r="F49" s="18">
        <f t="shared" ref="F49:F64" si="7">E49</f>
        <v>0</v>
      </c>
      <c r="G49" s="8">
        <v>0.05</v>
      </c>
      <c r="H49" s="18">
        <f t="shared" ref="H49:H64" si="8">F49*G49</f>
        <v>0</v>
      </c>
    </row>
    <row r="50" spans="3:8" x14ac:dyDescent="0.2">
      <c r="C50" s="29">
        <f>42104034.364-265688.84</f>
        <v>41838345.523999996</v>
      </c>
      <c r="E50" s="16">
        <v>216730.52</v>
      </c>
      <c r="F50" s="16">
        <f t="shared" si="7"/>
        <v>216730.52</v>
      </c>
      <c r="G50" s="8">
        <v>0.05</v>
      </c>
      <c r="H50" s="18">
        <f t="shared" si="8"/>
        <v>10836.526</v>
      </c>
    </row>
    <row r="51" spans="3:8" x14ac:dyDescent="0.2">
      <c r="C51" s="29">
        <v>63156051.545999996</v>
      </c>
      <c r="E51" s="16">
        <v>1052600.8600000001</v>
      </c>
      <c r="F51" s="16">
        <f t="shared" si="7"/>
        <v>1052600.8600000001</v>
      </c>
      <c r="G51" s="8">
        <v>0.05</v>
      </c>
      <c r="H51" s="18">
        <f t="shared" si="8"/>
        <v>52630.043000000005</v>
      </c>
    </row>
    <row r="52" spans="3:8" x14ac:dyDescent="0.2">
      <c r="C52" s="29">
        <v>189602.13</v>
      </c>
      <c r="E52" s="34">
        <v>1054.98</v>
      </c>
      <c r="F52" s="34">
        <f t="shared" si="7"/>
        <v>1054.98</v>
      </c>
      <c r="G52" s="8">
        <v>0.05</v>
      </c>
      <c r="H52" s="18">
        <f t="shared" si="8"/>
        <v>52.749000000000002</v>
      </c>
    </row>
    <row r="53" spans="3:8" x14ac:dyDescent="0.2">
      <c r="C53" s="29">
        <v>1106690.4680000001</v>
      </c>
      <c r="E53" s="34">
        <v>6157.81</v>
      </c>
      <c r="F53" s="34">
        <f t="shared" si="7"/>
        <v>6157.81</v>
      </c>
      <c r="G53" s="8">
        <v>0.05</v>
      </c>
      <c r="H53" s="18">
        <f t="shared" si="8"/>
        <v>307.89050000000003</v>
      </c>
    </row>
    <row r="54" spans="3:8" x14ac:dyDescent="0.2">
      <c r="C54" s="29">
        <v>1660036</v>
      </c>
      <c r="E54" s="34">
        <v>27667.26</v>
      </c>
      <c r="F54" s="34">
        <f t="shared" si="7"/>
        <v>27667.26</v>
      </c>
      <c r="G54" s="8">
        <v>0.05</v>
      </c>
      <c r="H54" s="18">
        <f t="shared" si="8"/>
        <v>1383.3630000000001</v>
      </c>
    </row>
    <row r="55" spans="3:8" x14ac:dyDescent="0.2">
      <c r="C55" s="29">
        <v>-1047923</v>
      </c>
      <c r="E55" s="34">
        <v>-5830.82</v>
      </c>
      <c r="F55" s="34">
        <f t="shared" si="7"/>
        <v>-5830.82</v>
      </c>
      <c r="G55" s="8">
        <v>0.05</v>
      </c>
      <c r="H55" s="18">
        <f t="shared" si="8"/>
        <v>-291.541</v>
      </c>
    </row>
    <row r="56" spans="3:8" x14ac:dyDescent="0.2">
      <c r="C56" s="29">
        <v>-1571885</v>
      </c>
      <c r="E56" s="34">
        <v>-26198.080000000002</v>
      </c>
      <c r="F56" s="34">
        <f t="shared" si="7"/>
        <v>-26198.080000000002</v>
      </c>
      <c r="G56" s="8">
        <v>0.05</v>
      </c>
      <c r="H56" s="18">
        <f t="shared" si="8"/>
        <v>-1309.9040000000002</v>
      </c>
    </row>
    <row r="57" spans="3:8" x14ac:dyDescent="0.2">
      <c r="C57" s="29">
        <v>5154542</v>
      </c>
      <c r="E57" s="34">
        <v>28680.73</v>
      </c>
      <c r="F57" s="34">
        <f t="shared" si="7"/>
        <v>28680.73</v>
      </c>
      <c r="G57" s="8">
        <v>0.05</v>
      </c>
      <c r="H57" s="18">
        <f t="shared" si="8"/>
        <v>1434.0365000000002</v>
      </c>
    </row>
    <row r="58" spans="3:8" x14ac:dyDescent="0.2">
      <c r="C58" s="29">
        <v>7731813</v>
      </c>
      <c r="E58" s="34">
        <v>128863.56</v>
      </c>
      <c r="F58" s="34">
        <f t="shared" si="7"/>
        <v>128863.56</v>
      </c>
      <c r="G58" s="8">
        <v>0.05</v>
      </c>
      <c r="H58" s="18">
        <f t="shared" si="8"/>
        <v>6443.1779999999999</v>
      </c>
    </row>
    <row r="59" spans="3:8" x14ac:dyDescent="0.2">
      <c r="C59" s="29">
        <v>393581</v>
      </c>
      <c r="E59" s="34">
        <v>2189.9499999999998</v>
      </c>
      <c r="F59" s="34">
        <f t="shared" si="7"/>
        <v>2189.9499999999998</v>
      </c>
      <c r="G59" s="8">
        <v>0.05</v>
      </c>
      <c r="H59" s="18">
        <f t="shared" si="8"/>
        <v>109.4975</v>
      </c>
    </row>
    <row r="60" spans="3:8" x14ac:dyDescent="0.2">
      <c r="C60" s="29">
        <v>8892</v>
      </c>
      <c r="E60" s="34">
        <v>53.49</v>
      </c>
      <c r="F60" s="34">
        <f t="shared" si="7"/>
        <v>53.49</v>
      </c>
      <c r="G60" s="8">
        <v>0.05</v>
      </c>
      <c r="H60" s="18">
        <f t="shared" si="8"/>
        <v>2.6745000000000001</v>
      </c>
    </row>
    <row r="61" spans="3:8" x14ac:dyDescent="0.2">
      <c r="C61" s="29">
        <v>704440.1399999999</v>
      </c>
      <c r="E61" s="34">
        <v>0</v>
      </c>
      <c r="F61" s="34">
        <f t="shared" si="7"/>
        <v>0</v>
      </c>
      <c r="G61" s="8">
        <v>0.05</v>
      </c>
      <c r="H61" s="18">
        <f t="shared" si="8"/>
        <v>0</v>
      </c>
    </row>
    <row r="62" spans="3:8" x14ac:dyDescent="0.2">
      <c r="C62" s="29">
        <v>-100517.93000000001</v>
      </c>
      <c r="E62" s="34">
        <v>-2769.27</v>
      </c>
      <c r="F62" s="34">
        <f t="shared" si="7"/>
        <v>-2769.27</v>
      </c>
      <c r="G62" s="8">
        <v>0.05</v>
      </c>
      <c r="H62" s="18">
        <f t="shared" si="8"/>
        <v>-138.46350000000001</v>
      </c>
    </row>
    <row r="63" spans="3:8" x14ac:dyDescent="0.2">
      <c r="C63" s="29">
        <v>247600</v>
      </c>
      <c r="E63" s="34">
        <v>773.75</v>
      </c>
      <c r="F63" s="34">
        <f t="shared" si="7"/>
        <v>773.75</v>
      </c>
      <c r="G63" s="8">
        <v>0.05</v>
      </c>
      <c r="H63" s="18">
        <f t="shared" si="8"/>
        <v>38.6875</v>
      </c>
    </row>
    <row r="64" spans="3:8" ht="15" x14ac:dyDescent="0.35">
      <c r="C64" s="53">
        <v>399652.23600000003</v>
      </c>
      <c r="E64" s="27">
        <v>2220.29</v>
      </c>
      <c r="F64" s="37">
        <f t="shared" si="7"/>
        <v>2220.29</v>
      </c>
      <c r="G64" s="8">
        <v>0.05</v>
      </c>
      <c r="H64" s="25">
        <f t="shared" si="8"/>
        <v>111.0145</v>
      </c>
    </row>
    <row r="65" spans="3:8" x14ac:dyDescent="0.2">
      <c r="C65" s="16">
        <f>SUM(C48:C64)</f>
        <v>121543606.78399998</v>
      </c>
      <c r="E65" s="16">
        <f>SUM(E48:E64)</f>
        <v>1432195.03</v>
      </c>
      <c r="F65" s="16">
        <f>SUM(F48:F64)</f>
        <v>930645.03000000026</v>
      </c>
      <c r="H65" s="7">
        <f>SUM(H48:H64)</f>
        <v>46532.251500000006</v>
      </c>
    </row>
    <row r="66" spans="3:8" x14ac:dyDescent="0.2">
      <c r="H66" s="7">
        <f>H65-L15</f>
        <v>0</v>
      </c>
    </row>
  </sheetData>
  <mergeCells count="3">
    <mergeCell ref="A1:N1"/>
    <mergeCell ref="A2:N2"/>
    <mergeCell ref="A3:N3"/>
  </mergeCells>
  <pageMargins left="0.7" right="0.7" top="1.15625" bottom="0.75" header="0.3" footer="0.3"/>
  <pageSetup scale="48" orientation="portrait" r:id="rId1"/>
  <headerFooter>
    <oddHeader>&amp;R&amp;"Times New Roman,Bold"&amp;12Attachment to Response to Question 3
Page &amp;P of &amp;N
Williams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N106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16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71027990</v>
      </c>
    </row>
    <row r="10" spans="1:14" x14ac:dyDescent="0.2">
      <c r="A10" s="33">
        <v>43533</v>
      </c>
      <c r="C10" s="7">
        <v>354379709</v>
      </c>
      <c r="D10" s="14">
        <v>727041</v>
      </c>
      <c r="E10" s="14">
        <f>981014.61+135.08</f>
        <v>981149.69</v>
      </c>
      <c r="F10" s="14">
        <f>1893906.17</f>
        <v>1893906.17</v>
      </c>
      <c r="G10" s="7">
        <f>E10-D10</f>
        <v>254108.68999999994</v>
      </c>
      <c r="H10" s="7">
        <f>F10-D10</f>
        <v>1166865.17</v>
      </c>
      <c r="I10" s="8">
        <v>0.21</v>
      </c>
      <c r="J10" s="8">
        <v>0.05</v>
      </c>
      <c r="K10" s="7">
        <f t="shared" ref="K10:K15" si="0">G10*I10-L10*I10</f>
        <v>41110.740614999988</v>
      </c>
      <c r="L10" s="7">
        <f t="shared" ref="L10:L15" si="1">H10*J10</f>
        <v>58343.258499999996</v>
      </c>
      <c r="M10" s="7">
        <f t="shared" ref="M10:M15" si="2">M9+K10+L10</f>
        <v>71127443.99911499</v>
      </c>
      <c r="N10" s="7">
        <v>375397.31</v>
      </c>
    </row>
    <row r="11" spans="1:14" x14ac:dyDescent="0.2">
      <c r="A11" s="32">
        <v>43556</v>
      </c>
      <c r="C11" s="7">
        <v>354379709</v>
      </c>
      <c r="D11" s="14">
        <v>727041</v>
      </c>
      <c r="E11" s="14">
        <f>981014.61+135.08</f>
        <v>981149.69</v>
      </c>
      <c r="F11" s="14">
        <f>1893906.17</f>
        <v>1893906.17</v>
      </c>
      <c r="G11" s="7">
        <f t="shared" ref="G11:G15" si="3">E11-D11</f>
        <v>254108.68999999994</v>
      </c>
      <c r="H11" s="7">
        <f t="shared" ref="H11:H15" si="4">F11-D11</f>
        <v>1166865.17</v>
      </c>
      <c r="I11" s="8">
        <v>0.21</v>
      </c>
      <c r="J11" s="8">
        <v>0.05</v>
      </c>
      <c r="K11" s="7">
        <f t="shared" si="0"/>
        <v>41110.740614999988</v>
      </c>
      <c r="L11" s="7">
        <f t="shared" si="1"/>
        <v>58343.258499999996</v>
      </c>
      <c r="M11" s="7">
        <f t="shared" si="2"/>
        <v>71226897.99822998</v>
      </c>
      <c r="N11" s="7">
        <v>373803.94</v>
      </c>
    </row>
    <row r="12" spans="1:14" x14ac:dyDescent="0.2">
      <c r="A12" s="32">
        <v>43586</v>
      </c>
      <c r="C12" s="7">
        <v>354422224</v>
      </c>
      <c r="D12" s="14">
        <v>1239495</v>
      </c>
      <c r="E12" s="14">
        <f>981014.61+131.63</f>
        <v>981146.24</v>
      </c>
      <c r="F12" s="14">
        <f>1893906.17</f>
        <v>1893906.17</v>
      </c>
      <c r="G12" s="7">
        <f>E12-D12</f>
        <v>-258348.76</v>
      </c>
      <c r="H12" s="7">
        <f>F12-D12</f>
        <v>654411.16999999993</v>
      </c>
      <c r="I12" s="8">
        <v>0.21</v>
      </c>
      <c r="J12" s="8">
        <v>0.05</v>
      </c>
      <c r="K12" s="7">
        <f t="shared" si="0"/>
        <v>-61124.556884999998</v>
      </c>
      <c r="L12" s="7">
        <f t="shared" si="1"/>
        <v>32720.558499999999</v>
      </c>
      <c r="M12" s="7">
        <f t="shared" si="2"/>
        <v>71198493.999844983</v>
      </c>
      <c r="N12" s="7">
        <v>372210.58</v>
      </c>
    </row>
    <row r="13" spans="1:14" x14ac:dyDescent="0.2">
      <c r="A13" s="32">
        <v>43617</v>
      </c>
      <c r="C13" s="7">
        <v>354422224</v>
      </c>
      <c r="D13" s="14">
        <v>1239495</v>
      </c>
      <c r="E13" s="14">
        <f>981014.61+136.38</f>
        <v>981150.99</v>
      </c>
      <c r="F13" s="14">
        <f>1893906.17</f>
        <v>1893906.17</v>
      </c>
      <c r="G13" s="7">
        <f>E13-D13</f>
        <v>-258344.01</v>
      </c>
      <c r="H13" s="7">
        <f>F13-D13</f>
        <v>654411.16999999993</v>
      </c>
      <c r="I13" s="8">
        <v>0.21</v>
      </c>
      <c r="J13" s="8">
        <v>0.05</v>
      </c>
      <c r="K13" s="7">
        <f t="shared" si="0"/>
        <v>-61123.559385</v>
      </c>
      <c r="L13" s="7">
        <f t="shared" si="1"/>
        <v>32720.558499999999</v>
      </c>
      <c r="M13" s="7">
        <f t="shared" si="2"/>
        <v>71170090.998959988</v>
      </c>
      <c r="N13" s="7">
        <v>368413.97</v>
      </c>
    </row>
    <row r="14" spans="1:14" x14ac:dyDescent="0.2">
      <c r="A14" s="32">
        <v>43647</v>
      </c>
      <c r="C14" s="7">
        <v>354275580</v>
      </c>
      <c r="D14" s="14">
        <v>1239201</v>
      </c>
      <c r="E14" s="14">
        <f>979884.43+425.09</f>
        <v>980309.52</v>
      </c>
      <c r="F14" s="14">
        <f>1892775.99</f>
        <v>1892775.99</v>
      </c>
      <c r="G14" s="7">
        <f t="shared" si="3"/>
        <v>-258891.47999999998</v>
      </c>
      <c r="H14" s="7">
        <f t="shared" si="4"/>
        <v>653574.99</v>
      </c>
      <c r="I14" s="8">
        <v>0.21</v>
      </c>
      <c r="J14" s="8">
        <v>0.05</v>
      </c>
      <c r="K14" s="7">
        <f t="shared" si="0"/>
        <v>-61229.748194999993</v>
      </c>
      <c r="L14" s="7">
        <f t="shared" si="1"/>
        <v>32678.749500000002</v>
      </c>
      <c r="M14" s="7">
        <f t="shared" si="2"/>
        <v>71141540.000265002</v>
      </c>
      <c r="N14" s="7">
        <v>365718.98</v>
      </c>
    </row>
    <row r="15" spans="1:14" x14ac:dyDescent="0.2">
      <c r="A15" s="32">
        <v>43678</v>
      </c>
      <c r="C15" s="7">
        <v>354275580</v>
      </c>
      <c r="D15" s="14">
        <v>1238907</v>
      </c>
      <c r="E15" s="14">
        <f>979884.43+75.8</f>
        <v>979960.2300000001</v>
      </c>
      <c r="F15" s="14">
        <f>1892775.9</f>
        <v>1892775.9</v>
      </c>
      <c r="G15" s="7">
        <f t="shared" si="3"/>
        <v>-258946.7699999999</v>
      </c>
      <c r="H15" s="7">
        <f t="shared" si="4"/>
        <v>653868.89999999991</v>
      </c>
      <c r="I15" s="8">
        <v>0.21</v>
      </c>
      <c r="J15" s="8">
        <v>0.05</v>
      </c>
      <c r="K15" s="7">
        <f t="shared" si="0"/>
        <v>-61244.445149999978</v>
      </c>
      <c r="L15" s="7">
        <f t="shared" si="1"/>
        <v>32693.444999999996</v>
      </c>
      <c r="M15" s="7">
        <f t="shared" si="2"/>
        <v>71112989.000114992</v>
      </c>
      <c r="N15" s="7">
        <v>364577.66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45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14">
        <v>17068.5</v>
      </c>
      <c r="D25" s="14">
        <v>1238907</v>
      </c>
      <c r="E25" s="14">
        <v>0</v>
      </c>
      <c r="F25" s="16">
        <f>E25-D25</f>
        <v>-1238907</v>
      </c>
      <c r="G25" s="8">
        <v>0.21</v>
      </c>
      <c r="H25" s="16">
        <f>F25*G25</f>
        <v>-260170.47</v>
      </c>
    </row>
    <row r="26" spans="1:14" x14ac:dyDescent="0.2">
      <c r="C26" s="14">
        <v>863123.25</v>
      </c>
      <c r="E26" s="14">
        <v>3515.79</v>
      </c>
      <c r="F26" s="16">
        <f>E26</f>
        <v>3515.79</v>
      </c>
      <c r="G26" s="8">
        <v>0.21</v>
      </c>
      <c r="H26" s="16">
        <f t="shared" ref="H26:H62" si="5">F26*G26</f>
        <v>738.31589999999994</v>
      </c>
    </row>
    <row r="27" spans="1:14" x14ac:dyDescent="0.2">
      <c r="C27" s="14">
        <v>172624.8</v>
      </c>
      <c r="E27" s="14">
        <v>0</v>
      </c>
      <c r="F27" s="16">
        <f t="shared" ref="F27:F62" si="6">E27</f>
        <v>0</v>
      </c>
      <c r="G27" s="8">
        <v>0.21</v>
      </c>
      <c r="H27" s="16">
        <f t="shared" si="5"/>
        <v>0</v>
      </c>
    </row>
    <row r="28" spans="1:14" x14ac:dyDescent="0.2">
      <c r="C28" s="14">
        <v>115083.20000000001</v>
      </c>
      <c r="E28" s="14">
        <v>468.77</v>
      </c>
      <c r="F28" s="16">
        <f t="shared" si="6"/>
        <v>468.77</v>
      </c>
      <c r="G28" s="8">
        <v>0.21</v>
      </c>
      <c r="H28" s="16">
        <f t="shared" si="5"/>
        <v>98.441699999999997</v>
      </c>
    </row>
    <row r="29" spans="1:14" x14ac:dyDescent="0.2">
      <c r="C29" s="44">
        <v>10406297</v>
      </c>
      <c r="D29" s="47"/>
      <c r="E29" s="44">
        <v>0</v>
      </c>
      <c r="F29" s="48">
        <f t="shared" si="6"/>
        <v>0</v>
      </c>
      <c r="G29" s="45">
        <v>0.21</v>
      </c>
      <c r="H29" s="48">
        <f t="shared" si="5"/>
        <v>0</v>
      </c>
    </row>
    <row r="30" spans="1:14" x14ac:dyDescent="0.2">
      <c r="C30" s="14">
        <v>16958769.375</v>
      </c>
      <c r="E30" s="14">
        <v>74689.25</v>
      </c>
      <c r="F30" s="16">
        <f t="shared" si="6"/>
        <v>74689.25</v>
      </c>
      <c r="G30" s="8">
        <v>0.21</v>
      </c>
      <c r="H30" s="16">
        <f t="shared" si="5"/>
        <v>15684.7425</v>
      </c>
    </row>
    <row r="31" spans="1:14" x14ac:dyDescent="0.2">
      <c r="C31" s="14">
        <v>3391753.8750000005</v>
      </c>
      <c r="E31" s="14">
        <v>23553.85</v>
      </c>
      <c r="F31" s="16">
        <f t="shared" si="6"/>
        <v>23553.85</v>
      </c>
      <c r="G31" s="8">
        <v>0.21</v>
      </c>
      <c r="H31" s="16">
        <f t="shared" si="5"/>
        <v>4946.3084999999992</v>
      </c>
    </row>
    <row r="32" spans="1:14" x14ac:dyDescent="0.2">
      <c r="C32" s="14">
        <v>2261169.2500000005</v>
      </c>
      <c r="E32" s="14">
        <v>9958.57</v>
      </c>
      <c r="F32" s="16">
        <f t="shared" si="6"/>
        <v>9958.57</v>
      </c>
      <c r="G32" s="8">
        <v>0.21</v>
      </c>
      <c r="H32" s="16">
        <f t="shared" si="5"/>
        <v>2091.2997</v>
      </c>
    </row>
    <row r="33" spans="3:8" x14ac:dyDescent="0.2">
      <c r="C33" s="14">
        <v>96326943.479999989</v>
      </c>
      <c r="E33" s="14">
        <v>424239.91</v>
      </c>
      <c r="F33" s="16">
        <f t="shared" si="6"/>
        <v>424239.91</v>
      </c>
      <c r="G33" s="8">
        <v>0.21</v>
      </c>
      <c r="H33" s="16">
        <f t="shared" si="5"/>
        <v>89090.381099999984</v>
      </c>
    </row>
    <row r="34" spans="3:8" x14ac:dyDescent="0.2">
      <c r="C34" s="14">
        <v>18955938.995999999</v>
      </c>
      <c r="E34" s="14">
        <v>210621.54</v>
      </c>
      <c r="F34" s="16">
        <f t="shared" si="6"/>
        <v>210621.54</v>
      </c>
      <c r="G34" s="8">
        <v>0.21</v>
      </c>
      <c r="H34" s="16">
        <f t="shared" si="5"/>
        <v>44230.523399999998</v>
      </c>
    </row>
    <row r="35" spans="3:8" x14ac:dyDescent="0.2">
      <c r="C35" s="14">
        <v>12637292.664000001</v>
      </c>
      <c r="E35" s="14">
        <v>55656.74</v>
      </c>
      <c r="F35" s="16">
        <f t="shared" si="6"/>
        <v>55656.74</v>
      </c>
      <c r="G35" s="8">
        <v>0.21</v>
      </c>
      <c r="H35" s="16">
        <f t="shared" si="5"/>
        <v>11687.9154</v>
      </c>
    </row>
    <row r="36" spans="3:8" x14ac:dyDescent="0.2">
      <c r="C36" s="14">
        <v>2579539.44</v>
      </c>
      <c r="E36" s="14">
        <v>12280.76</v>
      </c>
      <c r="F36" s="16">
        <f t="shared" si="6"/>
        <v>12280.76</v>
      </c>
      <c r="G36" s="8">
        <v>0.21</v>
      </c>
      <c r="H36" s="16">
        <f t="shared" si="5"/>
        <v>2578.9596000000001</v>
      </c>
    </row>
    <row r="37" spans="3:8" x14ac:dyDescent="0.2">
      <c r="C37" s="14">
        <v>515907.88799999998</v>
      </c>
      <c r="E37" s="14">
        <v>8598.4599999999991</v>
      </c>
      <c r="F37" s="16">
        <f t="shared" si="6"/>
        <v>8598.4599999999991</v>
      </c>
      <c r="G37" s="8">
        <v>0.21</v>
      </c>
      <c r="H37" s="16">
        <f t="shared" si="5"/>
        <v>1805.6765999999998</v>
      </c>
    </row>
    <row r="38" spans="3:8" x14ac:dyDescent="0.2">
      <c r="C38" s="14">
        <v>343938.592</v>
      </c>
      <c r="E38" s="14">
        <v>1637.43</v>
      </c>
      <c r="F38" s="16">
        <f t="shared" si="6"/>
        <v>1637.43</v>
      </c>
      <c r="G38" s="8">
        <v>0.21</v>
      </c>
      <c r="H38" s="16">
        <f t="shared" si="5"/>
        <v>343.8603</v>
      </c>
    </row>
    <row r="39" spans="3:8" x14ac:dyDescent="0.2">
      <c r="C39" s="14">
        <v>3753722.94</v>
      </c>
      <c r="E39" s="14">
        <v>19322.29</v>
      </c>
      <c r="F39" s="16">
        <f t="shared" si="6"/>
        <v>19322.29</v>
      </c>
      <c r="G39" s="8">
        <v>0.21</v>
      </c>
      <c r="H39" s="16">
        <f t="shared" si="5"/>
        <v>4057.6808999999998</v>
      </c>
    </row>
    <row r="40" spans="3:8" x14ac:dyDescent="0.2">
      <c r="C40" s="14">
        <v>750744.58799999999</v>
      </c>
      <c r="E40" s="14">
        <v>12512.41</v>
      </c>
      <c r="F40" s="16">
        <f t="shared" si="6"/>
        <v>12512.41</v>
      </c>
      <c r="G40" s="8">
        <v>0.21</v>
      </c>
      <c r="H40" s="16">
        <f t="shared" si="5"/>
        <v>2627.6061</v>
      </c>
    </row>
    <row r="41" spans="3:8" x14ac:dyDescent="0.2">
      <c r="C41" s="14">
        <v>500496.39199999999</v>
      </c>
      <c r="E41" s="14">
        <v>2576.31</v>
      </c>
      <c r="F41" s="16">
        <f t="shared" si="6"/>
        <v>2576.31</v>
      </c>
      <c r="G41" s="8">
        <v>0.21</v>
      </c>
      <c r="H41" s="16">
        <f t="shared" si="5"/>
        <v>541.02509999999995</v>
      </c>
    </row>
    <row r="42" spans="3:8" x14ac:dyDescent="0.2">
      <c r="C42" s="14">
        <v>-21906.708749999998</v>
      </c>
      <c r="E42" s="14">
        <v>-112.76</v>
      </c>
      <c r="F42" s="16">
        <f t="shared" si="6"/>
        <v>-112.76</v>
      </c>
      <c r="G42" s="8">
        <v>0.21</v>
      </c>
      <c r="H42" s="16">
        <f t="shared" si="5"/>
        <v>-23.679600000000001</v>
      </c>
    </row>
    <row r="43" spans="3:8" x14ac:dyDescent="0.2">
      <c r="C43" s="14">
        <v>-4381.3417499999996</v>
      </c>
      <c r="E43" s="14">
        <v>-73.02</v>
      </c>
      <c r="F43" s="16">
        <f t="shared" si="6"/>
        <v>-73.02</v>
      </c>
      <c r="G43" s="8">
        <v>0.21</v>
      </c>
      <c r="H43" s="16">
        <f t="shared" si="5"/>
        <v>-15.334199999999999</v>
      </c>
    </row>
    <row r="44" spans="3:8" x14ac:dyDescent="0.2">
      <c r="C44" s="14">
        <v>-2920.8945000000003</v>
      </c>
      <c r="E44" s="14">
        <v>-15.04</v>
      </c>
      <c r="F44" s="16">
        <f t="shared" si="6"/>
        <v>-15.04</v>
      </c>
      <c r="G44" s="8">
        <v>0.21</v>
      </c>
      <c r="H44" s="16">
        <f t="shared" si="5"/>
        <v>-3.1583999999999999</v>
      </c>
    </row>
    <row r="45" spans="3:8" x14ac:dyDescent="0.2">
      <c r="C45" s="14">
        <v>29295.040000000001</v>
      </c>
      <c r="E45" s="14">
        <v>150.80000000000001</v>
      </c>
      <c r="F45" s="16">
        <f t="shared" si="6"/>
        <v>150.80000000000001</v>
      </c>
      <c r="G45" s="8">
        <v>0.21</v>
      </c>
      <c r="H45" s="16">
        <f t="shared" si="5"/>
        <v>31.668000000000003</v>
      </c>
    </row>
    <row r="46" spans="3:8" x14ac:dyDescent="0.2">
      <c r="C46" s="14">
        <v>21.04</v>
      </c>
      <c r="E46" s="14">
        <v>0</v>
      </c>
      <c r="F46" s="16">
        <f t="shared" si="6"/>
        <v>0</v>
      </c>
      <c r="G46" s="8">
        <v>0.21</v>
      </c>
      <c r="H46" s="16">
        <f t="shared" si="5"/>
        <v>0</v>
      </c>
    </row>
    <row r="47" spans="3:8" x14ac:dyDescent="0.2">
      <c r="C47" s="14">
        <v>15.78</v>
      </c>
      <c r="E47" s="14">
        <v>0.09</v>
      </c>
      <c r="F47" s="16">
        <f t="shared" si="6"/>
        <v>0.09</v>
      </c>
      <c r="G47" s="8">
        <v>0.21</v>
      </c>
      <c r="H47" s="16">
        <f t="shared" si="5"/>
        <v>1.89E-2</v>
      </c>
    </row>
    <row r="48" spans="3:8" x14ac:dyDescent="0.2">
      <c r="C48" s="14">
        <v>3.1559999999999997</v>
      </c>
      <c r="E48" s="14">
        <v>0.05</v>
      </c>
      <c r="F48" s="16">
        <f t="shared" si="6"/>
        <v>0.05</v>
      </c>
      <c r="G48" s="8">
        <v>0.21</v>
      </c>
      <c r="H48" s="16">
        <f t="shared" si="5"/>
        <v>1.0500000000000001E-2</v>
      </c>
    </row>
    <row r="49" spans="3:8" x14ac:dyDescent="0.2">
      <c r="C49" s="14">
        <v>2.1040000000000001</v>
      </c>
      <c r="E49" s="19">
        <v>0.01</v>
      </c>
      <c r="F49" s="34">
        <f t="shared" si="6"/>
        <v>0.01</v>
      </c>
      <c r="G49" s="8">
        <v>0.21</v>
      </c>
      <c r="H49" s="16">
        <f t="shared" si="5"/>
        <v>2.0999999999999999E-3</v>
      </c>
    </row>
    <row r="50" spans="3:8" x14ac:dyDescent="0.2">
      <c r="C50" s="14">
        <v>-7366.77</v>
      </c>
      <c r="E50" s="19">
        <v>0</v>
      </c>
      <c r="F50" s="34">
        <f t="shared" si="6"/>
        <v>0</v>
      </c>
      <c r="G50" s="8">
        <v>0.21</v>
      </c>
      <c r="H50" s="16">
        <f t="shared" si="5"/>
        <v>0</v>
      </c>
    </row>
    <row r="51" spans="3:8" x14ac:dyDescent="0.2">
      <c r="C51" s="14">
        <v>19483.525000000001</v>
      </c>
      <c r="E51" s="19">
        <v>108.41</v>
      </c>
      <c r="F51" s="34">
        <f t="shared" si="6"/>
        <v>108.41</v>
      </c>
      <c r="G51" s="8">
        <v>0.21</v>
      </c>
      <c r="H51" s="16">
        <f t="shared" si="5"/>
        <v>22.766099999999998</v>
      </c>
    </row>
    <row r="52" spans="3:8" x14ac:dyDescent="0.2">
      <c r="C52" s="38">
        <v>10604783.625</v>
      </c>
      <c r="E52" s="19">
        <v>59006.78</v>
      </c>
      <c r="F52" s="34">
        <f t="shared" si="6"/>
        <v>59006.78</v>
      </c>
      <c r="G52" s="8">
        <v>0.21</v>
      </c>
      <c r="H52" s="16">
        <f t="shared" si="5"/>
        <v>12391.423799999999</v>
      </c>
    </row>
    <row r="53" spans="3:8" x14ac:dyDescent="0.2">
      <c r="C53" s="38">
        <v>2120956.7250000001</v>
      </c>
      <c r="E53" s="19">
        <v>35349.279999999999</v>
      </c>
      <c r="F53" s="34">
        <f t="shared" si="6"/>
        <v>35349.279999999999</v>
      </c>
      <c r="G53" s="8">
        <v>0.21</v>
      </c>
      <c r="H53" s="16">
        <f t="shared" si="5"/>
        <v>7423.3487999999998</v>
      </c>
    </row>
    <row r="54" spans="3:8" x14ac:dyDescent="0.2">
      <c r="C54" s="38">
        <v>1413971.1500000004</v>
      </c>
      <c r="E54" s="19">
        <v>7867.57</v>
      </c>
      <c r="F54" s="34">
        <f t="shared" si="6"/>
        <v>7867.57</v>
      </c>
      <c r="G54" s="8">
        <v>0.21</v>
      </c>
      <c r="H54" s="16">
        <f t="shared" si="5"/>
        <v>1652.1896999999999</v>
      </c>
    </row>
    <row r="55" spans="3:8" x14ac:dyDescent="0.2">
      <c r="C55" s="38">
        <v>1496165.44875</v>
      </c>
      <c r="E55" s="19">
        <v>9000.68</v>
      </c>
      <c r="F55" s="34">
        <f t="shared" si="6"/>
        <v>9000.68</v>
      </c>
      <c r="G55" s="8">
        <v>0.21</v>
      </c>
      <c r="H55" s="16">
        <f t="shared" si="5"/>
        <v>1890.1428000000001</v>
      </c>
    </row>
    <row r="56" spans="3:8" x14ac:dyDescent="0.2">
      <c r="C56" s="38">
        <v>299233.08974999998</v>
      </c>
      <c r="E56" s="19">
        <v>4987.22</v>
      </c>
      <c r="F56" s="34">
        <f t="shared" si="6"/>
        <v>4987.22</v>
      </c>
      <c r="G56" s="8">
        <v>0.21</v>
      </c>
      <c r="H56" s="16">
        <f t="shared" si="5"/>
        <v>1047.3162</v>
      </c>
    </row>
    <row r="57" spans="3:8" x14ac:dyDescent="0.2">
      <c r="C57" s="38">
        <v>199488.72650000002</v>
      </c>
      <c r="E57" s="19">
        <v>1200.0899999999999</v>
      </c>
      <c r="F57" s="34">
        <f t="shared" si="6"/>
        <v>1200.0899999999999</v>
      </c>
      <c r="G57" s="8">
        <v>0.21</v>
      </c>
      <c r="H57" s="16">
        <f t="shared" si="5"/>
        <v>252.01889999999997</v>
      </c>
    </row>
    <row r="58" spans="3:8" x14ac:dyDescent="0.2">
      <c r="C58" s="38">
        <v>1251957.9099999999</v>
      </c>
      <c r="E58" s="19">
        <v>3912.37</v>
      </c>
      <c r="F58" s="34">
        <f t="shared" si="6"/>
        <v>3912.37</v>
      </c>
      <c r="G58" s="8">
        <v>0.21</v>
      </c>
      <c r="H58" s="16">
        <f t="shared" si="5"/>
        <v>821.59769999999992</v>
      </c>
    </row>
    <row r="59" spans="3:8" x14ac:dyDescent="0.2">
      <c r="C59" s="38">
        <v>42514.79</v>
      </c>
      <c r="E59" s="19">
        <v>0</v>
      </c>
      <c r="F59" s="34">
        <f t="shared" si="6"/>
        <v>0</v>
      </c>
      <c r="G59" s="8">
        <v>0.21</v>
      </c>
      <c r="H59" s="16">
        <f t="shared" si="5"/>
        <v>0</v>
      </c>
    </row>
    <row r="60" spans="3:8" x14ac:dyDescent="0.2">
      <c r="C60" s="38">
        <v>-100027.2</v>
      </c>
      <c r="E60" s="19">
        <v>-562.59</v>
      </c>
      <c r="F60" s="34">
        <f t="shared" si="6"/>
        <v>-562.59</v>
      </c>
      <c r="G60" s="8">
        <v>0.21</v>
      </c>
      <c r="H60" s="16">
        <f t="shared" si="5"/>
        <v>-118.1439</v>
      </c>
    </row>
    <row r="61" spans="3:8" x14ac:dyDescent="0.2">
      <c r="C61" s="14">
        <v>-27969.923999999995</v>
      </c>
      <c r="E61" s="19">
        <v>-394.24</v>
      </c>
      <c r="F61" s="34">
        <f t="shared" si="6"/>
        <v>-394.24</v>
      </c>
      <c r="G61" s="8">
        <v>0.21</v>
      </c>
      <c r="H61" s="16">
        <f t="shared" si="5"/>
        <v>-82.790400000000005</v>
      </c>
    </row>
    <row r="62" spans="3:8" ht="15" x14ac:dyDescent="0.35">
      <c r="C62" s="30">
        <v>-18646.615999999998</v>
      </c>
      <c r="E62" s="30">
        <v>-98.27</v>
      </c>
      <c r="F62" s="27">
        <f t="shared" si="6"/>
        <v>-98.27</v>
      </c>
      <c r="G62" s="8">
        <v>0.21</v>
      </c>
      <c r="H62" s="16">
        <f t="shared" si="5"/>
        <v>-20.636699999999998</v>
      </c>
    </row>
    <row r="63" spans="3:8" x14ac:dyDescent="0.2">
      <c r="C63" s="16">
        <f>SUM(C25:C62)</f>
        <v>187845086.88499996</v>
      </c>
      <c r="E63" s="16">
        <f>SUM(E25:E62)</f>
        <v>979959.51000000024</v>
      </c>
      <c r="F63" s="16">
        <f>SUM(F25:F62)</f>
        <v>-258947.48999999985</v>
      </c>
      <c r="G63" s="28" t="s">
        <v>41</v>
      </c>
      <c r="H63" s="16">
        <f>SUM(H25:H62)</f>
        <v>-54378.972900000044</v>
      </c>
    </row>
    <row r="64" spans="3:8" ht="15" x14ac:dyDescent="0.35">
      <c r="G64" s="28" t="s">
        <v>42</v>
      </c>
      <c r="H64" s="27">
        <f>-H105*0.21</f>
        <v>-6865.6253400000014</v>
      </c>
    </row>
    <row r="65" spans="3:8" x14ac:dyDescent="0.2">
      <c r="H65" s="16">
        <f>H63+H64</f>
        <v>-61244.598240000043</v>
      </c>
    </row>
    <row r="66" spans="3:8" x14ac:dyDescent="0.2">
      <c r="H66" s="16">
        <f>H65-K15</f>
        <v>-0.1530900000652764</v>
      </c>
    </row>
    <row r="67" spans="3:8" x14ac:dyDescent="0.2">
      <c r="C67" s="18" t="s">
        <v>37</v>
      </c>
      <c r="D67" s="21" t="s">
        <v>33</v>
      </c>
      <c r="E67" s="22" t="s">
        <v>38</v>
      </c>
      <c r="F67" s="18" t="s">
        <v>39</v>
      </c>
      <c r="G67" s="24" t="s">
        <v>27</v>
      </c>
      <c r="H67" s="18" t="s">
        <v>40</v>
      </c>
    </row>
    <row r="68" spans="3:8" x14ac:dyDescent="0.2">
      <c r="C68" s="16">
        <v>34138</v>
      </c>
      <c r="D68" s="16">
        <f>D25</f>
        <v>1238907</v>
      </c>
      <c r="E68" s="16">
        <v>0</v>
      </c>
      <c r="F68" s="16">
        <f>E68-D68</f>
        <v>-1238907</v>
      </c>
      <c r="G68" s="8">
        <v>0.05</v>
      </c>
      <c r="H68" s="16">
        <f>F68*G68</f>
        <v>-61945.350000000006</v>
      </c>
    </row>
    <row r="69" spans="3:8" x14ac:dyDescent="0.2">
      <c r="C69" s="16">
        <v>1726246.5</v>
      </c>
      <c r="E69" s="16">
        <v>7031.58</v>
      </c>
      <c r="F69" s="16">
        <f>E69</f>
        <v>7031.58</v>
      </c>
      <c r="G69" s="8">
        <v>0.05</v>
      </c>
      <c r="H69" s="16">
        <f t="shared" ref="H69:H104" si="7">F69*G69</f>
        <v>351.57900000000001</v>
      </c>
    </row>
    <row r="70" spans="3:8" x14ac:dyDescent="0.2">
      <c r="C70" s="16">
        <v>345249.3</v>
      </c>
      <c r="E70" s="16">
        <v>0</v>
      </c>
      <c r="F70" s="16">
        <f t="shared" ref="F70:F104" si="8">E70</f>
        <v>0</v>
      </c>
      <c r="G70" s="8">
        <v>0.05</v>
      </c>
      <c r="H70" s="16">
        <f t="shared" si="7"/>
        <v>0</v>
      </c>
    </row>
    <row r="71" spans="3:8" x14ac:dyDescent="0.2">
      <c r="C71" s="16">
        <v>230166.2</v>
      </c>
      <c r="E71" s="16">
        <v>937.54</v>
      </c>
      <c r="F71" s="16">
        <f t="shared" si="8"/>
        <v>937.54</v>
      </c>
      <c r="G71" s="8">
        <v>0.05</v>
      </c>
      <c r="H71" s="16">
        <f t="shared" si="7"/>
        <v>46.877000000000002</v>
      </c>
    </row>
    <row r="72" spans="3:8" x14ac:dyDescent="0.2">
      <c r="C72" s="48">
        <v>10406297</v>
      </c>
      <c r="D72" s="47"/>
      <c r="E72" s="48">
        <v>0</v>
      </c>
      <c r="F72" s="48">
        <f t="shared" si="8"/>
        <v>0</v>
      </c>
      <c r="G72" s="45">
        <v>0.05</v>
      </c>
      <c r="H72" s="48">
        <f t="shared" si="7"/>
        <v>0</v>
      </c>
    </row>
    <row r="73" spans="3:8" x14ac:dyDescent="0.2">
      <c r="C73" s="16">
        <v>32248976.25</v>
      </c>
      <c r="E73" s="16">
        <v>142029.87</v>
      </c>
      <c r="F73" s="16">
        <f t="shared" si="8"/>
        <v>142029.87</v>
      </c>
      <c r="G73" s="8">
        <v>0.05</v>
      </c>
      <c r="H73" s="16">
        <f t="shared" si="7"/>
        <v>7101.4935000000005</v>
      </c>
    </row>
    <row r="74" spans="3:8" x14ac:dyDescent="0.2">
      <c r="C74" s="16">
        <v>6449795.25</v>
      </c>
      <c r="E74" s="16">
        <v>44790.239999999998</v>
      </c>
      <c r="F74" s="16">
        <f t="shared" si="8"/>
        <v>44790.239999999998</v>
      </c>
      <c r="G74" s="8">
        <v>0.05</v>
      </c>
      <c r="H74" s="16">
        <f t="shared" si="7"/>
        <v>2239.5120000000002</v>
      </c>
    </row>
    <row r="75" spans="3:8" x14ac:dyDescent="0.2">
      <c r="C75" s="16">
        <v>4299863.5</v>
      </c>
      <c r="E75" s="16">
        <v>18937.32</v>
      </c>
      <c r="F75" s="16">
        <f t="shared" si="8"/>
        <v>18937.32</v>
      </c>
      <c r="G75" s="8">
        <v>0.05</v>
      </c>
      <c r="H75" s="16">
        <f t="shared" si="7"/>
        <v>946.86599999999999</v>
      </c>
    </row>
    <row r="76" spans="3:8" x14ac:dyDescent="0.2">
      <c r="C76" s="16">
        <v>192267074.83500001</v>
      </c>
      <c r="E76" s="16">
        <v>846776.24</v>
      </c>
      <c r="F76" s="16">
        <f t="shared" si="8"/>
        <v>846776.24</v>
      </c>
      <c r="G76" s="8">
        <v>0.05</v>
      </c>
      <c r="H76" s="16">
        <f t="shared" si="7"/>
        <v>42338.812000000005</v>
      </c>
    </row>
    <row r="77" spans="3:8" x14ac:dyDescent="0.2">
      <c r="C77" s="16">
        <v>38143965.266999997</v>
      </c>
      <c r="E77" s="16">
        <v>423821.84</v>
      </c>
      <c r="F77" s="16">
        <f t="shared" si="8"/>
        <v>423821.84</v>
      </c>
      <c r="G77" s="8">
        <v>0.05</v>
      </c>
      <c r="H77" s="16">
        <f t="shared" si="7"/>
        <v>21191.092000000004</v>
      </c>
    </row>
    <row r="78" spans="3:8" x14ac:dyDescent="0.2">
      <c r="C78" s="16">
        <v>25429310.178000003</v>
      </c>
      <c r="E78" s="16">
        <v>111994.92</v>
      </c>
      <c r="F78" s="16">
        <f t="shared" si="8"/>
        <v>111994.92</v>
      </c>
      <c r="G78" s="8">
        <v>0.05</v>
      </c>
      <c r="H78" s="16">
        <f t="shared" si="7"/>
        <v>5599.7460000000001</v>
      </c>
    </row>
    <row r="79" spans="3:8" x14ac:dyDescent="0.2">
      <c r="C79" s="16">
        <v>5070051.5025000004</v>
      </c>
      <c r="E79" s="16">
        <v>24137.67</v>
      </c>
      <c r="F79" s="16">
        <f t="shared" si="8"/>
        <v>24137.67</v>
      </c>
      <c r="G79" s="8">
        <v>0.05</v>
      </c>
      <c r="H79" s="16">
        <f t="shared" si="7"/>
        <v>1206.8834999999999</v>
      </c>
    </row>
    <row r="80" spans="3:8" x14ac:dyDescent="0.2">
      <c r="C80" s="16">
        <v>1014010.3005</v>
      </c>
      <c r="E80" s="16">
        <v>16900.169999999998</v>
      </c>
      <c r="F80" s="16">
        <f t="shared" si="8"/>
        <v>16900.169999999998</v>
      </c>
      <c r="G80" s="8">
        <v>0.05</v>
      </c>
      <c r="H80" s="16">
        <f t="shared" si="7"/>
        <v>845.00849999999991</v>
      </c>
    </row>
    <row r="81" spans="3:9" x14ac:dyDescent="0.2">
      <c r="C81" s="16">
        <v>676006.86699999997</v>
      </c>
      <c r="E81" s="16">
        <v>3218.36</v>
      </c>
      <c r="F81" s="16">
        <f t="shared" si="8"/>
        <v>3218.36</v>
      </c>
      <c r="G81" s="8">
        <v>0.05</v>
      </c>
      <c r="H81" s="16">
        <f t="shared" si="7"/>
        <v>160.91800000000001</v>
      </c>
    </row>
    <row r="82" spans="3:9" x14ac:dyDescent="0.2">
      <c r="C82" s="16">
        <v>7507445.8799999999</v>
      </c>
      <c r="E82" s="16">
        <v>38644.58</v>
      </c>
      <c r="F82" s="16">
        <f t="shared" si="8"/>
        <v>38644.58</v>
      </c>
      <c r="G82" s="8">
        <v>0.05</v>
      </c>
      <c r="H82" s="16">
        <f t="shared" si="7"/>
        <v>1932.2290000000003</v>
      </c>
    </row>
    <row r="83" spans="3:9" x14ac:dyDescent="0.2">
      <c r="C83" s="16">
        <v>1501489.176</v>
      </c>
      <c r="E83" s="16">
        <v>25024.82</v>
      </c>
      <c r="F83" s="16">
        <f t="shared" si="8"/>
        <v>25024.82</v>
      </c>
      <c r="G83" s="8">
        <v>0.05</v>
      </c>
      <c r="H83" s="16">
        <f t="shared" si="7"/>
        <v>1251.241</v>
      </c>
    </row>
    <row r="84" spans="3:9" x14ac:dyDescent="0.2">
      <c r="C84" s="16">
        <v>1000992.784</v>
      </c>
      <c r="E84" s="16">
        <v>5152.6099999999997</v>
      </c>
      <c r="F84" s="16">
        <f t="shared" si="8"/>
        <v>5152.6099999999997</v>
      </c>
      <c r="G84" s="8">
        <v>0.05</v>
      </c>
      <c r="H84" s="16">
        <f t="shared" si="7"/>
        <v>257.63049999999998</v>
      </c>
    </row>
    <row r="85" spans="3:9" x14ac:dyDescent="0.2">
      <c r="C85" s="16">
        <v>-43813.417499999996</v>
      </c>
      <c r="E85" s="16">
        <v>-225.53</v>
      </c>
      <c r="F85" s="16">
        <f t="shared" si="8"/>
        <v>-225.53</v>
      </c>
      <c r="G85" s="8">
        <v>0.05</v>
      </c>
      <c r="H85" s="16">
        <f t="shared" si="7"/>
        <v>-11.2765</v>
      </c>
    </row>
    <row r="86" spans="3:9" x14ac:dyDescent="0.2">
      <c r="C86" s="16">
        <v>-8762.6834999999992</v>
      </c>
      <c r="E86" s="16">
        <v>-146.04</v>
      </c>
      <c r="F86" s="16">
        <f t="shared" si="8"/>
        <v>-146.04</v>
      </c>
      <c r="G86" s="8">
        <v>0.05</v>
      </c>
      <c r="H86" s="16">
        <f t="shared" si="7"/>
        <v>-7.3019999999999996</v>
      </c>
    </row>
    <row r="87" spans="3:9" x14ac:dyDescent="0.2">
      <c r="C87" s="16">
        <v>-5841.7890000000007</v>
      </c>
      <c r="E87" s="16">
        <v>-30.07</v>
      </c>
      <c r="F87" s="16">
        <f t="shared" si="8"/>
        <v>-30.07</v>
      </c>
      <c r="G87" s="8">
        <v>0.05</v>
      </c>
      <c r="H87" s="16">
        <f t="shared" si="7"/>
        <v>-1.5035000000000001</v>
      </c>
    </row>
    <row r="88" spans="3:9" x14ac:dyDescent="0.2">
      <c r="C88" s="16">
        <v>58590.080000000002</v>
      </c>
      <c r="E88" s="16">
        <v>301.58999999999997</v>
      </c>
      <c r="F88" s="16">
        <f t="shared" si="8"/>
        <v>301.58999999999997</v>
      </c>
      <c r="G88" s="8">
        <v>0.05</v>
      </c>
      <c r="H88" s="16">
        <f t="shared" si="7"/>
        <v>15.079499999999999</v>
      </c>
    </row>
    <row r="89" spans="3:9" x14ac:dyDescent="0.2">
      <c r="C89" s="16">
        <v>31.56</v>
      </c>
      <c r="E89" s="16">
        <v>0.18</v>
      </c>
      <c r="F89" s="16">
        <f t="shared" si="8"/>
        <v>0.18</v>
      </c>
      <c r="G89" s="8">
        <v>0.05</v>
      </c>
      <c r="H89" s="16">
        <f t="shared" si="7"/>
        <v>8.9999999999999993E-3</v>
      </c>
    </row>
    <row r="90" spans="3:9" x14ac:dyDescent="0.2">
      <c r="C90" s="16">
        <v>6.3119999999999994</v>
      </c>
      <c r="E90" s="16">
        <v>0.11</v>
      </c>
      <c r="F90" s="16">
        <f t="shared" si="8"/>
        <v>0.11</v>
      </c>
      <c r="G90" s="8">
        <v>0.05</v>
      </c>
      <c r="H90" s="16">
        <f t="shared" si="7"/>
        <v>5.5000000000000005E-3</v>
      </c>
    </row>
    <row r="91" spans="3:9" x14ac:dyDescent="0.2">
      <c r="C91" s="16">
        <v>4.2080000000000002</v>
      </c>
      <c r="E91" s="34">
        <v>0.02</v>
      </c>
      <c r="F91" s="34">
        <f t="shared" si="8"/>
        <v>0.02</v>
      </c>
      <c r="G91" s="36">
        <v>0.05</v>
      </c>
      <c r="H91" s="16">
        <f t="shared" si="7"/>
        <v>1E-3</v>
      </c>
      <c r="I91" s="28"/>
    </row>
    <row r="92" spans="3:9" x14ac:dyDescent="0.2">
      <c r="C92" s="16">
        <v>-14733.54</v>
      </c>
      <c r="E92" s="34">
        <v>0</v>
      </c>
      <c r="F92" s="34">
        <f t="shared" si="8"/>
        <v>0</v>
      </c>
      <c r="G92" s="36">
        <v>0.05</v>
      </c>
      <c r="H92" s="16">
        <f t="shared" si="7"/>
        <v>0</v>
      </c>
      <c r="I92" s="28"/>
    </row>
    <row r="93" spans="3:9" x14ac:dyDescent="0.2">
      <c r="C93" s="16">
        <v>38967.050000000003</v>
      </c>
      <c r="E93" s="34">
        <v>216.82</v>
      </c>
      <c r="F93" s="34">
        <f t="shared" si="8"/>
        <v>216.82</v>
      </c>
      <c r="G93" s="36">
        <v>0.05</v>
      </c>
      <c r="H93" s="16">
        <f t="shared" si="7"/>
        <v>10.841000000000001</v>
      </c>
      <c r="I93" s="28"/>
    </row>
    <row r="94" spans="3:9" x14ac:dyDescent="0.2">
      <c r="C94" s="16">
        <v>15571837.4025</v>
      </c>
      <c r="E94" s="34">
        <v>86644.3</v>
      </c>
      <c r="F94" s="34">
        <f t="shared" si="8"/>
        <v>86644.3</v>
      </c>
      <c r="G94" s="36">
        <v>0.05</v>
      </c>
      <c r="H94" s="16">
        <f t="shared" si="7"/>
        <v>4332.2150000000001</v>
      </c>
      <c r="I94" s="28"/>
    </row>
    <row r="95" spans="3:9" x14ac:dyDescent="0.2">
      <c r="C95" s="16">
        <v>3114367.4805000001</v>
      </c>
      <c r="E95" s="34">
        <v>51906.12</v>
      </c>
      <c r="F95" s="34">
        <f t="shared" si="8"/>
        <v>51906.12</v>
      </c>
      <c r="G95" s="36">
        <v>0.05</v>
      </c>
      <c r="H95" s="16">
        <f t="shared" si="7"/>
        <v>2595.3060000000005</v>
      </c>
      <c r="I95" s="28"/>
    </row>
    <row r="96" spans="3:9" x14ac:dyDescent="0.2">
      <c r="C96" s="16">
        <v>2076244.9870000002</v>
      </c>
      <c r="E96" s="34">
        <v>11552.57</v>
      </c>
      <c r="F96" s="34">
        <f t="shared" si="8"/>
        <v>11552.57</v>
      </c>
      <c r="G96" s="36">
        <v>0.05</v>
      </c>
      <c r="H96" s="16">
        <f t="shared" si="7"/>
        <v>577.62850000000003</v>
      </c>
      <c r="I96" s="28"/>
    </row>
    <row r="97" spans="3:9" x14ac:dyDescent="0.2">
      <c r="C97" s="16">
        <v>2992330.8975</v>
      </c>
      <c r="E97" s="34">
        <v>18001.36</v>
      </c>
      <c r="F97" s="34">
        <f t="shared" si="8"/>
        <v>18001.36</v>
      </c>
      <c r="G97" s="36">
        <v>0.05</v>
      </c>
      <c r="H97" s="16">
        <f t="shared" si="7"/>
        <v>900.0680000000001</v>
      </c>
      <c r="I97" s="28"/>
    </row>
    <row r="98" spans="3:9" x14ac:dyDescent="0.2">
      <c r="C98" s="16">
        <v>598466.17949999997</v>
      </c>
      <c r="E98" s="34">
        <v>9974.44</v>
      </c>
      <c r="F98" s="34">
        <f t="shared" si="8"/>
        <v>9974.44</v>
      </c>
      <c r="G98" s="36">
        <v>0.05</v>
      </c>
      <c r="H98" s="16">
        <f t="shared" si="7"/>
        <v>498.72200000000004</v>
      </c>
      <c r="I98" s="28"/>
    </row>
    <row r="99" spans="3:9" x14ac:dyDescent="0.2">
      <c r="C99" s="16">
        <v>398977.45300000004</v>
      </c>
      <c r="E99" s="34">
        <v>2325.1799999999998</v>
      </c>
      <c r="F99" s="34">
        <f t="shared" si="8"/>
        <v>2325.1799999999998</v>
      </c>
      <c r="G99" s="36">
        <v>0.05</v>
      </c>
      <c r="H99" s="16">
        <f t="shared" si="7"/>
        <v>116.259</v>
      </c>
      <c r="I99" s="28"/>
    </row>
    <row r="100" spans="3:9" x14ac:dyDescent="0.2">
      <c r="C100" s="16">
        <v>1251957.9099999999</v>
      </c>
      <c r="E100" s="34">
        <v>3912.37</v>
      </c>
      <c r="F100" s="34">
        <f t="shared" si="8"/>
        <v>3912.37</v>
      </c>
      <c r="G100" s="36">
        <v>0.05</v>
      </c>
      <c r="H100" s="16">
        <f t="shared" si="7"/>
        <v>195.61850000000001</v>
      </c>
      <c r="I100" s="28"/>
    </row>
    <row r="101" spans="3:9" x14ac:dyDescent="0.2">
      <c r="C101" s="16">
        <v>42514.79</v>
      </c>
      <c r="E101" s="34">
        <v>0</v>
      </c>
      <c r="F101" s="34">
        <f t="shared" si="8"/>
        <v>0</v>
      </c>
      <c r="G101" s="36">
        <v>0.05</v>
      </c>
      <c r="H101" s="16">
        <f t="shared" si="7"/>
        <v>0</v>
      </c>
      <c r="I101" s="28"/>
    </row>
    <row r="102" spans="3:9" x14ac:dyDescent="0.2">
      <c r="C102" s="16">
        <v>-100027.2</v>
      </c>
      <c r="E102" s="34">
        <v>-562.59</v>
      </c>
      <c r="F102" s="34">
        <f t="shared" si="8"/>
        <v>-562.59</v>
      </c>
      <c r="G102" s="36">
        <v>0.05</v>
      </c>
      <c r="H102" s="16">
        <f t="shared" si="7"/>
        <v>-28.129500000000004</v>
      </c>
      <c r="I102" s="28"/>
    </row>
    <row r="103" spans="3:9" x14ac:dyDescent="0.2">
      <c r="C103" s="16">
        <v>-27969.923999999995</v>
      </c>
      <c r="D103" s="28"/>
      <c r="E103" s="34">
        <v>-394.24</v>
      </c>
      <c r="F103" s="34">
        <f t="shared" si="8"/>
        <v>-394.24</v>
      </c>
      <c r="G103" s="36">
        <v>0.05</v>
      </c>
      <c r="H103" s="16">
        <f t="shared" si="7"/>
        <v>-19.712000000000003</v>
      </c>
      <c r="I103" s="28"/>
    </row>
    <row r="104" spans="3:9" ht="15" x14ac:dyDescent="0.35">
      <c r="C104" s="27">
        <v>-18646.615999999998</v>
      </c>
      <c r="D104" s="28"/>
      <c r="E104" s="27">
        <v>-98.27</v>
      </c>
      <c r="F104" s="27">
        <f t="shared" si="8"/>
        <v>-98.27</v>
      </c>
      <c r="G104" s="36">
        <v>0.05</v>
      </c>
      <c r="H104" s="27">
        <f t="shared" si="7"/>
        <v>-4.9135</v>
      </c>
      <c r="I104" s="28"/>
    </row>
    <row r="105" spans="3:9" x14ac:dyDescent="0.2">
      <c r="C105" s="16">
        <f>SUM(C68:C104)</f>
        <v>354275579.92999983</v>
      </c>
      <c r="E105" s="16">
        <f>SUM(E68:E104)</f>
        <v>1892776.0800000005</v>
      </c>
      <c r="F105" s="16">
        <f>SUM(F68:F104)</f>
        <v>653869.08000000007</v>
      </c>
      <c r="H105" s="16">
        <f>SUM(H68:H104)</f>
        <v>32693.454000000009</v>
      </c>
    </row>
    <row r="106" spans="3:9" x14ac:dyDescent="0.2">
      <c r="H106" s="16">
        <f>H105-L15</f>
        <v>9.0000000127474777E-3</v>
      </c>
    </row>
  </sheetData>
  <mergeCells count="1">
    <mergeCell ref="A1:N1"/>
  </mergeCells>
  <pageMargins left="0.7" right="0.7" top="1.15625" bottom="0.75" header="0.3" footer="0.3"/>
  <pageSetup scale="48" orientation="portrait" r:id="rId1"/>
  <headerFooter>
    <oddHeader>&amp;R&amp;"Times New Roman,Bold"&amp;12Attachment to Response to Question 3
Page &amp;P of &amp;N
Williams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N18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9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1046428</v>
      </c>
    </row>
    <row r="10" spans="1:14" x14ac:dyDescent="0.2">
      <c r="A10" s="33">
        <v>43533</v>
      </c>
      <c r="C10" s="7">
        <v>9031671</v>
      </c>
      <c r="D10" s="14">
        <v>8705</v>
      </c>
      <c r="E10" s="19">
        <f t="shared" ref="E10:F12" si="0">33534.21</f>
        <v>33534.21</v>
      </c>
      <c r="F10" s="14">
        <f t="shared" si="0"/>
        <v>33534.21</v>
      </c>
      <c r="G10" s="7">
        <f t="shared" ref="G10:G15" si="1">E10-D10</f>
        <v>24829.21</v>
      </c>
      <c r="H10" s="7">
        <f t="shared" ref="H10:H15" si="2">F10-D10</f>
        <v>24829.21</v>
      </c>
      <c r="I10" s="8">
        <v>0.21</v>
      </c>
      <c r="J10" s="8">
        <v>0.05</v>
      </c>
      <c r="K10" s="7">
        <f t="shared" ref="K10:K15" si="3">G10*I10-L10*I10</f>
        <v>4953.4273949999997</v>
      </c>
      <c r="L10" s="7">
        <f t="shared" ref="L10:L15" si="4">H10*J10</f>
        <v>1241.4605000000001</v>
      </c>
      <c r="M10" s="7">
        <f t="shared" ref="M10:M15" si="5">M9+K10+L10</f>
        <v>1052622.8878949999</v>
      </c>
      <c r="N10" s="7">
        <v>0</v>
      </c>
    </row>
    <row r="11" spans="1:14" x14ac:dyDescent="0.2">
      <c r="A11" s="32">
        <v>43556</v>
      </c>
      <c r="C11" s="7">
        <v>9031671</v>
      </c>
      <c r="D11" s="14">
        <v>8705</v>
      </c>
      <c r="E11" s="19">
        <f t="shared" si="0"/>
        <v>33534.21</v>
      </c>
      <c r="F11" s="14">
        <f t="shared" si="0"/>
        <v>33534.21</v>
      </c>
      <c r="G11" s="7">
        <f t="shared" si="1"/>
        <v>24829.21</v>
      </c>
      <c r="H11" s="7">
        <f t="shared" si="2"/>
        <v>24829.21</v>
      </c>
      <c r="I11" s="8">
        <v>0.21</v>
      </c>
      <c r="J11" s="8">
        <v>0.05</v>
      </c>
      <c r="K11" s="7">
        <f t="shared" si="3"/>
        <v>4953.4273949999997</v>
      </c>
      <c r="L11" s="7">
        <f t="shared" si="4"/>
        <v>1241.4605000000001</v>
      </c>
      <c r="M11" s="18">
        <f t="shared" si="5"/>
        <v>1058817.7757899999</v>
      </c>
      <c r="N11" s="7">
        <v>0</v>
      </c>
    </row>
    <row r="12" spans="1:14" x14ac:dyDescent="0.2">
      <c r="A12" s="32">
        <v>43586</v>
      </c>
      <c r="C12" s="7">
        <v>9031671</v>
      </c>
      <c r="D12" s="14">
        <v>11499</v>
      </c>
      <c r="E12" s="14">
        <f t="shared" si="0"/>
        <v>33534.21</v>
      </c>
      <c r="F12" s="14">
        <f t="shared" si="0"/>
        <v>33534.21</v>
      </c>
      <c r="G12" s="7">
        <f t="shared" si="1"/>
        <v>22035.21</v>
      </c>
      <c r="H12" s="7">
        <f t="shared" si="2"/>
        <v>22035.21</v>
      </c>
      <c r="I12" s="8">
        <v>0.21</v>
      </c>
      <c r="J12" s="8">
        <v>0.05</v>
      </c>
      <c r="K12" s="7">
        <f t="shared" si="3"/>
        <v>4396.0243949999995</v>
      </c>
      <c r="L12" s="7">
        <f t="shared" si="4"/>
        <v>1101.7605000000001</v>
      </c>
      <c r="M12" s="7">
        <f t="shared" si="5"/>
        <v>1064315.5606849999</v>
      </c>
      <c r="N12" s="7">
        <v>0</v>
      </c>
    </row>
    <row r="13" spans="1:14" x14ac:dyDescent="0.2">
      <c r="A13" s="32">
        <v>43617</v>
      </c>
      <c r="C13" s="7">
        <v>9031671</v>
      </c>
      <c r="D13" s="14">
        <v>11499</v>
      </c>
      <c r="E13" s="14">
        <f t="shared" ref="E13:F15" si="6">33534.21</f>
        <v>33534.21</v>
      </c>
      <c r="F13" s="14">
        <f t="shared" si="6"/>
        <v>33534.21</v>
      </c>
      <c r="G13" s="7">
        <f t="shared" si="1"/>
        <v>22035.21</v>
      </c>
      <c r="H13" s="7">
        <f t="shared" si="2"/>
        <v>22035.21</v>
      </c>
      <c r="I13" s="8">
        <v>0.21</v>
      </c>
      <c r="J13" s="8">
        <v>0.05</v>
      </c>
      <c r="K13" s="7">
        <f t="shared" si="3"/>
        <v>4396.0243949999995</v>
      </c>
      <c r="L13" s="7">
        <f t="shared" si="4"/>
        <v>1101.7605000000001</v>
      </c>
      <c r="M13" s="7">
        <f t="shared" si="5"/>
        <v>1069813.34558</v>
      </c>
      <c r="N13" s="7">
        <v>0</v>
      </c>
    </row>
    <row r="14" spans="1:14" x14ac:dyDescent="0.2">
      <c r="A14" s="32">
        <v>43647</v>
      </c>
      <c r="C14" s="7">
        <v>9031671</v>
      </c>
      <c r="D14" s="14">
        <v>11499</v>
      </c>
      <c r="E14" s="14">
        <f t="shared" si="6"/>
        <v>33534.21</v>
      </c>
      <c r="F14" s="14">
        <f t="shared" si="6"/>
        <v>33534.21</v>
      </c>
      <c r="G14" s="7">
        <f t="shared" si="1"/>
        <v>22035.21</v>
      </c>
      <c r="H14" s="7">
        <f t="shared" si="2"/>
        <v>22035.21</v>
      </c>
      <c r="I14" s="8">
        <v>0.21</v>
      </c>
      <c r="J14" s="8">
        <v>0.05</v>
      </c>
      <c r="K14" s="7">
        <f t="shared" si="3"/>
        <v>4396.0243949999995</v>
      </c>
      <c r="L14" s="7">
        <f t="shared" si="4"/>
        <v>1101.7605000000001</v>
      </c>
      <c r="M14" s="7">
        <f t="shared" si="5"/>
        <v>1075311.130475</v>
      </c>
      <c r="N14" s="7">
        <v>0</v>
      </c>
    </row>
    <row r="15" spans="1:14" x14ac:dyDescent="0.2">
      <c r="A15" s="32">
        <v>43678</v>
      </c>
      <c r="C15" s="7">
        <v>9031671</v>
      </c>
      <c r="D15" s="14">
        <v>11499</v>
      </c>
      <c r="E15" s="14">
        <f t="shared" si="6"/>
        <v>33534.21</v>
      </c>
      <c r="F15" s="14">
        <f t="shared" si="6"/>
        <v>33534.21</v>
      </c>
      <c r="G15" s="7">
        <f t="shared" si="1"/>
        <v>22035.21</v>
      </c>
      <c r="H15" s="7">
        <f t="shared" si="2"/>
        <v>22035.21</v>
      </c>
      <c r="I15" s="8">
        <v>0.21</v>
      </c>
      <c r="J15" s="8">
        <v>0.05</v>
      </c>
      <c r="K15" s="7">
        <f t="shared" si="3"/>
        <v>4396.0243949999995</v>
      </c>
      <c r="L15" s="7">
        <f t="shared" si="4"/>
        <v>1101.7605000000001</v>
      </c>
      <c r="M15" s="7">
        <f t="shared" si="5"/>
        <v>1080808.9153700001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</sheetData>
  <mergeCells count="1">
    <mergeCell ref="A1:N1"/>
  </mergeCells>
  <pageMargins left="0.7" right="0.7" top="1.15625" bottom="0.75" header="0.3" footer="0.3"/>
  <pageSetup scale="52" orientation="portrait" r:id="rId1"/>
  <headerFooter>
    <oddHeader>&amp;R&amp;"Times New Roman,Bold"&amp;12Attachment to Response to Question 3
Page &amp;P of &amp;N
Williams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17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727694</v>
      </c>
    </row>
    <row r="10" spans="1:14" x14ac:dyDescent="0.2">
      <c r="A10" s="33">
        <v>43533</v>
      </c>
      <c r="C10" s="7">
        <v>5154734</v>
      </c>
      <c r="D10" s="14">
        <v>7754</v>
      </c>
      <c r="E10" s="14">
        <f>10059.62</f>
        <v>10059.620000000001</v>
      </c>
      <c r="F10" s="14">
        <f>19010.31</f>
        <v>19010.310000000001</v>
      </c>
      <c r="G10" s="7">
        <f t="shared" ref="G10:G15" si="0">E10-D10</f>
        <v>2305.6200000000008</v>
      </c>
      <c r="H10" s="7">
        <f t="shared" ref="H10:H15" si="1">F10-D10</f>
        <v>11256.310000000001</v>
      </c>
      <c r="I10" s="8">
        <v>0.21</v>
      </c>
      <c r="J10" s="8">
        <v>0.05</v>
      </c>
      <c r="K10" s="7">
        <f t="shared" ref="K10:K15" si="2">G10*I10-L10*I10</f>
        <v>365.98894500000011</v>
      </c>
      <c r="L10" s="7">
        <f t="shared" ref="L10:L15" si="3">H10*J10</f>
        <v>562.81550000000004</v>
      </c>
      <c r="M10" s="7">
        <f t="shared" ref="M10:M15" si="4">M9+K10+L10</f>
        <v>728622.80444500002</v>
      </c>
      <c r="N10" s="7">
        <v>0</v>
      </c>
    </row>
    <row r="11" spans="1:14" x14ac:dyDescent="0.2">
      <c r="A11" s="32">
        <v>43556</v>
      </c>
      <c r="C11" s="7">
        <v>66431266</v>
      </c>
      <c r="D11" s="14">
        <v>68265</v>
      </c>
      <c r="E11" s="14">
        <f>(2886652.35-63340)*0+2167504.17+665800</f>
        <v>2833304.17</v>
      </c>
      <c r="F11" s="14">
        <f>(274329.19-3000)*0+210499.47+7720</f>
        <v>218219.47</v>
      </c>
      <c r="G11" s="7">
        <f t="shared" si="0"/>
        <v>2765039.17</v>
      </c>
      <c r="H11" s="7">
        <f t="shared" si="1"/>
        <v>149954.47</v>
      </c>
      <c r="I11" s="8">
        <v>0.21</v>
      </c>
      <c r="J11" s="8">
        <v>0.05</v>
      </c>
      <c r="K11" s="7">
        <f t="shared" si="2"/>
        <v>579083.70376499998</v>
      </c>
      <c r="L11" s="7">
        <f t="shared" si="3"/>
        <v>7497.7235000000001</v>
      </c>
      <c r="M11" s="18">
        <f t="shared" si="4"/>
        <v>1315204.2317100002</v>
      </c>
      <c r="N11" s="7">
        <v>0</v>
      </c>
    </row>
    <row r="12" spans="1:14" x14ac:dyDescent="0.2">
      <c r="A12" s="32">
        <v>43586</v>
      </c>
      <c r="C12" s="7">
        <v>67001710</v>
      </c>
      <c r="D12" s="14">
        <v>118939</v>
      </c>
      <c r="E12" s="14">
        <f>(2886652.35-63340)*0+2167504.17+665800+71405</f>
        <v>2904709.17</v>
      </c>
      <c r="F12" s="14">
        <f>(274329.19-3000)*0+210499.47+7720+2600</f>
        <v>220819.47</v>
      </c>
      <c r="G12" s="7">
        <f t="shared" si="0"/>
        <v>2785770.17</v>
      </c>
      <c r="H12" s="7">
        <f t="shared" si="1"/>
        <v>101880.47</v>
      </c>
      <c r="I12" s="8">
        <v>0.21</v>
      </c>
      <c r="J12" s="8">
        <v>0.05</v>
      </c>
      <c r="K12" s="7">
        <f t="shared" si="2"/>
        <v>583941.990765</v>
      </c>
      <c r="L12" s="7">
        <f t="shared" si="3"/>
        <v>5094.0235000000002</v>
      </c>
      <c r="M12" s="7">
        <f t="shared" si="4"/>
        <v>1904240.2459750001</v>
      </c>
      <c r="N12" s="7">
        <v>0</v>
      </c>
    </row>
    <row r="13" spans="1:14" x14ac:dyDescent="0.2">
      <c r="A13" s="32">
        <v>43617</v>
      </c>
      <c r="C13" s="7">
        <v>67001710</v>
      </c>
      <c r="D13" s="14">
        <v>118939</v>
      </c>
      <c r="E13" s="14">
        <f>(2886652.35-63340)*0+2167504.17+665800+71405-4</f>
        <v>2904705.17</v>
      </c>
      <c r="F13" s="14">
        <f>(274329.19-3000)*0+210499.47+7720+2600</f>
        <v>220819.47</v>
      </c>
      <c r="G13" s="7">
        <f t="shared" si="0"/>
        <v>2785766.17</v>
      </c>
      <c r="H13" s="7">
        <f t="shared" si="1"/>
        <v>101880.47</v>
      </c>
      <c r="I13" s="8">
        <v>0.21</v>
      </c>
      <c r="J13" s="8">
        <v>0.05</v>
      </c>
      <c r="K13" s="7">
        <f t="shared" si="2"/>
        <v>583941.15076500003</v>
      </c>
      <c r="L13" s="7">
        <f t="shared" si="3"/>
        <v>5094.0235000000002</v>
      </c>
      <c r="M13" s="7">
        <f t="shared" si="4"/>
        <v>2493275.4202400004</v>
      </c>
      <c r="N13" s="7">
        <v>0</v>
      </c>
    </row>
    <row r="14" spans="1:14" x14ac:dyDescent="0.2">
      <c r="A14" s="32">
        <v>43647</v>
      </c>
      <c r="C14" s="7">
        <v>67001710</v>
      </c>
      <c r="D14" s="14">
        <v>118939</v>
      </c>
      <c r="E14" s="14">
        <f>(2886652.35-63340)*0+2167504.17+665800+71405-4-1</f>
        <v>2904704.17</v>
      </c>
      <c r="F14" s="14">
        <f>(274329.19-3000)*0+210499.47+7720+2600</f>
        <v>220819.47</v>
      </c>
      <c r="G14" s="7">
        <f t="shared" si="0"/>
        <v>2785765.17</v>
      </c>
      <c r="H14" s="7">
        <f t="shared" si="1"/>
        <v>101880.47</v>
      </c>
      <c r="I14" s="8">
        <v>0.21</v>
      </c>
      <c r="J14" s="8">
        <v>0.05</v>
      </c>
      <c r="K14" s="7">
        <f t="shared" si="2"/>
        <v>583940.94076499995</v>
      </c>
      <c r="L14" s="7">
        <f t="shared" si="3"/>
        <v>5094.0235000000002</v>
      </c>
      <c r="M14" s="7">
        <f t="shared" si="4"/>
        <v>3082310.3845050004</v>
      </c>
      <c r="N14" s="7">
        <v>0</v>
      </c>
    </row>
    <row r="15" spans="1:14" x14ac:dyDescent="0.2">
      <c r="A15" s="32">
        <v>43678</v>
      </c>
      <c r="C15" s="7">
        <v>67001710</v>
      </c>
      <c r="D15" s="14">
        <v>118939</v>
      </c>
      <c r="E15" s="14">
        <f>(2886652.35-63340)*0+2167504.17+665800+71405-4-1</f>
        <v>2904704.17</v>
      </c>
      <c r="F15" s="14">
        <f>(274329.19-3000)*0+210499.47+7720+2600</f>
        <v>220819.47</v>
      </c>
      <c r="G15" s="7">
        <f t="shared" si="0"/>
        <v>2785765.17</v>
      </c>
      <c r="H15" s="7">
        <f t="shared" si="1"/>
        <v>101880.47</v>
      </c>
      <c r="I15" s="8">
        <v>0.21</v>
      </c>
      <c r="J15" s="8">
        <v>0.05</v>
      </c>
      <c r="K15" s="7">
        <f t="shared" si="2"/>
        <v>583940.94076499995</v>
      </c>
      <c r="L15" s="7">
        <f t="shared" si="3"/>
        <v>5094.0235000000002</v>
      </c>
      <c r="M15" s="7">
        <f t="shared" si="4"/>
        <v>3671345.3487700005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46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7">
        <v>1880068.145</v>
      </c>
      <c r="D25" s="7">
        <v>118939</v>
      </c>
      <c r="E25" s="7">
        <v>8950.69</v>
      </c>
      <c r="F25" s="7">
        <f>E25-D25</f>
        <v>-109988.31</v>
      </c>
      <c r="G25" s="8">
        <v>0.21</v>
      </c>
      <c r="H25" s="7">
        <f>F25*G25</f>
        <v>-23097.545099999999</v>
      </c>
    </row>
    <row r="26" spans="1:14" x14ac:dyDescent="0.2">
      <c r="C26" s="7">
        <v>1210263</v>
      </c>
      <c r="D26" s="7"/>
      <c r="E26" s="7">
        <v>0</v>
      </c>
      <c r="F26" s="7">
        <f t="shared" ref="F26:F30" si="5">E26-D26</f>
        <v>0</v>
      </c>
      <c r="G26" s="8">
        <v>0.21</v>
      </c>
      <c r="H26" s="7">
        <f t="shared" ref="H26:H30" si="6">F26*G26</f>
        <v>0</v>
      </c>
    </row>
    <row r="27" spans="1:14" x14ac:dyDescent="0.2">
      <c r="C27" s="7">
        <v>184335.37</v>
      </c>
      <c r="D27" s="7"/>
      <c r="E27" s="7">
        <v>1108.93</v>
      </c>
      <c r="F27" s="7">
        <f t="shared" si="5"/>
        <v>1108.93</v>
      </c>
      <c r="G27" s="8">
        <v>0.21</v>
      </c>
      <c r="H27" s="7">
        <f t="shared" si="6"/>
        <v>232.87530000000001</v>
      </c>
    </row>
    <row r="28" spans="1:14" x14ac:dyDescent="0.2">
      <c r="C28" s="7">
        <v>24510612.563999999</v>
      </c>
      <c r="D28" s="7"/>
      <c r="E28" s="7">
        <f>2042551.05+737200</f>
        <v>2779751.05</v>
      </c>
      <c r="F28" s="7">
        <f t="shared" si="5"/>
        <v>2779751.05</v>
      </c>
      <c r="G28" s="8">
        <v>0.21</v>
      </c>
      <c r="H28" s="7">
        <f t="shared" si="6"/>
        <v>583747.72049999994</v>
      </c>
    </row>
    <row r="29" spans="1:14" x14ac:dyDescent="0.2">
      <c r="C29" s="7">
        <v>36765918.845999993</v>
      </c>
      <c r="D29" s="7"/>
      <c r="E29" s="7">
        <v>114893.5</v>
      </c>
      <c r="F29" s="7">
        <f t="shared" si="5"/>
        <v>114893.5</v>
      </c>
      <c r="G29" s="8">
        <v>0.21</v>
      </c>
      <c r="H29" s="7">
        <f t="shared" si="6"/>
        <v>24127.634999999998</v>
      </c>
    </row>
    <row r="30" spans="1:14" ht="15" x14ac:dyDescent="0.35">
      <c r="C30" s="26">
        <v>570444.23</v>
      </c>
      <c r="D30" s="7"/>
      <c r="E30" s="26">
        <v>0</v>
      </c>
      <c r="F30" s="26">
        <f t="shared" si="5"/>
        <v>0</v>
      </c>
      <c r="G30" s="8">
        <v>0.21</v>
      </c>
      <c r="H30" s="26">
        <f t="shared" si="6"/>
        <v>0</v>
      </c>
    </row>
    <row r="31" spans="1:14" x14ac:dyDescent="0.2">
      <c r="C31" s="7">
        <f>SUM(C25:C30)</f>
        <v>65121642.154999994</v>
      </c>
      <c r="D31" s="7"/>
      <c r="E31" s="7">
        <f>SUM(E25:E30)</f>
        <v>2904704.17</v>
      </c>
      <c r="F31" s="7">
        <f>SUM(F25:F30)</f>
        <v>2785765.17</v>
      </c>
      <c r="G31" s="36" t="s">
        <v>41</v>
      </c>
      <c r="H31" s="7">
        <f>SUM(H25:H30)</f>
        <v>585010.68569999991</v>
      </c>
    </row>
    <row r="32" spans="1:14" ht="15" x14ac:dyDescent="0.35">
      <c r="G32" s="28" t="s">
        <v>42</v>
      </c>
      <c r="H32" s="26">
        <f>-H41*0.21</f>
        <v>-1069.7449349999999</v>
      </c>
    </row>
    <row r="33" spans="3:8" x14ac:dyDescent="0.2">
      <c r="H33" s="7">
        <f>H31+H32</f>
        <v>583940.94076499995</v>
      </c>
    </row>
    <row r="34" spans="3:8" x14ac:dyDescent="0.2">
      <c r="H34" s="7">
        <f>H33-K15</f>
        <v>0</v>
      </c>
    </row>
    <row r="35" spans="3:8" x14ac:dyDescent="0.2">
      <c r="C35" s="18" t="s">
        <v>37</v>
      </c>
      <c r="D35" s="21" t="s">
        <v>33</v>
      </c>
      <c r="E35" s="22" t="s">
        <v>38</v>
      </c>
      <c r="F35" s="18" t="s">
        <v>39</v>
      </c>
      <c r="G35" s="24" t="s">
        <v>27</v>
      </c>
      <c r="H35" s="18" t="s">
        <v>40</v>
      </c>
    </row>
    <row r="36" spans="3:8" x14ac:dyDescent="0.2">
      <c r="C36" s="7">
        <v>3760136.29</v>
      </c>
      <c r="D36" s="7">
        <f>D25</f>
        <v>118939</v>
      </c>
      <c r="E36" s="7">
        <v>17901.38</v>
      </c>
      <c r="F36" s="7">
        <f>E36-D36</f>
        <v>-101037.62</v>
      </c>
      <c r="G36" s="8">
        <v>0.05</v>
      </c>
      <c r="H36" s="7">
        <f>F36*G36</f>
        <v>-5051.8810000000003</v>
      </c>
    </row>
    <row r="37" spans="3:8" x14ac:dyDescent="0.2">
      <c r="C37" s="7">
        <v>1210263</v>
      </c>
      <c r="D37" s="7"/>
      <c r="E37" s="7">
        <v>0</v>
      </c>
      <c r="F37" s="7">
        <f t="shared" ref="F37:F40" si="7">E37-D37</f>
        <v>0</v>
      </c>
      <c r="G37" s="8">
        <v>0.05</v>
      </c>
      <c r="H37" s="7">
        <f t="shared" ref="H37:H40" si="8">F37*G37</f>
        <v>0</v>
      </c>
    </row>
    <row r="38" spans="3:8" x14ac:dyDescent="0.2">
      <c r="C38" s="7">
        <v>184335.37</v>
      </c>
      <c r="D38" s="7"/>
      <c r="E38" s="7">
        <v>1108.93</v>
      </c>
      <c r="F38" s="7">
        <f t="shared" si="7"/>
        <v>1108.93</v>
      </c>
      <c r="G38" s="8">
        <v>0.05</v>
      </c>
      <c r="H38" s="7">
        <f t="shared" si="8"/>
        <v>55.446500000000007</v>
      </c>
    </row>
    <row r="39" spans="3:8" x14ac:dyDescent="0.2">
      <c r="C39" s="7">
        <v>61276531.409999996</v>
      </c>
      <c r="D39" s="7"/>
      <c r="E39" s="7">
        <f>191489.16+10320</f>
        <v>201809.16</v>
      </c>
      <c r="F39" s="7">
        <f t="shared" si="7"/>
        <v>201809.16</v>
      </c>
      <c r="G39" s="8">
        <v>0.05</v>
      </c>
      <c r="H39" s="7">
        <f t="shared" si="8"/>
        <v>10090.458000000001</v>
      </c>
    </row>
    <row r="40" spans="3:8" ht="15" x14ac:dyDescent="0.35">
      <c r="C40" s="26">
        <v>570444.23</v>
      </c>
      <c r="D40" s="7"/>
      <c r="E40" s="26">
        <v>0</v>
      </c>
      <c r="F40" s="26">
        <f t="shared" si="7"/>
        <v>0</v>
      </c>
      <c r="G40" s="8">
        <v>0.05</v>
      </c>
      <c r="H40" s="26">
        <f t="shared" si="8"/>
        <v>0</v>
      </c>
    </row>
    <row r="41" spans="3:8" x14ac:dyDescent="0.2">
      <c r="C41" s="7">
        <f>SUM(C36:C40)</f>
        <v>67001710.29999999</v>
      </c>
      <c r="D41" s="7"/>
      <c r="E41" s="7">
        <f>SUM(E36:E40)</f>
        <v>220819.47</v>
      </c>
      <c r="F41" s="7">
        <f>SUM(F36:F40)</f>
        <v>101880.47</v>
      </c>
      <c r="G41" s="8"/>
      <c r="H41" s="7">
        <f>SUM(H36:H40)</f>
        <v>5094.0235000000002</v>
      </c>
    </row>
    <row r="42" spans="3:8" x14ac:dyDescent="0.2">
      <c r="H42" s="7">
        <f>H41-L15</f>
        <v>0</v>
      </c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N35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10</v>
      </c>
    </row>
    <row r="6" spans="1:14" x14ac:dyDescent="0.2">
      <c r="A6" s="11" t="s">
        <v>15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880458</v>
      </c>
    </row>
    <row r="10" spans="1:14" x14ac:dyDescent="0.2">
      <c r="A10" s="33">
        <v>43533</v>
      </c>
      <c r="C10" s="7">
        <v>4193823</v>
      </c>
      <c r="D10" s="14">
        <v>8033</v>
      </c>
      <c r="E10" s="14">
        <f t="shared" ref="E10:E15" si="0">7859.38</f>
        <v>7859.38</v>
      </c>
      <c r="F10" s="14">
        <f>15718.77</f>
        <v>15718.77</v>
      </c>
      <c r="G10" s="7">
        <f t="shared" ref="G10:G15" si="1">E10-D10</f>
        <v>-173.61999999999989</v>
      </c>
      <c r="H10" s="7">
        <f t="shared" ref="H10:H15" si="2">F10-D10</f>
        <v>7685.77</v>
      </c>
      <c r="I10" s="8">
        <v>0.21</v>
      </c>
      <c r="J10" s="8">
        <v>0.05</v>
      </c>
      <c r="K10" s="7">
        <f t="shared" ref="K10:K15" si="3">G10*I10-L10*I10</f>
        <v>-117.16078499999998</v>
      </c>
      <c r="L10" s="7">
        <f t="shared" ref="L10:L15" si="4">H10*J10</f>
        <v>384.28850000000006</v>
      </c>
      <c r="M10" s="7">
        <f t="shared" ref="M10:M15" si="5">M9+K10+L10</f>
        <v>880725.12771500007</v>
      </c>
      <c r="N10" s="7">
        <v>0</v>
      </c>
    </row>
    <row r="11" spans="1:14" x14ac:dyDescent="0.2">
      <c r="A11" s="32">
        <v>43556</v>
      </c>
      <c r="C11" s="7">
        <v>4193823</v>
      </c>
      <c r="D11" s="14">
        <v>8033</v>
      </c>
      <c r="E11" s="14">
        <f t="shared" si="0"/>
        <v>7859.38</v>
      </c>
      <c r="F11" s="14">
        <f>15718.77</f>
        <v>15718.77</v>
      </c>
      <c r="G11" s="7">
        <f t="shared" si="1"/>
        <v>-173.61999999999989</v>
      </c>
      <c r="H11" s="7">
        <f t="shared" si="2"/>
        <v>7685.77</v>
      </c>
      <c r="I11" s="8">
        <v>0.21</v>
      </c>
      <c r="J11" s="8">
        <v>0.05</v>
      </c>
      <c r="K11" s="7">
        <f t="shared" si="3"/>
        <v>-117.16078499999998</v>
      </c>
      <c r="L11" s="7">
        <f t="shared" si="4"/>
        <v>384.28850000000006</v>
      </c>
      <c r="M11" s="7">
        <f t="shared" si="5"/>
        <v>880992.25543000014</v>
      </c>
      <c r="N11" s="7">
        <v>0</v>
      </c>
    </row>
    <row r="12" spans="1:14" x14ac:dyDescent="0.2">
      <c r="A12" s="32">
        <v>43586</v>
      </c>
      <c r="C12" s="7">
        <v>4193823</v>
      </c>
      <c r="D12" s="14">
        <v>7332</v>
      </c>
      <c r="E12" s="14">
        <f t="shared" si="0"/>
        <v>7859.38</v>
      </c>
      <c r="F12" s="14">
        <v>15718.77</v>
      </c>
      <c r="G12" s="7">
        <f t="shared" si="1"/>
        <v>527.38000000000011</v>
      </c>
      <c r="H12" s="7">
        <f t="shared" si="2"/>
        <v>8386.77</v>
      </c>
      <c r="I12" s="8">
        <v>0.21</v>
      </c>
      <c r="J12" s="8">
        <v>0.05</v>
      </c>
      <c r="K12" s="7">
        <f t="shared" si="3"/>
        <v>22.688715000000016</v>
      </c>
      <c r="L12" s="7">
        <f t="shared" si="4"/>
        <v>419.33850000000007</v>
      </c>
      <c r="M12" s="7">
        <f t="shared" si="5"/>
        <v>881434.28264500014</v>
      </c>
      <c r="N12" s="7">
        <v>0</v>
      </c>
    </row>
    <row r="13" spans="1:14" x14ac:dyDescent="0.2">
      <c r="A13" s="32">
        <v>43617</v>
      </c>
      <c r="C13" s="7">
        <v>4193823</v>
      </c>
      <c r="D13" s="14">
        <v>7332</v>
      </c>
      <c r="E13" s="14">
        <f t="shared" si="0"/>
        <v>7859.38</v>
      </c>
      <c r="F13" s="14">
        <f>15718.77</f>
        <v>15718.77</v>
      </c>
      <c r="G13" s="7">
        <f t="shared" si="1"/>
        <v>527.38000000000011</v>
      </c>
      <c r="H13" s="7">
        <f t="shared" si="2"/>
        <v>8386.77</v>
      </c>
      <c r="I13" s="8">
        <v>0.21</v>
      </c>
      <c r="J13" s="8">
        <v>0.05</v>
      </c>
      <c r="K13" s="7">
        <f t="shared" si="3"/>
        <v>22.688715000000016</v>
      </c>
      <c r="L13" s="7">
        <f t="shared" si="4"/>
        <v>419.33850000000007</v>
      </c>
      <c r="M13" s="7">
        <f t="shared" si="5"/>
        <v>881876.30986000015</v>
      </c>
      <c r="N13" s="7">
        <v>0</v>
      </c>
    </row>
    <row r="14" spans="1:14" x14ac:dyDescent="0.2">
      <c r="A14" s="32">
        <v>43647</v>
      </c>
      <c r="C14" s="7">
        <v>4193823</v>
      </c>
      <c r="D14" s="14">
        <v>7332</v>
      </c>
      <c r="E14" s="14">
        <f t="shared" si="0"/>
        <v>7859.38</v>
      </c>
      <c r="F14" s="14">
        <f>15718.77</f>
        <v>15718.77</v>
      </c>
      <c r="G14" s="7">
        <f t="shared" si="1"/>
        <v>527.38000000000011</v>
      </c>
      <c r="H14" s="7">
        <f t="shared" si="2"/>
        <v>8386.77</v>
      </c>
      <c r="I14" s="8">
        <v>0.21</v>
      </c>
      <c r="J14" s="8">
        <v>0.05</v>
      </c>
      <c r="K14" s="7">
        <f t="shared" si="3"/>
        <v>22.688715000000016</v>
      </c>
      <c r="L14" s="7">
        <f t="shared" si="4"/>
        <v>419.33850000000007</v>
      </c>
      <c r="M14" s="7">
        <f t="shared" si="5"/>
        <v>882318.33707500016</v>
      </c>
      <c r="N14" s="7">
        <v>0</v>
      </c>
    </row>
    <row r="15" spans="1:14" x14ac:dyDescent="0.2">
      <c r="A15" s="32">
        <v>43678</v>
      </c>
      <c r="C15" s="7">
        <v>4193823</v>
      </c>
      <c r="D15" s="14">
        <v>7332</v>
      </c>
      <c r="E15" s="14">
        <f t="shared" si="0"/>
        <v>7859.38</v>
      </c>
      <c r="F15" s="14">
        <f>15718.77</f>
        <v>15718.77</v>
      </c>
      <c r="G15" s="7">
        <f t="shared" si="1"/>
        <v>527.38000000000011</v>
      </c>
      <c r="H15" s="7">
        <f t="shared" si="2"/>
        <v>8386.77</v>
      </c>
      <c r="I15" s="8">
        <v>0.21</v>
      </c>
      <c r="J15" s="8">
        <v>0.05</v>
      </c>
      <c r="K15" s="7">
        <f t="shared" si="3"/>
        <v>22.688715000000016</v>
      </c>
      <c r="L15" s="7">
        <f t="shared" si="4"/>
        <v>419.33850000000007</v>
      </c>
      <c r="M15" s="7">
        <f t="shared" si="5"/>
        <v>882760.36429000017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48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7">
        <v>2139710</v>
      </c>
      <c r="D25" s="7">
        <v>7332</v>
      </c>
      <c r="E25" s="7">
        <v>8063.14</v>
      </c>
      <c r="F25" s="7">
        <f>E25-D25</f>
        <v>731.14000000000033</v>
      </c>
      <c r="G25" s="8">
        <v>0.21</v>
      </c>
      <c r="H25" s="7">
        <f>F25*G25</f>
        <v>153.53940000000006</v>
      </c>
    </row>
    <row r="26" spans="1:14" ht="15" x14ac:dyDescent="0.35">
      <c r="C26" s="26">
        <v>-42798.530000000028</v>
      </c>
      <c r="D26" s="7"/>
      <c r="E26" s="26">
        <v>-203.76</v>
      </c>
      <c r="F26" s="26">
        <f>E26</f>
        <v>-203.76</v>
      </c>
      <c r="G26" s="8">
        <v>0.21</v>
      </c>
      <c r="H26" s="26">
        <f>F26*G26</f>
        <v>-42.789599999999993</v>
      </c>
    </row>
    <row r="27" spans="1:14" x14ac:dyDescent="0.2">
      <c r="C27" s="7">
        <f>SUM(C25:C26)</f>
        <v>2096911.47</v>
      </c>
      <c r="E27" s="7">
        <f>E25+E26</f>
        <v>7859.38</v>
      </c>
      <c r="F27" s="7">
        <f>F25+F26</f>
        <v>527.38000000000034</v>
      </c>
      <c r="G27" s="28" t="s">
        <v>41</v>
      </c>
      <c r="H27" s="7">
        <f>H25+H26</f>
        <v>110.74980000000006</v>
      </c>
    </row>
    <row r="28" spans="1:14" ht="15" x14ac:dyDescent="0.35">
      <c r="G28" s="28" t="s">
        <v>42</v>
      </c>
      <c r="H28" s="26">
        <f>-H34*0.21</f>
        <v>-88.061085000000006</v>
      </c>
    </row>
    <row r="29" spans="1:14" x14ac:dyDescent="0.2">
      <c r="H29" s="7">
        <f>H27+H28</f>
        <v>22.688715000000059</v>
      </c>
    </row>
    <row r="30" spans="1:14" x14ac:dyDescent="0.2">
      <c r="H30" s="7">
        <f>H29-K15</f>
        <v>4.2632564145606011E-14</v>
      </c>
    </row>
    <row r="31" spans="1:14" x14ac:dyDescent="0.2">
      <c r="C31" s="18" t="s">
        <v>37</v>
      </c>
      <c r="D31" s="21" t="s">
        <v>33</v>
      </c>
      <c r="E31" s="22" t="s">
        <v>38</v>
      </c>
      <c r="F31" s="18" t="s">
        <v>39</v>
      </c>
      <c r="G31" s="24" t="s">
        <v>27</v>
      </c>
      <c r="H31" s="18" t="s">
        <v>40</v>
      </c>
    </row>
    <row r="32" spans="1:14" x14ac:dyDescent="0.2">
      <c r="C32" s="7">
        <v>4279420</v>
      </c>
      <c r="D32" s="7">
        <f>D25</f>
        <v>7332</v>
      </c>
      <c r="E32" s="7">
        <v>16126.28</v>
      </c>
      <c r="F32" s="7">
        <f>E32-D32</f>
        <v>8794.2800000000007</v>
      </c>
      <c r="G32" s="8">
        <v>0.05</v>
      </c>
      <c r="H32" s="7">
        <f>F32*G32</f>
        <v>439.71400000000006</v>
      </c>
    </row>
    <row r="33" spans="3:8" ht="15" x14ac:dyDescent="0.35">
      <c r="C33" s="26">
        <v>-85597.060000000056</v>
      </c>
      <c r="D33" s="7"/>
      <c r="E33" s="26">
        <v>-407.51</v>
      </c>
      <c r="F33" s="26">
        <f>E33</f>
        <v>-407.51</v>
      </c>
      <c r="G33" s="8">
        <v>0.05</v>
      </c>
      <c r="H33" s="26">
        <f>F33*G33</f>
        <v>-20.375500000000002</v>
      </c>
    </row>
    <row r="34" spans="3:8" x14ac:dyDescent="0.2">
      <c r="C34" s="7">
        <f>SUM(C32:C33)</f>
        <v>4193822.94</v>
      </c>
      <c r="E34" s="7">
        <f>E32+E33</f>
        <v>15718.77</v>
      </c>
      <c r="F34" s="7">
        <f>F32+F33</f>
        <v>8386.77</v>
      </c>
      <c r="H34" s="7">
        <f>H32+H33</f>
        <v>419.33850000000007</v>
      </c>
    </row>
    <row r="35" spans="3:8" x14ac:dyDescent="0.2">
      <c r="H35" s="7">
        <f>H34-L15</f>
        <v>0</v>
      </c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11</v>
      </c>
    </row>
    <row r="6" spans="1:14" x14ac:dyDescent="0.2">
      <c r="A6" s="11" t="s">
        <v>18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20497538</v>
      </c>
    </row>
    <row r="10" spans="1:14" x14ac:dyDescent="0.2">
      <c r="A10" s="33">
        <v>43533</v>
      </c>
      <c r="C10" s="7">
        <v>84655448</v>
      </c>
      <c r="D10" s="14">
        <v>186947</v>
      </c>
      <c r="E10" s="14">
        <f>503470.04</f>
        <v>503470.04</v>
      </c>
      <c r="F10" s="14">
        <f>1006940.07</f>
        <v>1006940.07</v>
      </c>
      <c r="G10" s="7">
        <f>E10-D10</f>
        <v>316523.03999999998</v>
      </c>
      <c r="H10" s="7">
        <f>F10-D10</f>
        <v>819993.07</v>
      </c>
      <c r="I10" s="8">
        <v>0.21</v>
      </c>
      <c r="J10" s="8">
        <v>0.05</v>
      </c>
      <c r="K10" s="7">
        <f t="shared" ref="K10:K15" si="0">G10*I10-L10*I10</f>
        <v>57859.911164999998</v>
      </c>
      <c r="L10" s="7">
        <f t="shared" ref="L10:L15" si="1">H10*J10</f>
        <v>40999.6535</v>
      </c>
      <c r="M10" s="7">
        <f t="shared" ref="M10:M15" si="2">M9+K10+L10</f>
        <v>20596397.564664997</v>
      </c>
      <c r="N10" s="7">
        <v>58411.76</v>
      </c>
    </row>
    <row r="11" spans="1:14" x14ac:dyDescent="0.2">
      <c r="A11" s="32">
        <v>43556</v>
      </c>
      <c r="C11" s="7">
        <v>84655448</v>
      </c>
      <c r="D11" s="14">
        <v>186947</v>
      </c>
      <c r="E11" s="14">
        <f>503470.04</f>
        <v>503470.04</v>
      </c>
      <c r="F11" s="14">
        <f>1006940.07</f>
        <v>1006940.07</v>
      </c>
      <c r="G11" s="7">
        <f t="shared" ref="G11:G15" si="3">E11-D11</f>
        <v>316523.03999999998</v>
      </c>
      <c r="H11" s="7">
        <f t="shared" ref="H11:H15" si="4">F11-D11</f>
        <v>819993.07</v>
      </c>
      <c r="I11" s="8">
        <v>0.21</v>
      </c>
      <c r="J11" s="8">
        <v>0.05</v>
      </c>
      <c r="K11" s="7">
        <f t="shared" si="0"/>
        <v>57859.911164999998</v>
      </c>
      <c r="L11" s="7">
        <f t="shared" si="1"/>
        <v>40999.6535</v>
      </c>
      <c r="M11" s="7">
        <f t="shared" si="2"/>
        <v>20695257.129329994</v>
      </c>
      <c r="N11" s="7">
        <v>58154.04</v>
      </c>
    </row>
    <row r="12" spans="1:14" x14ac:dyDescent="0.2">
      <c r="A12" s="32">
        <v>43586</v>
      </c>
      <c r="C12" s="7">
        <v>85126581</v>
      </c>
      <c r="D12" s="14">
        <v>367850</v>
      </c>
      <c r="E12" s="14">
        <f>504169.58-333.01</f>
        <v>503836.57</v>
      </c>
      <c r="F12" s="14">
        <f>1007639.62</f>
        <v>1007639.62</v>
      </c>
      <c r="G12" s="7">
        <f t="shared" si="3"/>
        <v>135986.57</v>
      </c>
      <c r="H12" s="7">
        <f t="shared" si="4"/>
        <v>639789.62</v>
      </c>
      <c r="I12" s="8">
        <v>0.21</v>
      </c>
      <c r="J12" s="8">
        <v>0.05</v>
      </c>
      <c r="K12" s="7">
        <f t="shared" si="0"/>
        <v>21839.38869</v>
      </c>
      <c r="L12" s="7">
        <f t="shared" si="1"/>
        <v>31989.481</v>
      </c>
      <c r="M12" s="7">
        <f t="shared" si="2"/>
        <v>20749085.999019992</v>
      </c>
      <c r="N12" s="7">
        <v>87230.5</v>
      </c>
    </row>
    <row r="13" spans="1:14" x14ac:dyDescent="0.2">
      <c r="A13" s="32">
        <v>43617</v>
      </c>
      <c r="C13" s="7">
        <v>85126581</v>
      </c>
      <c r="D13" s="14">
        <v>368172</v>
      </c>
      <c r="E13" s="14">
        <f>504169.58+45.42</f>
        <v>504215</v>
      </c>
      <c r="F13" s="14">
        <f>1007639.62</f>
        <v>1007639.62</v>
      </c>
      <c r="G13" s="7">
        <f t="shared" si="3"/>
        <v>136043</v>
      </c>
      <c r="H13" s="7">
        <f t="shared" si="4"/>
        <v>639467.62</v>
      </c>
      <c r="I13" s="8">
        <v>0.21</v>
      </c>
      <c r="J13" s="8">
        <v>0.05</v>
      </c>
      <c r="K13" s="7">
        <f t="shared" si="0"/>
        <v>21854.619989999999</v>
      </c>
      <c r="L13" s="7">
        <f t="shared" si="1"/>
        <v>31973.381000000001</v>
      </c>
      <c r="M13" s="7">
        <f t="shared" si="2"/>
        <v>20802914.000009991</v>
      </c>
      <c r="N13" s="7">
        <v>86314.64</v>
      </c>
    </row>
    <row r="14" spans="1:14" x14ac:dyDescent="0.2">
      <c r="A14" s="32">
        <v>43647</v>
      </c>
      <c r="C14" s="7">
        <v>85126581</v>
      </c>
      <c r="D14" s="14">
        <v>368172</v>
      </c>
      <c r="E14" s="14">
        <f>504169.58+45.42+4</f>
        <v>504219</v>
      </c>
      <c r="F14" s="14">
        <f>1007639.62</f>
        <v>1007639.62</v>
      </c>
      <c r="G14" s="7">
        <f t="shared" si="3"/>
        <v>136047</v>
      </c>
      <c r="H14" s="7">
        <f t="shared" si="4"/>
        <v>639467.62</v>
      </c>
      <c r="I14" s="8">
        <v>0.21</v>
      </c>
      <c r="J14" s="8">
        <v>0.05</v>
      </c>
      <c r="K14" s="7">
        <f t="shared" si="0"/>
        <v>21855.459989999999</v>
      </c>
      <c r="L14" s="7">
        <f t="shared" si="1"/>
        <v>31973.381000000001</v>
      </c>
      <c r="M14" s="7">
        <f t="shared" si="2"/>
        <v>20856742.840999991</v>
      </c>
      <c r="N14" s="7">
        <v>85645.8</v>
      </c>
    </row>
    <row r="15" spans="1:14" x14ac:dyDescent="0.2">
      <c r="A15" s="32">
        <v>43678</v>
      </c>
      <c r="C15" s="7">
        <v>85126581</v>
      </c>
      <c r="D15" s="14">
        <v>368172</v>
      </c>
      <c r="E15" s="14">
        <f>504169.58+46</f>
        <v>504215.58</v>
      </c>
      <c r="F15" s="14">
        <f>1007639.62</f>
        <v>1007639.62</v>
      </c>
      <c r="G15" s="7">
        <f t="shared" si="3"/>
        <v>136043.58000000002</v>
      </c>
      <c r="H15" s="7">
        <f t="shared" si="4"/>
        <v>639467.62</v>
      </c>
      <c r="I15" s="8">
        <v>0.21</v>
      </c>
      <c r="J15" s="8">
        <v>0.05</v>
      </c>
      <c r="K15" s="7">
        <f t="shared" si="0"/>
        <v>21854.741790000004</v>
      </c>
      <c r="L15" s="7">
        <f t="shared" si="1"/>
        <v>31973.381000000001</v>
      </c>
      <c r="M15" s="7">
        <f t="shared" si="2"/>
        <v>20910570.963789992</v>
      </c>
      <c r="N15" s="7">
        <v>84976.95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47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18" t="s">
        <v>32</v>
      </c>
      <c r="D24" s="23" t="s">
        <v>33</v>
      </c>
      <c r="E24" s="22" t="s">
        <v>34</v>
      </c>
      <c r="F24" s="18" t="s">
        <v>35</v>
      </c>
      <c r="G24" s="24" t="s">
        <v>26</v>
      </c>
      <c r="H24" s="18" t="s">
        <v>36</v>
      </c>
    </row>
    <row r="25" spans="1:14" x14ac:dyDescent="0.2">
      <c r="C25" s="7">
        <v>17445568.128000002</v>
      </c>
      <c r="D25" s="7">
        <v>368172</v>
      </c>
      <c r="E25" s="7">
        <v>83055.44</v>
      </c>
      <c r="F25" s="7">
        <f>E25-D25</f>
        <v>-285116.56</v>
      </c>
      <c r="G25" s="8">
        <v>0.21</v>
      </c>
      <c r="H25" s="7">
        <f>F25*G25</f>
        <v>-59874.477599999998</v>
      </c>
    </row>
    <row r="26" spans="1:14" x14ac:dyDescent="0.2">
      <c r="C26" s="7">
        <v>26168352.191999998</v>
      </c>
      <c r="D26" s="7"/>
      <c r="E26" s="7">
        <v>436139.2</v>
      </c>
      <c r="F26" s="7">
        <f t="shared" ref="F26:F30" si="5">E26-D26</f>
        <v>436139.2</v>
      </c>
      <c r="G26" s="8">
        <v>0.21</v>
      </c>
      <c r="H26" s="7">
        <f t="shared" ref="H26:H30" si="6">F26*G26</f>
        <v>91589.232000000004</v>
      </c>
    </row>
    <row r="27" spans="1:14" x14ac:dyDescent="0.2">
      <c r="C27" s="7">
        <v>-514479</v>
      </c>
      <c r="D27" s="7"/>
      <c r="E27" s="7">
        <v>-2862.64</v>
      </c>
      <c r="F27" s="7">
        <f t="shared" si="5"/>
        <v>-2862.64</v>
      </c>
      <c r="G27" s="8">
        <v>0.21</v>
      </c>
      <c r="H27" s="7">
        <f t="shared" si="6"/>
        <v>-601.1543999999999</v>
      </c>
    </row>
    <row r="28" spans="1:14" x14ac:dyDescent="0.2">
      <c r="C28" s="7">
        <v>-771718</v>
      </c>
      <c r="D28" s="7"/>
      <c r="E28" s="7">
        <v>-12721.97</v>
      </c>
      <c r="F28" s="7">
        <f t="shared" si="5"/>
        <v>-12721.97</v>
      </c>
      <c r="G28" s="8">
        <v>0.21</v>
      </c>
      <c r="H28" s="7">
        <f t="shared" si="6"/>
        <v>-2671.6136999999999</v>
      </c>
    </row>
    <row r="29" spans="1:14" x14ac:dyDescent="0.2">
      <c r="C29" s="7">
        <v>149236.93</v>
      </c>
      <c r="D29" s="7"/>
      <c r="E29" s="7">
        <v>606.37</v>
      </c>
      <c r="F29" s="7">
        <f t="shared" si="5"/>
        <v>606.37</v>
      </c>
      <c r="G29" s="8">
        <v>0.21</v>
      </c>
      <c r="H29" s="7">
        <f t="shared" si="6"/>
        <v>127.3377</v>
      </c>
    </row>
    <row r="30" spans="1:14" ht="15" x14ac:dyDescent="0.35">
      <c r="C30" s="26">
        <v>321896.56</v>
      </c>
      <c r="D30" s="7"/>
      <c r="E30" s="26">
        <v>0</v>
      </c>
      <c r="F30" s="26">
        <f t="shared" si="5"/>
        <v>0</v>
      </c>
      <c r="G30" s="8">
        <v>0.21</v>
      </c>
      <c r="H30" s="26">
        <f t="shared" si="6"/>
        <v>0</v>
      </c>
    </row>
    <row r="31" spans="1:14" x14ac:dyDescent="0.2">
      <c r="C31" s="7">
        <f>SUM(C25:C30)</f>
        <v>42798856.810000002</v>
      </c>
      <c r="E31" s="7">
        <f>SUM(E25:E30)</f>
        <v>504216.4</v>
      </c>
      <c r="F31" s="7">
        <f>SUM(F25:F30)</f>
        <v>136044.4</v>
      </c>
      <c r="G31" s="28" t="s">
        <v>41</v>
      </c>
      <c r="H31" s="7">
        <f>SUM(H25:H30)</f>
        <v>28569.324000000004</v>
      </c>
    </row>
    <row r="32" spans="1:14" ht="15" x14ac:dyDescent="0.35">
      <c r="G32" s="28" t="s">
        <v>42</v>
      </c>
      <c r="H32" s="26">
        <f>-H42*0.21</f>
        <v>-6714.4186200000022</v>
      </c>
    </row>
    <row r="33" spans="3:8" x14ac:dyDescent="0.2">
      <c r="H33" s="7">
        <f>H31+H32</f>
        <v>21854.905380000004</v>
      </c>
    </row>
    <row r="34" spans="3:8" x14ac:dyDescent="0.2">
      <c r="H34" s="7">
        <f>H33-K15</f>
        <v>0.16359000000011292</v>
      </c>
    </row>
    <row r="35" spans="3:8" x14ac:dyDescent="0.2">
      <c r="C35" s="18" t="s">
        <v>37</v>
      </c>
      <c r="D35" s="21" t="s">
        <v>33</v>
      </c>
      <c r="E35" s="22" t="s">
        <v>38</v>
      </c>
      <c r="F35" s="18" t="s">
        <v>39</v>
      </c>
      <c r="G35" s="24" t="s">
        <v>27</v>
      </c>
      <c r="H35" s="18" t="s">
        <v>40</v>
      </c>
    </row>
    <row r="36" spans="3:8" x14ac:dyDescent="0.2">
      <c r="C36" s="7">
        <v>34891136.256000005</v>
      </c>
      <c r="D36" s="7">
        <f>D25</f>
        <v>368172</v>
      </c>
      <c r="E36" s="7">
        <v>166110.88</v>
      </c>
      <c r="F36" s="7">
        <f>E36-D36</f>
        <v>-202061.12</v>
      </c>
      <c r="G36" s="8">
        <v>0.05</v>
      </c>
      <c r="H36" s="7">
        <f>F36*G36</f>
        <v>-10103.056</v>
      </c>
    </row>
    <row r="37" spans="3:8" x14ac:dyDescent="0.2">
      <c r="C37" s="7">
        <v>52336704.383999996</v>
      </c>
      <c r="D37" s="7"/>
      <c r="E37" s="31">
        <v>872278.41</v>
      </c>
      <c r="F37" s="31">
        <f>E37</f>
        <v>872278.41</v>
      </c>
      <c r="G37" s="36">
        <v>0.05</v>
      </c>
      <c r="H37" s="31">
        <f>F37*G37</f>
        <v>43613.920500000007</v>
      </c>
    </row>
    <row r="38" spans="3:8" x14ac:dyDescent="0.2">
      <c r="C38" s="7">
        <v>-1028957</v>
      </c>
      <c r="D38" s="7"/>
      <c r="E38" s="31">
        <v>-5725.29</v>
      </c>
      <c r="F38" s="31">
        <f t="shared" ref="F38:F41" si="7">E38</f>
        <v>-5725.29</v>
      </c>
      <c r="G38" s="36">
        <v>0.05</v>
      </c>
      <c r="H38" s="31">
        <f t="shared" ref="H38:H41" si="8">F38*G38</f>
        <v>-286.2645</v>
      </c>
    </row>
    <row r="39" spans="3:8" x14ac:dyDescent="0.2">
      <c r="C39" s="7">
        <v>-1543436</v>
      </c>
      <c r="D39" s="7"/>
      <c r="E39" s="31">
        <v>-25629.93</v>
      </c>
      <c r="F39" s="31">
        <f t="shared" si="7"/>
        <v>-25629.93</v>
      </c>
      <c r="G39" s="36">
        <v>0.05</v>
      </c>
      <c r="H39" s="31">
        <f t="shared" si="8"/>
        <v>-1281.4965000000002</v>
      </c>
    </row>
    <row r="40" spans="3:8" x14ac:dyDescent="0.2">
      <c r="C40" s="7">
        <v>149236.93</v>
      </c>
      <c r="D40" s="7"/>
      <c r="E40" s="31">
        <v>606.37</v>
      </c>
      <c r="F40" s="31">
        <f t="shared" si="7"/>
        <v>606.37</v>
      </c>
      <c r="G40" s="36">
        <v>0.05</v>
      </c>
      <c r="H40" s="31">
        <f t="shared" si="8"/>
        <v>30.3185</v>
      </c>
    </row>
    <row r="41" spans="3:8" ht="15" x14ac:dyDescent="0.35">
      <c r="C41" s="26">
        <v>321896.56</v>
      </c>
      <c r="D41" s="7"/>
      <c r="E41" s="26">
        <v>0</v>
      </c>
      <c r="F41" s="26">
        <f t="shared" si="7"/>
        <v>0</v>
      </c>
      <c r="G41" s="36">
        <v>0.05</v>
      </c>
      <c r="H41" s="26">
        <f t="shared" si="8"/>
        <v>0</v>
      </c>
    </row>
    <row r="42" spans="3:8" x14ac:dyDescent="0.2">
      <c r="C42" s="7">
        <f>SUM(C36:C41)</f>
        <v>85126581.13000001</v>
      </c>
      <c r="E42" s="7">
        <f>SUM(E36:E41)</f>
        <v>1007640.44</v>
      </c>
      <c r="F42" s="7">
        <f>SUM(F36:F41)</f>
        <v>639468.43999999994</v>
      </c>
      <c r="H42" s="7">
        <f>SUM(H36:H41)</f>
        <v>31973.422000000013</v>
      </c>
    </row>
    <row r="43" spans="3:8" x14ac:dyDescent="0.2">
      <c r="H43" s="7">
        <f>H42-L15</f>
        <v>4.1000000011990778E-2</v>
      </c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O92"/>
  <sheetViews>
    <sheetView zoomScaleNormal="100" workbookViewId="0">
      <selection sqref="A1:N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</cols>
  <sheetData>
    <row r="1" spans="1:14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9" t="s">
        <v>11</v>
      </c>
    </row>
    <row r="6" spans="1:14" x14ac:dyDescent="0.2">
      <c r="A6" s="11" t="s">
        <v>12</v>
      </c>
    </row>
    <row r="8" spans="1:14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25</v>
      </c>
      <c r="I8" s="5" t="s">
        <v>26</v>
      </c>
      <c r="J8" s="5" t="s">
        <v>27</v>
      </c>
      <c r="K8" s="5" t="s">
        <v>28</v>
      </c>
      <c r="L8" s="5" t="s">
        <v>29</v>
      </c>
      <c r="M8" s="5" t="s">
        <v>3</v>
      </c>
      <c r="N8" s="5" t="s">
        <v>4</v>
      </c>
    </row>
    <row r="9" spans="1:14" x14ac:dyDescent="0.2">
      <c r="A9" s="3" t="s">
        <v>8</v>
      </c>
      <c r="M9" s="10">
        <v>152699852</v>
      </c>
    </row>
    <row r="10" spans="1:14" x14ac:dyDescent="0.2">
      <c r="A10" s="33">
        <v>43533</v>
      </c>
      <c r="C10" s="7">
        <v>648975198</v>
      </c>
      <c r="D10" s="14">
        <v>1269171</v>
      </c>
      <c r="E10" s="14">
        <f>3138668.67+3.27</f>
        <v>3138671.94</v>
      </c>
      <c r="F10" s="14">
        <f>6229520.42</f>
        <v>6229520.4199999999</v>
      </c>
      <c r="G10" s="7">
        <f>E10-D10</f>
        <v>1869500.94</v>
      </c>
      <c r="H10" s="7">
        <f>F10-D10</f>
        <v>4960349.42</v>
      </c>
      <c r="I10" s="8">
        <v>0.21</v>
      </c>
      <c r="J10" s="8">
        <v>0.05</v>
      </c>
      <c r="K10" s="7">
        <f t="shared" ref="K10:K15" si="0">G10*I10-L10*I10</f>
        <v>340511.52848999994</v>
      </c>
      <c r="L10" s="7">
        <f t="shared" ref="L10:L15" si="1">H10*J10</f>
        <v>248017.47100000002</v>
      </c>
      <c r="M10" s="7">
        <f t="shared" ref="M10:M15" si="2">M9+K10+L10</f>
        <v>153288380.99948999</v>
      </c>
      <c r="N10" s="7">
        <v>0</v>
      </c>
    </row>
    <row r="11" spans="1:14" x14ac:dyDescent="0.2">
      <c r="A11" s="32">
        <v>43556</v>
      </c>
      <c r="C11" s="7">
        <v>650658137</v>
      </c>
      <c r="D11" s="14">
        <v>1270994</v>
      </c>
      <c r="E11" s="14">
        <f>3145680.91-1923.94</f>
        <v>3143756.97</v>
      </c>
      <c r="F11" s="14">
        <v>6236532.6699999999</v>
      </c>
      <c r="G11" s="7">
        <f t="shared" ref="G11:G15" si="3">E11-D11</f>
        <v>1872762.9700000002</v>
      </c>
      <c r="H11" s="7">
        <f t="shared" ref="H11:H15" si="4">F11-D11</f>
        <v>4965538.67</v>
      </c>
      <c r="I11" s="8">
        <v>0.21</v>
      </c>
      <c r="J11" s="8">
        <v>0.05</v>
      </c>
      <c r="K11" s="7">
        <f t="shared" si="0"/>
        <v>341142.06766500004</v>
      </c>
      <c r="L11" s="7">
        <f t="shared" si="1"/>
        <v>248276.93350000001</v>
      </c>
      <c r="M11" s="7">
        <f t="shared" si="2"/>
        <v>153877800.000655</v>
      </c>
      <c r="N11" s="7">
        <v>0</v>
      </c>
    </row>
    <row r="12" spans="1:14" x14ac:dyDescent="0.2">
      <c r="A12" s="32">
        <v>43586</v>
      </c>
      <c r="C12" s="7">
        <v>651204237</v>
      </c>
      <c r="D12" s="14">
        <v>2370827</v>
      </c>
      <c r="E12" s="14">
        <f>3090785.34+237.6</f>
        <v>3091022.94</v>
      </c>
      <c r="F12" s="14">
        <f>6192165.04</f>
        <v>6192165.04</v>
      </c>
      <c r="G12" s="7">
        <f t="shared" si="3"/>
        <v>720195.94</v>
      </c>
      <c r="H12" s="7">
        <f t="shared" si="4"/>
        <v>3821338.04</v>
      </c>
      <c r="I12" s="8">
        <v>0.21</v>
      </c>
      <c r="J12" s="8">
        <v>0.05</v>
      </c>
      <c r="K12" s="7">
        <f t="shared" si="0"/>
        <v>111117.09797999999</v>
      </c>
      <c r="L12" s="7">
        <f t="shared" si="1"/>
        <v>191066.902</v>
      </c>
      <c r="M12" s="7">
        <f t="shared" si="2"/>
        <v>154179984.000635</v>
      </c>
      <c r="N12" s="7">
        <v>0</v>
      </c>
    </row>
    <row r="13" spans="1:14" x14ac:dyDescent="0.2">
      <c r="A13" s="32">
        <v>43617</v>
      </c>
      <c r="C13" s="7">
        <v>651204237</v>
      </c>
      <c r="D13" s="14">
        <v>2370827</v>
      </c>
      <c r="E13" s="14">
        <f>3090785.34+242.36</f>
        <v>3091027.6999999997</v>
      </c>
      <c r="F13" s="14">
        <f>6192165.04</f>
        <v>6192165.04</v>
      </c>
      <c r="G13" s="7">
        <f t="shared" si="3"/>
        <v>720200.69999999972</v>
      </c>
      <c r="H13" s="7">
        <f t="shared" si="4"/>
        <v>3821338.04</v>
      </c>
      <c r="I13" s="8">
        <v>0.21</v>
      </c>
      <c r="J13" s="8">
        <v>0.05</v>
      </c>
      <c r="K13" s="7">
        <f t="shared" si="0"/>
        <v>111118.09757999994</v>
      </c>
      <c r="L13" s="7">
        <f t="shared" si="1"/>
        <v>191066.902</v>
      </c>
      <c r="M13" s="7">
        <f t="shared" si="2"/>
        <v>154482169.00021499</v>
      </c>
      <c r="N13" s="7">
        <v>0</v>
      </c>
    </row>
    <row r="14" spans="1:14" x14ac:dyDescent="0.2">
      <c r="A14" s="32">
        <v>43647</v>
      </c>
      <c r="C14" s="7">
        <v>651384768</v>
      </c>
      <c r="D14" s="14">
        <v>2371206</v>
      </c>
      <c r="E14" s="14">
        <f>3092423.93-135.11</f>
        <v>3092288.8200000003</v>
      </c>
      <c r="F14" s="14">
        <f>6193803.64</f>
        <v>6193803.6399999997</v>
      </c>
      <c r="G14" s="7">
        <f t="shared" si="3"/>
        <v>721082.8200000003</v>
      </c>
      <c r="H14" s="7">
        <f t="shared" si="4"/>
        <v>3822597.6399999997</v>
      </c>
      <c r="I14" s="8">
        <v>0.21</v>
      </c>
      <c r="J14" s="8">
        <v>0.05</v>
      </c>
      <c r="K14" s="7">
        <f t="shared" si="0"/>
        <v>111290.11698000006</v>
      </c>
      <c r="L14" s="7">
        <f t="shared" si="1"/>
        <v>191129.88199999998</v>
      </c>
      <c r="M14" s="7">
        <f t="shared" si="2"/>
        <v>154784588.99919498</v>
      </c>
      <c r="N14" s="7">
        <v>0</v>
      </c>
    </row>
    <row r="15" spans="1:14" x14ac:dyDescent="0.2">
      <c r="A15" s="32">
        <v>43678</v>
      </c>
      <c r="C15" s="7">
        <v>651384768</v>
      </c>
      <c r="D15" s="14">
        <v>2371584</v>
      </c>
      <c r="E15" s="14">
        <f>3092423.93+303</f>
        <v>3092726.93</v>
      </c>
      <c r="F15" s="14">
        <f>6193803.64+50</f>
        <v>6193853.6399999997</v>
      </c>
      <c r="G15" s="7">
        <f t="shared" si="3"/>
        <v>721142.93000000017</v>
      </c>
      <c r="H15" s="7">
        <f t="shared" si="4"/>
        <v>3822269.6399999997</v>
      </c>
      <c r="I15" s="8">
        <v>0.21</v>
      </c>
      <c r="J15" s="8">
        <v>0.05</v>
      </c>
      <c r="K15" s="7">
        <f t="shared" si="0"/>
        <v>111306.18408000004</v>
      </c>
      <c r="L15" s="7">
        <f t="shared" si="1"/>
        <v>191113.48199999999</v>
      </c>
      <c r="M15" s="7">
        <f t="shared" si="2"/>
        <v>155087008.66527498</v>
      </c>
      <c r="N15" s="7">
        <v>0</v>
      </c>
    </row>
    <row r="16" spans="1:14" x14ac:dyDescent="0.2">
      <c r="A16" s="1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0" t="s">
        <v>49</v>
      </c>
    </row>
    <row r="20" spans="1:14" x14ac:dyDescent="0.2">
      <c r="C20" s="20" t="s">
        <v>58</v>
      </c>
    </row>
    <row r="21" spans="1:14" x14ac:dyDescent="0.2">
      <c r="C21" s="20" t="s">
        <v>59</v>
      </c>
    </row>
    <row r="22" spans="1:14" x14ac:dyDescent="0.2">
      <c r="C22" s="18" t="s">
        <v>30</v>
      </c>
    </row>
    <row r="24" spans="1:14" x14ac:dyDescent="0.2">
      <c r="C24" s="7" t="s">
        <v>32</v>
      </c>
      <c r="D24" s="39" t="s">
        <v>33</v>
      </c>
      <c r="E24" s="40" t="s">
        <v>34</v>
      </c>
      <c r="F24" s="7" t="s">
        <v>35</v>
      </c>
      <c r="G24" s="8" t="s">
        <v>26</v>
      </c>
      <c r="H24" s="7" t="s">
        <v>36</v>
      </c>
    </row>
    <row r="25" spans="1:14" x14ac:dyDescent="0.2">
      <c r="C25" s="7">
        <v>1707678.0000000002</v>
      </c>
      <c r="D25" s="7">
        <v>2371584</v>
      </c>
      <c r="E25" s="7">
        <v>6956</v>
      </c>
      <c r="F25" s="7">
        <f>E25-D25</f>
        <v>-2364628</v>
      </c>
      <c r="G25" s="8">
        <v>0.21</v>
      </c>
      <c r="H25" s="7">
        <f>F25*G25</f>
        <v>-496571.88</v>
      </c>
    </row>
    <row r="26" spans="1:14" x14ac:dyDescent="0.2">
      <c r="C26" s="7">
        <v>2561517</v>
      </c>
      <c r="E26" s="7">
        <v>30494.25</v>
      </c>
      <c r="F26" s="7">
        <f>E26</f>
        <v>30494.25</v>
      </c>
      <c r="G26" s="8">
        <v>0.21</v>
      </c>
      <c r="H26" s="7">
        <f t="shared" ref="H26:H55" si="5">F26*G26</f>
        <v>6403.7924999999996</v>
      </c>
    </row>
    <row r="27" spans="1:14" x14ac:dyDescent="0.2">
      <c r="C27" s="7">
        <v>30650265</v>
      </c>
      <c r="E27" s="7">
        <v>134989</v>
      </c>
      <c r="F27" s="7">
        <f t="shared" ref="F27:F55" si="6">E27</f>
        <v>134989</v>
      </c>
      <c r="G27" s="8">
        <v>0.21</v>
      </c>
      <c r="H27" s="7">
        <f t="shared" si="5"/>
        <v>28347.69</v>
      </c>
    </row>
    <row r="28" spans="1:14" x14ac:dyDescent="0.2">
      <c r="C28" s="7">
        <v>45975398</v>
      </c>
      <c r="E28" s="7">
        <v>547326.16666666663</v>
      </c>
      <c r="F28" s="7">
        <f t="shared" si="6"/>
        <v>547326.16666666663</v>
      </c>
      <c r="G28" s="8">
        <v>0.21</v>
      </c>
      <c r="H28" s="7">
        <f t="shared" si="5"/>
        <v>114938.49499999998</v>
      </c>
    </row>
    <row r="29" spans="1:14" x14ac:dyDescent="0.2">
      <c r="C29" s="7">
        <v>27464567.032000002</v>
      </c>
      <c r="E29" s="7">
        <v>120959</v>
      </c>
      <c r="F29" s="7">
        <f t="shared" si="6"/>
        <v>120959</v>
      </c>
      <c r="G29" s="8">
        <v>0.21</v>
      </c>
      <c r="H29" s="7">
        <f t="shared" si="5"/>
        <v>25401.39</v>
      </c>
    </row>
    <row r="30" spans="1:14" x14ac:dyDescent="0.2">
      <c r="C30" s="7">
        <v>41196850.548</v>
      </c>
      <c r="E30" s="7">
        <v>490438.69699999999</v>
      </c>
      <c r="F30" s="7">
        <f t="shared" si="6"/>
        <v>490438.69699999999</v>
      </c>
      <c r="G30" s="8">
        <v>0.21</v>
      </c>
      <c r="H30" s="7">
        <f t="shared" si="5"/>
        <v>102992.12637</v>
      </c>
    </row>
    <row r="31" spans="1:14" x14ac:dyDescent="0.2">
      <c r="C31" s="7">
        <v>8604879.8300000001</v>
      </c>
      <c r="E31" s="7">
        <v>40966</v>
      </c>
      <c r="F31" s="7">
        <f t="shared" si="6"/>
        <v>40966</v>
      </c>
      <c r="G31" s="8">
        <v>0.21</v>
      </c>
      <c r="H31" s="7">
        <f t="shared" si="5"/>
        <v>8602.86</v>
      </c>
    </row>
    <row r="32" spans="1:14" x14ac:dyDescent="0.2">
      <c r="C32" s="7">
        <v>3423604.6119999997</v>
      </c>
      <c r="E32" s="7">
        <v>16299</v>
      </c>
      <c r="F32" s="7">
        <f t="shared" si="6"/>
        <v>16299</v>
      </c>
      <c r="G32" s="8">
        <v>0.21</v>
      </c>
      <c r="H32" s="7">
        <f t="shared" si="5"/>
        <v>3422.79</v>
      </c>
    </row>
    <row r="33" spans="3:8" x14ac:dyDescent="0.2">
      <c r="C33" s="7">
        <v>5135406.9179999996</v>
      </c>
      <c r="E33" s="7">
        <v>61135.796642857138</v>
      </c>
      <c r="F33" s="7">
        <f t="shared" si="6"/>
        <v>61135.796642857138</v>
      </c>
      <c r="G33" s="8">
        <v>0.21</v>
      </c>
      <c r="H33" s="7">
        <f t="shared" si="5"/>
        <v>12838.517294999998</v>
      </c>
    </row>
    <row r="34" spans="3:8" x14ac:dyDescent="0.2">
      <c r="C34" s="7">
        <v>16610.338</v>
      </c>
      <c r="E34" s="7">
        <v>79</v>
      </c>
      <c r="F34" s="7">
        <f t="shared" si="6"/>
        <v>79</v>
      </c>
      <c r="G34" s="8">
        <v>0.21</v>
      </c>
      <c r="H34" s="7">
        <f t="shared" si="5"/>
        <v>16.59</v>
      </c>
    </row>
    <row r="35" spans="3:8" x14ac:dyDescent="0.2">
      <c r="C35" s="7">
        <v>24915.507000000001</v>
      </c>
      <c r="E35" s="7">
        <v>296.61317857142859</v>
      </c>
      <c r="F35" s="7">
        <f t="shared" si="6"/>
        <v>296.61317857142859</v>
      </c>
      <c r="G35" s="8">
        <v>0.21</v>
      </c>
      <c r="H35" s="7">
        <f t="shared" si="5"/>
        <v>62.288767499999999</v>
      </c>
    </row>
    <row r="36" spans="3:8" x14ac:dyDescent="0.2">
      <c r="C36" s="7">
        <v>31061870.714000002</v>
      </c>
      <c r="E36" s="7">
        <v>147880</v>
      </c>
      <c r="F36" s="7">
        <f t="shared" si="6"/>
        <v>147880</v>
      </c>
      <c r="G36" s="8">
        <v>0.21</v>
      </c>
      <c r="H36" s="7">
        <f t="shared" si="5"/>
        <v>31054.799999999999</v>
      </c>
    </row>
    <row r="37" spans="3:8" x14ac:dyDescent="0.2">
      <c r="C37" s="7">
        <v>46592806.070999995</v>
      </c>
      <c r="E37" s="7">
        <v>776546.76784999995</v>
      </c>
      <c r="F37" s="7">
        <f t="shared" si="6"/>
        <v>776546.76784999995</v>
      </c>
      <c r="G37" s="8">
        <v>0.21</v>
      </c>
      <c r="H37" s="7">
        <f t="shared" si="5"/>
        <v>163074.8212485</v>
      </c>
    </row>
    <row r="38" spans="3:8" x14ac:dyDescent="0.2">
      <c r="C38" s="7">
        <v>1219848.1800000002</v>
      </c>
      <c r="E38" s="7">
        <v>5807</v>
      </c>
      <c r="F38" s="7">
        <f t="shared" si="6"/>
        <v>5807</v>
      </c>
      <c r="G38" s="8">
        <v>0.21</v>
      </c>
      <c r="H38" s="7">
        <f t="shared" si="5"/>
        <v>1219.47</v>
      </c>
    </row>
    <row r="39" spans="3:8" x14ac:dyDescent="0.2">
      <c r="C39" s="7">
        <v>2523999.9120000005</v>
      </c>
      <c r="E39" s="7">
        <v>12016</v>
      </c>
      <c r="F39" s="7">
        <f t="shared" si="6"/>
        <v>12016</v>
      </c>
      <c r="G39" s="8">
        <v>0.21</v>
      </c>
      <c r="H39" s="7">
        <f t="shared" si="5"/>
        <v>2523.36</v>
      </c>
    </row>
    <row r="40" spans="3:8" x14ac:dyDescent="0.2">
      <c r="C40" s="7">
        <v>3785999.8679999998</v>
      </c>
      <c r="E40" s="7">
        <v>45071.426999999996</v>
      </c>
      <c r="F40" s="7">
        <f t="shared" si="6"/>
        <v>45071.426999999996</v>
      </c>
      <c r="G40" s="8">
        <v>0.21</v>
      </c>
      <c r="H40" s="7">
        <f t="shared" si="5"/>
        <v>9464.9996699999992</v>
      </c>
    </row>
    <row r="41" spans="3:8" x14ac:dyDescent="0.2">
      <c r="C41" s="7">
        <v>25974568.388</v>
      </c>
      <c r="E41" s="7">
        <v>123661</v>
      </c>
      <c r="F41" s="7">
        <f t="shared" si="6"/>
        <v>123661</v>
      </c>
      <c r="G41" s="8">
        <v>0.21</v>
      </c>
      <c r="H41" s="7">
        <f t="shared" si="5"/>
        <v>25968.809999999998</v>
      </c>
    </row>
    <row r="42" spans="3:8" x14ac:dyDescent="0.2">
      <c r="C42" s="7">
        <v>38961852.581999995</v>
      </c>
      <c r="E42" s="7">
        <v>463832</v>
      </c>
      <c r="F42" s="7">
        <f t="shared" si="6"/>
        <v>463832</v>
      </c>
      <c r="G42" s="8">
        <v>0.21</v>
      </c>
      <c r="H42" s="7">
        <f t="shared" si="5"/>
        <v>97404.72</v>
      </c>
    </row>
    <row r="43" spans="3:8" x14ac:dyDescent="0.2">
      <c r="C43" s="7">
        <v>2779050.4420000003</v>
      </c>
      <c r="E43" s="7">
        <v>14305</v>
      </c>
      <c r="F43" s="7">
        <f t="shared" si="6"/>
        <v>14305</v>
      </c>
      <c r="G43" s="8">
        <v>0.21</v>
      </c>
      <c r="H43" s="7">
        <f t="shared" si="5"/>
        <v>3004.0499999999997</v>
      </c>
    </row>
    <row r="44" spans="3:8" x14ac:dyDescent="0.2">
      <c r="C44" s="7">
        <v>4168575.6630000002</v>
      </c>
      <c r="E44" s="31">
        <v>49625.900750000001</v>
      </c>
      <c r="F44" s="31">
        <f t="shared" si="6"/>
        <v>49625.900750000001</v>
      </c>
      <c r="G44" s="36">
        <v>0.21</v>
      </c>
      <c r="H44" s="31">
        <f t="shared" si="5"/>
        <v>10421.439157499999</v>
      </c>
    </row>
    <row r="45" spans="3:8" x14ac:dyDescent="0.2">
      <c r="C45" s="7">
        <v>952862</v>
      </c>
      <c r="E45" s="31">
        <v>5732</v>
      </c>
      <c r="F45" s="31">
        <f t="shared" si="6"/>
        <v>5732</v>
      </c>
      <c r="G45" s="36">
        <v>0.21</v>
      </c>
      <c r="H45" s="31">
        <f t="shared" si="5"/>
        <v>1203.72</v>
      </c>
    </row>
    <row r="46" spans="3:8" x14ac:dyDescent="0.2">
      <c r="C46" s="7">
        <v>1429294</v>
      </c>
      <c r="E46" s="31">
        <v>23821</v>
      </c>
      <c r="F46" s="31">
        <f t="shared" si="6"/>
        <v>23821</v>
      </c>
      <c r="G46" s="36">
        <v>0.21</v>
      </c>
      <c r="H46" s="31">
        <f t="shared" si="5"/>
        <v>5002.41</v>
      </c>
    </row>
    <row r="47" spans="3:8" x14ac:dyDescent="0.2">
      <c r="C47" s="7">
        <v>855112</v>
      </c>
      <c r="E47" s="31">
        <v>5144</v>
      </c>
      <c r="F47" s="31">
        <f t="shared" si="6"/>
        <v>5144</v>
      </c>
      <c r="G47" s="36">
        <v>0.21</v>
      </c>
      <c r="H47" s="31">
        <f t="shared" si="5"/>
        <v>1080.24</v>
      </c>
    </row>
    <row r="48" spans="3:8" x14ac:dyDescent="0.2">
      <c r="C48" s="7">
        <v>3270</v>
      </c>
      <c r="E48" s="31">
        <v>54</v>
      </c>
      <c r="F48" s="31">
        <f t="shared" si="6"/>
        <v>54</v>
      </c>
      <c r="G48" s="36">
        <v>0.21</v>
      </c>
      <c r="H48" s="31">
        <f t="shared" si="5"/>
        <v>11.34</v>
      </c>
    </row>
    <row r="49" spans="3:8" x14ac:dyDescent="0.2">
      <c r="C49" s="31">
        <v>1279398</v>
      </c>
      <c r="D49" s="28"/>
      <c r="E49" s="31">
        <v>15231</v>
      </c>
      <c r="F49" s="31">
        <f t="shared" si="6"/>
        <v>15231</v>
      </c>
      <c r="G49" s="36">
        <v>0.21</v>
      </c>
      <c r="H49" s="31">
        <f t="shared" si="5"/>
        <v>3198.5099999999998</v>
      </c>
    </row>
    <row r="50" spans="3:8" x14ac:dyDescent="0.2">
      <c r="C50" s="31">
        <v>1682939.32</v>
      </c>
      <c r="D50" s="28"/>
      <c r="E50" s="31">
        <v>5259.19</v>
      </c>
      <c r="F50" s="31">
        <f t="shared" si="6"/>
        <v>5259.19</v>
      </c>
      <c r="G50" s="36">
        <v>0.21</v>
      </c>
      <c r="H50" s="31">
        <f t="shared" si="5"/>
        <v>1104.4298999999999</v>
      </c>
    </row>
    <row r="51" spans="3:8" x14ac:dyDescent="0.2">
      <c r="C51" s="31">
        <v>1069487.7599999998</v>
      </c>
      <c r="D51" s="28"/>
      <c r="E51" s="31">
        <v>0</v>
      </c>
      <c r="F51" s="31">
        <f t="shared" si="6"/>
        <v>0</v>
      </c>
      <c r="G51" s="36">
        <v>0.21</v>
      </c>
      <c r="H51" s="31">
        <f t="shared" si="5"/>
        <v>0</v>
      </c>
    </row>
    <row r="52" spans="3:8" x14ac:dyDescent="0.2">
      <c r="C52" s="31">
        <v>-523388.25</v>
      </c>
      <c r="D52" s="28"/>
      <c r="E52" s="31">
        <f>-52007.1-11</f>
        <v>-52018.1</v>
      </c>
      <c r="F52" s="31">
        <f t="shared" si="6"/>
        <v>-52018.1</v>
      </c>
      <c r="G52" s="36">
        <v>0.21</v>
      </c>
      <c r="H52" s="31">
        <f t="shared" si="5"/>
        <v>-10923.800999999999</v>
      </c>
    </row>
    <row r="53" spans="3:8" x14ac:dyDescent="0.2">
      <c r="C53" s="31">
        <v>72212.524000000005</v>
      </c>
      <c r="D53" s="28"/>
      <c r="E53" s="31">
        <v>225.66</v>
      </c>
      <c r="F53" s="31">
        <f t="shared" si="6"/>
        <v>225.66</v>
      </c>
      <c r="G53" s="36">
        <v>0.21</v>
      </c>
      <c r="H53" s="31">
        <f t="shared" si="5"/>
        <v>47.388599999999997</v>
      </c>
    </row>
    <row r="54" spans="3:8" x14ac:dyDescent="0.2">
      <c r="C54" s="31">
        <v>28393.71</v>
      </c>
      <c r="D54" s="28"/>
      <c r="E54" s="31">
        <v>197.18</v>
      </c>
      <c r="F54" s="31">
        <f t="shared" si="6"/>
        <v>197.18</v>
      </c>
      <c r="G54" s="36">
        <v>0.21</v>
      </c>
      <c r="H54" s="31">
        <f t="shared" si="5"/>
        <v>41.407800000000002</v>
      </c>
    </row>
    <row r="55" spans="3:8" ht="15" x14ac:dyDescent="0.35">
      <c r="C55" s="26">
        <v>79925.075999999986</v>
      </c>
      <c r="D55" s="28"/>
      <c r="E55" s="26">
        <v>396.45</v>
      </c>
      <c r="F55" s="26">
        <f t="shared" si="6"/>
        <v>396.45</v>
      </c>
      <c r="G55" s="36">
        <v>0.21</v>
      </c>
      <c r="H55" s="26">
        <f t="shared" si="5"/>
        <v>83.254499999999993</v>
      </c>
    </row>
    <row r="56" spans="3:8" x14ac:dyDescent="0.2">
      <c r="C56" s="7">
        <f>SUM(C25:C55)</f>
        <v>330759770.74499989</v>
      </c>
      <c r="E56" s="7">
        <f>SUM(E25:E55)</f>
        <v>3092726.999088096</v>
      </c>
      <c r="F56" s="7">
        <f>SUM(F25:F55)</f>
        <v>721142.99908809504</v>
      </c>
      <c r="G56" s="28" t="s">
        <v>41</v>
      </c>
      <c r="H56" s="7">
        <f>SUM(H25:H55)</f>
        <v>151440.02980849994</v>
      </c>
    </row>
    <row r="57" spans="3:8" ht="15" x14ac:dyDescent="0.35">
      <c r="G57" s="28" t="s">
        <v>42</v>
      </c>
      <c r="H57" s="26">
        <f>-H91*0.21</f>
        <v>-40133.833492499994</v>
      </c>
    </row>
    <row r="58" spans="3:8" x14ac:dyDescent="0.2">
      <c r="H58" s="7">
        <f>H56+H57</f>
        <v>111306.19631599994</v>
      </c>
    </row>
    <row r="59" spans="3:8" x14ac:dyDescent="0.2">
      <c r="H59" s="7">
        <f>H58-K15</f>
        <v>1.2235999907716177E-2</v>
      </c>
    </row>
    <row r="60" spans="3:8" x14ac:dyDescent="0.2">
      <c r="C60" s="7" t="s">
        <v>37</v>
      </c>
      <c r="D60" s="41" t="s">
        <v>33</v>
      </c>
      <c r="E60" s="40" t="s">
        <v>38</v>
      </c>
      <c r="F60" s="7" t="s">
        <v>39</v>
      </c>
      <c r="G60" s="8" t="s">
        <v>27</v>
      </c>
      <c r="H60" s="7" t="s">
        <v>40</v>
      </c>
    </row>
    <row r="61" spans="3:8" x14ac:dyDescent="0.2">
      <c r="C61" s="7">
        <v>3645863</v>
      </c>
      <c r="D61" s="7">
        <f>D25</f>
        <v>2371584</v>
      </c>
      <c r="E61" s="7">
        <v>13739</v>
      </c>
      <c r="F61" s="7">
        <f>E61-D61</f>
        <v>-2357845</v>
      </c>
      <c r="G61" s="8">
        <v>0.05</v>
      </c>
      <c r="H61" s="7">
        <f>F61*G61</f>
        <v>-117892.25</v>
      </c>
    </row>
    <row r="62" spans="3:8" x14ac:dyDescent="0.2">
      <c r="C62" s="7">
        <v>3415356</v>
      </c>
      <c r="E62" s="7">
        <v>13912</v>
      </c>
      <c r="F62" s="7">
        <f t="shared" ref="F62:F90" si="7">E62-D62</f>
        <v>13912</v>
      </c>
      <c r="G62" s="8">
        <v>0.05</v>
      </c>
      <c r="H62" s="7">
        <f t="shared" ref="H62:H90" si="8">F62*G62</f>
        <v>695.6</v>
      </c>
    </row>
    <row r="63" spans="3:8" x14ac:dyDescent="0.2">
      <c r="C63" s="7">
        <v>5123034</v>
      </c>
      <c r="E63" s="7">
        <v>60989</v>
      </c>
      <c r="F63" s="7">
        <f t="shared" si="7"/>
        <v>60989</v>
      </c>
      <c r="G63" s="8">
        <v>0.05</v>
      </c>
      <c r="H63" s="7">
        <f t="shared" si="8"/>
        <v>3049.4500000000003</v>
      </c>
    </row>
    <row r="64" spans="3:8" x14ac:dyDescent="0.2">
      <c r="C64" s="7">
        <v>61300531</v>
      </c>
      <c r="E64" s="7">
        <v>269978</v>
      </c>
      <c r="F64" s="7">
        <f t="shared" si="7"/>
        <v>269978</v>
      </c>
      <c r="G64" s="8">
        <v>0.05</v>
      </c>
      <c r="H64" s="7">
        <f t="shared" si="8"/>
        <v>13498.900000000001</v>
      </c>
    </row>
    <row r="65" spans="3:8" x14ac:dyDescent="0.2">
      <c r="C65" s="7">
        <v>91950796.200000003</v>
      </c>
      <c r="E65" s="7">
        <v>1094652.3357142857</v>
      </c>
      <c r="F65" s="7">
        <f t="shared" si="7"/>
        <v>1094652.3357142857</v>
      </c>
      <c r="G65" s="8">
        <v>0.05</v>
      </c>
      <c r="H65" s="7">
        <f t="shared" si="8"/>
        <v>54732.616785714286</v>
      </c>
    </row>
    <row r="66" spans="3:8" x14ac:dyDescent="0.2">
      <c r="C66" s="7">
        <v>54929134.064000003</v>
      </c>
      <c r="E66" s="7">
        <v>241917</v>
      </c>
      <c r="F66" s="7">
        <f t="shared" si="7"/>
        <v>241917</v>
      </c>
      <c r="G66" s="8">
        <v>0.05</v>
      </c>
      <c r="H66" s="7">
        <f t="shared" si="8"/>
        <v>12095.85</v>
      </c>
    </row>
    <row r="67" spans="3:8" x14ac:dyDescent="0.2">
      <c r="C67" s="7">
        <v>82393701.096000001</v>
      </c>
      <c r="E67" s="7">
        <v>980877.39399999997</v>
      </c>
      <c r="F67" s="7">
        <f t="shared" si="7"/>
        <v>980877.39399999997</v>
      </c>
      <c r="G67" s="8">
        <v>0.05</v>
      </c>
      <c r="H67" s="7">
        <f t="shared" si="8"/>
        <v>49043.869700000003</v>
      </c>
    </row>
    <row r="68" spans="3:8" x14ac:dyDescent="0.2">
      <c r="C68" s="7">
        <v>8604880</v>
      </c>
      <c r="E68" s="7">
        <v>40966</v>
      </c>
      <c r="F68" s="7">
        <f t="shared" si="7"/>
        <v>40966</v>
      </c>
      <c r="G68" s="8">
        <v>0.05</v>
      </c>
      <c r="H68" s="7">
        <f t="shared" si="8"/>
        <v>2048.3000000000002</v>
      </c>
    </row>
    <row r="69" spans="3:8" x14ac:dyDescent="0.2">
      <c r="C69" s="7">
        <v>6880430</v>
      </c>
      <c r="E69" s="7">
        <v>32757</v>
      </c>
      <c r="F69" s="7">
        <f t="shared" si="7"/>
        <v>32757</v>
      </c>
      <c r="G69" s="8">
        <v>0.05</v>
      </c>
      <c r="H69" s="7">
        <f t="shared" si="8"/>
        <v>1637.8500000000001</v>
      </c>
    </row>
    <row r="70" spans="3:8" x14ac:dyDescent="0.2">
      <c r="C70" s="7">
        <v>10320645</v>
      </c>
      <c r="E70" s="7">
        <v>122865</v>
      </c>
      <c r="F70" s="7">
        <f t="shared" si="7"/>
        <v>122865</v>
      </c>
      <c r="G70" s="8">
        <v>0.05</v>
      </c>
      <c r="H70" s="7">
        <f t="shared" si="8"/>
        <v>6143.25</v>
      </c>
    </row>
    <row r="71" spans="3:8" x14ac:dyDescent="0.2">
      <c r="C71" s="7">
        <v>62123741</v>
      </c>
      <c r="E71" s="7">
        <v>295761</v>
      </c>
      <c r="F71" s="7">
        <f t="shared" si="7"/>
        <v>295761</v>
      </c>
      <c r="G71" s="8">
        <v>0.05</v>
      </c>
      <c r="H71" s="7">
        <f t="shared" si="8"/>
        <v>14788.050000000001</v>
      </c>
    </row>
    <row r="72" spans="3:8" x14ac:dyDescent="0.2">
      <c r="C72" s="7">
        <v>93185612</v>
      </c>
      <c r="E72" s="7">
        <v>1553094</v>
      </c>
      <c r="F72" s="7">
        <f t="shared" si="7"/>
        <v>1553094</v>
      </c>
      <c r="G72" s="8">
        <v>0.05</v>
      </c>
      <c r="H72" s="7">
        <f t="shared" si="8"/>
        <v>77654.7</v>
      </c>
    </row>
    <row r="73" spans="3:8" x14ac:dyDescent="0.2">
      <c r="C73" s="7">
        <v>1219848</v>
      </c>
      <c r="E73" s="7">
        <v>5807</v>
      </c>
      <c r="F73" s="7">
        <f t="shared" si="7"/>
        <v>5807</v>
      </c>
      <c r="G73" s="8">
        <v>0.05</v>
      </c>
      <c r="H73" s="7">
        <f t="shared" si="8"/>
        <v>290.35000000000002</v>
      </c>
    </row>
    <row r="74" spans="3:8" x14ac:dyDescent="0.2">
      <c r="C74" s="7">
        <v>5048000</v>
      </c>
      <c r="E74" s="7">
        <v>24033</v>
      </c>
      <c r="F74" s="7">
        <f t="shared" si="7"/>
        <v>24033</v>
      </c>
      <c r="G74" s="8">
        <v>0.05</v>
      </c>
      <c r="H74" s="7">
        <f t="shared" si="8"/>
        <v>1201.6500000000001</v>
      </c>
    </row>
    <row r="75" spans="3:8" x14ac:dyDescent="0.2">
      <c r="C75" s="7">
        <v>7572000</v>
      </c>
      <c r="E75" s="7">
        <v>90143</v>
      </c>
      <c r="F75" s="7">
        <f t="shared" si="7"/>
        <v>90143</v>
      </c>
      <c r="G75" s="8">
        <v>0.05</v>
      </c>
      <c r="H75" s="7">
        <f t="shared" si="8"/>
        <v>4507.1500000000005</v>
      </c>
    </row>
    <row r="76" spans="3:8" x14ac:dyDescent="0.2">
      <c r="C76" s="7">
        <v>51949137</v>
      </c>
      <c r="E76" s="7">
        <v>247321</v>
      </c>
      <c r="F76" s="7">
        <f t="shared" si="7"/>
        <v>247321</v>
      </c>
      <c r="G76" s="8">
        <v>0.05</v>
      </c>
      <c r="H76" s="7">
        <f t="shared" si="8"/>
        <v>12366.050000000001</v>
      </c>
    </row>
    <row r="77" spans="3:8" x14ac:dyDescent="0.2">
      <c r="C77" s="7">
        <v>77923705</v>
      </c>
      <c r="E77" s="7">
        <v>927663.15671428561</v>
      </c>
      <c r="F77" s="7">
        <f t="shared" si="7"/>
        <v>927663.15671428561</v>
      </c>
      <c r="G77" s="8">
        <v>0.05</v>
      </c>
      <c r="H77" s="7">
        <f t="shared" si="8"/>
        <v>46383.157835714286</v>
      </c>
    </row>
    <row r="78" spans="3:8" x14ac:dyDescent="0.2">
      <c r="C78" s="7">
        <v>5558101</v>
      </c>
      <c r="E78" s="7">
        <v>28610</v>
      </c>
      <c r="F78" s="31">
        <f t="shared" si="7"/>
        <v>28610</v>
      </c>
      <c r="G78" s="8">
        <v>0.05</v>
      </c>
      <c r="H78" s="7">
        <f t="shared" si="8"/>
        <v>1430.5</v>
      </c>
    </row>
    <row r="79" spans="3:8" x14ac:dyDescent="0.2">
      <c r="C79" s="7">
        <v>8337151</v>
      </c>
      <c r="E79" s="31">
        <v>99252</v>
      </c>
      <c r="F79" s="31">
        <f t="shared" si="7"/>
        <v>99252</v>
      </c>
      <c r="G79" s="36">
        <v>0.05</v>
      </c>
      <c r="H79" s="31">
        <f t="shared" si="8"/>
        <v>4962.6000000000004</v>
      </c>
    </row>
    <row r="80" spans="3:8" x14ac:dyDescent="0.2">
      <c r="C80" s="7">
        <v>1905725</v>
      </c>
      <c r="E80" s="31">
        <v>11465</v>
      </c>
      <c r="F80" s="31">
        <f t="shared" si="7"/>
        <v>11465</v>
      </c>
      <c r="G80" s="36">
        <v>0.05</v>
      </c>
      <c r="H80" s="31">
        <f t="shared" si="8"/>
        <v>573.25</v>
      </c>
    </row>
    <row r="81" spans="3:8" x14ac:dyDescent="0.2">
      <c r="C81" s="7">
        <v>2858587</v>
      </c>
      <c r="E81" s="31">
        <v>47643</v>
      </c>
      <c r="F81" s="31">
        <f t="shared" si="7"/>
        <v>47643</v>
      </c>
      <c r="G81" s="36">
        <v>0.05</v>
      </c>
      <c r="H81" s="31">
        <f t="shared" si="8"/>
        <v>2382.15</v>
      </c>
    </row>
    <row r="82" spans="3:8" x14ac:dyDescent="0.2">
      <c r="C82" s="7">
        <v>1091688</v>
      </c>
      <c r="E82" s="31">
        <v>6567</v>
      </c>
      <c r="F82" s="31">
        <f t="shared" si="7"/>
        <v>6567</v>
      </c>
      <c r="G82" s="36">
        <v>0.05</v>
      </c>
      <c r="H82" s="31">
        <f t="shared" si="8"/>
        <v>328.35</v>
      </c>
    </row>
    <row r="83" spans="3:8" x14ac:dyDescent="0.2">
      <c r="C83" s="7">
        <v>3270</v>
      </c>
      <c r="E83" s="31">
        <v>54</v>
      </c>
      <c r="F83" s="31">
        <f t="shared" si="7"/>
        <v>54</v>
      </c>
      <c r="G83" s="36">
        <v>0.05</v>
      </c>
      <c r="H83" s="31">
        <f t="shared" si="8"/>
        <v>2.7</v>
      </c>
    </row>
    <row r="84" spans="3:8" x14ac:dyDescent="0.2">
      <c r="C84" s="31">
        <f>1634262</f>
        <v>1634262</v>
      </c>
      <c r="D84" s="28"/>
      <c r="E84" s="31">
        <v>19456</v>
      </c>
      <c r="F84" s="31">
        <f t="shared" si="7"/>
        <v>19456</v>
      </c>
      <c r="G84" s="36">
        <v>0.05</v>
      </c>
      <c r="H84" s="31">
        <f t="shared" si="8"/>
        <v>972.80000000000007</v>
      </c>
    </row>
    <row r="85" spans="3:8" x14ac:dyDescent="0.2">
      <c r="C85" s="31">
        <v>1682939</v>
      </c>
      <c r="D85" s="28"/>
      <c r="E85" s="31">
        <v>5259.19</v>
      </c>
      <c r="F85" s="31">
        <f t="shared" si="7"/>
        <v>5259.19</v>
      </c>
      <c r="G85" s="36">
        <v>0.05</v>
      </c>
      <c r="H85" s="31">
        <f t="shared" si="8"/>
        <v>262.95949999999999</v>
      </c>
    </row>
    <row r="86" spans="3:8" x14ac:dyDescent="0.2">
      <c r="C86" s="31">
        <v>1069488</v>
      </c>
      <c r="D86" s="28"/>
      <c r="E86" s="31">
        <v>0</v>
      </c>
      <c r="F86" s="31">
        <f t="shared" si="7"/>
        <v>0</v>
      </c>
      <c r="G86" s="36">
        <v>0.05</v>
      </c>
      <c r="H86" s="31">
        <f t="shared" si="8"/>
        <v>0</v>
      </c>
    </row>
    <row r="87" spans="3:8" x14ac:dyDescent="0.2">
      <c r="C87" s="31">
        <v>-523388.25</v>
      </c>
      <c r="D87" s="28"/>
      <c r="E87" s="31">
        <f>-41794.4+48</f>
        <v>-41746.400000000001</v>
      </c>
      <c r="F87" s="31">
        <f t="shared" si="7"/>
        <v>-41746.400000000001</v>
      </c>
      <c r="G87" s="36">
        <v>0.05</v>
      </c>
      <c r="H87" s="31">
        <f t="shared" si="8"/>
        <v>-2087.3200000000002</v>
      </c>
    </row>
    <row r="88" spans="3:8" x14ac:dyDescent="0.2">
      <c r="C88" s="31">
        <v>72213</v>
      </c>
      <c r="D88" s="28"/>
      <c r="E88" s="31">
        <v>226</v>
      </c>
      <c r="F88" s="31">
        <f t="shared" si="7"/>
        <v>226</v>
      </c>
      <c r="G88" s="36">
        <v>0.05</v>
      </c>
      <c r="H88" s="31">
        <f t="shared" si="8"/>
        <v>11.3</v>
      </c>
    </row>
    <row r="89" spans="3:8" x14ac:dyDescent="0.2">
      <c r="C89" s="31">
        <v>28394</v>
      </c>
      <c r="D89" s="28"/>
      <c r="E89" s="31">
        <v>197.18</v>
      </c>
      <c r="F89" s="31">
        <f t="shared" si="7"/>
        <v>197.18</v>
      </c>
      <c r="G89" s="36">
        <v>0.05</v>
      </c>
      <c r="H89" s="31">
        <f t="shared" si="8"/>
        <v>9.8590000000000018</v>
      </c>
    </row>
    <row r="90" spans="3:8" ht="15" x14ac:dyDescent="0.35">
      <c r="C90" s="26">
        <v>79925.075999999986</v>
      </c>
      <c r="D90" s="28"/>
      <c r="E90" s="26">
        <v>396</v>
      </c>
      <c r="F90" s="26">
        <f t="shared" si="7"/>
        <v>396</v>
      </c>
      <c r="G90" s="36">
        <v>0.05</v>
      </c>
      <c r="H90" s="26">
        <f t="shared" si="8"/>
        <v>19.8</v>
      </c>
    </row>
    <row r="91" spans="3:8" x14ac:dyDescent="0.2">
      <c r="C91" s="7">
        <f>SUM(C61:C90)</f>
        <v>651384768.18599999</v>
      </c>
      <c r="E91" s="7">
        <f>SUM(E61:E90)</f>
        <v>6193853.856428571</v>
      </c>
      <c r="F91" s="7">
        <f>SUM(F61:F90)</f>
        <v>3822269.8564285715</v>
      </c>
      <c r="H91" s="7">
        <f>SUM(H61:H90)</f>
        <v>191113.49282142855</v>
      </c>
    </row>
    <row r="92" spans="3:8" x14ac:dyDescent="0.2">
      <c r="H92" s="7">
        <f>H91-L15</f>
        <v>1.082142855739221E-2</v>
      </c>
    </row>
  </sheetData>
  <mergeCells count="1">
    <mergeCell ref="A1:N1"/>
  </mergeCells>
  <pageMargins left="0.7" right="0.7" top="1.15625" bottom="0.75" header="0.3" footer="0.3"/>
  <pageSetup scale="50" orientation="portrait" r:id="rId1"/>
  <headerFooter>
    <oddHeader>&amp;R&amp;"Times New Roman,Bold"&amp;12Attachment to Response to Question 3
Page &amp;P of &amp;N
Williams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Williams, Scott</Witness_x0020_Testimony>
    <Year xmlns="65bfb563-8fe2-4d34-a09f-38a217d8feea">2020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2020-00170</Case_x0020__x0023_>
    <Review_x0020_Case_x0020_Expense_x0020_Period xmlns="65bfb563-8fe2-4d34-a09f-38a217d8feea">Mar-Aug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1" ma:contentTypeDescription="Create a new document." ma:contentTypeScope="" ma:versionID="1a7440fe774e3a49f8f8025c7f284a7f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e8f00517e1a5c3e1cb96a73fb0bdef8d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- Proof of Publication/Certificate of Notice"/>
          <xsd:enumeration value="10 – eFiled/Filed Documents"/>
          <xsd:enumeration value="10.1 – Application"/>
          <xsd:enumeration value="10.2 – Application - As Filed"/>
          <xsd:enumeration value="11 - Talking Points (Internal Use Only)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C1CCC-F8F9-45E7-83DB-F7034A392BB3}">
  <ds:schemaRefs>
    <ds:schemaRef ds:uri="http://purl.org/dc/elements/1.1/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5bfb563-8fe2-4d34-a09f-38a217d8feea"/>
    <ds:schemaRef ds:uri="http://schemas.microsoft.com/office/2006/documentManagement/typ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06E2C3-4FE0-4B93-ABAF-E0E63E149B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5492B-00F5-4ADE-9857-9E36DC20D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41</vt:lpstr>
      <vt:lpstr>'Project 28'!Print_Area</vt:lpstr>
      <vt:lpstr>'Project 29'!Print_Area</vt:lpstr>
      <vt:lpstr>'Project 29_2011 Plan'!Print_Area</vt:lpstr>
      <vt:lpstr>'Project 30'!Print_Area</vt:lpstr>
      <vt:lpstr>'Project 31'!Print_Area</vt:lpstr>
      <vt:lpstr>'Project 32'!Print_Area</vt:lpstr>
      <vt:lpstr>'Project 33'!Print_Area</vt:lpstr>
      <vt:lpstr>'Project 34'!Print_Area</vt:lpstr>
      <vt:lpstr>'Project 35'!Print_Area</vt:lpstr>
      <vt:lpstr>'Project 37'!Print_Area</vt:lpstr>
      <vt:lpstr>'Project 38'!Print_Area</vt:lpstr>
      <vt:lpstr>'Project 41'!Print_Area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Hamilton, Stephanie</cp:lastModifiedBy>
  <cp:lastPrinted>2020-07-01T12:41:55Z</cp:lastPrinted>
  <dcterms:created xsi:type="dcterms:W3CDTF">2006-05-12T17:38:13Z</dcterms:created>
  <dcterms:modified xsi:type="dcterms:W3CDTF">2020-07-01T12:42:15Z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