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133F574-A6A0-4A1C-95C7-9BBBCA68B8F3}" xr6:coauthVersionLast="44" xr6:coauthVersionMax="44" xr10:uidLastSave="{00000000-0000-0000-0000-000000000000}"/>
  <bookViews>
    <workbookView xWindow="-110" yWindow="-110" windowWidth="19420" windowHeight="9800" xr2:uid="{00000000-000D-0000-FFFF-FFFF00000000}"/>
  </bookViews>
  <sheets>
    <sheet name="Q5 - KU ROR Aug19" sheetId="1" r:id="rId1"/>
    <sheet name="Q5 - ECC Aug19" sheetId="12" r:id="rId2"/>
    <sheet name="Q5 - Tax Rate" sheetId="1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localSheetId="1" hidden="1">255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TUAL">"'Vol_Revs'!R5C3:R5C14"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ORECAST">"'IFPSReport'!R5C3:R5C14"</definedName>
    <definedName name="HTML_CodePage" hidden="1">1252</definedName>
    <definedName name="HTML_Control" localSheetId="2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xtBillMonth">#REF!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2" hidden="1">[5]PopCache!$A$1:$A$2</definedName>
    <definedName name="PopCache_GL_INTERFACE_REFERENCE7" hidden="1">[5]PopCache!$A$1:$A$2</definedName>
    <definedName name="_xlnm.Print_Area" localSheetId="1">'Q5 - ECC Aug19'!$A$1:$Q$82</definedName>
    <definedName name="_xlnm.Print_Area" localSheetId="0">'Q5 - KU ROR Aug19'!$A$1:$S$36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verystartlookup">#REF!</definedName>
    <definedName name="ReptItemsTableAll">#REF!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2" hidden="1">{"review",#N/A,FALSE,"FACTSHT"}</definedName>
    <definedName name="wrn.review.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12" l="1"/>
  <c r="O37" i="12"/>
  <c r="Q37" i="12" s="1"/>
  <c r="M62" i="12" l="1"/>
  <c r="K62" i="12"/>
  <c r="I62" i="12"/>
  <c r="G60" i="12"/>
  <c r="O60" i="12" s="1"/>
  <c r="Q59" i="12"/>
  <c r="G59" i="12"/>
  <c r="O59" i="12" s="1"/>
  <c r="G58" i="12"/>
  <c r="Q58" i="12"/>
  <c r="M46" i="12"/>
  <c r="G46" i="12"/>
  <c r="E46" i="12"/>
  <c r="O45" i="12"/>
  <c r="O44" i="12"/>
  <c r="O43" i="12"/>
  <c r="K46" i="12"/>
  <c r="M40" i="12"/>
  <c r="K40" i="12"/>
  <c r="O36" i="12"/>
  <c r="Q36" i="12" s="1"/>
  <c r="O34" i="12"/>
  <c r="O33" i="12"/>
  <c r="Q33" i="12" s="1"/>
  <c r="O31" i="12"/>
  <c r="O30" i="12"/>
  <c r="Q30" i="12" s="1"/>
  <c r="O29" i="12"/>
  <c r="Q29" i="12" s="1"/>
  <c r="O28" i="12"/>
  <c r="Q28" i="12" s="1"/>
  <c r="O26" i="12"/>
  <c r="Q26" i="12" s="1"/>
  <c r="E40" i="12"/>
  <c r="O21" i="12"/>
  <c r="Q21" i="12" s="1"/>
  <c r="G20" i="12"/>
  <c r="O20" i="12" s="1"/>
  <c r="Q20" i="12" s="1"/>
  <c r="G19" i="12"/>
  <c r="O19" i="12" s="1"/>
  <c r="Q19" i="12" s="1"/>
  <c r="G17" i="12"/>
  <c r="G16" i="12"/>
  <c r="G15" i="12"/>
  <c r="O15" i="12" s="1"/>
  <c r="Q15" i="12" s="1"/>
  <c r="G14" i="12"/>
  <c r="O14" i="12" s="1"/>
  <c r="Q14" i="12" s="1"/>
  <c r="G12" i="12"/>
  <c r="M23" i="12"/>
  <c r="G11" i="12"/>
  <c r="P18" i="1"/>
  <c r="H18" i="1"/>
  <c r="P17" i="1"/>
  <c r="M48" i="12" l="1"/>
  <c r="M65" i="12" s="1"/>
  <c r="O12" i="12"/>
  <c r="Q12" i="12" s="1"/>
  <c r="O16" i="12"/>
  <c r="Q16" i="12" s="1"/>
  <c r="E23" i="12"/>
  <c r="E48" i="12" s="1"/>
  <c r="C17" i="1" s="1"/>
  <c r="I40" i="12"/>
  <c r="I46" i="12"/>
  <c r="I23" i="12"/>
  <c r="G13" i="12"/>
  <c r="O13" i="12" s="1"/>
  <c r="Q13" i="12" s="1"/>
  <c r="O17" i="12"/>
  <c r="Q17" i="12" s="1"/>
  <c r="O27" i="12"/>
  <c r="Q27" i="12" s="1"/>
  <c r="G18" i="12"/>
  <c r="O18" i="12" s="1"/>
  <c r="Q18" i="12" s="1"/>
  <c r="K23" i="12"/>
  <c r="K48" i="12" s="1"/>
  <c r="K65" i="12" s="1"/>
  <c r="O32" i="12"/>
  <c r="Q32" i="12" s="1"/>
  <c r="O35" i="12"/>
  <c r="Q35" i="12" s="1"/>
  <c r="G62" i="12"/>
  <c r="Q60" i="12"/>
  <c r="O11" i="12"/>
  <c r="Q11" i="12" s="1"/>
  <c r="O58" i="12"/>
  <c r="O62" i="12" s="1"/>
  <c r="O42" i="12"/>
  <c r="O46" i="12" s="1"/>
  <c r="E62" i="12"/>
  <c r="C16" i="1" s="1"/>
  <c r="E45" i="13"/>
  <c r="E49" i="13" s="1"/>
  <c r="E33" i="13"/>
  <c r="E18" i="13"/>
  <c r="E15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G40" i="12" l="1"/>
  <c r="C19" i="1"/>
  <c r="F17" i="1" s="1"/>
  <c r="J17" i="1" s="1"/>
  <c r="L17" i="1" s="1"/>
  <c r="N17" i="1" s="1"/>
  <c r="R17" i="1" s="1"/>
  <c r="C31" i="1" s="1"/>
  <c r="G23" i="12"/>
  <c r="Q46" i="12"/>
  <c r="O25" i="12"/>
  <c r="I48" i="12"/>
  <c r="I65" i="12" s="1"/>
  <c r="Q62" i="12"/>
  <c r="P30" i="1" s="1"/>
  <c r="O23" i="12"/>
  <c r="E65" i="12"/>
  <c r="E66" i="12" s="1"/>
  <c r="E20" i="13"/>
  <c r="E22" i="13" s="1"/>
  <c r="E24" i="13" s="1"/>
  <c r="O40" i="12" l="1"/>
  <c r="Q40" i="12" s="1"/>
  <c r="Q25" i="12"/>
  <c r="G48" i="12"/>
  <c r="G65" i="12" s="1"/>
  <c r="F16" i="1"/>
  <c r="O48" i="12"/>
  <c r="Q23" i="12"/>
  <c r="E32" i="13"/>
  <c r="E34" i="13" s="1"/>
  <c r="E36" i="13" s="1"/>
  <c r="E27" i="13"/>
  <c r="E29" i="13" s="1"/>
  <c r="F18" i="1" l="1"/>
  <c r="F19" i="1" s="1"/>
  <c r="J16" i="1"/>
  <c r="O65" i="12"/>
  <c r="Q65" i="12" s="1"/>
  <c r="Q48" i="12"/>
  <c r="P31" i="1" s="1"/>
  <c r="L16" i="1" l="1"/>
  <c r="J18" i="1"/>
  <c r="L18" i="1" s="1"/>
  <c r="N18" i="1" s="1"/>
  <c r="R18" i="1" s="1"/>
  <c r="C32" i="1" s="1"/>
  <c r="L19" i="1" l="1"/>
  <c r="N16" i="1"/>
  <c r="N19" i="1" l="1"/>
  <c r="R16" i="1"/>
  <c r="R19" i="1" l="1"/>
  <c r="C30" i="1"/>
  <c r="C33" i="1" s="1"/>
  <c r="F31" i="1" s="1"/>
  <c r="J31" i="1" s="1"/>
  <c r="H31" i="1" l="1"/>
  <c r="L31" i="1" s="1"/>
  <c r="F30" i="1"/>
  <c r="H30" i="1" s="1"/>
  <c r="J30" i="1" l="1"/>
  <c r="J32" i="1" s="1"/>
  <c r="F32" i="1"/>
  <c r="F33" i="1" s="1"/>
  <c r="H32" i="1"/>
  <c r="L30" i="1"/>
  <c r="L32" i="1" l="1"/>
  <c r="L33" i="1" s="1"/>
  <c r="N31" i="1" s="1"/>
  <c r="R31" i="1" s="1"/>
  <c r="N30" i="1" l="1"/>
  <c r="R30" i="1" l="1"/>
  <c r="N32" i="1"/>
  <c r="R32" i="1" s="1"/>
  <c r="N33" i="1" l="1"/>
  <c r="R33" i="1"/>
  <c r="R34" i="1" s="1"/>
</calcChain>
</file>

<file path=xl/sharedStrings.xml><?xml version="1.0" encoding="utf-8"?>
<sst xmlns="http://schemas.openxmlformats.org/spreadsheetml/2006/main" count="211" uniqueCount="158">
  <si>
    <t>KENTUCKY UTILITIES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</si>
  <si>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</si>
  <si>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</si>
  <si>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</si>
  <si>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</si>
  <si>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</si>
  <si>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</si>
  <si>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</si>
  <si>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</si>
  <si>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</si>
  <si>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</si>
  <si>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</si>
  <si>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</si>
  <si>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</si>
  <si>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</si>
  <si>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</si>
  <si>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</si>
  <si>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</si>
  <si>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</si>
  <si>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</si>
  <si>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</si>
  <si>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</si>
  <si>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</si>
  <si>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</si>
  <si>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</si>
  <si>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</si>
  <si>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</si>
  <si>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</si>
  <si>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</si>
  <si>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</si>
  <si>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</si>
  <si>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</si>
  <si>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</si>
  <si>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</si>
  <si>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</si>
  <si>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</si>
  <si>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</si>
  <si>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</si>
  <si>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</si>
  <si>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</si>
  <si>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</si>
  <si>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</si>
  <si>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</si>
  <si>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</si>
  <si>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ANALYSIS OF THE EMBEDDED COST OF CAPITAL AT</t>
  </si>
  <si>
    <r>
      <t>LONG-TERM DEBT</t>
    </r>
    <r>
      <rPr>
        <b/>
        <sz val="16"/>
        <rFont val="Arial"/>
        <family val="2"/>
      </rPr>
      <t xml:space="preserve"> </t>
    </r>
  </si>
  <si>
    <t>Annualized Cost</t>
  </si>
  <si>
    <t>Amortized Debt</t>
  </si>
  <si>
    <t>Amortized Loss-</t>
  </si>
  <si>
    <t>Embedded</t>
  </si>
  <si>
    <t>Due</t>
  </si>
  <si>
    <t>Principal</t>
  </si>
  <si>
    <t>Interest/(Income)</t>
  </si>
  <si>
    <t>Reacquired Debt</t>
  </si>
  <si>
    <t>Total</t>
  </si>
  <si>
    <t>Mercer Co. 2000 Series A</t>
  </si>
  <si>
    <t>*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</si>
  <si>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</si>
  <si>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</si>
  <si>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</si>
  <si>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</si>
  <si>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</si>
  <si>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</si>
  <si>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2008 Series A</t>
  </si>
  <si>
    <t>Carroll Co. 2016 Series A</t>
  </si>
  <si>
    <t>Called Bonds</t>
  </si>
  <si>
    <t>Total Pollution Control Bond Debt</t>
  </si>
  <si>
    <t>2010 due 2020</t>
  </si>
  <si>
    <t>**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</si>
  <si>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</si>
  <si>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</si>
  <si>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</si>
  <si>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</si>
  <si>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</si>
  <si>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</si>
  <si>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Letter of Credit Facility</t>
  </si>
  <si>
    <t>Total First Mortgage Bond Debt</t>
  </si>
  <si>
    <t>Notes Payable to PPL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</si>
  <si>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</si>
  <si>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</si>
  <si>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</si>
  <si>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</si>
  <si>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</si>
  <si>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</si>
  <si>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</si>
  <si>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</si>
  <si>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</si>
  <si>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</si>
  <si>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</si>
  <si>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</si>
  <si>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</si>
  <si>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</si>
  <si>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</si>
  <si>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</si>
  <si>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Other Debt:</t>
  </si>
  <si>
    <t>Total Other Debt</t>
  </si>
  <si>
    <t>Pollution Control Bonds:</t>
  </si>
  <si>
    <t>First Mortgage Bonds:</t>
  </si>
  <si>
    <t xml:space="preserve">   Regulatory Liability - Swap Hedging FMB
   (Terminated 2013)</t>
  </si>
  <si>
    <t xml:space="preserve">   Regulatory Asset - Swap Hedging FMB
   (Terminated 2015)</t>
  </si>
  <si>
    <r>
      <rPr>
        <b/>
        <sz val="12"/>
        <rFont val="Arial"/>
        <family val="2"/>
      </rPr>
      <t xml:space="preserve">1   </t>
    </r>
    <r>
      <rPr>
        <sz val="12"/>
        <rFont val="Arial"/>
        <family val="2"/>
      </rPr>
      <t>Not used.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</si>
  <si>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 Includes setup fees for Credit Facility amended August 1, 2017 with a term ending October 1, 2020.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</si>
  <si>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Remarketing fee = 10 basis points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</si>
  <si>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Revolving Credit Facility fee = 10 basis points</t>
    </r>
  </si>
  <si>
    <t>USING ENDING BALANCES AND INTEREST RATES</t>
  </si>
  <si>
    <t>Letter of Credit</t>
  </si>
  <si>
    <t xml:space="preserve"> Issuance Exp/Discount</t>
  </si>
  <si>
    <t>and other fees</t>
  </si>
  <si>
    <t xml:space="preserve">  Cost  </t>
  </si>
  <si>
    <t>Rounding</t>
  </si>
  <si>
    <t>G/L Balance</t>
  </si>
  <si>
    <t>*  Composite rate at end of current month for Embedded Cost of Capital report and daily average rate for ECR filings.</t>
  </si>
  <si>
    <t>ECR - Gross-up Revenue Factor &amp;</t>
  </si>
  <si>
    <t>Composite Income Tax Calculation</t>
  </si>
  <si>
    <t xml:space="preserve">Federal  Tax Rate </t>
  </si>
  <si>
    <t>W/State Prod. Credit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</si>
  <si>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</si>
  <si>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</si>
  <si>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</si>
  <si>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</si>
  <si>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</si>
  <si>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</si>
  <si>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</si>
  <si>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</si>
  <si>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</si>
  <si>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</si>
  <si>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</si>
  <si>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</si>
  <si>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</si>
  <si>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</si>
  <si>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(13)*21%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</si>
  <si>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</si>
  <si>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</si>
  <si>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</si>
  <si>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</si>
  <si>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</si>
  <si>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</si>
  <si>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</si>
  <si>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</si>
  <si>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</si>
  <si>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</si>
  <si>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</si>
  <si>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</si>
  <si>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</si>
  <si>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</si>
  <si>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</si>
  <si>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Tax Rate</t>
  </si>
  <si>
    <t>State Income Tax</t>
  </si>
  <si>
    <t>(36)*(38)</t>
  </si>
  <si>
    <t>Adjusted Electric Rate of Return on Common Equity - All ECR Plans</t>
  </si>
  <si>
    <t>Carroll Co. 2018 Series A</t>
  </si>
  <si>
    <t>As of August 31, 2019</t>
  </si>
  <si>
    <t xml:space="preserve">   Debt premium on FMB</t>
  </si>
  <si>
    <r>
      <t xml:space="preserve">2   </t>
    </r>
    <r>
      <rPr>
        <sz val="12"/>
        <rFont val="Arial"/>
        <family val="2"/>
      </rPr>
      <t>Includes setup fees for Credit Facility amended March 8, 2019 with a term ending January 26, 2024.</t>
    </r>
  </si>
  <si>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 Reopened FMB on April 1, 2019, adding $300 million to the principal through the same maturity date and at the same
    interest rate.  Issued at a Premium (price above 100).</t>
    </r>
  </si>
  <si>
    <t>**  Debt discount/(premium) shown on separate line.</t>
  </si>
  <si>
    <t>08-31-19</t>
  </si>
  <si>
    <t>W/ 5% 2019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</si>
</sst>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0.0000%"/>
    <numFmt numFmtId="168" formatCode="0.000"/>
    <numFmt numFmtId="169" formatCode="0.00000%"/>
    <numFmt numFmtId="170" formatCode="#,##0.0000_);\(#,##0.0000\)"/>
    <numFmt numFmtId="171" formatCode="mm/dd/yy_)"/>
    <numFmt numFmtId="172" formatCode="0_);\(0\)"/>
    <numFmt numFmtId="173" formatCode="0.000_)"/>
    <numFmt numFmtId="174" formatCode="mmmm\ d\,\ yyyy"/>
    <numFmt numFmtId="175" formatCode="#,##0.000_);\(#,##0.000\)"/>
    <numFmt numFmtId="176" formatCode="_(&quot;$&quot;* #,##0.0000_);_(&quot;$&quot;* \(#,##0.0000\);_(&quot;$&quot;* &quot;-&quot;??_);_(@_)"/>
    <numFmt numFmtId="177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" fillId="0" borderId="0"/>
    <xf numFmtId="0" fontId="5" fillId="0" borderId="0"/>
    <xf numFmtId="0" fontId="17" fillId="0" borderId="0"/>
    <xf numFmtId="0" fontId="19" fillId="3" borderId="0" applyNumberFormat="0" applyBorder="0" applyAlignment="0" applyProtection="0"/>
    <xf numFmtId="37" fontId="1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7" fontId="1" fillId="0" borderId="0"/>
  </cellStyleXfs>
  <cellXfs count="219">
    <xf numFmtId="0" fontId="0" fillId="0" borderId="0" xfId="0"/>
    <xf numFmtId="37" fontId="2" fillId="0" borderId="0" xfId="4" applyFont="1" applyAlignment="1">
      <alignment horizontal="left"/>
    </xf>
    <xf numFmtId="37" fontId="2" fillId="0" borderId="0" xfId="4" applyFont="1"/>
    <xf numFmtId="37" fontId="3" fillId="0" borderId="0" xfId="4" applyFont="1"/>
    <xf numFmtId="37" fontId="3" fillId="0" borderId="0" xfId="4" applyFont="1" applyBorder="1"/>
    <xf numFmtId="37" fontId="4" fillId="0" borderId="0" xfId="4" applyFont="1" applyAlignment="1">
      <alignment horizontal="centerContinuous"/>
    </xf>
    <xf numFmtId="37" fontId="4" fillId="0" borderId="0" xfId="4" applyFont="1" applyAlignment="1">
      <alignment horizontal="left"/>
    </xf>
    <xf numFmtId="37" fontId="4" fillId="0" borderId="0" xfId="4" applyFont="1" applyAlignment="1">
      <alignment horizontal="center"/>
    </xf>
    <xf numFmtId="37" fontId="4" fillId="0" borderId="0" xfId="4" applyFont="1" applyAlignment="1"/>
    <xf numFmtId="37" fontId="2" fillId="0" borderId="0" xfId="4" applyFont="1" applyAlignment="1">
      <alignment horizontal="centerContinuous"/>
    </xf>
    <xf numFmtId="37" fontId="4" fillId="0" borderId="0" xfId="4" quotePrefix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6" fillId="0" borderId="0" xfId="1" applyFont="1" applyAlignment="1">
      <alignment horizontal="center"/>
    </xf>
    <xf numFmtId="37" fontId="3" fillId="0" borderId="0" xfId="4" applyFont="1" applyAlignment="1">
      <alignment horizontal="center"/>
    </xf>
    <xf numFmtId="37" fontId="3" fillId="0" borderId="0" xfId="4" applyFont="1" applyBorder="1" applyAlignment="1">
      <alignment horizontal="center"/>
    </xf>
    <xf numFmtId="37" fontId="7" fillId="0" borderId="0" xfId="4" quotePrefix="1" applyFont="1" applyFill="1" applyAlignment="1">
      <alignment horizontal="center"/>
    </xf>
    <xf numFmtId="37" fontId="7" fillId="0" borderId="0" xfId="4" quotePrefix="1" applyFont="1" applyAlignment="1">
      <alignment horizontal="center"/>
    </xf>
    <xf numFmtId="37" fontId="3" fillId="0" borderId="1" xfId="4" applyFont="1" applyBorder="1" applyAlignment="1">
      <alignment horizontal="center"/>
    </xf>
    <xf numFmtId="37" fontId="3" fillId="0" borderId="1" xfId="4" applyFont="1" applyFill="1" applyBorder="1" applyAlignment="1">
      <alignment horizontal="center"/>
    </xf>
    <xf numFmtId="37" fontId="3" fillId="0" borderId="0" xfId="4" quotePrefix="1" applyFont="1" applyAlignment="1">
      <alignment horizontal="left"/>
    </xf>
    <xf numFmtId="164" fontId="3" fillId="0" borderId="0" xfId="2" applyNumberFormat="1" applyFont="1" applyFill="1"/>
    <xf numFmtId="37" fontId="3" fillId="0" borderId="0" xfId="4" quotePrefix="1" applyFont="1"/>
    <xf numFmtId="10" fontId="3" fillId="0" borderId="0" xfId="3" applyNumberFormat="1" applyFont="1" applyFill="1"/>
    <xf numFmtId="164" fontId="3" fillId="0" borderId="0" xfId="2" applyNumberFormat="1" applyFont="1" applyFill="1" applyBorder="1"/>
    <xf numFmtId="10" fontId="3" fillId="0" borderId="0" xfId="3" applyNumberFormat="1" applyFont="1" applyFill="1" applyAlignment="1">
      <alignment horizontal="center"/>
    </xf>
    <xf numFmtId="37" fontId="3" fillId="0" borderId="0" xfId="4" applyFont="1" applyFill="1"/>
    <xf numFmtId="165" fontId="3" fillId="0" borderId="0" xfId="1" applyNumberFormat="1" applyFont="1" applyFill="1"/>
    <xf numFmtId="37" fontId="3" fillId="0" borderId="0" xfId="4" applyFont="1" applyFill="1" applyBorder="1"/>
    <xf numFmtId="10" fontId="3" fillId="0" borderId="0" xfId="3" applyNumberFormat="1" applyFont="1" applyAlignment="1">
      <alignment horizontal="center"/>
    </xf>
    <xf numFmtId="10" fontId="3" fillId="0" borderId="0" xfId="3" applyNumberFormat="1" applyFont="1"/>
    <xf numFmtId="164" fontId="3" fillId="0" borderId="2" xfId="2" applyNumberFormat="1" applyFont="1" applyBorder="1"/>
    <xf numFmtId="166" fontId="3" fillId="0" borderId="2" xfId="3" applyNumberFormat="1" applyFont="1" applyBorder="1"/>
    <xf numFmtId="164" fontId="3" fillId="0" borderId="2" xfId="2" applyNumberFormat="1" applyFont="1" applyFill="1" applyBorder="1"/>
    <xf numFmtId="164" fontId="3" fillId="0" borderId="0" xfId="2" applyNumberFormat="1" applyFont="1"/>
    <xf numFmtId="0" fontId="3" fillId="0" borderId="0" xfId="4" applyNumberFormat="1" applyFont="1" applyAlignment="1">
      <alignment horizontal="center"/>
    </xf>
    <xf numFmtId="37" fontId="3" fillId="0" borderId="0" xfId="4" applyFont="1" applyFill="1" applyAlignment="1">
      <alignment horizontal="center"/>
    </xf>
    <xf numFmtId="43" fontId="6" fillId="0" borderId="0" xfId="1" applyFont="1" applyBorder="1" applyAlignment="1">
      <alignment horizontal="center"/>
    </xf>
    <xf numFmtId="37" fontId="3" fillId="0" borderId="0" xfId="4" quotePrefix="1" applyFont="1" applyBorder="1" applyAlignment="1">
      <alignment horizontal="center"/>
    </xf>
    <xf numFmtId="37" fontId="4" fillId="0" borderId="0" xfId="4" applyFont="1"/>
    <xf numFmtId="37" fontId="2" fillId="0" borderId="0" xfId="4" applyFont="1" applyBorder="1"/>
    <xf numFmtId="164" fontId="3" fillId="0" borderId="0" xfId="2" applyNumberFormat="1" applyFont="1" applyFill="1" applyBorder="1" applyAlignment="1">
      <alignment horizontal="center"/>
    </xf>
    <xf numFmtId="10" fontId="3" fillId="0" borderId="0" xfId="3" applyNumberFormat="1" applyFont="1" applyFill="1" applyBorder="1"/>
    <xf numFmtId="10" fontId="3" fillId="0" borderId="0" xfId="4" applyNumberFormat="1" applyFont="1" applyBorder="1"/>
    <xf numFmtId="10" fontId="3" fillId="0" borderId="0" xfId="4" applyNumberFormat="1" applyFont="1"/>
    <xf numFmtId="166" fontId="8" fillId="0" borderId="0" xfId="3" applyNumberFormat="1" applyFont="1" applyBorder="1"/>
    <xf numFmtId="10" fontId="3" fillId="0" borderId="0" xfId="3" applyNumberFormat="1" applyFont="1" applyBorder="1"/>
    <xf numFmtId="165" fontId="3" fillId="0" borderId="0" xfId="1" applyNumberFormat="1" applyFont="1" applyFill="1" applyBorder="1" applyAlignment="1">
      <alignment horizontal="center"/>
    </xf>
    <xf numFmtId="37" fontId="1" fillId="0" borderId="0" xfId="4"/>
    <xf numFmtId="37" fontId="1" fillId="2" borderId="0" xfId="4" quotePrefix="1" applyFill="1" applyAlignment="1"/>
    <xf numFmtId="166" fontId="3" fillId="0" borderId="2" xfId="3" applyNumberFormat="1" applyFont="1" applyFill="1" applyBorder="1"/>
    <xf numFmtId="10" fontId="3" fillId="0" borderId="2" xfId="3" quotePrefix="1" applyNumberFormat="1" applyFont="1" applyFill="1" applyBorder="1" applyAlignment="1">
      <alignment horizontal="center"/>
    </xf>
    <xf numFmtId="10" fontId="3" fillId="0" borderId="3" xfId="3" applyNumberFormat="1" applyFont="1" applyFill="1" applyBorder="1" applyAlignment="1">
      <alignment horizontal="center"/>
    </xf>
    <xf numFmtId="166" fontId="3" fillId="0" borderId="0" xfId="3" applyNumberFormat="1" applyFont="1" applyBorder="1"/>
    <xf numFmtId="168" fontId="3" fillId="0" borderId="0" xfId="3" applyNumberFormat="1" applyFont="1" applyBorder="1"/>
    <xf numFmtId="169" fontId="3" fillId="0" borderId="0" xfId="3" applyNumberFormat="1" applyFont="1" applyBorder="1"/>
    <xf numFmtId="43" fontId="12" fillId="0" borderId="7" xfId="1" applyFont="1" applyFill="1" applyBorder="1"/>
    <xf numFmtId="166" fontId="12" fillId="0" borderId="0" xfId="3" applyNumberFormat="1" applyFont="1" applyFill="1" applyBorder="1"/>
    <xf numFmtId="43" fontId="12" fillId="0" borderId="0" xfId="1" applyFont="1" applyFill="1" applyBorder="1" applyAlignment="1">
      <alignment horizontal="center"/>
    </xf>
    <xf numFmtId="43" fontId="12" fillId="0" borderId="0" xfId="1" applyFont="1" applyFill="1"/>
    <xf numFmtId="165" fontId="12" fillId="0" borderId="0" xfId="1" applyNumberFormat="1" applyFont="1" applyFill="1" applyBorder="1"/>
    <xf numFmtId="166" fontId="16" fillId="0" borderId="0" xfId="3" applyNumberFormat="1" applyFont="1" applyFill="1"/>
    <xf numFmtId="0" fontId="9" fillId="0" borderId="0" xfId="0" applyFont="1" applyFill="1" applyAlignment="1"/>
    <xf numFmtId="0" fontId="9" fillId="0" borderId="0" xfId="0" applyFont="1" applyFill="1"/>
    <xf numFmtId="0" fontId="9" fillId="0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3" fillId="0" borderId="0" xfId="0" applyFont="1" applyFill="1" applyBorder="1"/>
    <xf numFmtId="170" fontId="12" fillId="0" borderId="8" xfId="0" applyNumberFormat="1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right"/>
    </xf>
    <xf numFmtId="170" fontId="12" fillId="0" borderId="8" xfId="0" applyNumberFormat="1" applyFont="1" applyFill="1" applyBorder="1" applyAlignment="1">
      <alignment horizontal="center"/>
    </xf>
    <xf numFmtId="0" fontId="12" fillId="0" borderId="7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170" fontId="12" fillId="0" borderId="9" xfId="0" applyNumberFormat="1" applyFont="1" applyFill="1" applyBorder="1" applyAlignment="1">
      <alignment horizontal="center"/>
    </xf>
    <xf numFmtId="0" fontId="9" fillId="0" borderId="7" xfId="0" applyFont="1" applyFill="1" applyBorder="1"/>
    <xf numFmtId="171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/>
    <xf numFmtId="37" fontId="12" fillId="0" borderId="0" xfId="0" applyNumberFormat="1" applyFont="1" applyFill="1" applyBorder="1"/>
    <xf numFmtId="165" fontId="12" fillId="0" borderId="0" xfId="0" applyNumberFormat="1" applyFont="1" applyFill="1" applyBorder="1"/>
    <xf numFmtId="165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1" fontId="12" fillId="0" borderId="0" xfId="0" applyNumberFormat="1" applyFont="1" applyFill="1" applyBorder="1"/>
    <xf numFmtId="173" fontId="12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42" fontId="12" fillId="0" borderId="0" xfId="0" applyNumberFormat="1" applyFont="1" applyFill="1" applyBorder="1"/>
    <xf numFmtId="42" fontId="12" fillId="0" borderId="10" xfId="0" applyNumberFormat="1" applyFont="1" applyFill="1" applyBorder="1" applyAlignment="1">
      <alignment horizontal="right"/>
    </xf>
    <xf numFmtId="2" fontId="12" fillId="0" borderId="0" xfId="0" applyNumberFormat="1" applyFont="1" applyFill="1"/>
    <xf numFmtId="4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2" fillId="0" borderId="7" xfId="0" applyFont="1" applyFill="1" applyBorder="1" applyAlignment="1">
      <alignment wrapText="1"/>
    </xf>
    <xf numFmtId="166" fontId="12" fillId="0" borderId="0" xfId="0" applyNumberFormat="1" applyFont="1" applyFill="1" applyBorder="1"/>
    <xf numFmtId="165" fontId="12" fillId="0" borderId="0" xfId="0" applyNumberFormat="1" applyFont="1" applyFill="1"/>
    <xf numFmtId="169" fontId="12" fillId="0" borderId="0" xfId="0" applyNumberFormat="1" applyFont="1" applyFill="1" applyBorder="1"/>
    <xf numFmtId="0" fontId="12" fillId="0" borderId="7" xfId="0" applyFont="1" applyFill="1" applyBorder="1" applyAlignment="1">
      <alignment horizontal="left"/>
    </xf>
    <xf numFmtId="171" fontId="12" fillId="0" borderId="0" xfId="0" applyNumberFormat="1" applyFont="1" applyFill="1" applyBorder="1" applyAlignment="1" applyProtection="1">
      <alignment horizontal="center"/>
    </xf>
    <xf numFmtId="4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/>
    <xf numFmtId="0" fontId="12" fillId="0" borderId="12" xfId="0" applyFont="1" applyFill="1" applyBorder="1"/>
    <xf numFmtId="173" fontId="12" fillId="0" borderId="1" xfId="0" applyNumberFormat="1" applyFont="1" applyFill="1" applyBorder="1"/>
    <xf numFmtId="0" fontId="12" fillId="0" borderId="1" xfId="0" applyFont="1" applyFill="1" applyBorder="1" applyAlignment="1">
      <alignment horizontal="right"/>
    </xf>
    <xf numFmtId="37" fontId="12" fillId="0" borderId="1" xfId="0" applyNumberFormat="1" applyFont="1" applyFill="1" applyBorder="1"/>
    <xf numFmtId="0" fontId="12" fillId="0" borderId="1" xfId="0" applyFont="1" applyFill="1" applyBorder="1"/>
    <xf numFmtId="37" fontId="12" fillId="0" borderId="1" xfId="0" applyNumberFormat="1" applyFont="1" applyFill="1" applyBorder="1" applyAlignment="1">
      <alignment horizontal="right"/>
    </xf>
    <xf numFmtId="170" fontId="12" fillId="0" borderId="9" xfId="0" applyNumberFormat="1" applyFont="1" applyFill="1" applyBorder="1"/>
    <xf numFmtId="0" fontId="12" fillId="0" borderId="0" xfId="0" applyFont="1" applyFill="1" applyAlignment="1">
      <alignment horizontal="center"/>
    </xf>
    <xf numFmtId="173" fontId="12" fillId="0" borderId="0" xfId="0" applyNumberFormat="1" applyFont="1" applyFill="1"/>
    <xf numFmtId="37" fontId="12" fillId="0" borderId="0" xfId="0" applyNumberFormat="1" applyFont="1" applyFill="1"/>
    <xf numFmtId="37" fontId="5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/>
    <xf numFmtId="37" fontId="5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4" fillId="0" borderId="0" xfId="0" applyFont="1" applyFill="1" applyBorder="1" applyAlignment="1">
      <alignment horizontal="right"/>
    </xf>
    <xf numFmtId="170" fontId="14" fillId="0" borderId="8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1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right"/>
    </xf>
    <xf numFmtId="42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70" fontId="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37" fontId="12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6" fontId="12" fillId="0" borderId="0" xfId="0" applyNumberFormat="1" applyFont="1" applyFill="1"/>
    <xf numFmtId="172" fontId="12" fillId="0" borderId="0" xfId="0" applyNumberFormat="1" applyFont="1" applyFill="1" applyBorder="1" applyAlignment="1">
      <alignment horizontal="right"/>
    </xf>
    <xf numFmtId="42" fontId="12" fillId="0" borderId="10" xfId="0" applyNumberFormat="1" applyFont="1" applyFill="1" applyBorder="1"/>
    <xf numFmtId="42" fontId="12" fillId="0" borderId="3" xfId="0" applyNumberFormat="1" applyFont="1" applyFill="1" applyBorder="1"/>
    <xf numFmtId="0" fontId="15" fillId="0" borderId="0" xfId="0" applyFont="1" applyFill="1" applyAlignment="1">
      <alignment horizontal="right"/>
    </xf>
    <xf numFmtId="41" fontId="12" fillId="0" borderId="1" xfId="0" applyNumberFormat="1" applyFont="1" applyFill="1" applyBorder="1"/>
    <xf numFmtId="5" fontId="12" fillId="0" borderId="3" xfId="0" applyNumberFormat="1" applyFont="1" applyFill="1" applyBorder="1"/>
    <xf numFmtId="42" fontId="12" fillId="0" borderId="3" xfId="0" applyNumberFormat="1" applyFont="1" applyFill="1" applyBorder="1" applyAlignment="1">
      <alignment horizontal="center"/>
    </xf>
    <xf numFmtId="42" fontId="12" fillId="0" borderId="5" xfId="0" applyNumberFormat="1" applyFont="1" applyFill="1" applyBorder="1"/>
    <xf numFmtId="42" fontId="12" fillId="0" borderId="2" xfId="0" applyNumberFormat="1" applyFont="1" applyFill="1" applyBorder="1"/>
    <xf numFmtId="43" fontId="12" fillId="0" borderId="0" xfId="2" applyNumberFormat="1" applyFont="1" applyFill="1" applyBorder="1"/>
    <xf numFmtId="37" fontId="21" fillId="0" borderId="0" xfId="8" applyFont="1" applyFill="1" applyAlignment="1">
      <alignment horizontal="center"/>
    </xf>
    <xf numFmtId="37" fontId="2" fillId="0" borderId="0" xfId="8" applyFont="1" applyFill="1" applyAlignment="1"/>
    <xf numFmtId="37" fontId="3" fillId="0" borderId="0" xfId="8" applyFont="1" applyFill="1"/>
    <xf numFmtId="0" fontId="22" fillId="0" borderId="0" xfId="9" applyFont="1" applyFill="1"/>
    <xf numFmtId="37" fontId="2" fillId="0" borderId="0" xfId="8" applyFont="1" applyFill="1" applyAlignment="1">
      <alignment horizontal="center"/>
    </xf>
    <xf numFmtId="37" fontId="4" fillId="0" borderId="0" xfId="8" applyFont="1" applyFill="1" applyAlignment="1">
      <alignment horizontal="centerContinuous"/>
    </xf>
    <xf numFmtId="37" fontId="3" fillId="0" borderId="0" xfId="8" applyFont="1" applyFill="1" applyAlignment="1">
      <alignment horizontal="centerContinuous"/>
    </xf>
    <xf numFmtId="37" fontId="3" fillId="0" borderId="0" xfId="8" applyFont="1" applyFill="1" applyBorder="1" applyAlignment="1">
      <alignment horizontal="center"/>
    </xf>
    <xf numFmtId="172" fontId="2" fillId="0" borderId="0" xfId="8" applyNumberFormat="1" applyFont="1" applyFill="1" applyAlignment="1">
      <alignment horizontal="center"/>
    </xf>
    <xf numFmtId="37" fontId="3" fillId="0" borderId="0" xfId="8" applyFont="1" applyFill="1" applyBorder="1"/>
    <xf numFmtId="165" fontId="3" fillId="0" borderId="0" xfId="10" applyNumberFormat="1" applyFont="1" applyFill="1" applyBorder="1"/>
    <xf numFmtId="37" fontId="3" fillId="0" borderId="0" xfId="8" quotePrefix="1" applyFont="1" applyFill="1" applyAlignment="1">
      <alignment horizontal="center"/>
    </xf>
    <xf numFmtId="37" fontId="3" fillId="0" borderId="0" xfId="8" applyFont="1" applyFill="1" applyAlignment="1">
      <alignment horizontal="left"/>
    </xf>
    <xf numFmtId="10" fontId="3" fillId="0" borderId="0" xfId="11" applyNumberFormat="1" applyFont="1" applyFill="1" applyAlignment="1">
      <alignment horizontal="center"/>
    </xf>
    <xf numFmtId="175" fontId="3" fillId="0" borderId="0" xfId="8" quotePrefix="1" applyNumberFormat="1" applyFont="1" applyFill="1" applyAlignment="1">
      <alignment horizontal="center"/>
    </xf>
    <xf numFmtId="175" fontId="23" fillId="0" borderId="0" xfId="8" applyNumberFormat="1" applyFont="1" applyFill="1" applyAlignment="1">
      <alignment horizontal="center"/>
    </xf>
    <xf numFmtId="164" fontId="3" fillId="0" borderId="0" xfId="12" applyNumberFormat="1" applyFont="1" applyFill="1" applyBorder="1"/>
    <xf numFmtId="176" fontId="3" fillId="0" borderId="0" xfId="12" applyNumberFormat="1" applyFont="1" applyFill="1"/>
    <xf numFmtId="37" fontId="3" fillId="0" borderId="0" xfId="8" applyFont="1" applyFill="1" applyBorder="1" applyAlignment="1">
      <alignment horizontal="left"/>
    </xf>
    <xf numFmtId="176" fontId="3" fillId="0" borderId="0" xfId="8" applyNumberFormat="1" applyFont="1" applyFill="1" applyProtection="1"/>
    <xf numFmtId="177" fontId="3" fillId="0" borderId="1" xfId="10" applyNumberFormat="1" applyFont="1" applyFill="1" applyBorder="1" applyProtection="1"/>
    <xf numFmtId="177" fontId="3" fillId="0" borderId="0" xfId="10" applyNumberFormat="1" applyFont="1" applyFill="1" applyProtection="1"/>
    <xf numFmtId="164" fontId="3" fillId="0" borderId="0" xfId="12" applyNumberFormat="1" applyFont="1" applyFill="1" applyBorder="1" applyProtection="1"/>
    <xf numFmtId="177" fontId="3" fillId="0" borderId="0" xfId="10" applyNumberFormat="1" applyFont="1" applyFill="1" applyBorder="1" applyProtection="1"/>
    <xf numFmtId="37" fontId="21" fillId="0" borderId="0" xfId="8" quotePrefix="1" applyFont="1" applyFill="1" applyAlignment="1">
      <alignment horizontal="center"/>
    </xf>
    <xf numFmtId="37" fontId="3" fillId="0" borderId="0" xfId="8" quotePrefix="1" applyFont="1" applyFill="1" applyAlignment="1">
      <alignment horizontal="left"/>
    </xf>
    <xf numFmtId="9" fontId="3" fillId="0" borderId="0" xfId="10" applyNumberFormat="1" applyFont="1" applyFill="1" applyBorder="1" applyProtection="1"/>
    <xf numFmtId="9" fontId="3" fillId="0" borderId="0" xfId="11" applyNumberFormat="1" applyFont="1" applyFill="1" applyBorder="1" applyProtection="1"/>
    <xf numFmtId="37" fontId="3" fillId="0" borderId="0" xfId="8" quotePrefix="1" applyFont="1" applyFill="1" applyBorder="1" applyAlignment="1">
      <alignment horizontal="left"/>
    </xf>
    <xf numFmtId="10" fontId="3" fillId="0" borderId="0" xfId="11" applyNumberFormat="1" applyFont="1" applyFill="1" applyBorder="1" applyProtection="1"/>
    <xf numFmtId="9" fontId="3" fillId="0" borderId="0" xfId="11" applyFont="1" applyFill="1" applyBorder="1" applyProtection="1"/>
    <xf numFmtId="10" fontId="22" fillId="0" borderId="0" xfId="11" applyNumberFormat="1" applyFont="1" applyFill="1"/>
    <xf numFmtId="176" fontId="3" fillId="0" borderId="1" xfId="8" applyNumberFormat="1" applyFont="1" applyFill="1" applyBorder="1"/>
    <xf numFmtId="175" fontId="3" fillId="0" borderId="0" xfId="8" applyNumberFormat="1" applyFont="1" applyFill="1" applyProtection="1"/>
    <xf numFmtId="176" fontId="3" fillId="0" borderId="3" xfId="8" applyNumberFormat="1" applyFont="1" applyFill="1" applyBorder="1"/>
    <xf numFmtId="167" fontId="3" fillId="0" borderId="0" xfId="11" applyNumberFormat="1" applyFont="1" applyFill="1" applyBorder="1"/>
    <xf numFmtId="167" fontId="3" fillId="0" borderId="1" xfId="11" applyNumberFormat="1" applyFont="1" applyFill="1" applyBorder="1"/>
    <xf numFmtId="167" fontId="3" fillId="0" borderId="2" xfId="11" applyNumberFormat="1" applyFont="1" applyFill="1" applyBorder="1"/>
    <xf numFmtId="175" fontId="3" fillId="0" borderId="0" xfId="8" applyNumberFormat="1" applyFont="1" applyFill="1"/>
    <xf numFmtId="10" fontId="3" fillId="0" borderId="0" xfId="11" applyNumberFormat="1" applyFont="1" applyFill="1"/>
    <xf numFmtId="0" fontId="3" fillId="0" borderId="0" xfId="9" applyFont="1" applyFill="1"/>
    <xf numFmtId="37" fontId="3" fillId="0" borderId="0" xfId="8" applyFont="1" applyFill="1" applyAlignment="1">
      <alignment horizontal="center"/>
    </xf>
    <xf numFmtId="37" fontId="23" fillId="0" borderId="0" xfId="8" applyFont="1" applyFill="1"/>
    <xf numFmtId="167" fontId="3" fillId="0" borderId="1" xfId="11" applyNumberFormat="1" applyFont="1" applyFill="1" applyBorder="1" applyProtection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166" fontId="12" fillId="0" borderId="8" xfId="3" applyNumberFormat="1" applyFont="1" applyFill="1" applyBorder="1"/>
    <xf numFmtId="166" fontId="12" fillId="0" borderId="9" xfId="3" applyNumberFormat="1" applyFont="1" applyFill="1" applyBorder="1"/>
    <xf numFmtId="166" fontId="12" fillId="0" borderId="0" xfId="3" applyNumberFormat="1" applyFont="1" applyFill="1"/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20" fillId="0" borderId="0" xfId="0" applyFont="1"/>
    <xf numFmtId="5" fontId="12" fillId="0" borderId="0" xfId="0" applyNumberFormat="1" applyFont="1" applyFill="1" applyBorder="1"/>
    <xf numFmtId="10" fontId="9" fillId="0" borderId="13" xfId="3" applyNumberFormat="1" applyFont="1" applyFill="1" applyBorder="1"/>
    <xf numFmtId="10" fontId="9" fillId="0" borderId="11" xfId="3" applyNumberFormat="1" applyFont="1" applyFill="1" applyBorder="1"/>
    <xf numFmtId="0" fontId="12" fillId="0" borderId="7" xfId="0" applyFont="1" applyBorder="1" applyAlignment="1">
      <alignment vertical="top" wrapText="1"/>
    </xf>
    <xf numFmtId="41" fontId="12" fillId="0" borderId="0" xfId="0" applyNumberFormat="1" applyFont="1" applyFill="1" applyBorder="1" applyAlignment="1">
      <alignment vertical="top"/>
    </xf>
    <xf numFmtId="0" fontId="12" fillId="0" borderId="0" xfId="0" applyFont="1"/>
    <xf numFmtId="37" fontId="3" fillId="0" borderId="0" xfId="13" quotePrefix="1" applyFont="1" applyAlignment="1">
      <alignment horizontal="center"/>
    </xf>
    <xf numFmtId="166" fontId="3" fillId="0" borderId="0" xfId="3" applyNumberFormat="1" applyFont="1" applyFill="1" applyAlignment="1">
      <alignment horizontal="center"/>
    </xf>
    <xf numFmtId="37" fontId="4" fillId="0" borderId="0" xfId="4" quotePrefix="1" applyFont="1" applyAlignment="1">
      <alignment horizontal="center"/>
    </xf>
    <xf numFmtId="37" fontId="4" fillId="0" borderId="0" xfId="4" applyFont="1" applyFill="1" applyAlignment="1">
      <alignment horizontal="center"/>
    </xf>
    <xf numFmtId="37" fontId="4" fillId="0" borderId="0" xfId="4" applyFont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7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37" fontId="2" fillId="0" borderId="0" xfId="8" applyFont="1" applyFill="1" applyAlignment="1"/>
    <xf numFmtId="172" fontId="2" fillId="0" borderId="0" xfId="8" applyNumberFormat="1" applyFont="1" applyFill="1" applyAlignment="1">
      <alignment horizontal="left"/>
    </xf>
  </cellXfs>
  <cellStyles count="14">
    <cellStyle name="Comma" xfId="1" builtinId="3"/>
    <cellStyle name="Comma 31 2" xfId="10" xr:uid="{00000000-0005-0000-0000-000001000000}"/>
    <cellStyle name="Currency" xfId="2" builtinId="4"/>
    <cellStyle name="Currency 7 2" xfId="12" xr:uid="{00000000-0005-0000-0000-000003000000}"/>
    <cellStyle name="Good" xfId="7" builtinId="26"/>
    <cellStyle name="Normal" xfId="0" builtinId="0"/>
    <cellStyle name="Normal 10" xfId="5" xr:uid="{00000000-0005-0000-0000-000006000000}"/>
    <cellStyle name="Normal 2" xfId="6" xr:uid="{00000000-0005-0000-0000-000007000000}"/>
    <cellStyle name="Normal 30 2" xfId="9" xr:uid="{00000000-0005-0000-0000-000008000000}"/>
    <cellStyle name="Normal_Composite Tax Rates" xfId="8" xr:uid="{00000000-0005-0000-0000-000009000000}"/>
    <cellStyle name="Normal_KU Attachment 1 ECR Review (revised) (4)" xfId="4" xr:uid="{00000000-0005-0000-0000-00000A000000}"/>
    <cellStyle name="Normal_LGE Attachment 1 ECR Review (revised) (3)" xfId="13" xr:uid="{00000000-0005-0000-0000-00000B000000}"/>
    <cellStyle name="Percent" xfId="3" builtinId="5"/>
    <cellStyle name="Percent 6 2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B40"/>
  <sheetViews>
    <sheetView showGridLines="0" tabSelected="1" zoomScale="80" zoomScaleNormal="80" workbookViewId="0"/>
  </sheetViews>
  <sheetFormatPr defaultColWidth="17.81640625" defaultRowHeight="15.5" x14ac:dyDescent="0.35"/>
  <cols>
    <col min="1" max="1" width="5.453125" style="4" customWidth="1"/>
    <col min="2" max="2" width="33.26953125" style="4" customWidth="1"/>
    <col min="3" max="3" width="19" style="4" customWidth="1"/>
    <col min="4" max="4" width="4" style="4" bestFit="1" customWidth="1"/>
    <col min="5" max="5" width="1.7265625" style="4" customWidth="1"/>
    <col min="6" max="6" width="16" style="4" bestFit="1" customWidth="1"/>
    <col min="7" max="7" width="2" style="4" customWidth="1"/>
    <col min="8" max="8" width="25.5429687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6953125" style="4" customWidth="1"/>
    <col min="14" max="14" width="19" style="4" customWidth="1"/>
    <col min="15" max="15" width="2.26953125" style="4" customWidth="1"/>
    <col min="16" max="16" width="19" style="4" customWidth="1"/>
    <col min="17" max="17" width="1.81640625" style="4" customWidth="1"/>
    <col min="18" max="18" width="19" style="4" customWidth="1"/>
    <col min="19" max="20" width="1.81640625" style="4" customWidth="1"/>
    <col min="21" max="21" width="19" style="4" customWidth="1"/>
    <col min="22" max="22" width="2.26953125" style="4" customWidth="1"/>
    <col min="23" max="23" width="18.26953125" style="4" customWidth="1"/>
    <col min="24" max="24" width="2.453125" style="4" customWidth="1"/>
    <col min="25" max="25" width="16.453125" style="4" customWidth="1"/>
    <col min="26" max="26" width="2.81640625" style="4" customWidth="1"/>
    <col min="27" max="27" width="18.1796875" style="4" customWidth="1"/>
    <col min="28" max="16384" width="17.81640625" style="4"/>
  </cols>
  <sheetData>
    <row r="1" spans="1:27" x14ac:dyDescent="0.3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3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3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3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5"/>
      <c r="T4" s="6"/>
      <c r="U4" s="6"/>
      <c r="V4" s="6"/>
      <c r="W4" s="7"/>
      <c r="X4" s="8"/>
      <c r="Y4" s="8"/>
      <c r="Z4" s="8"/>
      <c r="AA4" s="8"/>
    </row>
    <row r="5" spans="1:27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"/>
      <c r="Y5" s="3"/>
      <c r="Z5" s="3"/>
      <c r="AA5" s="3"/>
    </row>
    <row r="6" spans="1:27" x14ac:dyDescent="0.35">
      <c r="A6" s="205" t="s">
        <v>149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5"/>
      <c r="T6" s="7"/>
      <c r="U6" s="7"/>
      <c r="V6" s="7"/>
      <c r="W6" s="7"/>
      <c r="X6" s="8"/>
      <c r="Y6" s="8"/>
      <c r="Z6" s="8"/>
      <c r="AA6" s="8"/>
    </row>
    <row r="7" spans="1:27" x14ac:dyDescent="0.35">
      <c r="A7" s="204" t="s">
        <v>151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5"/>
      <c r="T7" s="7"/>
      <c r="U7" s="7"/>
      <c r="V7" s="7"/>
      <c r="W7" s="9"/>
    </row>
    <row r="8" spans="1:27" x14ac:dyDescent="0.3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1"/>
      <c r="S8" s="7"/>
      <c r="T8" s="7"/>
      <c r="U8" s="7"/>
      <c r="V8" s="7"/>
      <c r="W8" s="9"/>
    </row>
    <row r="9" spans="1:27" ht="17" x14ac:dyDescent="0.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7" x14ac:dyDescent="0.35">
      <c r="A10" s="2"/>
      <c r="B10" s="2"/>
      <c r="C10" s="3"/>
      <c r="D10" s="3"/>
      <c r="E10" s="3"/>
      <c r="H10" s="3"/>
      <c r="I10" s="3"/>
      <c r="J10" s="3"/>
      <c r="K10" s="3"/>
      <c r="L10" s="13" t="s">
        <v>1</v>
      </c>
      <c r="O10" s="3"/>
      <c r="P10" s="3"/>
      <c r="Q10" s="3"/>
      <c r="R10" s="3"/>
      <c r="T10" s="13"/>
    </row>
    <row r="11" spans="1:27" x14ac:dyDescent="0.35">
      <c r="A11" s="2"/>
      <c r="B11" s="2"/>
      <c r="C11" s="13"/>
      <c r="D11" s="13"/>
      <c r="E11" s="13"/>
      <c r="H11" s="13"/>
      <c r="I11" s="13"/>
      <c r="J11" s="13"/>
      <c r="K11" s="13"/>
      <c r="L11" s="13" t="s">
        <v>2</v>
      </c>
      <c r="M11" s="13"/>
      <c r="N11" s="13" t="s">
        <v>3</v>
      </c>
      <c r="Q11" s="13"/>
      <c r="R11" s="14" t="s">
        <v>4</v>
      </c>
      <c r="T11" s="14"/>
      <c r="V11" s="13"/>
      <c r="W11" s="13"/>
    </row>
    <row r="12" spans="1:27" x14ac:dyDescent="0.35">
      <c r="A12" s="2"/>
      <c r="B12" s="2"/>
      <c r="C12" s="13"/>
      <c r="D12" s="13"/>
      <c r="E12" s="13"/>
      <c r="F12" s="13"/>
      <c r="H12" s="13"/>
      <c r="I12" s="13"/>
      <c r="J12" s="13" t="s">
        <v>5</v>
      </c>
      <c r="K12" s="13"/>
      <c r="L12" s="13" t="s">
        <v>6</v>
      </c>
      <c r="M12" s="13"/>
      <c r="N12" s="13" t="s">
        <v>7</v>
      </c>
      <c r="O12" s="14"/>
      <c r="P12" s="13" t="s">
        <v>8</v>
      </c>
      <c r="Q12" s="13"/>
      <c r="R12" s="13" t="s">
        <v>8</v>
      </c>
    </row>
    <row r="13" spans="1:27" x14ac:dyDescent="0.35">
      <c r="A13" s="2"/>
      <c r="B13" s="3"/>
      <c r="C13" s="13" t="s">
        <v>9</v>
      </c>
      <c r="D13" s="13"/>
      <c r="E13" s="13"/>
      <c r="F13" s="14" t="s">
        <v>10</v>
      </c>
      <c r="H13" s="13"/>
      <c r="I13" s="13"/>
      <c r="J13" s="13" t="s">
        <v>11</v>
      </c>
      <c r="K13" s="13"/>
      <c r="L13" s="13" t="s">
        <v>12</v>
      </c>
      <c r="M13" s="13"/>
      <c r="N13" s="13" t="s">
        <v>12</v>
      </c>
      <c r="O13" s="14"/>
      <c r="P13" s="13" t="s">
        <v>13</v>
      </c>
      <c r="Q13" s="13"/>
      <c r="R13" s="14" t="s">
        <v>12</v>
      </c>
    </row>
    <row r="14" spans="1:27" x14ac:dyDescent="0.35">
      <c r="A14" s="3"/>
      <c r="B14" s="3"/>
      <c r="C14" s="202" t="s">
        <v>156</v>
      </c>
      <c r="D14" s="13"/>
      <c r="E14" s="13"/>
      <c r="F14" s="14" t="s">
        <v>14</v>
      </c>
      <c r="H14" s="13" t="s">
        <v>15</v>
      </c>
      <c r="I14" s="13"/>
      <c r="J14" s="15" t="s">
        <v>16</v>
      </c>
      <c r="K14" s="13"/>
      <c r="L14" s="15" t="s">
        <v>17</v>
      </c>
      <c r="M14" s="13"/>
      <c r="N14" s="16" t="s">
        <v>18</v>
      </c>
      <c r="O14" s="14"/>
      <c r="P14" s="13" t="s">
        <v>19</v>
      </c>
      <c r="Q14" s="13"/>
      <c r="R14" s="15" t="s">
        <v>20</v>
      </c>
    </row>
    <row r="15" spans="1:27" x14ac:dyDescent="0.35">
      <c r="A15" s="3"/>
      <c r="B15" s="3"/>
      <c r="C15" s="17">
        <v>-1</v>
      </c>
      <c r="D15" s="13"/>
      <c r="E15" s="14"/>
      <c r="F15" s="17">
        <v>-2</v>
      </c>
      <c r="H15" s="17">
        <v>-3</v>
      </c>
      <c r="I15" s="13"/>
      <c r="J15" s="18">
        <v>-4</v>
      </c>
      <c r="K15" s="13"/>
      <c r="L15" s="18">
        <v>-5</v>
      </c>
      <c r="M15" s="13"/>
      <c r="N15" s="17">
        <v>-6</v>
      </c>
      <c r="O15" s="13"/>
      <c r="P15" s="17">
        <v>-7</v>
      </c>
      <c r="Q15" s="13"/>
      <c r="R15" s="17">
        <v>-8</v>
      </c>
    </row>
    <row r="16" spans="1:27" ht="30" customHeight="1" x14ac:dyDescent="0.35">
      <c r="A16" s="19" t="s">
        <v>21</v>
      </c>
      <c r="B16" s="3" t="s">
        <v>22</v>
      </c>
      <c r="C16" s="20">
        <f>'Q5 - ECC Aug19'!E62</f>
        <v>0</v>
      </c>
      <c r="D16" s="21"/>
      <c r="E16" s="3"/>
      <c r="F16" s="22">
        <f>ROUND(+C16/$C$19,4)</f>
        <v>0</v>
      </c>
      <c r="H16" s="20">
        <v>0</v>
      </c>
      <c r="I16" s="3"/>
      <c r="J16" s="20">
        <f>ROUND(+F16*$J$19,0)</f>
        <v>0</v>
      </c>
      <c r="K16" s="3"/>
      <c r="L16" s="20">
        <f>SUM(H16:K16)</f>
        <v>0</v>
      </c>
      <c r="M16" s="3"/>
      <c r="N16" s="23">
        <f>+C16+L16</f>
        <v>0</v>
      </c>
      <c r="P16" s="24">
        <v>0.93769999999999998</v>
      </c>
      <c r="Q16" s="3"/>
      <c r="R16" s="23">
        <f>ROUND(+N16*P16,0)</f>
        <v>0</v>
      </c>
    </row>
    <row r="17" spans="1:28" ht="30" customHeight="1" x14ac:dyDescent="0.35">
      <c r="A17" s="19" t="s">
        <v>23</v>
      </c>
      <c r="B17" s="3" t="s">
        <v>24</v>
      </c>
      <c r="C17" s="25">
        <f>'Q5 - ECC Aug19'!E48</f>
        <v>2639630427.4199996</v>
      </c>
      <c r="D17" s="21"/>
      <c r="E17" s="3"/>
      <c r="F17" s="22">
        <f>ROUND(+C17/$C$19,4)</f>
        <v>0.46660000000000001</v>
      </c>
      <c r="H17" s="26">
        <v>0</v>
      </c>
      <c r="I17" s="3"/>
      <c r="J17" s="25">
        <f>ROUND(+F17*$J$19,0)</f>
        <v>-423469</v>
      </c>
      <c r="K17" s="3"/>
      <c r="L17" s="25">
        <f>SUM(H17:K17)</f>
        <v>-423469</v>
      </c>
      <c r="M17" s="3"/>
      <c r="N17" s="27">
        <f>+C17+L17</f>
        <v>2639206958.4199996</v>
      </c>
      <c r="P17" s="28">
        <f>+P16</f>
        <v>0.93769999999999998</v>
      </c>
      <c r="Q17" s="3"/>
      <c r="R17" s="27">
        <f>ROUND(+N17*P17,0)</f>
        <v>2474784365</v>
      </c>
    </row>
    <row r="18" spans="1:28" ht="30" customHeight="1" x14ac:dyDescent="0.35">
      <c r="A18" s="19" t="s">
        <v>25</v>
      </c>
      <c r="B18" s="3" t="s">
        <v>26</v>
      </c>
      <c r="C18" s="25">
        <v>3017876571</v>
      </c>
      <c r="D18" s="3"/>
      <c r="E18" s="3"/>
      <c r="F18" s="29">
        <f>ROUND(1-F16-F17,4)</f>
        <v>0.53339999999999999</v>
      </c>
      <c r="H18" s="26">
        <f>H19</f>
        <v>0</v>
      </c>
      <c r="I18" s="3"/>
      <c r="J18" s="26">
        <f>+J19-J16-J17</f>
        <v>-484095</v>
      </c>
      <c r="K18" s="3"/>
      <c r="L18" s="26">
        <f>SUM(H18:K18)</f>
        <v>-484095</v>
      </c>
      <c r="M18" s="3"/>
      <c r="N18" s="27">
        <f>+C18+L18</f>
        <v>3017392476</v>
      </c>
      <c r="P18" s="28">
        <f>+P16</f>
        <v>0.93769999999999998</v>
      </c>
      <c r="Q18" s="3"/>
      <c r="R18" s="27">
        <f>ROUND(+N18*P18,0)</f>
        <v>2829408925</v>
      </c>
    </row>
    <row r="19" spans="1:28" ht="30" customHeight="1" thickBot="1" x14ac:dyDescent="0.4">
      <c r="A19" s="19" t="s">
        <v>27</v>
      </c>
      <c r="B19" s="3" t="s">
        <v>28</v>
      </c>
      <c r="C19" s="30">
        <f>SUM(C16:C18)</f>
        <v>5657506998.4200001</v>
      </c>
      <c r="D19" s="3"/>
      <c r="E19" s="3"/>
      <c r="F19" s="31">
        <f>SUM(F16:F18)</f>
        <v>1</v>
      </c>
      <c r="H19" s="32">
        <v>0</v>
      </c>
      <c r="I19" s="3"/>
      <c r="J19" s="32">
        <v>-907564</v>
      </c>
      <c r="K19" s="3"/>
      <c r="L19" s="32">
        <f>SUM(L16:L18)</f>
        <v>-907564</v>
      </c>
      <c r="M19" s="3"/>
      <c r="N19" s="32">
        <f>SUM(N16:N18)</f>
        <v>5656599434.4200001</v>
      </c>
      <c r="Q19" s="3"/>
      <c r="R19" s="32">
        <f>SUM(R16:R18)</f>
        <v>5304193290</v>
      </c>
    </row>
    <row r="20" spans="1:28" ht="16" thickTop="1" x14ac:dyDescent="0.35">
      <c r="A20" s="3"/>
      <c r="B20" s="3"/>
      <c r="C20" s="3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Q20" s="3"/>
      <c r="S20" s="3"/>
    </row>
    <row r="21" spans="1:28" x14ac:dyDescent="0.35">
      <c r="A21" s="3"/>
      <c r="B21" s="3"/>
      <c r="C21" s="33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/>
    </row>
    <row r="22" spans="1:28" ht="17" x14ac:dyDescent="0.5">
      <c r="A22" s="3"/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3"/>
    </row>
    <row r="23" spans="1:28" ht="17" x14ac:dyDescent="0.5">
      <c r="A23" s="3"/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3"/>
    </row>
    <row r="24" spans="1:28" ht="17" x14ac:dyDescent="0.5">
      <c r="A24" s="3"/>
      <c r="B24" s="3"/>
      <c r="C24" s="12"/>
      <c r="D24" s="12"/>
      <c r="E24" s="12"/>
      <c r="F24" s="12"/>
      <c r="G24" s="12"/>
      <c r="H24" s="34"/>
      <c r="I24" s="12"/>
      <c r="J24" s="34"/>
      <c r="K24" s="12"/>
      <c r="L24" s="34" t="s">
        <v>29</v>
      </c>
      <c r="M24" s="12"/>
      <c r="N24" s="12"/>
      <c r="O24" s="12"/>
      <c r="R24" s="3"/>
      <c r="S24" s="3"/>
      <c r="X24" s="3"/>
      <c r="AB24" s="14"/>
    </row>
    <row r="25" spans="1:28" ht="17" x14ac:dyDescent="0.5">
      <c r="A25" s="3"/>
      <c r="B25" s="3"/>
      <c r="C25" s="12"/>
      <c r="D25" s="12"/>
      <c r="E25" s="12"/>
      <c r="F25" s="12"/>
      <c r="G25" s="12"/>
      <c r="H25" s="34"/>
      <c r="I25" s="12"/>
      <c r="J25" s="34"/>
      <c r="K25" s="12"/>
      <c r="L25" s="14" t="s">
        <v>4</v>
      </c>
      <c r="M25" s="12"/>
      <c r="P25" s="13"/>
      <c r="Q25" s="13"/>
      <c r="R25" s="13" t="s">
        <v>30</v>
      </c>
      <c r="X25" s="3"/>
      <c r="AB25" s="14"/>
    </row>
    <row r="26" spans="1:28" x14ac:dyDescent="0.35">
      <c r="A26" s="3"/>
      <c r="B26" s="3"/>
      <c r="C26" s="14" t="s">
        <v>4</v>
      </c>
      <c r="D26" s="3"/>
      <c r="E26" s="3"/>
      <c r="F26" s="3"/>
      <c r="H26" s="34" t="s">
        <v>31</v>
      </c>
      <c r="J26" s="35" t="s">
        <v>32</v>
      </c>
      <c r="L26" s="13" t="s">
        <v>8</v>
      </c>
      <c r="M26" s="3"/>
      <c r="N26" s="14" t="s">
        <v>29</v>
      </c>
      <c r="P26" s="13" t="s">
        <v>33</v>
      </c>
      <c r="Q26" s="13"/>
      <c r="R26" s="13" t="s">
        <v>34</v>
      </c>
      <c r="X26" s="3"/>
      <c r="AA26" s="14"/>
      <c r="AB26" s="14"/>
    </row>
    <row r="27" spans="1:28" ht="17" x14ac:dyDescent="0.5">
      <c r="C27" s="13" t="s">
        <v>8</v>
      </c>
      <c r="D27" s="36"/>
      <c r="E27" s="36"/>
      <c r="F27" s="14" t="s">
        <v>10</v>
      </c>
      <c r="H27" s="13" t="s">
        <v>35</v>
      </c>
      <c r="J27" s="35" t="s">
        <v>13</v>
      </c>
      <c r="L27" s="14" t="s">
        <v>12</v>
      </c>
      <c r="M27" s="36"/>
      <c r="N27" s="14" t="s">
        <v>10</v>
      </c>
      <c r="P27" s="13" t="s">
        <v>30</v>
      </c>
      <c r="Q27" s="13"/>
      <c r="R27" s="13" t="s">
        <v>36</v>
      </c>
      <c r="X27" s="36"/>
      <c r="AA27" s="14"/>
      <c r="AB27" s="37"/>
    </row>
    <row r="28" spans="1:28" x14ac:dyDescent="0.35">
      <c r="A28" s="38"/>
      <c r="B28" s="39"/>
      <c r="C28" s="14" t="s">
        <v>12</v>
      </c>
      <c r="F28" s="14" t="s">
        <v>14</v>
      </c>
      <c r="H28" s="15" t="s">
        <v>37</v>
      </c>
      <c r="J28" s="15" t="s">
        <v>38</v>
      </c>
      <c r="L28" s="15" t="s">
        <v>39</v>
      </c>
      <c r="N28" s="14" t="s">
        <v>14</v>
      </c>
      <c r="P28" s="13" t="s">
        <v>40</v>
      </c>
      <c r="Q28" s="13"/>
      <c r="R28" s="16" t="s">
        <v>41</v>
      </c>
      <c r="X28" s="14"/>
      <c r="AA28" s="14"/>
      <c r="AB28" s="37"/>
    </row>
    <row r="29" spans="1:28" x14ac:dyDescent="0.35">
      <c r="A29" s="39"/>
      <c r="B29" s="39"/>
      <c r="C29" s="17">
        <v>-8</v>
      </c>
      <c r="D29" s="14"/>
      <c r="E29" s="14"/>
      <c r="F29" s="17">
        <v>-9</v>
      </c>
      <c r="H29" s="17">
        <v>-10</v>
      </c>
      <c r="J29" s="18">
        <v>-11</v>
      </c>
      <c r="L29" s="17">
        <v>-12</v>
      </c>
      <c r="M29" s="14"/>
      <c r="N29" s="17">
        <v>-13</v>
      </c>
      <c r="P29" s="17">
        <v>-14</v>
      </c>
      <c r="Q29" s="13"/>
      <c r="R29" s="17">
        <v>-15</v>
      </c>
      <c r="X29" s="14"/>
      <c r="AA29" s="14"/>
      <c r="AB29" s="14"/>
    </row>
    <row r="30" spans="1:28" ht="30" customHeight="1" x14ac:dyDescent="0.35">
      <c r="A30" s="19" t="s">
        <v>21</v>
      </c>
      <c r="B30" s="3" t="s">
        <v>22</v>
      </c>
      <c r="C30" s="20">
        <f>+R16</f>
        <v>0</v>
      </c>
      <c r="D30" s="25"/>
      <c r="E30" s="3"/>
      <c r="F30" s="22">
        <f>IFERROR(ROUND(+C30/$C$33,4),0)</f>
        <v>0</v>
      </c>
      <c r="H30" s="20">
        <f>ROUND(+F30*$H$33,0)</f>
        <v>0</v>
      </c>
      <c r="J30" s="20">
        <f>ROUND(+F30*$J$33,0)</f>
        <v>0</v>
      </c>
      <c r="L30" s="40">
        <f>+C30+H30+J30</f>
        <v>0</v>
      </c>
      <c r="M30" s="14"/>
      <c r="N30" s="41">
        <f>IFERROR(ROUND(+L30/$L$33,4),0)</f>
        <v>0</v>
      </c>
      <c r="O30" s="42"/>
      <c r="P30" s="24">
        <f>'Q5 - ECC Aug19'!Q62</f>
        <v>0</v>
      </c>
      <c r="Q30" s="43"/>
      <c r="R30" s="24">
        <f>ROUND(+$N$30*$P$30,4)</f>
        <v>0</v>
      </c>
      <c r="X30" s="14"/>
      <c r="AA30" s="44"/>
      <c r="AB30" s="45"/>
    </row>
    <row r="31" spans="1:28" ht="30" customHeight="1" x14ac:dyDescent="0.35">
      <c r="A31" s="19" t="s">
        <v>23</v>
      </c>
      <c r="B31" s="3" t="s">
        <v>24</v>
      </c>
      <c r="C31" s="25">
        <f>+R17</f>
        <v>2474784365</v>
      </c>
      <c r="D31" s="25"/>
      <c r="E31" s="3"/>
      <c r="F31" s="22">
        <f>IFERROR(ROUND(+C31/$C$33,4),0)</f>
        <v>0.46660000000000001</v>
      </c>
      <c r="H31" s="25">
        <f>ROUND(+F31*$H$33,0)</f>
        <v>-581496570</v>
      </c>
      <c r="J31" s="25">
        <f>ROUND(+F31*$J$33,0)</f>
        <v>-2410854</v>
      </c>
      <c r="L31" s="46">
        <f>+C31+H31+J31</f>
        <v>1890876941</v>
      </c>
      <c r="M31" s="14"/>
      <c r="N31" s="41">
        <f>IFERROR(ROUND(+L31/$L$33,4),0)</f>
        <v>0.46660000000000001</v>
      </c>
      <c r="O31" s="42"/>
      <c r="P31" s="24">
        <f>'Q5 - ECC Aug19'!Q48</f>
        <v>4.1599999999999998E-2</v>
      </c>
      <c r="Q31" s="43"/>
      <c r="R31" s="24">
        <f>ROUND(+$N$31*$P$31,4)</f>
        <v>1.9400000000000001E-2</v>
      </c>
      <c r="U31" s="47"/>
      <c r="V31" s="47"/>
      <c r="W31" s="47"/>
      <c r="X31" s="47"/>
      <c r="Z31" s="47"/>
      <c r="AA31" s="44"/>
      <c r="AB31" s="45"/>
    </row>
    <row r="32" spans="1:28" ht="30" customHeight="1" x14ac:dyDescent="0.35">
      <c r="A32" s="19" t="s">
        <v>25</v>
      </c>
      <c r="B32" s="3" t="s">
        <v>26</v>
      </c>
      <c r="C32" s="25">
        <f>+R18</f>
        <v>2829408925</v>
      </c>
      <c r="D32" s="25"/>
      <c r="E32" s="3"/>
      <c r="F32" s="22">
        <f>ROUND(1-F30-F31,4)</f>
        <v>0.53339999999999999</v>
      </c>
      <c r="H32" s="25">
        <f>+H33-H30-H31</f>
        <v>-664745543</v>
      </c>
      <c r="J32" s="25">
        <f>+J33-J30-J31</f>
        <v>-2756000</v>
      </c>
      <c r="L32" s="46">
        <f>+C32+H32+J32</f>
        <v>2161907382</v>
      </c>
      <c r="N32" s="22">
        <f>ROUND(1-N30-N31,4)</f>
        <v>0.53339999999999999</v>
      </c>
      <c r="O32" s="42"/>
      <c r="P32" s="203">
        <v>9.7250000000000003E-2</v>
      </c>
      <c r="Q32" s="43"/>
      <c r="R32" s="24">
        <f>ROUND(+$N$32*$P$32,4)</f>
        <v>5.1900000000000002E-2</v>
      </c>
      <c r="AA32" s="48"/>
      <c r="AB32" s="45"/>
    </row>
    <row r="33" spans="1:28" ht="30" customHeight="1" thickBot="1" x14ac:dyDescent="0.4">
      <c r="A33" s="19" t="s">
        <v>27</v>
      </c>
      <c r="B33" s="3" t="s">
        <v>28</v>
      </c>
      <c r="C33" s="32">
        <f>SUM(C30:C32)</f>
        <v>5304193290</v>
      </c>
      <c r="D33" s="25"/>
      <c r="E33" s="3"/>
      <c r="F33" s="49">
        <f>SUM(F30:F32)</f>
        <v>1</v>
      </c>
      <c r="H33" s="32">
        <v>-1246242113</v>
      </c>
      <c r="J33" s="32">
        <v>-5166854</v>
      </c>
      <c r="L33" s="32">
        <f>SUM(L30:L32)</f>
        <v>4052784323</v>
      </c>
      <c r="N33" s="49">
        <f>SUM(N30:N32)</f>
        <v>1</v>
      </c>
      <c r="P33" s="45"/>
      <c r="Q33" s="3"/>
      <c r="R33" s="50">
        <f>ROUND(SUM(R30:R32),4)</f>
        <v>7.1300000000000002E-2</v>
      </c>
      <c r="AB33" s="45"/>
    </row>
    <row r="34" spans="1:28" ht="35.15" customHeight="1" thickTop="1" thickBot="1" x14ac:dyDescent="0.4">
      <c r="A34" s="19" t="s">
        <v>42</v>
      </c>
      <c r="B34" s="3" t="s">
        <v>43</v>
      </c>
      <c r="R34" s="51">
        <f>ROUND(R33+(R33-R31-R30)*(24.95%/(1-24.95%)),4)</f>
        <v>8.8599999999999998E-2</v>
      </c>
    </row>
    <row r="35" spans="1:28" ht="16" thickTop="1" x14ac:dyDescent="0.35"/>
    <row r="39" spans="1:28" x14ac:dyDescent="0.35">
      <c r="L39" s="52"/>
      <c r="N39" s="53"/>
      <c r="P39" s="54"/>
    </row>
    <row r="40" spans="1:28" x14ac:dyDescent="0.35">
      <c r="L40" s="52"/>
      <c r="N40" s="53"/>
    </row>
  </sheetData>
  <mergeCells count="3">
    <mergeCell ref="A7:R7"/>
    <mergeCell ref="A6:R6"/>
    <mergeCell ref="A4:R4"/>
  </mergeCells>
  <printOptions horizontalCentered="1" gridLinesSet="0"/>
  <pageMargins left="0.32" right="0.33" top="0.75" bottom="0.5" header="0.5" footer="0"/>
  <pageSetup scale="61" orientation="landscape" r:id="rId1"/>
  <headerFooter scaleWithDoc="0">
    <oddFooter>&amp;R&amp;"Times New Roman,Bold"&amp;12&amp;K000000Attachment to Response to Question No. 5 (a-d)
Page 1 of 3
Neal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2"/>
  <sheetViews>
    <sheetView showGridLines="0" view="pageBreakPreview" zoomScale="80" zoomScaleNormal="80" zoomScaleSheetLayoutView="80" workbookViewId="0">
      <selection sqref="A1:Q1"/>
    </sheetView>
  </sheetViews>
  <sheetFormatPr defaultColWidth="9.7265625" defaultRowHeight="15.5" x14ac:dyDescent="0.35"/>
  <cols>
    <col min="1" max="1" width="49.1796875" style="69" customWidth="1"/>
    <col min="2" max="2" width="15.81640625" style="110" customWidth="1"/>
    <col min="3" max="3" width="12.7265625" style="69" bestFit="1" customWidth="1"/>
    <col min="4" max="4" width="5.54296875" style="85" customWidth="1"/>
    <col min="5" max="5" width="22.453125" style="69" customWidth="1"/>
    <col min="6" max="6" width="5.54296875" style="94" customWidth="1"/>
    <col min="7" max="7" width="19.81640625" style="69" customWidth="1"/>
    <col min="8" max="8" width="5.54296875" style="85" customWidth="1"/>
    <col min="9" max="9" width="16.81640625" style="69" customWidth="1"/>
    <col min="10" max="10" width="5.54296875" style="85" customWidth="1"/>
    <col min="11" max="11" width="16" style="69" customWidth="1"/>
    <col min="12" max="12" width="5.54296875" style="85" customWidth="1"/>
    <col min="13" max="13" width="16.54296875" style="69" customWidth="1"/>
    <col min="14" max="14" width="5.7265625" style="69" bestFit="1" customWidth="1"/>
    <col min="15" max="15" width="17.453125" style="69" bestFit="1" customWidth="1"/>
    <col min="16" max="16" width="1" style="69" customWidth="1"/>
    <col min="17" max="17" width="15.453125" style="114" bestFit="1" customWidth="1"/>
    <col min="18" max="18" width="13.54296875" style="69" bestFit="1" customWidth="1"/>
    <col min="19" max="16384" width="9.7265625" style="69"/>
  </cols>
  <sheetData>
    <row r="1" spans="1:17" s="61" customFormat="1" x14ac:dyDescent="0.3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s="61" customFormat="1" x14ac:dyDescent="0.35">
      <c r="A2" s="209" t="s">
        <v>44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s="61" customFormat="1" x14ac:dyDescent="0.35">
      <c r="A3" s="210">
        <v>43708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s="62" customFormat="1" x14ac:dyDescent="0.35">
      <c r="A4" s="211" t="s">
        <v>104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61" customFormat="1" ht="20" x14ac:dyDescent="0.4">
      <c r="A5" s="212" t="s">
        <v>45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/>
    </row>
    <row r="6" spans="1:17" x14ac:dyDescent="0.35">
      <c r="A6" s="63"/>
      <c r="B6" s="64"/>
      <c r="C6" s="65"/>
      <c r="D6" s="66"/>
      <c r="E6" s="65"/>
      <c r="F6" s="67"/>
      <c r="G6" s="65"/>
      <c r="H6" s="66"/>
      <c r="I6" s="65"/>
      <c r="J6" s="66"/>
      <c r="K6" s="65"/>
      <c r="L6" s="66"/>
      <c r="M6" s="65"/>
      <c r="N6" s="65"/>
      <c r="O6" s="65"/>
      <c r="P6" s="65"/>
      <c r="Q6" s="68"/>
    </row>
    <row r="7" spans="1:17" x14ac:dyDescent="0.35">
      <c r="A7" s="55"/>
      <c r="B7" s="64"/>
      <c r="C7" s="65"/>
      <c r="D7" s="70"/>
      <c r="E7" s="65"/>
      <c r="F7" s="65"/>
      <c r="G7" s="208" t="s">
        <v>46</v>
      </c>
      <c r="H7" s="208"/>
      <c r="I7" s="208"/>
      <c r="J7" s="208"/>
      <c r="K7" s="208"/>
      <c r="L7" s="208"/>
      <c r="M7" s="208"/>
      <c r="N7" s="208"/>
      <c r="O7" s="208"/>
      <c r="P7" s="64"/>
      <c r="Q7" s="71"/>
    </row>
    <row r="8" spans="1:17" x14ac:dyDescent="0.35">
      <c r="A8" s="72"/>
      <c r="B8" s="64"/>
      <c r="C8" s="65"/>
      <c r="D8" s="70"/>
      <c r="E8" s="65"/>
      <c r="F8" s="65"/>
      <c r="G8" s="65"/>
      <c r="H8" s="70"/>
      <c r="I8" s="64" t="s">
        <v>47</v>
      </c>
      <c r="J8" s="70"/>
      <c r="K8" s="64" t="s">
        <v>48</v>
      </c>
      <c r="L8" s="70"/>
      <c r="M8" s="64" t="s">
        <v>105</v>
      </c>
      <c r="N8" s="65"/>
      <c r="O8" s="64"/>
      <c r="P8" s="64"/>
      <c r="Q8" s="71" t="s">
        <v>49</v>
      </c>
    </row>
    <row r="9" spans="1:17" ht="31" x14ac:dyDescent="0.35">
      <c r="A9" s="72"/>
      <c r="B9" s="73" t="s">
        <v>50</v>
      </c>
      <c r="C9" s="73" t="s">
        <v>40</v>
      </c>
      <c r="D9" s="70"/>
      <c r="E9" s="73" t="s">
        <v>51</v>
      </c>
      <c r="F9" s="65"/>
      <c r="G9" s="186" t="s">
        <v>52</v>
      </c>
      <c r="H9" s="70"/>
      <c r="I9" s="74" t="s">
        <v>106</v>
      </c>
      <c r="J9" s="70"/>
      <c r="K9" s="74" t="s">
        <v>53</v>
      </c>
      <c r="L9" s="75"/>
      <c r="M9" s="186" t="s">
        <v>107</v>
      </c>
      <c r="N9" s="65"/>
      <c r="O9" s="186" t="s">
        <v>54</v>
      </c>
      <c r="P9" s="186"/>
      <c r="Q9" s="76" t="s">
        <v>108</v>
      </c>
    </row>
    <row r="10" spans="1:17" x14ac:dyDescent="0.35">
      <c r="A10" s="77" t="s">
        <v>96</v>
      </c>
      <c r="B10" s="78"/>
      <c r="C10" s="79"/>
      <c r="D10" s="70"/>
      <c r="E10" s="80"/>
      <c r="F10" s="70"/>
      <c r="G10" s="80"/>
      <c r="H10" s="70"/>
      <c r="I10" s="81"/>
      <c r="J10" s="82"/>
      <c r="K10" s="80"/>
      <c r="L10" s="83"/>
      <c r="M10" s="80"/>
      <c r="N10" s="80"/>
      <c r="O10" s="80"/>
      <c r="P10" s="80"/>
      <c r="Q10" s="68"/>
    </row>
    <row r="11" spans="1:17" ht="17.25" customHeight="1" x14ac:dyDescent="0.35">
      <c r="A11" s="72" t="s">
        <v>55</v>
      </c>
      <c r="B11" s="78">
        <v>45047</v>
      </c>
      <c r="C11" s="56">
        <v>1.4E-2</v>
      </c>
      <c r="D11" s="84" t="s">
        <v>56</v>
      </c>
      <c r="E11" s="89">
        <v>12900000</v>
      </c>
      <c r="F11" s="132"/>
      <c r="G11" s="89">
        <f t="shared" ref="G11:G18" si="0">ROUND(C11*E11,0)</f>
        <v>180600</v>
      </c>
      <c r="H11" s="70"/>
      <c r="I11" s="86">
        <v>10907.848387096774</v>
      </c>
      <c r="K11" s="89">
        <v>35867.372580645162</v>
      </c>
      <c r="L11" s="70"/>
      <c r="M11" s="89">
        <v>97783.76715</v>
      </c>
      <c r="N11" s="64">
        <v>4</v>
      </c>
      <c r="O11" s="89">
        <f t="shared" ref="O11:O21" si="1">G11+I11+K11+M11</f>
        <v>325158.98811774194</v>
      </c>
      <c r="P11" s="89"/>
      <c r="Q11" s="189">
        <f>ROUND(IFERROR((O11/E11),0),4)</f>
        <v>2.52E-2</v>
      </c>
    </row>
    <row r="12" spans="1:17" ht="17.25" customHeight="1" x14ac:dyDescent="0.35">
      <c r="A12" s="72" t="s">
        <v>57</v>
      </c>
      <c r="B12" s="78">
        <v>11720</v>
      </c>
      <c r="C12" s="96">
        <v>1.35E-2</v>
      </c>
      <c r="D12" s="84" t="s">
        <v>56</v>
      </c>
      <c r="E12" s="86">
        <v>20930000</v>
      </c>
      <c r="F12" s="70"/>
      <c r="G12" s="86">
        <f t="shared" si="0"/>
        <v>282555</v>
      </c>
      <c r="H12" s="70"/>
      <c r="I12" s="86">
        <v>4032.7790322580645</v>
      </c>
      <c r="K12" s="86">
        <v>36277.70322580645</v>
      </c>
      <c r="L12" s="70"/>
      <c r="M12" s="86">
        <v>20930</v>
      </c>
      <c r="N12" s="64">
        <v>4</v>
      </c>
      <c r="O12" s="86">
        <f t="shared" si="1"/>
        <v>343795.48225806456</v>
      </c>
      <c r="P12" s="86"/>
      <c r="Q12" s="189">
        <f t="shared" ref="Q12:Q21" si="2">ROUND(IFERROR((O12/E12),0),4)</f>
        <v>1.6400000000000001E-2</v>
      </c>
    </row>
    <row r="13" spans="1:17" ht="17.25" customHeight="1" x14ac:dyDescent="0.35">
      <c r="A13" s="72" t="s">
        <v>58</v>
      </c>
      <c r="B13" s="78">
        <v>11720</v>
      </c>
      <c r="C13" s="96">
        <v>1.35E-2</v>
      </c>
      <c r="D13" s="84" t="s">
        <v>56</v>
      </c>
      <c r="E13" s="86">
        <v>2400000</v>
      </c>
      <c r="F13" s="70"/>
      <c r="G13" s="86">
        <f t="shared" si="0"/>
        <v>32400</v>
      </c>
      <c r="H13" s="70"/>
      <c r="I13" s="86">
        <v>2929.3016129032258</v>
      </c>
      <c r="K13" s="86">
        <v>4153.1112903225812</v>
      </c>
      <c r="L13" s="70"/>
      <c r="M13" s="86">
        <v>2400</v>
      </c>
      <c r="N13" s="64">
        <v>4</v>
      </c>
      <c r="O13" s="86">
        <f t="shared" si="1"/>
        <v>41882.412903225806</v>
      </c>
      <c r="P13" s="86"/>
      <c r="Q13" s="189">
        <f t="shared" si="2"/>
        <v>1.7500000000000002E-2</v>
      </c>
    </row>
    <row r="14" spans="1:17" ht="17.25" customHeight="1" x14ac:dyDescent="0.35">
      <c r="A14" s="72" t="s">
        <v>59</v>
      </c>
      <c r="B14" s="78">
        <v>11720</v>
      </c>
      <c r="C14" s="96">
        <v>1.35E-2</v>
      </c>
      <c r="D14" s="84" t="s">
        <v>56</v>
      </c>
      <c r="E14" s="86">
        <v>2400000</v>
      </c>
      <c r="F14" s="70"/>
      <c r="G14" s="86">
        <f t="shared" si="0"/>
        <v>32400</v>
      </c>
      <c r="H14" s="70"/>
      <c r="I14" s="86">
        <v>1177.4193548387095</v>
      </c>
      <c r="K14" s="86">
        <v>12896.509677419353</v>
      </c>
      <c r="L14" s="70"/>
      <c r="M14" s="86">
        <v>2400</v>
      </c>
      <c r="N14" s="64">
        <v>4</v>
      </c>
      <c r="O14" s="86">
        <f t="shared" si="1"/>
        <v>48873.929032258064</v>
      </c>
      <c r="P14" s="86"/>
      <c r="Q14" s="189">
        <f t="shared" si="2"/>
        <v>2.0400000000000001E-2</v>
      </c>
    </row>
    <row r="15" spans="1:17" ht="17.25" customHeight="1" x14ac:dyDescent="0.35">
      <c r="A15" s="72" t="s">
        <v>60</v>
      </c>
      <c r="B15" s="78">
        <v>11720</v>
      </c>
      <c r="C15" s="96">
        <v>1.35E-2</v>
      </c>
      <c r="D15" s="84" t="s">
        <v>56</v>
      </c>
      <c r="E15" s="86">
        <v>7400000</v>
      </c>
      <c r="F15" s="70"/>
      <c r="G15" s="86">
        <f t="shared" si="0"/>
        <v>99900</v>
      </c>
      <c r="H15" s="70"/>
      <c r="I15" s="86">
        <v>3298.4225806451614</v>
      </c>
      <c r="K15" s="86">
        <v>12745.800000000001</v>
      </c>
      <c r="L15" s="70"/>
      <c r="M15" s="86">
        <v>7400</v>
      </c>
      <c r="N15" s="64">
        <v>4</v>
      </c>
      <c r="O15" s="86">
        <f t="shared" si="1"/>
        <v>123344.22258064516</v>
      </c>
      <c r="P15" s="86"/>
      <c r="Q15" s="189">
        <f t="shared" si="2"/>
        <v>1.67E-2</v>
      </c>
    </row>
    <row r="16" spans="1:17" ht="17.25" customHeight="1" x14ac:dyDescent="0.35">
      <c r="A16" s="72" t="s">
        <v>61</v>
      </c>
      <c r="B16" s="78">
        <v>49218</v>
      </c>
      <c r="C16" s="96">
        <v>1.47E-2</v>
      </c>
      <c r="D16" s="84" t="s">
        <v>56</v>
      </c>
      <c r="E16" s="86">
        <v>50000000</v>
      </c>
      <c r="F16" s="70"/>
      <c r="G16" s="86">
        <f t="shared" si="0"/>
        <v>735000</v>
      </c>
      <c r="H16" s="70"/>
      <c r="I16" s="86">
        <v>9202.4741935483871</v>
      </c>
      <c r="K16" s="86">
        <v>94880.101612903221</v>
      </c>
      <c r="L16" s="70"/>
      <c r="M16" s="86">
        <v>380609.58905000001</v>
      </c>
      <c r="N16" s="64">
        <v>4</v>
      </c>
      <c r="O16" s="86">
        <f t="shared" si="1"/>
        <v>1219692.1648564516</v>
      </c>
      <c r="P16" s="86"/>
      <c r="Q16" s="189">
        <f t="shared" si="2"/>
        <v>2.4400000000000002E-2</v>
      </c>
    </row>
    <row r="17" spans="1:20" ht="17.25" customHeight="1" x14ac:dyDescent="0.35">
      <c r="A17" s="72" t="s">
        <v>62</v>
      </c>
      <c r="B17" s="78">
        <v>49218</v>
      </c>
      <c r="C17" s="96">
        <v>1.47E-2</v>
      </c>
      <c r="D17" s="84" t="s">
        <v>56</v>
      </c>
      <c r="E17" s="86">
        <v>54000000</v>
      </c>
      <c r="F17" s="70"/>
      <c r="G17" s="86">
        <f t="shared" si="0"/>
        <v>793800</v>
      </c>
      <c r="H17" s="70"/>
      <c r="I17" s="86">
        <v>42931.770967741933</v>
      </c>
      <c r="K17" s="86">
        <v>13232.309677419355</v>
      </c>
      <c r="L17" s="70"/>
      <c r="M17" s="86">
        <v>411491.09590999997</v>
      </c>
      <c r="N17" s="64">
        <v>4</v>
      </c>
      <c r="O17" s="86">
        <f t="shared" si="1"/>
        <v>1261455.1765551614</v>
      </c>
      <c r="P17" s="86"/>
      <c r="Q17" s="189">
        <f t="shared" si="2"/>
        <v>2.3400000000000001E-2</v>
      </c>
    </row>
    <row r="18" spans="1:20" ht="17.25" customHeight="1" x14ac:dyDescent="0.35">
      <c r="A18" s="72" t="s">
        <v>63</v>
      </c>
      <c r="B18" s="78">
        <v>11720</v>
      </c>
      <c r="C18" s="96">
        <v>1.4800000000000001E-2</v>
      </c>
      <c r="D18" s="84" t="s">
        <v>56</v>
      </c>
      <c r="E18" s="86">
        <v>77947405</v>
      </c>
      <c r="F18" s="70"/>
      <c r="G18" s="86">
        <f t="shared" si="0"/>
        <v>1153622</v>
      </c>
      <c r="H18" s="70"/>
      <c r="I18" s="86">
        <v>31655.743548387098</v>
      </c>
      <c r="K18" s="86">
        <v>91156.630645161291</v>
      </c>
      <c r="L18" s="70"/>
      <c r="M18" s="86">
        <v>593975.24271499994</v>
      </c>
      <c r="N18" s="64">
        <v>4</v>
      </c>
      <c r="O18" s="86">
        <f t="shared" si="1"/>
        <v>1870409.6169085484</v>
      </c>
      <c r="P18" s="86"/>
      <c r="Q18" s="189">
        <f t="shared" si="2"/>
        <v>2.4E-2</v>
      </c>
    </row>
    <row r="19" spans="1:20" ht="17.25" customHeight="1" x14ac:dyDescent="0.35">
      <c r="A19" s="72" t="s">
        <v>64</v>
      </c>
      <c r="B19" s="78">
        <v>15585</v>
      </c>
      <c r="C19" s="96">
        <v>1.0500000000000001E-2</v>
      </c>
      <c r="D19" s="84"/>
      <c r="E19" s="86">
        <v>96000000</v>
      </c>
      <c r="F19" s="70"/>
      <c r="G19" s="86">
        <f>ROUND(C19*E19,0)</f>
        <v>1008000</v>
      </c>
      <c r="H19" s="70"/>
      <c r="I19" s="86">
        <v>483489.24354838714</v>
      </c>
      <c r="K19" s="86">
        <v>160690.19032258063</v>
      </c>
      <c r="L19" s="70"/>
      <c r="M19" s="86">
        <v>0</v>
      </c>
      <c r="N19" s="65"/>
      <c r="O19" s="86">
        <f t="shared" si="1"/>
        <v>1652179.4338709679</v>
      </c>
      <c r="P19" s="86"/>
      <c r="Q19" s="189">
        <f t="shared" si="2"/>
        <v>1.72E-2</v>
      </c>
    </row>
    <row r="20" spans="1:20" ht="17.25" customHeight="1" x14ac:dyDescent="0.35">
      <c r="A20" s="72" t="s">
        <v>150</v>
      </c>
      <c r="B20" s="78">
        <v>46054</v>
      </c>
      <c r="C20" s="96">
        <v>3.3750000000000002E-2</v>
      </c>
      <c r="D20" s="84"/>
      <c r="E20" s="86">
        <v>17875000</v>
      </c>
      <c r="F20" s="70"/>
      <c r="G20" s="86">
        <f t="shared" ref="G20" si="3">ROUND(C20*E20,0)</f>
        <v>603281</v>
      </c>
      <c r="H20" s="70"/>
      <c r="I20" s="86">
        <v>79017.790322580651</v>
      </c>
      <c r="K20" s="86">
        <v>33320.143548387103</v>
      </c>
      <c r="L20" s="70"/>
      <c r="M20" s="86">
        <v>0</v>
      </c>
      <c r="N20" s="194"/>
      <c r="O20" s="86">
        <f t="shared" si="1"/>
        <v>715618.93387096771</v>
      </c>
      <c r="P20" s="86"/>
      <c r="Q20" s="189">
        <f t="shared" si="2"/>
        <v>0.04</v>
      </c>
    </row>
    <row r="21" spans="1:20" ht="17.25" customHeight="1" x14ac:dyDescent="0.35">
      <c r="A21" s="72" t="s">
        <v>65</v>
      </c>
      <c r="B21" s="78"/>
      <c r="C21" s="79"/>
      <c r="D21" s="70"/>
      <c r="E21" s="86">
        <v>0</v>
      </c>
      <c r="F21" s="70"/>
      <c r="G21" s="86">
        <v>0</v>
      </c>
      <c r="H21" s="70"/>
      <c r="I21" s="86">
        <v>0</v>
      </c>
      <c r="K21" s="86">
        <v>23223.066129032257</v>
      </c>
      <c r="L21" s="70"/>
      <c r="M21" s="86"/>
      <c r="N21" s="65"/>
      <c r="O21" s="86">
        <f t="shared" si="1"/>
        <v>23223.066129032257</v>
      </c>
      <c r="P21" s="86"/>
      <c r="Q21" s="189">
        <f t="shared" si="2"/>
        <v>0</v>
      </c>
    </row>
    <row r="22" spans="1:20" ht="17.25" customHeight="1" thickBot="1" x14ac:dyDescent="0.4">
      <c r="A22" s="72"/>
      <c r="B22" s="78"/>
      <c r="C22" s="79"/>
      <c r="D22" s="70"/>
      <c r="E22" s="86"/>
      <c r="F22" s="70"/>
      <c r="G22" s="86"/>
      <c r="H22" s="70"/>
      <c r="I22" s="86"/>
      <c r="J22" s="70"/>
      <c r="K22" s="86"/>
      <c r="L22" s="70"/>
      <c r="M22" s="86"/>
      <c r="N22" s="65"/>
      <c r="O22" s="86"/>
      <c r="P22" s="86"/>
      <c r="Q22" s="189"/>
    </row>
    <row r="23" spans="1:20" ht="17.25" customHeight="1" thickBot="1" x14ac:dyDescent="0.4">
      <c r="A23" s="77" t="s">
        <v>66</v>
      </c>
      <c r="B23" s="57"/>
      <c r="C23" s="87"/>
      <c r="D23" s="70"/>
      <c r="E23" s="133">
        <f>SUM(E11:E22)</f>
        <v>341852405</v>
      </c>
      <c r="F23" s="88"/>
      <c r="G23" s="133">
        <f>SUM(G11:G22)</f>
        <v>4921558</v>
      </c>
      <c r="H23" s="88"/>
      <c r="I23" s="133">
        <f>SUM(I11:I22)</f>
        <v>668642.79354838713</v>
      </c>
      <c r="J23" s="88"/>
      <c r="K23" s="133">
        <f>SUM(K11:K22)</f>
        <v>518442.93870967737</v>
      </c>
      <c r="L23" s="90"/>
      <c r="M23" s="133">
        <f>SUM(M11:M22)</f>
        <v>1516989.6948249999</v>
      </c>
      <c r="N23" s="89"/>
      <c r="O23" s="133">
        <f>SUM(O11:O22)</f>
        <v>7625633.4270830639</v>
      </c>
      <c r="P23" s="89"/>
      <c r="Q23" s="198">
        <f>ROUND(O23/E23,4)</f>
        <v>2.23E-2</v>
      </c>
    </row>
    <row r="24" spans="1:20" x14ac:dyDescent="0.35">
      <c r="A24" s="77" t="s">
        <v>97</v>
      </c>
      <c r="B24" s="78"/>
      <c r="C24" s="79"/>
      <c r="D24" s="70"/>
      <c r="E24" s="86"/>
      <c r="F24" s="70"/>
      <c r="G24" s="86"/>
      <c r="H24" s="70"/>
      <c r="I24" s="86"/>
      <c r="J24" s="82"/>
      <c r="K24" s="86"/>
      <c r="L24" s="92"/>
      <c r="M24" s="86"/>
      <c r="N24" s="65"/>
      <c r="O24" s="86"/>
      <c r="P24" s="86"/>
      <c r="Q24" s="189"/>
      <c r="T24" s="91"/>
    </row>
    <row r="25" spans="1:20" ht="30" customHeight="1" x14ac:dyDescent="0.35">
      <c r="A25" s="72" t="s">
        <v>67</v>
      </c>
      <c r="B25" s="78">
        <v>44136</v>
      </c>
      <c r="C25" s="96">
        <v>3.2500000000000001E-2</v>
      </c>
      <c r="D25" s="70"/>
      <c r="E25" s="86">
        <v>500000000</v>
      </c>
      <c r="F25" s="93"/>
      <c r="G25" s="86">
        <v>16250000</v>
      </c>
      <c r="H25" s="70"/>
      <c r="I25" s="86">
        <v>419930.38064516132</v>
      </c>
      <c r="J25" s="82" t="s">
        <v>68</v>
      </c>
      <c r="K25" s="86"/>
      <c r="L25" s="92"/>
      <c r="M25" s="86"/>
      <c r="N25" s="65"/>
      <c r="O25" s="86">
        <f t="shared" ref="O25:O36" si="4">G25+I25+K25+M25</f>
        <v>16669930.380645161</v>
      </c>
      <c r="P25" s="86"/>
      <c r="Q25" s="189">
        <f>ROUND((O25/E25),4)</f>
        <v>3.3300000000000003E-2</v>
      </c>
    </row>
    <row r="26" spans="1:20" ht="17.25" customHeight="1" x14ac:dyDescent="0.35">
      <c r="A26" s="72" t="s">
        <v>69</v>
      </c>
      <c r="B26" s="78">
        <v>44136</v>
      </c>
      <c r="C26" s="96"/>
      <c r="D26" s="70"/>
      <c r="E26" s="86">
        <v>-221833.42</v>
      </c>
      <c r="F26" s="93"/>
      <c r="G26" s="86"/>
      <c r="H26" s="70"/>
      <c r="I26" s="86">
        <v>189623.50483870966</v>
      </c>
      <c r="J26" s="82" t="s">
        <v>68</v>
      </c>
      <c r="K26" s="86"/>
      <c r="L26" s="92"/>
      <c r="M26" s="86"/>
      <c r="N26" s="65"/>
      <c r="O26" s="86">
        <f t="shared" si="4"/>
        <v>189623.50483870966</v>
      </c>
      <c r="P26" s="86"/>
      <c r="Q26" s="189">
        <f>ROUND((O26/SUM(E25:E26)),4)</f>
        <v>4.0000000000000002E-4</v>
      </c>
    </row>
    <row r="27" spans="1:20" ht="17.25" customHeight="1" x14ac:dyDescent="0.35">
      <c r="A27" s="72" t="s">
        <v>70</v>
      </c>
      <c r="B27" s="78">
        <v>51441</v>
      </c>
      <c r="C27" s="96">
        <v>5.1249999999999997E-2</v>
      </c>
      <c r="D27" s="70"/>
      <c r="E27" s="86">
        <v>750000000</v>
      </c>
      <c r="F27" s="93"/>
      <c r="G27" s="86">
        <v>38437500</v>
      </c>
      <c r="H27" s="70"/>
      <c r="I27" s="86">
        <v>249786.57258064518</v>
      </c>
      <c r="J27" s="82" t="s">
        <v>68</v>
      </c>
      <c r="K27" s="86"/>
      <c r="L27" s="92"/>
      <c r="M27" s="86"/>
      <c r="N27" s="65"/>
      <c r="O27" s="86">
        <f t="shared" si="4"/>
        <v>38687286.572580643</v>
      </c>
      <c r="P27" s="86"/>
      <c r="Q27" s="189">
        <f>ROUND((O27/E27),4)</f>
        <v>5.16E-2</v>
      </c>
    </row>
    <row r="28" spans="1:20" ht="17.25" customHeight="1" x14ac:dyDescent="0.35">
      <c r="A28" s="72" t="s">
        <v>69</v>
      </c>
      <c r="B28" s="78">
        <v>51441</v>
      </c>
      <c r="C28" s="96"/>
      <c r="D28" s="70"/>
      <c r="E28" s="86">
        <v>-5749716.71</v>
      </c>
      <c r="F28" s="93"/>
      <c r="G28" s="86"/>
      <c r="H28" s="70"/>
      <c r="I28" s="86">
        <v>271423.53709677421</v>
      </c>
      <c r="J28" s="82" t="s">
        <v>68</v>
      </c>
      <c r="K28" s="86"/>
      <c r="L28" s="92"/>
      <c r="M28" s="86"/>
      <c r="N28" s="65"/>
      <c r="O28" s="86">
        <f t="shared" si="4"/>
        <v>271423.53709677421</v>
      </c>
      <c r="P28" s="86"/>
      <c r="Q28" s="189">
        <f>ROUND((O28/SUM(E27:E28)),4)</f>
        <v>4.0000000000000002E-4</v>
      </c>
    </row>
    <row r="29" spans="1:20" ht="17.25" customHeight="1" x14ac:dyDescent="0.35">
      <c r="A29" s="72" t="s">
        <v>71</v>
      </c>
      <c r="B29" s="78">
        <v>52550</v>
      </c>
      <c r="C29" s="96">
        <v>4.65E-2</v>
      </c>
      <c r="D29" s="70"/>
      <c r="E29" s="86">
        <v>250000000</v>
      </c>
      <c r="G29" s="86">
        <v>11625000</v>
      </c>
      <c r="H29" s="70"/>
      <c r="I29" s="86">
        <v>92245.272580645164</v>
      </c>
      <c r="J29" s="82" t="s">
        <v>68</v>
      </c>
      <c r="K29" s="86"/>
      <c r="L29" s="92"/>
      <c r="M29" s="86"/>
      <c r="N29" s="65"/>
      <c r="O29" s="86">
        <f t="shared" si="4"/>
        <v>11717245.272580646</v>
      </c>
      <c r="P29" s="86"/>
      <c r="Q29" s="189">
        <f>ROUND((O29/E29),4)</f>
        <v>4.6899999999999997E-2</v>
      </c>
    </row>
    <row r="30" spans="1:20" ht="17.25" customHeight="1" x14ac:dyDescent="0.35">
      <c r="A30" s="72" t="s">
        <v>69</v>
      </c>
      <c r="B30" s="78">
        <v>52550</v>
      </c>
      <c r="C30" s="96"/>
      <c r="D30" s="70"/>
      <c r="E30" s="86">
        <v>-1452254.06</v>
      </c>
      <c r="F30" s="70"/>
      <c r="G30" s="86"/>
      <c r="H30" s="70"/>
      <c r="I30" s="86">
        <v>59956.195161290329</v>
      </c>
      <c r="J30" s="82" t="s">
        <v>68</v>
      </c>
      <c r="K30" s="86"/>
      <c r="L30" s="92"/>
      <c r="M30" s="86"/>
      <c r="N30" s="65"/>
      <c r="O30" s="86">
        <f t="shared" si="4"/>
        <v>59956.195161290329</v>
      </c>
      <c r="P30" s="86"/>
      <c r="Q30" s="189">
        <f>ROUND((O30/SUM(E29:E30)),4)</f>
        <v>2.0000000000000001E-4</v>
      </c>
    </row>
    <row r="31" spans="1:20" ht="31" x14ac:dyDescent="0.35">
      <c r="A31" s="95" t="s">
        <v>98</v>
      </c>
      <c r="B31" s="78">
        <v>52550</v>
      </c>
      <c r="C31" s="96"/>
      <c r="D31" s="70"/>
      <c r="E31" s="86"/>
      <c r="F31" s="70"/>
      <c r="G31" s="200">
        <v>-1433703.9870967742</v>
      </c>
      <c r="H31" s="70"/>
      <c r="I31" s="86"/>
      <c r="J31" s="82"/>
      <c r="K31" s="86"/>
      <c r="L31" s="92"/>
      <c r="M31" s="86"/>
      <c r="N31" s="65"/>
      <c r="O31" s="200">
        <f t="shared" si="4"/>
        <v>-1433703.9870967742</v>
      </c>
      <c r="P31" s="86"/>
      <c r="Q31" s="189"/>
    </row>
    <row r="32" spans="1:20" x14ac:dyDescent="0.35">
      <c r="A32" s="72" t="s">
        <v>72</v>
      </c>
      <c r="B32" s="78">
        <v>45931</v>
      </c>
      <c r="C32" s="96">
        <v>3.3000000000000002E-2</v>
      </c>
      <c r="D32" s="70"/>
      <c r="E32" s="86">
        <v>250000000</v>
      </c>
      <c r="F32" s="70"/>
      <c r="G32" s="86">
        <v>8250000</v>
      </c>
      <c r="H32" s="70"/>
      <c r="I32" s="86">
        <v>201425.01451612904</v>
      </c>
      <c r="J32" s="82" t="s">
        <v>68</v>
      </c>
      <c r="K32" s="86"/>
      <c r="L32" s="92"/>
      <c r="M32" s="86"/>
      <c r="N32" s="65"/>
      <c r="O32" s="86">
        <f t="shared" si="4"/>
        <v>8451425.0145161282</v>
      </c>
      <c r="P32" s="86"/>
      <c r="Q32" s="189">
        <f>ROUND((O32/E32),4)</f>
        <v>3.3799999999999997E-2</v>
      </c>
    </row>
    <row r="33" spans="1:20" x14ac:dyDescent="0.35">
      <c r="A33" s="72" t="s">
        <v>69</v>
      </c>
      <c r="B33" s="78">
        <v>45931</v>
      </c>
      <c r="C33" s="96"/>
      <c r="D33" s="70"/>
      <c r="E33" s="86">
        <v>-65335.07</v>
      </c>
      <c r="F33" s="70"/>
      <c r="G33" s="86"/>
      <c r="H33" s="70"/>
      <c r="I33" s="86">
        <v>10732.295161290322</v>
      </c>
      <c r="J33" s="82" t="s">
        <v>68</v>
      </c>
      <c r="K33" s="86"/>
      <c r="L33" s="92"/>
      <c r="M33" s="86"/>
      <c r="N33" s="65"/>
      <c r="O33" s="86">
        <f t="shared" si="4"/>
        <v>10732.295161290322</v>
      </c>
      <c r="P33" s="86"/>
      <c r="Q33" s="189">
        <f>ROUND((O33/SUM(E32:E33)),4)</f>
        <v>0</v>
      </c>
    </row>
    <row r="34" spans="1:20" ht="31" x14ac:dyDescent="0.35">
      <c r="A34" s="95" t="s">
        <v>99</v>
      </c>
      <c r="B34" s="78">
        <v>45931</v>
      </c>
      <c r="C34" s="96"/>
      <c r="D34" s="70"/>
      <c r="E34" s="86"/>
      <c r="F34" s="70"/>
      <c r="G34" s="200">
        <v>1405379.7516129033</v>
      </c>
      <c r="H34" s="70"/>
      <c r="I34" s="86"/>
      <c r="J34" s="82"/>
      <c r="K34" s="86"/>
      <c r="L34" s="92"/>
      <c r="M34" s="86"/>
      <c r="N34" s="65"/>
      <c r="O34" s="200">
        <f t="shared" si="4"/>
        <v>1405379.7516129033</v>
      </c>
      <c r="P34" s="86"/>
      <c r="Q34" s="189"/>
    </row>
    <row r="35" spans="1:20" x14ac:dyDescent="0.35">
      <c r="A35" s="72" t="s">
        <v>73</v>
      </c>
      <c r="B35" s="78">
        <v>53236</v>
      </c>
      <c r="C35" s="96">
        <v>4.3749999999999997E-2</v>
      </c>
      <c r="D35" s="70"/>
      <c r="E35" s="86">
        <v>550000000</v>
      </c>
      <c r="F35" s="84">
        <v>6</v>
      </c>
      <c r="G35" s="86">
        <v>24062500</v>
      </c>
      <c r="H35" s="70"/>
      <c r="I35" s="86">
        <v>211477.58548387099</v>
      </c>
      <c r="J35" s="82" t="s">
        <v>68</v>
      </c>
      <c r="K35" s="86"/>
      <c r="L35" s="92"/>
      <c r="M35" s="86"/>
      <c r="N35" s="65"/>
      <c r="O35" s="86">
        <f t="shared" si="4"/>
        <v>24273977.585483871</v>
      </c>
      <c r="P35" s="86"/>
      <c r="Q35" s="189">
        <f>ROUND((O35/E35),4)</f>
        <v>4.41E-2</v>
      </c>
    </row>
    <row r="36" spans="1:20" ht="17.25" customHeight="1" x14ac:dyDescent="0.35">
      <c r="A36" s="72" t="s">
        <v>69</v>
      </c>
      <c r="B36" s="78">
        <v>53236</v>
      </c>
      <c r="C36" s="96"/>
      <c r="D36" s="70"/>
      <c r="E36" s="86">
        <v>-180353.3</v>
      </c>
      <c r="F36" s="70"/>
      <c r="G36" s="86"/>
      <c r="H36" s="70"/>
      <c r="I36" s="86">
        <v>6909.6854838709678</v>
      </c>
      <c r="J36" s="82" t="s">
        <v>68</v>
      </c>
      <c r="K36" s="86"/>
      <c r="L36" s="92"/>
      <c r="M36" s="86"/>
      <c r="N36" s="65"/>
      <c r="O36" s="86">
        <f t="shared" si="4"/>
        <v>6909.6854838709678</v>
      </c>
      <c r="P36" s="86"/>
      <c r="Q36" s="189">
        <f>ROUND((O36/SUM(E35:E36)),4)</f>
        <v>0</v>
      </c>
    </row>
    <row r="37" spans="1:20" x14ac:dyDescent="0.35">
      <c r="A37" s="72" t="s">
        <v>152</v>
      </c>
      <c r="B37" s="78">
        <v>53236</v>
      </c>
      <c r="C37" s="96"/>
      <c r="D37" s="70"/>
      <c r="E37" s="86">
        <v>5447514.9800000004</v>
      </c>
      <c r="F37" s="70"/>
      <c r="G37" s="86"/>
      <c r="H37" s="70"/>
      <c r="I37" s="86">
        <v>-208706.05806451617</v>
      </c>
      <c r="J37" s="82"/>
      <c r="K37" s="86"/>
      <c r="L37" s="92"/>
      <c r="M37" s="86"/>
      <c r="N37" s="65"/>
      <c r="O37" s="86">
        <f>G37+I37+K37+M37</f>
        <v>-208706.05806451617</v>
      </c>
      <c r="P37" s="86"/>
      <c r="Q37" s="189">
        <f>ROUND((O37/SUM(E35,E37)),4)</f>
        <v>-4.0000000000000002E-4</v>
      </c>
    </row>
    <row r="38" spans="1:20" ht="31" x14ac:dyDescent="0.35">
      <c r="A38" s="199" t="s">
        <v>99</v>
      </c>
      <c r="B38" s="78">
        <v>53236</v>
      </c>
      <c r="C38" s="79"/>
      <c r="D38" s="70"/>
      <c r="E38" s="86"/>
      <c r="F38" s="70"/>
      <c r="G38" s="200">
        <v>986056.21290322579</v>
      </c>
      <c r="H38" s="70"/>
      <c r="I38" s="86"/>
      <c r="J38" s="82"/>
      <c r="K38" s="86"/>
      <c r="L38" s="92"/>
      <c r="M38" s="86"/>
      <c r="N38" s="65"/>
      <c r="O38" s="200">
        <f>G38+I38+K38+M38</f>
        <v>986056.21290322579</v>
      </c>
      <c r="P38" s="86"/>
      <c r="Q38" s="189"/>
    </row>
    <row r="39" spans="1:20" ht="16" thickBot="1" x14ac:dyDescent="0.4">
      <c r="A39" s="72"/>
      <c r="B39" s="78"/>
      <c r="C39" s="96"/>
      <c r="D39" s="70"/>
      <c r="E39" s="86"/>
      <c r="F39" s="70"/>
      <c r="G39" s="86"/>
      <c r="H39" s="70"/>
      <c r="I39" s="86"/>
      <c r="J39" s="82"/>
      <c r="K39" s="86"/>
      <c r="L39" s="195"/>
      <c r="M39" s="86"/>
      <c r="N39" s="65"/>
      <c r="O39" s="86"/>
      <c r="P39" s="86"/>
      <c r="Q39" s="189"/>
    </row>
    <row r="40" spans="1:20" ht="17.25" customHeight="1" thickBot="1" x14ac:dyDescent="0.4">
      <c r="A40" s="77" t="s">
        <v>76</v>
      </c>
      <c r="B40" s="57"/>
      <c r="C40" s="87"/>
      <c r="D40" s="70"/>
      <c r="E40" s="133">
        <f>SUM(E25:E39)</f>
        <v>2297778022.4199996</v>
      </c>
      <c r="F40" s="88"/>
      <c r="G40" s="133">
        <f>SUM(G25:G39)</f>
        <v>99582731.977419361</v>
      </c>
      <c r="H40" s="88"/>
      <c r="I40" s="133">
        <f>SUM(I25:I39)</f>
        <v>1504803.9854838706</v>
      </c>
      <c r="J40" s="88"/>
      <c r="K40" s="133">
        <f>SUM(K25:K39)</f>
        <v>0</v>
      </c>
      <c r="L40" s="195"/>
      <c r="M40" s="133">
        <f>SUM(M25:M39)</f>
        <v>0</v>
      </c>
      <c r="N40" s="89"/>
      <c r="O40" s="133">
        <f>SUM(O25:O39)</f>
        <v>101087535.96290323</v>
      </c>
      <c r="P40" s="89"/>
      <c r="Q40" s="198">
        <f>ROUND(O40/E40,4)</f>
        <v>4.3999999999999997E-2</v>
      </c>
    </row>
    <row r="41" spans="1:20" x14ac:dyDescent="0.35">
      <c r="A41" s="77" t="s">
        <v>94</v>
      </c>
      <c r="B41" s="57"/>
      <c r="C41" s="87"/>
      <c r="D41" s="70"/>
      <c r="E41" s="81"/>
      <c r="F41" s="82"/>
      <c r="G41" s="81"/>
      <c r="H41" s="70"/>
      <c r="I41" s="81"/>
      <c r="J41" s="82"/>
      <c r="K41" s="80"/>
      <c r="L41" s="195"/>
      <c r="M41" s="80"/>
      <c r="N41" s="65"/>
      <c r="O41" s="80"/>
      <c r="P41" s="80"/>
      <c r="Q41" s="189"/>
      <c r="T41" s="91"/>
    </row>
    <row r="42" spans="1:20" ht="25" customHeight="1" x14ac:dyDescent="0.35">
      <c r="A42" s="72" t="s">
        <v>74</v>
      </c>
      <c r="B42" s="78">
        <v>44588</v>
      </c>
      <c r="C42" s="98"/>
      <c r="D42" s="70"/>
      <c r="E42" s="86"/>
      <c r="F42" s="70"/>
      <c r="G42" s="86"/>
      <c r="H42" s="70"/>
      <c r="I42" s="120">
        <v>428242.49032258062</v>
      </c>
      <c r="J42" s="70"/>
      <c r="K42" s="86">
        <v>18949.151612903228</v>
      </c>
      <c r="L42" s="195"/>
      <c r="M42" s="86">
        <v>405555.55555555556</v>
      </c>
      <c r="N42" s="64">
        <v>5</v>
      </c>
      <c r="O42" s="86">
        <f>G42+I42+K42+M42</f>
        <v>852747.19749103941</v>
      </c>
      <c r="P42" s="86"/>
      <c r="Q42" s="189"/>
      <c r="R42" s="58"/>
      <c r="S42" s="97"/>
    </row>
    <row r="43" spans="1:20" ht="17.25" customHeight="1" x14ac:dyDescent="0.35">
      <c r="A43" s="99" t="s">
        <v>75</v>
      </c>
      <c r="B43" s="100">
        <v>44105</v>
      </c>
      <c r="C43" s="98"/>
      <c r="D43" s="70"/>
      <c r="E43" s="86"/>
      <c r="F43" s="70"/>
      <c r="G43" s="86"/>
      <c r="H43" s="70"/>
      <c r="I43" s="120">
        <v>182286.0629032258</v>
      </c>
      <c r="J43" s="70"/>
      <c r="K43" s="86"/>
      <c r="L43" s="195"/>
      <c r="M43" s="86"/>
      <c r="N43" s="65"/>
      <c r="O43" s="86">
        <f>G43+I43+K43+M43</f>
        <v>182286.0629032258</v>
      </c>
      <c r="P43" s="86"/>
      <c r="Q43" s="189"/>
    </row>
    <row r="44" spans="1:20" ht="17.25" customHeight="1" x14ac:dyDescent="0.35">
      <c r="A44" s="72" t="s">
        <v>77</v>
      </c>
      <c r="B44" s="78"/>
      <c r="C44" s="96"/>
      <c r="D44" s="70"/>
      <c r="E44" s="89">
        <v>0</v>
      </c>
      <c r="F44" s="88"/>
      <c r="G44" s="89">
        <v>0</v>
      </c>
      <c r="H44" s="88"/>
      <c r="I44" s="89">
        <v>0</v>
      </c>
      <c r="J44" s="88"/>
      <c r="K44" s="89">
        <v>0</v>
      </c>
      <c r="L44" s="195"/>
      <c r="M44" s="89">
        <v>0</v>
      </c>
      <c r="N44" s="89"/>
      <c r="O44" s="89">
        <f>SUM(G44,I44,M44)</f>
        <v>0</v>
      </c>
      <c r="P44" s="89"/>
      <c r="Q44" s="189"/>
    </row>
    <row r="45" spans="1:20" ht="16" thickBot="1" x14ac:dyDescent="0.4">
      <c r="A45" s="72"/>
      <c r="B45" s="78"/>
      <c r="C45" s="96"/>
      <c r="D45" s="70"/>
      <c r="E45" s="86"/>
      <c r="F45" s="70"/>
      <c r="G45" s="80"/>
      <c r="H45" s="70"/>
      <c r="I45" s="86">
        <v>0</v>
      </c>
      <c r="J45" s="101"/>
      <c r="K45" s="86">
        <v>0</v>
      </c>
      <c r="L45" s="195"/>
      <c r="M45" s="86">
        <v>0</v>
      </c>
      <c r="N45" s="65"/>
      <c r="O45" s="86">
        <f>SUM(G45,I45,M45)</f>
        <v>0</v>
      </c>
      <c r="P45" s="86"/>
      <c r="Q45" s="189"/>
    </row>
    <row r="46" spans="1:20" ht="16" thickBot="1" x14ac:dyDescent="0.4">
      <c r="A46" s="77" t="s">
        <v>95</v>
      </c>
      <c r="B46" s="78"/>
      <c r="C46" s="79"/>
      <c r="D46" s="70"/>
      <c r="E46" s="133">
        <f>SUM(E42:E45)</f>
        <v>0</v>
      </c>
      <c r="F46" s="88"/>
      <c r="G46" s="133">
        <f>SUM(G42:G45)</f>
        <v>0</v>
      </c>
      <c r="H46" s="88"/>
      <c r="I46" s="133">
        <f>SUM(I42:I45)</f>
        <v>610528.55322580645</v>
      </c>
      <c r="J46" s="88"/>
      <c r="K46" s="133">
        <f>SUM(K42:K45)</f>
        <v>18949.151612903228</v>
      </c>
      <c r="L46" s="195"/>
      <c r="M46" s="133">
        <f>SUM(M42:M45)</f>
        <v>405555.55555555556</v>
      </c>
      <c r="N46" s="89"/>
      <c r="O46" s="133">
        <f>SUM(O42:O45)</f>
        <v>1035033.2603942652</v>
      </c>
      <c r="P46" s="89"/>
      <c r="Q46" s="198">
        <f>ROUND(O46/E48,4)</f>
        <v>4.0000000000000002E-4</v>
      </c>
    </row>
    <row r="47" spans="1:20" ht="16" thickBot="1" x14ac:dyDescent="0.4">
      <c r="A47" s="72"/>
      <c r="B47" s="64"/>
      <c r="C47" s="87"/>
      <c r="D47" s="70"/>
      <c r="E47" s="80"/>
      <c r="F47" s="70"/>
      <c r="G47" s="80"/>
      <c r="H47" s="70"/>
      <c r="I47" s="81"/>
      <c r="J47" s="82"/>
      <c r="K47" s="80"/>
      <c r="L47" s="195"/>
      <c r="M47" s="80"/>
      <c r="N47" s="80"/>
      <c r="O47" s="80"/>
      <c r="P47" s="80"/>
      <c r="Q47" s="189"/>
    </row>
    <row r="48" spans="1:20" ht="16" thickBot="1" x14ac:dyDescent="0.4">
      <c r="A48" s="72"/>
      <c r="B48" s="64"/>
      <c r="C48" s="87" t="s">
        <v>54</v>
      </c>
      <c r="D48" s="70"/>
      <c r="E48" s="134">
        <f>E23+E40+E46</f>
        <v>2639630427.4199996</v>
      </c>
      <c r="F48" s="89"/>
      <c r="G48" s="134">
        <f>G23+G40+G46</f>
        <v>104504289.97741936</v>
      </c>
      <c r="H48" s="88"/>
      <c r="I48" s="134">
        <f>I23+I40+I46</f>
        <v>2783975.3322580643</v>
      </c>
      <c r="J48" s="88"/>
      <c r="K48" s="134">
        <f>K23+K40+K46</f>
        <v>537392.09032258065</v>
      </c>
      <c r="L48" s="195"/>
      <c r="M48" s="134">
        <f>M23+M40+M46</f>
        <v>1922545.2503805554</v>
      </c>
      <c r="N48" s="89"/>
      <c r="O48" s="134">
        <f>O23+O40+O46</f>
        <v>109748202.65038055</v>
      </c>
      <c r="P48" s="89"/>
      <c r="Q48" s="198">
        <f>IFERROR(ROUND(O48/E48,4),0)</f>
        <v>4.1599999999999998E-2</v>
      </c>
    </row>
    <row r="49" spans="1:19" ht="16" thickTop="1" x14ac:dyDescent="0.35">
      <c r="A49" s="103"/>
      <c r="B49" s="186"/>
      <c r="C49" s="104"/>
      <c r="D49" s="105"/>
      <c r="E49" s="106"/>
      <c r="F49" s="107"/>
      <c r="G49" s="106"/>
      <c r="H49" s="105"/>
      <c r="I49" s="106"/>
      <c r="J49" s="108"/>
      <c r="K49" s="186"/>
      <c r="L49" s="105"/>
      <c r="M49" s="106"/>
      <c r="N49" s="106"/>
      <c r="O49" s="106"/>
      <c r="P49" s="106"/>
      <c r="Q49" s="109"/>
      <c r="S49" s="102"/>
    </row>
    <row r="50" spans="1:19" x14ac:dyDescent="0.35">
      <c r="C50" s="111"/>
      <c r="E50" s="112"/>
      <c r="G50" s="112"/>
      <c r="H50" s="135"/>
      <c r="I50" s="112"/>
      <c r="J50" s="66"/>
      <c r="K50" s="80"/>
      <c r="L50" s="113"/>
      <c r="M50" s="112"/>
      <c r="N50" s="112"/>
      <c r="O50" s="112"/>
      <c r="P50" s="112"/>
    </row>
    <row r="51" spans="1:19" x14ac:dyDescent="0.35">
      <c r="C51" s="111"/>
      <c r="E51" s="112"/>
      <c r="G51" s="112"/>
      <c r="I51" s="112"/>
      <c r="J51" s="115"/>
      <c r="K51" s="112"/>
      <c r="L51" s="115"/>
      <c r="M51" s="112"/>
      <c r="N51" s="112"/>
      <c r="O51" s="112"/>
      <c r="P51" s="112"/>
    </row>
    <row r="52" spans="1:19" ht="20" x14ac:dyDescent="0.4">
      <c r="A52" s="212" t="s">
        <v>78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4"/>
    </row>
    <row r="53" spans="1:19" s="116" customFormat="1" x14ac:dyDescent="0.35">
      <c r="A53" s="72"/>
      <c r="B53" s="64"/>
      <c r="C53" s="65"/>
      <c r="D53" s="66"/>
      <c r="E53" s="65"/>
      <c r="F53" s="67"/>
      <c r="G53" s="65"/>
      <c r="H53" s="66"/>
      <c r="I53" s="65"/>
      <c r="J53" s="66"/>
      <c r="K53" s="65"/>
      <c r="L53" s="66"/>
      <c r="M53" s="65"/>
      <c r="N53" s="65"/>
      <c r="O53" s="65"/>
      <c r="P53" s="65"/>
      <c r="Q53" s="68"/>
    </row>
    <row r="54" spans="1:19" x14ac:dyDescent="0.35">
      <c r="A54" s="72"/>
      <c r="B54" s="64"/>
      <c r="C54" s="65"/>
      <c r="D54" s="70"/>
      <c r="E54" s="65"/>
      <c r="F54" s="65"/>
      <c r="G54" s="208" t="s">
        <v>46</v>
      </c>
      <c r="H54" s="208"/>
      <c r="I54" s="208"/>
      <c r="J54" s="208"/>
      <c r="K54" s="208"/>
      <c r="L54" s="208"/>
      <c r="M54" s="208"/>
      <c r="N54" s="208"/>
      <c r="O54" s="208"/>
      <c r="P54" s="64"/>
      <c r="Q54" s="68"/>
    </row>
    <row r="55" spans="1:19" x14ac:dyDescent="0.35">
      <c r="A55" s="72"/>
      <c r="B55" s="64"/>
      <c r="C55" s="65"/>
      <c r="D55" s="70"/>
      <c r="E55" s="65"/>
      <c r="F55" s="65"/>
      <c r="G55" s="65"/>
      <c r="H55" s="70"/>
      <c r="I55" s="65"/>
      <c r="J55" s="70"/>
      <c r="K55" s="65"/>
      <c r="L55" s="70"/>
      <c r="M55" s="65"/>
      <c r="N55" s="65"/>
      <c r="O55" s="65"/>
      <c r="P55" s="65"/>
      <c r="Q55" s="71" t="s">
        <v>49</v>
      </c>
    </row>
    <row r="56" spans="1:19" x14ac:dyDescent="0.35">
      <c r="A56" s="72"/>
      <c r="B56" s="64" t="s">
        <v>79</v>
      </c>
      <c r="C56" s="73" t="s">
        <v>80</v>
      </c>
      <c r="D56" s="70"/>
      <c r="E56" s="73" t="s">
        <v>81</v>
      </c>
      <c r="F56" s="65"/>
      <c r="G56" s="73" t="s">
        <v>82</v>
      </c>
      <c r="H56" s="70"/>
      <c r="I56" s="73" t="s">
        <v>83</v>
      </c>
      <c r="J56" s="70"/>
      <c r="K56" s="73" t="s">
        <v>84</v>
      </c>
      <c r="L56" s="117"/>
      <c r="M56" s="73" t="s">
        <v>85</v>
      </c>
      <c r="N56" s="64"/>
      <c r="O56" s="73" t="s">
        <v>86</v>
      </c>
      <c r="P56" s="73"/>
      <c r="Q56" s="118" t="s">
        <v>87</v>
      </c>
    </row>
    <row r="57" spans="1:19" x14ac:dyDescent="0.35">
      <c r="A57" s="72"/>
      <c r="B57" s="64"/>
      <c r="C57" s="65"/>
      <c r="D57" s="70"/>
      <c r="E57" s="65"/>
      <c r="F57" s="65"/>
      <c r="G57" s="65"/>
      <c r="H57" s="70"/>
      <c r="I57" s="65"/>
      <c r="J57" s="70"/>
      <c r="K57" s="65"/>
      <c r="L57" s="70"/>
      <c r="M57" s="65"/>
      <c r="N57" s="65"/>
      <c r="O57" s="65"/>
      <c r="P57" s="65"/>
      <c r="Q57" s="68"/>
    </row>
    <row r="58" spans="1:19" x14ac:dyDescent="0.35">
      <c r="A58" s="72" t="s">
        <v>88</v>
      </c>
      <c r="B58" s="64" t="s">
        <v>89</v>
      </c>
      <c r="C58" s="96">
        <v>2.4899999999999999E-2</v>
      </c>
      <c r="D58" s="84" t="s">
        <v>56</v>
      </c>
      <c r="E58" s="196">
        <v>0</v>
      </c>
      <c r="F58" s="89"/>
      <c r="G58" s="89">
        <f>ROUND(C58*E58,0)</f>
        <v>0</v>
      </c>
      <c r="H58" s="88"/>
      <c r="I58" s="119">
        <v>0</v>
      </c>
      <c r="J58" s="88"/>
      <c r="K58" s="119">
        <v>0</v>
      </c>
      <c r="L58" s="88"/>
      <c r="M58" s="119">
        <v>0</v>
      </c>
      <c r="N58" s="89"/>
      <c r="O58" s="89">
        <f>SUM(G58:M58)</f>
        <v>0</v>
      </c>
      <c r="P58" s="89"/>
      <c r="Q58" s="189">
        <f>IF(E58=0,0,(ROUND((O58/E58),4)))</f>
        <v>0</v>
      </c>
    </row>
    <row r="59" spans="1:19" x14ac:dyDescent="0.35">
      <c r="A59" s="72" t="s">
        <v>90</v>
      </c>
      <c r="B59" s="64"/>
      <c r="C59" s="96"/>
      <c r="D59" s="70"/>
      <c r="E59" s="86">
        <v>0</v>
      </c>
      <c r="F59" s="89"/>
      <c r="G59" s="86">
        <f>ROUND(C59*E59,0)</f>
        <v>0</v>
      </c>
      <c r="H59" s="88"/>
      <c r="I59" s="120">
        <v>0</v>
      </c>
      <c r="J59" s="88"/>
      <c r="K59" s="120">
        <v>0</v>
      </c>
      <c r="L59" s="92"/>
      <c r="M59" s="120">
        <v>0</v>
      </c>
      <c r="N59" s="89"/>
      <c r="O59" s="86">
        <f>SUM(G59:M59)</f>
        <v>0</v>
      </c>
      <c r="P59" s="86"/>
      <c r="Q59" s="189">
        <f>IF(E59=0,0,(ROUND((O59/E59),4)))</f>
        <v>0</v>
      </c>
    </row>
    <row r="60" spans="1:19" x14ac:dyDescent="0.35">
      <c r="A60" s="72" t="s">
        <v>91</v>
      </c>
      <c r="B60" s="64" t="s">
        <v>92</v>
      </c>
      <c r="C60" s="96">
        <v>0</v>
      </c>
      <c r="D60" s="70"/>
      <c r="E60" s="136">
        <v>0</v>
      </c>
      <c r="F60" s="65"/>
      <c r="G60" s="136">
        <f>E60*C60</f>
        <v>0</v>
      </c>
      <c r="H60" s="70"/>
      <c r="I60" s="121">
        <v>0</v>
      </c>
      <c r="J60" s="70"/>
      <c r="K60" s="121">
        <v>0</v>
      </c>
      <c r="L60" s="195"/>
      <c r="M60" s="121">
        <v>0</v>
      </c>
      <c r="N60" s="65"/>
      <c r="O60" s="136">
        <f>SUM(G60:M60)</f>
        <v>0</v>
      </c>
      <c r="P60" s="136"/>
      <c r="Q60" s="190">
        <f>IF(E60=0,0,(ROUND((O60/E60),4)))</f>
        <v>0</v>
      </c>
    </row>
    <row r="61" spans="1:19" ht="16" thickBot="1" x14ac:dyDescent="0.4">
      <c r="A61" s="72"/>
      <c r="B61" s="64"/>
      <c r="C61" s="65"/>
      <c r="D61" s="70"/>
      <c r="E61" s="81"/>
      <c r="F61" s="65"/>
      <c r="G61" s="81"/>
      <c r="H61" s="70"/>
      <c r="I61" s="65"/>
      <c r="J61" s="70"/>
      <c r="K61" s="81"/>
      <c r="L61" s="195"/>
      <c r="M61" s="81"/>
      <c r="N61" s="65"/>
      <c r="O61" s="81"/>
      <c r="P61" s="81"/>
      <c r="Q61" s="189"/>
    </row>
    <row r="62" spans="1:19" ht="16" thickBot="1" x14ac:dyDescent="0.4">
      <c r="A62" s="72"/>
      <c r="B62" s="64"/>
      <c r="C62" s="65" t="s">
        <v>54</v>
      </c>
      <c r="D62" s="70"/>
      <c r="E62" s="137">
        <f>SUM(E58:E61)</f>
        <v>0</v>
      </c>
      <c r="F62" s="89"/>
      <c r="G62" s="134">
        <f>SUM(G58:G61)</f>
        <v>0</v>
      </c>
      <c r="H62" s="88"/>
      <c r="I62" s="138">
        <f>SUM(I58:I61)</f>
        <v>0</v>
      </c>
      <c r="J62" s="88"/>
      <c r="K62" s="138">
        <f>SUM(K58:K61)</f>
        <v>0</v>
      </c>
      <c r="L62" s="195"/>
      <c r="M62" s="138">
        <f>SUM(M58:M61)</f>
        <v>0</v>
      </c>
      <c r="N62" s="89"/>
      <c r="O62" s="134">
        <f>SUM(O58:O61)</f>
        <v>0</v>
      </c>
      <c r="P62" s="89"/>
      <c r="Q62" s="197">
        <f>IFERROR(ROUND(O62/E62,4),0)</f>
        <v>0</v>
      </c>
    </row>
    <row r="63" spans="1:19" ht="16" thickTop="1" x14ac:dyDescent="0.35">
      <c r="A63" s="103"/>
      <c r="B63" s="186"/>
      <c r="C63" s="107"/>
      <c r="D63" s="105"/>
      <c r="E63" s="107"/>
      <c r="F63" s="107"/>
      <c r="G63" s="122"/>
      <c r="H63" s="105"/>
      <c r="I63" s="107"/>
      <c r="J63" s="105"/>
      <c r="K63" s="122"/>
      <c r="L63" s="123"/>
      <c r="M63" s="122"/>
      <c r="N63" s="107"/>
      <c r="O63" s="107"/>
      <c r="P63" s="107"/>
      <c r="Q63" s="190"/>
    </row>
    <row r="64" spans="1:19" ht="16" thickBot="1" x14ac:dyDescent="0.4">
      <c r="C64" s="111"/>
      <c r="D64" s="93"/>
      <c r="E64" s="112"/>
      <c r="F64" s="69"/>
      <c r="G64" s="112"/>
      <c r="H64" s="93"/>
      <c r="J64" s="93"/>
      <c r="L64" s="93"/>
      <c r="O64" s="112"/>
      <c r="P64" s="112"/>
      <c r="Q64" s="191"/>
    </row>
    <row r="65" spans="1:18" ht="16" thickBot="1" x14ac:dyDescent="0.4">
      <c r="A65" s="69" t="s">
        <v>93</v>
      </c>
      <c r="C65" s="111"/>
      <c r="D65" s="93"/>
      <c r="E65" s="139">
        <f>E48+E62</f>
        <v>2639630427.4199996</v>
      </c>
      <c r="F65" s="124"/>
      <c r="G65" s="140">
        <f>G48+G62</f>
        <v>104504289.97741936</v>
      </c>
      <c r="H65" s="125"/>
      <c r="I65" s="140">
        <f>I48+I62</f>
        <v>2783975.3322580643</v>
      </c>
      <c r="J65" s="125"/>
      <c r="K65" s="140">
        <f>K48+K62</f>
        <v>537392.09032258065</v>
      </c>
      <c r="L65" s="195"/>
      <c r="M65" s="140">
        <f>M48+M62</f>
        <v>1922545.2503805554</v>
      </c>
      <c r="N65" s="124"/>
      <c r="O65" s="140">
        <f>O48+O62</f>
        <v>109748202.65038055</v>
      </c>
      <c r="P65" s="89"/>
      <c r="Q65" s="197">
        <f>IFERROR(ROUND(O65/E65,4),0)</f>
        <v>4.1599999999999998E-2</v>
      </c>
    </row>
    <row r="66" spans="1:18" ht="16" thickTop="1" x14ac:dyDescent="0.35">
      <c r="A66" s="69" t="s">
        <v>109</v>
      </c>
      <c r="C66" s="111"/>
      <c r="D66" s="93"/>
      <c r="E66" s="59">
        <f>E67-E65</f>
        <v>-0.41999959945678711</v>
      </c>
      <c r="F66" s="124"/>
      <c r="G66" s="89"/>
      <c r="H66" s="125"/>
      <c r="I66" s="89"/>
      <c r="J66" s="125"/>
      <c r="K66" s="89"/>
      <c r="L66" s="88"/>
      <c r="M66" s="89"/>
      <c r="N66" s="124"/>
      <c r="Q66" s="126"/>
    </row>
    <row r="67" spans="1:18" ht="18.75" customHeight="1" thickBot="1" x14ac:dyDescent="0.4">
      <c r="A67" s="69" t="s">
        <v>110</v>
      </c>
      <c r="C67" s="111"/>
      <c r="D67" s="93"/>
      <c r="E67" s="140">
        <v>2639630427</v>
      </c>
      <c r="F67" s="124"/>
      <c r="G67" s="89"/>
      <c r="H67" s="125"/>
      <c r="I67" s="89"/>
      <c r="J67" s="125"/>
      <c r="K67" s="89"/>
      <c r="L67" s="88"/>
      <c r="M67" s="89"/>
      <c r="N67" s="124"/>
      <c r="O67" s="127"/>
      <c r="P67" s="127"/>
      <c r="Q67" s="69"/>
    </row>
    <row r="68" spans="1:18" ht="21.75" customHeight="1" thickTop="1" x14ac:dyDescent="0.35">
      <c r="C68" s="111"/>
      <c r="D68" s="93"/>
      <c r="E68" s="141"/>
      <c r="F68" s="124"/>
      <c r="G68" s="89"/>
      <c r="H68" s="125"/>
      <c r="I68" s="89"/>
      <c r="J68" s="125"/>
      <c r="K68" s="89"/>
      <c r="L68" s="88"/>
      <c r="M68" s="89"/>
      <c r="N68" s="124"/>
      <c r="O68" s="127"/>
      <c r="P68" s="127"/>
      <c r="Q68" s="60"/>
    </row>
    <row r="69" spans="1:18" x14ac:dyDescent="0.35">
      <c r="A69" s="69" t="s">
        <v>111</v>
      </c>
      <c r="C69" s="111"/>
      <c r="D69" s="93"/>
      <c r="E69" s="112"/>
      <c r="F69" s="69"/>
      <c r="G69" s="112"/>
      <c r="H69" s="93"/>
      <c r="J69" s="93"/>
      <c r="L69" s="93"/>
      <c r="O69" s="128"/>
      <c r="P69" s="128"/>
      <c r="Q69" s="69"/>
    </row>
    <row r="70" spans="1:18" x14ac:dyDescent="0.35">
      <c r="A70" s="201" t="s">
        <v>155</v>
      </c>
      <c r="D70" s="93"/>
      <c r="F70" s="69"/>
      <c r="H70" s="93"/>
      <c r="J70" s="93"/>
      <c r="L70" s="93"/>
      <c r="Q70" s="69"/>
    </row>
    <row r="71" spans="1:18" x14ac:dyDescent="0.35">
      <c r="D71" s="93"/>
      <c r="F71" s="69"/>
      <c r="H71" s="93"/>
      <c r="J71" s="93"/>
      <c r="L71" s="93"/>
    </row>
    <row r="72" spans="1:18" x14ac:dyDescent="0.35">
      <c r="A72" s="215" t="s">
        <v>100</v>
      </c>
      <c r="B72" s="215"/>
      <c r="C72" s="215"/>
      <c r="D72" s="215"/>
      <c r="E72" s="215"/>
      <c r="F72" s="69"/>
      <c r="G72" s="112"/>
      <c r="H72" s="93"/>
      <c r="I72" s="110"/>
      <c r="J72" s="93"/>
      <c r="K72" s="128"/>
      <c r="L72" s="129"/>
      <c r="M72" s="128"/>
      <c r="O72" s="110"/>
      <c r="P72" s="110"/>
    </row>
    <row r="73" spans="1:18" ht="15" customHeight="1" x14ac:dyDescent="0.35">
      <c r="A73" s="216" t="s">
        <v>153</v>
      </c>
      <c r="B73" s="207"/>
      <c r="C73" s="207"/>
      <c r="D73" s="207"/>
      <c r="E73" s="207"/>
      <c r="F73" s="207"/>
      <c r="G73" s="207"/>
      <c r="H73" s="93"/>
      <c r="J73" s="93"/>
      <c r="K73" s="112"/>
      <c r="L73" s="129"/>
      <c r="M73" s="112"/>
      <c r="N73" s="112"/>
    </row>
    <row r="74" spans="1:18" ht="30" customHeight="1" x14ac:dyDescent="0.35">
      <c r="A74" s="188"/>
      <c r="B74" s="192"/>
      <c r="C74" s="192"/>
      <c r="D74" s="193"/>
      <c r="E74" s="192"/>
      <c r="F74" s="69"/>
      <c r="H74" s="93"/>
      <c r="J74" s="93"/>
      <c r="K74" s="112"/>
      <c r="L74" s="129"/>
      <c r="M74" s="112"/>
      <c r="N74" s="112"/>
    </row>
    <row r="75" spans="1:18" x14ac:dyDescent="0.35">
      <c r="A75" s="207" t="s">
        <v>101</v>
      </c>
      <c r="B75" s="207"/>
      <c r="C75" s="207"/>
      <c r="D75" s="207"/>
      <c r="E75" s="207"/>
      <c r="F75" s="207"/>
      <c r="G75" s="207"/>
      <c r="H75" s="93"/>
      <c r="J75" s="93"/>
      <c r="K75" s="112"/>
      <c r="L75" s="129"/>
      <c r="M75" s="112"/>
      <c r="N75" s="112"/>
    </row>
    <row r="76" spans="1:18" ht="21" customHeight="1" x14ac:dyDescent="0.35">
      <c r="A76" s="187"/>
      <c r="B76" s="187"/>
      <c r="C76" s="187"/>
      <c r="D76" s="187"/>
      <c r="E76" s="187"/>
      <c r="F76" s="187"/>
      <c r="G76" s="187"/>
      <c r="H76" s="93"/>
      <c r="J76" s="93"/>
      <c r="K76" s="112"/>
      <c r="L76" s="129"/>
      <c r="M76" s="112"/>
      <c r="N76" s="112"/>
    </row>
    <row r="77" spans="1:18" ht="21" customHeight="1" x14ac:dyDescent="0.35">
      <c r="A77" s="207" t="s">
        <v>102</v>
      </c>
      <c r="B77" s="207"/>
      <c r="C77" s="207"/>
      <c r="D77" s="207"/>
      <c r="E77" s="207"/>
      <c r="F77" s="207"/>
      <c r="G77" s="207"/>
      <c r="H77" s="93"/>
      <c r="J77" s="93"/>
      <c r="K77" s="112"/>
      <c r="L77" s="129"/>
      <c r="M77" s="112"/>
      <c r="N77" s="112"/>
    </row>
    <row r="78" spans="1:18" x14ac:dyDescent="0.35">
      <c r="B78" s="69"/>
      <c r="D78" s="93"/>
      <c r="F78" s="130"/>
      <c r="H78" s="93"/>
      <c r="I78" s="110"/>
      <c r="J78" s="93"/>
      <c r="L78" s="93"/>
      <c r="O78" s="112"/>
      <c r="P78" s="112"/>
    </row>
    <row r="79" spans="1:18" x14ac:dyDescent="0.35">
      <c r="A79" s="69" t="s">
        <v>103</v>
      </c>
      <c r="D79" s="93"/>
      <c r="F79" s="69"/>
      <c r="H79" s="93"/>
      <c r="J79" s="93"/>
      <c r="L79" s="93"/>
      <c r="R79" s="131"/>
    </row>
    <row r="80" spans="1:18" x14ac:dyDescent="0.35">
      <c r="D80" s="93"/>
      <c r="F80" s="69"/>
      <c r="H80" s="93"/>
      <c r="J80" s="93"/>
      <c r="L80" s="93"/>
    </row>
    <row r="81" spans="1:12" ht="30" customHeight="1" x14ac:dyDescent="0.35">
      <c r="A81" s="207" t="s">
        <v>154</v>
      </c>
      <c r="B81" s="207"/>
      <c r="C81" s="207"/>
      <c r="D81" s="207"/>
      <c r="E81" s="207"/>
      <c r="F81" s="207"/>
      <c r="G81" s="207"/>
      <c r="H81" s="93"/>
      <c r="J81" s="93"/>
      <c r="L81" s="93"/>
    </row>
    <row r="82" spans="1:12" x14ac:dyDescent="0.35">
      <c r="D82" s="93"/>
      <c r="F82" s="69"/>
      <c r="H82" s="93"/>
      <c r="J82" s="93"/>
      <c r="L82" s="93"/>
    </row>
  </sheetData>
  <mergeCells count="13">
    <mergeCell ref="A81:G81"/>
    <mergeCell ref="A77:G77"/>
    <mergeCell ref="G7:O7"/>
    <mergeCell ref="A1:Q1"/>
    <mergeCell ref="A2:Q2"/>
    <mergeCell ref="A3:Q3"/>
    <mergeCell ref="A4:Q4"/>
    <mergeCell ref="A5:Q5"/>
    <mergeCell ref="A52:Q52"/>
    <mergeCell ref="A72:E72"/>
    <mergeCell ref="A73:G73"/>
    <mergeCell ref="A75:G75"/>
    <mergeCell ref="G54:O54"/>
  </mergeCells>
  <printOptions horizontalCentered="1"/>
  <pageMargins left="0.5" right="0.5" top="0.75" bottom="0.75" header="0.5" footer="0.25"/>
  <pageSetup scale="40" orientation="portrait" r:id="rId1"/>
  <headerFooter scaleWithDoc="0">
    <oddHeader>&amp;R&amp;"Times New Roman,Bold"&amp;12Attachment to Response to Question No. 5 (a-d)
Page 2 of 3
Neal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showGridLines="0" zoomScaleNormal="100" workbookViewId="0"/>
  </sheetViews>
  <sheetFormatPr defaultColWidth="9.1796875" defaultRowHeight="15.5" x14ac:dyDescent="0.35"/>
  <cols>
    <col min="1" max="1" width="9.1796875" style="145"/>
    <col min="2" max="2" width="9.1796875" style="182"/>
    <col min="3" max="3" width="29.54296875" style="182" customWidth="1"/>
    <col min="4" max="4" width="2.1796875" style="182" customWidth="1"/>
    <col min="5" max="5" width="17.7265625" style="182" bestFit="1" customWidth="1"/>
    <col min="6" max="6" width="1.1796875" style="145" customWidth="1"/>
    <col min="7" max="7" width="11.7265625" style="145" customWidth="1"/>
    <col min="8" max="16384" width="9.1796875" style="145"/>
  </cols>
  <sheetData>
    <row r="1" spans="1:7" x14ac:dyDescent="0.35">
      <c r="A1" s="142"/>
      <c r="B1" s="217" t="s">
        <v>112</v>
      </c>
      <c r="C1" s="217"/>
      <c r="D1" s="143"/>
      <c r="E1" s="144"/>
      <c r="G1" s="142"/>
    </row>
    <row r="2" spans="1:7" x14ac:dyDescent="0.35">
      <c r="A2" s="142"/>
      <c r="B2" s="217" t="s">
        <v>113</v>
      </c>
      <c r="C2" s="217"/>
      <c r="D2" s="143"/>
      <c r="E2" s="144"/>
      <c r="G2" s="142"/>
    </row>
    <row r="3" spans="1:7" ht="15" x14ac:dyDescent="0.3">
      <c r="A3" s="142"/>
      <c r="B3" s="218">
        <v>2019</v>
      </c>
      <c r="C3" s="218"/>
      <c r="D3" s="143"/>
      <c r="E3" s="146"/>
      <c r="G3" s="142"/>
    </row>
    <row r="4" spans="1:7" x14ac:dyDescent="0.35">
      <c r="A4" s="142"/>
      <c r="B4" s="147"/>
      <c r="C4" s="147"/>
      <c r="D4" s="148"/>
      <c r="E4" s="148"/>
      <c r="G4" s="142"/>
    </row>
    <row r="5" spans="1:7" x14ac:dyDescent="0.35">
      <c r="A5" s="142"/>
      <c r="B5" s="144"/>
      <c r="C5" s="144"/>
      <c r="D5" s="149"/>
      <c r="E5" s="150">
        <v>2019</v>
      </c>
      <c r="G5" s="142"/>
    </row>
    <row r="6" spans="1:7" x14ac:dyDescent="0.35">
      <c r="A6" s="142"/>
      <c r="B6" s="151"/>
      <c r="C6" s="151"/>
      <c r="D6" s="152"/>
      <c r="E6" s="153" t="s">
        <v>114</v>
      </c>
      <c r="G6" s="142"/>
    </row>
    <row r="7" spans="1:7" x14ac:dyDescent="0.35">
      <c r="A7" s="142"/>
      <c r="B7" s="154"/>
      <c r="C7" s="154"/>
      <c r="D7" s="144"/>
      <c r="E7" s="155" t="s">
        <v>115</v>
      </c>
      <c r="G7" s="142"/>
    </row>
    <row r="8" spans="1:7" x14ac:dyDescent="0.35">
      <c r="A8" s="142"/>
      <c r="B8" s="144"/>
      <c r="C8" s="144"/>
      <c r="D8" s="149"/>
      <c r="E8" s="156" t="s">
        <v>157</v>
      </c>
      <c r="G8" s="142"/>
    </row>
    <row r="9" spans="1:7" x14ac:dyDescent="0.35">
      <c r="A9" s="142"/>
      <c r="B9" s="151"/>
      <c r="C9" s="151"/>
      <c r="D9" s="152"/>
      <c r="E9" s="157" t="s">
        <v>116</v>
      </c>
      <c r="G9" s="142"/>
    </row>
    <row r="10" spans="1:7" x14ac:dyDescent="0.35">
      <c r="A10" s="142">
        <v>-1</v>
      </c>
      <c r="B10" s="151" t="s">
        <v>117</v>
      </c>
      <c r="C10" s="151"/>
      <c r="D10" s="158"/>
      <c r="E10" s="159">
        <v>100</v>
      </c>
      <c r="G10" s="142"/>
    </row>
    <row r="11" spans="1:7" x14ac:dyDescent="0.35">
      <c r="A11" s="142">
        <f>+A10-1</f>
        <v>-2</v>
      </c>
      <c r="B11" s="160"/>
      <c r="C11" s="151"/>
      <c r="D11" s="152"/>
      <c r="E11" s="161"/>
      <c r="G11" s="142"/>
    </row>
    <row r="12" spans="1:7" x14ac:dyDescent="0.35">
      <c r="A12" s="142">
        <f>+A11-1</f>
        <v>-3</v>
      </c>
      <c r="B12" s="160" t="s">
        <v>118</v>
      </c>
      <c r="C12" s="151"/>
      <c r="D12" s="152"/>
      <c r="E12" s="162">
        <v>5</v>
      </c>
      <c r="G12" s="142">
        <v>-40</v>
      </c>
    </row>
    <row r="13" spans="1:7" x14ac:dyDescent="0.35">
      <c r="A13" s="142">
        <f t="shared" ref="A13:A49" si="0">+A12-1</f>
        <v>-4</v>
      </c>
      <c r="B13" s="160"/>
      <c r="C13" s="151"/>
      <c r="D13" s="152"/>
      <c r="E13" s="163"/>
      <c r="G13" s="142"/>
    </row>
    <row r="14" spans="1:7" x14ac:dyDescent="0.35">
      <c r="A14" s="142">
        <f t="shared" si="0"/>
        <v>-5</v>
      </c>
      <c r="B14" s="151" t="s">
        <v>119</v>
      </c>
      <c r="C14" s="151"/>
      <c r="D14" s="152"/>
      <c r="E14" s="163"/>
      <c r="G14" s="142"/>
    </row>
    <row r="15" spans="1:7" x14ac:dyDescent="0.35">
      <c r="A15" s="142">
        <f t="shared" si="0"/>
        <v>-6</v>
      </c>
      <c r="B15" s="144" t="s">
        <v>120</v>
      </c>
      <c r="C15" s="151"/>
      <c r="D15" s="164"/>
      <c r="E15" s="165">
        <f>+E10-E12</f>
        <v>95</v>
      </c>
      <c r="G15" s="166" t="s">
        <v>121</v>
      </c>
    </row>
    <row r="16" spans="1:7" x14ac:dyDescent="0.35">
      <c r="A16" s="142">
        <f t="shared" si="0"/>
        <v>-7</v>
      </c>
      <c r="B16" s="167" t="s">
        <v>122</v>
      </c>
      <c r="C16" s="151"/>
      <c r="D16" s="164"/>
      <c r="E16" s="168">
        <v>0</v>
      </c>
      <c r="G16" s="142"/>
    </row>
    <row r="17" spans="1:14" x14ac:dyDescent="0.35">
      <c r="A17" s="142">
        <f t="shared" si="0"/>
        <v>-8</v>
      </c>
      <c r="B17" s="167" t="s">
        <v>123</v>
      </c>
      <c r="C17" s="151"/>
      <c r="D17" s="164"/>
      <c r="E17" s="169">
        <v>1</v>
      </c>
      <c r="G17" s="142"/>
    </row>
    <row r="18" spans="1:14" x14ac:dyDescent="0.35">
      <c r="A18" s="142">
        <f t="shared" si="0"/>
        <v>-9</v>
      </c>
      <c r="B18" s="170" t="s">
        <v>124</v>
      </c>
      <c r="C18" s="151"/>
      <c r="D18" s="164"/>
      <c r="E18" s="171">
        <f>ROUND(E16*E17,4)</f>
        <v>0</v>
      </c>
      <c r="G18" s="142"/>
    </row>
    <row r="19" spans="1:14" x14ac:dyDescent="0.35">
      <c r="A19" s="142">
        <f t="shared" si="0"/>
        <v>-10</v>
      </c>
      <c r="B19" s="151"/>
      <c r="C19" s="151"/>
      <c r="D19" s="164"/>
      <c r="E19" s="172"/>
      <c r="G19" s="142"/>
    </row>
    <row r="20" spans="1:14" x14ac:dyDescent="0.35">
      <c r="A20" s="142">
        <f t="shared" si="0"/>
        <v>-11</v>
      </c>
      <c r="B20" s="151" t="s">
        <v>125</v>
      </c>
      <c r="C20" s="151"/>
      <c r="D20" s="164"/>
      <c r="E20" s="162">
        <f>E15*E18</f>
        <v>0</v>
      </c>
      <c r="G20" s="166" t="s">
        <v>126</v>
      </c>
    </row>
    <row r="21" spans="1:14" x14ac:dyDescent="0.35">
      <c r="A21" s="142">
        <f t="shared" si="0"/>
        <v>-12</v>
      </c>
      <c r="B21" s="170"/>
      <c r="C21" s="151"/>
      <c r="D21" s="152"/>
      <c r="E21" s="163"/>
      <c r="G21" s="142"/>
      <c r="N21" s="173"/>
    </row>
    <row r="22" spans="1:14" x14ac:dyDescent="0.35">
      <c r="A22" s="142">
        <f t="shared" si="0"/>
        <v>-13</v>
      </c>
      <c r="B22" s="160" t="s">
        <v>127</v>
      </c>
      <c r="C22" s="151"/>
      <c r="D22" s="152"/>
      <c r="E22" s="163">
        <f>E15-E20</f>
        <v>95</v>
      </c>
      <c r="G22" s="166" t="s">
        <v>128</v>
      </c>
    </row>
    <row r="23" spans="1:14" x14ac:dyDescent="0.35">
      <c r="A23" s="142">
        <f t="shared" si="0"/>
        <v>-14</v>
      </c>
      <c r="B23" s="170"/>
      <c r="C23" s="151"/>
      <c r="D23" s="152"/>
      <c r="E23" s="163"/>
      <c r="G23" s="142"/>
    </row>
    <row r="24" spans="1:14" x14ac:dyDescent="0.35">
      <c r="A24" s="142">
        <f t="shared" si="0"/>
        <v>-15</v>
      </c>
      <c r="B24" s="160" t="s">
        <v>129</v>
      </c>
      <c r="C24" s="151"/>
      <c r="D24" s="152"/>
      <c r="E24" s="174">
        <f>+E22*0.21</f>
        <v>19.95</v>
      </c>
      <c r="G24" s="166" t="s">
        <v>130</v>
      </c>
    </row>
    <row r="25" spans="1:14" x14ac:dyDescent="0.35">
      <c r="A25" s="142">
        <f t="shared" si="0"/>
        <v>-16</v>
      </c>
      <c r="B25" s="170"/>
      <c r="C25" s="151"/>
      <c r="D25" s="152"/>
      <c r="E25" s="161"/>
      <c r="G25" s="142"/>
    </row>
    <row r="26" spans="1:14" x14ac:dyDescent="0.35">
      <c r="A26" s="142">
        <f t="shared" si="0"/>
        <v>-17</v>
      </c>
      <c r="B26" s="160"/>
      <c r="C26" s="151"/>
      <c r="D26" s="152"/>
      <c r="E26" s="161"/>
      <c r="G26" s="142"/>
    </row>
    <row r="27" spans="1:14" x14ac:dyDescent="0.35">
      <c r="A27" s="142">
        <f t="shared" si="0"/>
        <v>-18</v>
      </c>
      <c r="B27" s="160" t="s">
        <v>131</v>
      </c>
      <c r="C27" s="151"/>
      <c r="D27" s="152"/>
      <c r="E27" s="174">
        <f>+E12+E24</f>
        <v>24.95</v>
      </c>
      <c r="G27" s="166" t="s">
        <v>132</v>
      </c>
    </row>
    <row r="28" spans="1:14" x14ac:dyDescent="0.35">
      <c r="A28" s="142">
        <f t="shared" si="0"/>
        <v>-19</v>
      </c>
      <c r="B28" s="144"/>
      <c r="C28" s="151"/>
      <c r="D28" s="152"/>
      <c r="E28" s="175"/>
      <c r="G28" s="142"/>
    </row>
    <row r="29" spans="1:14" ht="16" thickBot="1" x14ac:dyDescent="0.4">
      <c r="A29" s="142">
        <f t="shared" si="0"/>
        <v>-20</v>
      </c>
      <c r="B29" s="151" t="s">
        <v>133</v>
      </c>
      <c r="C29" s="151"/>
      <c r="D29" s="152"/>
      <c r="E29" s="176">
        <f>100-E27</f>
        <v>75.05</v>
      </c>
      <c r="G29" s="166" t="s">
        <v>134</v>
      </c>
    </row>
    <row r="30" spans="1:14" ht="16" thickTop="1" x14ac:dyDescent="0.35">
      <c r="A30" s="142">
        <f t="shared" si="0"/>
        <v>-21</v>
      </c>
      <c r="B30" s="151"/>
      <c r="C30" s="151"/>
      <c r="D30" s="152"/>
      <c r="E30" s="175"/>
      <c r="G30" s="142"/>
    </row>
    <row r="31" spans="1:14" x14ac:dyDescent="0.35">
      <c r="A31" s="142">
        <f t="shared" si="0"/>
        <v>-22</v>
      </c>
      <c r="B31" s="160" t="s">
        <v>135</v>
      </c>
      <c r="C31" s="151"/>
      <c r="D31" s="152"/>
      <c r="E31" s="175"/>
      <c r="G31" s="142"/>
    </row>
    <row r="32" spans="1:14" x14ac:dyDescent="0.35">
      <c r="A32" s="142">
        <f t="shared" si="0"/>
        <v>-23</v>
      </c>
      <c r="B32" s="151" t="s">
        <v>136</v>
      </c>
      <c r="C32" s="151"/>
      <c r="D32" s="152"/>
      <c r="E32" s="177">
        <f>+E24/100</f>
        <v>0.19949999999999998</v>
      </c>
      <c r="G32" s="166" t="s">
        <v>137</v>
      </c>
    </row>
    <row r="33" spans="1:7" x14ac:dyDescent="0.35">
      <c r="A33" s="142">
        <f t="shared" si="0"/>
        <v>-24</v>
      </c>
      <c r="B33" s="151" t="s">
        <v>138</v>
      </c>
      <c r="C33" s="151"/>
      <c r="D33" s="152"/>
      <c r="E33" s="178">
        <f>+E12/100</f>
        <v>0.05</v>
      </c>
      <c r="G33" s="166" t="s">
        <v>139</v>
      </c>
    </row>
    <row r="34" spans="1:7" ht="16" thickBot="1" x14ac:dyDescent="0.4">
      <c r="A34" s="142">
        <f t="shared" si="0"/>
        <v>-25</v>
      </c>
      <c r="B34" s="151" t="s">
        <v>140</v>
      </c>
      <c r="C34" s="151"/>
      <c r="D34" s="152"/>
      <c r="E34" s="179">
        <f>SUM(E32:E33)</f>
        <v>0.2495</v>
      </c>
      <c r="G34" s="166" t="s">
        <v>141</v>
      </c>
    </row>
    <row r="35" spans="1:7" ht="16" thickTop="1" x14ac:dyDescent="0.35">
      <c r="A35" s="142">
        <f t="shared" si="0"/>
        <v>-26</v>
      </c>
      <c r="B35" s="144"/>
      <c r="C35" s="144"/>
      <c r="D35" s="144"/>
      <c r="E35" s="180"/>
      <c r="G35" s="142"/>
    </row>
    <row r="36" spans="1:7" x14ac:dyDescent="0.35">
      <c r="A36" s="142">
        <f t="shared" si="0"/>
        <v>-27</v>
      </c>
      <c r="B36" s="144"/>
      <c r="C36" s="144"/>
      <c r="D36" s="144"/>
      <c r="E36" s="181">
        <f>+E34</f>
        <v>0.2495</v>
      </c>
      <c r="F36" s="182"/>
      <c r="G36" s="183"/>
    </row>
    <row r="37" spans="1:7" x14ac:dyDescent="0.35">
      <c r="A37" s="142">
        <f t="shared" si="0"/>
        <v>-28</v>
      </c>
      <c r="B37" s="144"/>
      <c r="C37" s="144"/>
      <c r="D37" s="144"/>
      <c r="E37" s="180"/>
      <c r="G37" s="142"/>
    </row>
    <row r="38" spans="1:7" x14ac:dyDescent="0.35">
      <c r="A38" s="142">
        <f t="shared" si="0"/>
        <v>-29</v>
      </c>
      <c r="B38" s="144"/>
      <c r="C38" s="144"/>
      <c r="D38" s="144"/>
      <c r="E38" s="180"/>
      <c r="G38" s="142"/>
    </row>
    <row r="39" spans="1:7" x14ac:dyDescent="0.35">
      <c r="A39" s="142">
        <f t="shared" si="0"/>
        <v>-30</v>
      </c>
      <c r="B39" s="144"/>
      <c r="C39" s="144"/>
      <c r="D39" s="144"/>
      <c r="E39" s="180"/>
      <c r="G39" s="142"/>
    </row>
    <row r="40" spans="1:7" x14ac:dyDescent="0.35">
      <c r="A40" s="142">
        <f t="shared" si="0"/>
        <v>-31</v>
      </c>
      <c r="B40" s="184" t="s">
        <v>142</v>
      </c>
      <c r="C40" s="144"/>
      <c r="D40" s="144"/>
      <c r="E40" s="180"/>
      <c r="G40" s="142"/>
    </row>
    <row r="41" spans="1:7" x14ac:dyDescent="0.35">
      <c r="A41" s="142">
        <f t="shared" si="0"/>
        <v>-32</v>
      </c>
      <c r="B41" s="151" t="s">
        <v>117</v>
      </c>
      <c r="C41" s="144"/>
      <c r="D41" s="144"/>
      <c r="E41" s="159">
        <v>100</v>
      </c>
      <c r="G41" s="142"/>
    </row>
    <row r="42" spans="1:7" x14ac:dyDescent="0.35">
      <c r="A42" s="142">
        <f t="shared" si="0"/>
        <v>-33</v>
      </c>
      <c r="B42" s="160"/>
      <c r="C42" s="144"/>
      <c r="D42" s="144"/>
      <c r="E42" s="161"/>
      <c r="G42" s="142"/>
    </row>
    <row r="43" spans="1:7" x14ac:dyDescent="0.35">
      <c r="A43" s="142">
        <f t="shared" si="0"/>
        <v>-34</v>
      </c>
      <c r="B43" s="160" t="s">
        <v>143</v>
      </c>
      <c r="C43" s="144"/>
      <c r="D43" s="144"/>
      <c r="E43" s="162"/>
      <c r="G43" s="142"/>
    </row>
    <row r="44" spans="1:7" x14ac:dyDescent="0.35">
      <c r="A44" s="142">
        <f t="shared" si="0"/>
        <v>-35</v>
      </c>
      <c r="B44" s="160"/>
      <c r="C44" s="144"/>
      <c r="D44" s="144"/>
      <c r="E44" s="163"/>
      <c r="G44" s="142"/>
    </row>
    <row r="45" spans="1:7" x14ac:dyDescent="0.35">
      <c r="A45" s="142">
        <f t="shared" si="0"/>
        <v>-36</v>
      </c>
      <c r="B45" s="151" t="s">
        <v>144</v>
      </c>
      <c r="C45" s="144"/>
      <c r="D45" s="144"/>
      <c r="E45" s="165">
        <f>+E41-E43</f>
        <v>100</v>
      </c>
      <c r="G45" s="166" t="s">
        <v>145</v>
      </c>
    </row>
    <row r="46" spans="1:7" x14ac:dyDescent="0.35">
      <c r="A46" s="142">
        <f t="shared" si="0"/>
        <v>-37</v>
      </c>
      <c r="B46" s="151"/>
      <c r="C46" s="144"/>
      <c r="D46" s="144"/>
      <c r="E46" s="165"/>
      <c r="G46" s="142"/>
    </row>
    <row r="47" spans="1:7" x14ac:dyDescent="0.35">
      <c r="A47" s="142">
        <f t="shared" si="0"/>
        <v>-38</v>
      </c>
      <c r="B47" s="151" t="s">
        <v>146</v>
      </c>
      <c r="C47" s="144"/>
      <c r="D47" s="144"/>
      <c r="E47" s="185">
        <v>0.05</v>
      </c>
      <c r="G47" s="142"/>
    </row>
    <row r="48" spans="1:7" x14ac:dyDescent="0.35">
      <c r="A48" s="142">
        <f t="shared" si="0"/>
        <v>-39</v>
      </c>
      <c r="B48" s="170"/>
      <c r="C48" s="144"/>
      <c r="D48" s="144"/>
      <c r="E48" s="163"/>
      <c r="G48" s="142"/>
    </row>
    <row r="49" spans="1:7" ht="16" thickBot="1" x14ac:dyDescent="0.4">
      <c r="A49" s="142">
        <f t="shared" si="0"/>
        <v>-40</v>
      </c>
      <c r="B49" s="160" t="s">
        <v>147</v>
      </c>
      <c r="C49" s="144"/>
      <c r="D49" s="144"/>
      <c r="E49" s="176">
        <f>+E45*E47</f>
        <v>5</v>
      </c>
      <c r="G49" s="166" t="s">
        <v>148</v>
      </c>
    </row>
    <row r="50" spans="1:7" ht="16" thickTop="1" x14ac:dyDescent="0.35">
      <c r="A50" s="142"/>
      <c r="B50" s="144"/>
      <c r="C50" s="144"/>
      <c r="D50" s="144"/>
      <c r="E50" s="144"/>
      <c r="G50" s="142"/>
    </row>
  </sheetData>
  <mergeCells count="3">
    <mergeCell ref="B1:C1"/>
    <mergeCell ref="B2:C2"/>
    <mergeCell ref="B3:C3"/>
  </mergeCells>
  <pageMargins left="0.7" right="0.7" top="0.75" bottom="1" header="0.3" footer="0.3"/>
  <pageSetup scale="88" orientation="portrait" r:id="rId1"/>
  <headerFooter scaleWithDoc="0">
    <oddHeader>&amp;R&amp;"Times New Roman,Bold"&amp;12Attachment to Response to Question No. 5 (a-d)
Page 3 of 3
Neal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Q5 - KU ROR Aug19</vt:lpstr>
      <vt:lpstr>Q5 - ECC Aug19</vt:lpstr>
      <vt:lpstr>Q5 - Tax Rate</vt:lpstr>
      <vt:lpstr>'Q5 - ECC Aug19'!Print_Area</vt:lpstr>
      <vt:lpstr>'Q5 - KU ROR Aug19'!Print_Area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2020-07-08T22:31:59Z</dcterms:created>
  <dcterms:modified xsi:type="dcterms:W3CDTF">2020-07-08T22:32:05Z</dcterms:modified>
</cp:coreProperties>
</file>