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users\desktop\Valley Gas Documents\EGC reports\"/>
    </mc:Choice>
  </mc:AlternateContent>
  <xr:revisionPtr revIDLastSave="0" documentId="8_{A84A8417-322C-4E5D-A687-10929415592F}" xr6:coauthVersionLast="45" xr6:coauthVersionMax="45" xr10:uidLastSave="{00000000-0000-0000-0000-000000000000}"/>
  <bookViews>
    <workbookView xWindow="-120" yWindow="-120" windowWidth="15600" windowHeight="11160" activeTab="2" xr2:uid="{00000000-000D-0000-FFFF-FFFF00000000}"/>
  </bookViews>
  <sheets>
    <sheet name="Schedule I" sheetId="1" r:id="rId1"/>
    <sheet name="Schedule II" sheetId="2" r:id="rId2"/>
    <sheet name="Schedule IV" sheetId="3" r:id="rId3"/>
    <sheet name="Data" sheetId="4" r:id="rId4"/>
  </sheets>
  <definedNames>
    <definedName name="_xlnm.Print_Area" localSheetId="0">'Schedule I'!$A$1:$I$48</definedName>
    <definedName name="_xlnm.Print_Area" localSheetId="1">'Schedule II'!$A$1:$F$35</definedName>
    <definedName name="_xlnm.Print_Area" localSheetId="2">'Schedule IV'!$A$1:$K$35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4" l="1"/>
  <c r="I42" i="4"/>
  <c r="H42" i="4"/>
  <c r="G42" i="4"/>
  <c r="F42" i="4"/>
  <c r="E42" i="4"/>
  <c r="D42" i="4"/>
  <c r="C42" i="4"/>
  <c r="B42" i="4"/>
  <c r="Q43" i="4"/>
  <c r="P43" i="4"/>
  <c r="O43" i="4"/>
  <c r="N43" i="4"/>
  <c r="M43" i="4"/>
  <c r="L43" i="4"/>
  <c r="O40" i="4"/>
  <c r="O39" i="4"/>
  <c r="Q40" i="4"/>
  <c r="Q39" i="4"/>
  <c r="Q38" i="4"/>
  <c r="G40" i="4"/>
  <c r="G39" i="4"/>
  <c r="G38" i="4"/>
  <c r="F40" i="4"/>
  <c r="F39" i="4"/>
  <c r="F38" i="4"/>
  <c r="I10" i="2" l="1"/>
  <c r="I11" i="2" l="1"/>
  <c r="I12" i="2" s="1"/>
  <c r="B14" i="2" l="1"/>
  <c r="B15" i="2"/>
  <c r="B28" i="2"/>
  <c r="E25" i="3" l="1"/>
  <c r="C15" i="3" l="1"/>
  <c r="D15" i="2" l="1"/>
  <c r="D14" i="2"/>
  <c r="K3" i="4" l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H13" i="2" l="1"/>
  <c r="E14" i="2" s="1"/>
  <c r="E15" i="2" l="1"/>
  <c r="E16" i="2" s="1"/>
  <c r="K18" i="4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I48" i="1" l="1"/>
  <c r="I32" i="1"/>
  <c r="C9" i="2" l="1"/>
  <c r="B9" i="3" l="1"/>
  <c r="I23" i="1"/>
  <c r="B27" i="2"/>
  <c r="F20" i="2"/>
  <c r="F19" i="2"/>
  <c r="F18" i="2"/>
  <c r="F17" i="2"/>
  <c r="D16" i="2"/>
  <c r="D25" i="2" s="1"/>
  <c r="E27" i="2" s="1"/>
  <c r="F15" i="2"/>
  <c r="F14" i="2"/>
  <c r="F16" i="2" l="1"/>
  <c r="E15" i="3"/>
  <c r="E17" i="3" s="1"/>
  <c r="D15" i="3"/>
  <c r="D17" i="3" s="1"/>
  <c r="D24" i="3" s="1"/>
  <c r="C21" i="3" l="1"/>
  <c r="C22" i="3" s="1"/>
  <c r="C17" i="3"/>
  <c r="C24" i="3" s="1"/>
  <c r="F32" i="2"/>
  <c r="F34" i="2"/>
  <c r="D29" i="2"/>
  <c r="F25" i="2"/>
  <c r="F31" i="2" s="1"/>
  <c r="F33" i="2" l="1"/>
  <c r="F35" i="2" s="1"/>
  <c r="C32" i="3"/>
  <c r="E24" i="3" l="1"/>
  <c r="E21" i="3" l="1"/>
  <c r="E22" i="3" s="1"/>
  <c r="D21" i="3"/>
  <c r="D22" i="3" s="1"/>
  <c r="C26" i="3" l="1"/>
  <c r="C28" i="3" s="1"/>
  <c r="D26" i="3"/>
  <c r="D28" i="3" s="1"/>
  <c r="E26" i="3"/>
  <c r="E28" i="3" s="1"/>
  <c r="I11" i="1"/>
  <c r="C31" i="3" l="1"/>
  <c r="C33" i="3" s="1"/>
  <c r="I13" i="1"/>
  <c r="I36" i="1" l="1"/>
  <c r="I40" i="1" l="1"/>
  <c r="I12" i="1" s="1"/>
  <c r="I22" i="1"/>
  <c r="I24" i="1" l="1"/>
  <c r="I10" i="1" s="1"/>
  <c r="I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Sarah.Jankowski</author>
  </authors>
  <commentList>
    <comment ref="H8" authorId="0" shapeId="0" xr:uid="{00000000-0006-0000-0100-000001000000}">
      <text>
        <r>
          <rPr>
            <sz val="9"/>
            <color indexed="81"/>
            <rFont val="Tahoma"/>
            <family val="2"/>
          </rPr>
          <t>Fuel page is not up dated from prior application</t>
        </r>
      </text>
    </comment>
    <comment ref="B14" authorId="0" shapeId="0" xr:uid="{00000000-0006-0000-0100-000002000000}">
      <text>
        <r>
          <rPr>
            <sz val="9"/>
            <color indexed="81"/>
            <rFont val="Tahoma"/>
            <family val="2"/>
          </rPr>
          <t>Usage Pur</t>
        </r>
      </text>
    </comment>
    <comment ref="E14" authorId="0" shapeId="0" xr:uid="{00000000-0006-0000-0100-000003000000}">
      <text>
        <r>
          <rPr>
            <sz val="9"/>
            <color indexed="81"/>
            <rFont val="Tahoma"/>
            <family val="2"/>
          </rPr>
          <t>From Fuel page</t>
        </r>
      </text>
    </comment>
    <comment ref="B15" authorId="0" shapeId="0" xr:uid="{00000000-0006-0000-0100-000004000000}">
      <text>
        <r>
          <rPr>
            <sz val="9"/>
            <color indexed="81"/>
            <rFont val="Tahoma"/>
            <family val="2"/>
          </rPr>
          <t>Industrial Usage</t>
        </r>
      </text>
    </comment>
    <comment ref="B16" authorId="0" shapeId="0" xr:uid="{00000000-0006-0000-0100-000005000000}">
      <text>
        <r>
          <rPr>
            <sz val="9"/>
            <color indexed="81"/>
            <rFont val="Tahoma"/>
            <family val="2"/>
          </rPr>
          <t>From Storage Summary: End Bal</t>
        </r>
      </text>
    </comment>
  </commentList>
</comments>
</file>

<file path=xl/sharedStrings.xml><?xml version="1.0" encoding="utf-8"?>
<sst xmlns="http://schemas.openxmlformats.org/spreadsheetml/2006/main" count="182" uniqueCount="118">
  <si>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</si>
  <si>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</si>
  <si>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</si>
  <si>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</si>
  <si>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</si>
  <si>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</si>
  <si>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</si>
  <si>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</si>
  <si>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</si>
  <si>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</si>
  <si>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</si>
  <si>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</si>
  <si>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</si>
  <si>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</si>
  <si>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</si>
  <si>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</si>
  <si>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</si>
  <si>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</si>
  <si>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</si>
  <si>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</si>
  <si>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</si>
  <si>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</si>
  <si>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</si>
  <si>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</si>
  <si>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</si>
  <si>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</si>
  <si>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</si>
  <si>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</si>
  <si>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</si>
  <si>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</si>
  <si>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</si>
  <si>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</si>
  <si>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</si>
  <si>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</si>
  <si>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</si>
  <si>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</si>
  <si>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</si>
  <si>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</si>
  <si>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</si>
  <si>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</si>
  <si>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</si>
  <si>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</si>
  <si>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(4) x (5)</t>
  </si>
  <si>
    <t>Supplier</t>
  </si>
  <si>
    <t>Conversion Factor</t>
  </si>
  <si>
    <t>Mcf</t>
  </si>
  <si>
    <t>Cost</t>
  </si>
  <si>
    <t>Totals</t>
  </si>
  <si>
    <t xml:space="preserve">Line loss for 12 months ended </t>
  </si>
  <si>
    <t>is based on purchases of</t>
  </si>
  <si>
    <t>and sales of</t>
  </si>
  <si>
    <t>Total Expected Cost of Purchases (6)</t>
  </si>
  <si>
    <t>/ Mcf Purchases (4)</t>
  </si>
  <si>
    <t>= Average Expected Cost Per Mcf Purchased</t>
  </si>
  <si>
    <t>= Total Expected Gas Cost (to Schedule IA)</t>
  </si>
  <si>
    <t>SCHEDULE IV</t>
  </si>
  <si>
    <t>ACTUAL ADJUSTMENT</t>
  </si>
  <si>
    <t>Particulars</t>
  </si>
  <si>
    <t>Total Supply Volumes Purchased</t>
  </si>
  <si>
    <t>$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</si>
  <si>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</si>
  <si>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</si>
  <si>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</si>
  <si>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</si>
  <si>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</si>
  <si>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</si>
  <si>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</si>
  <si>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For the 12 month period ended</t>
  </si>
  <si>
    <t xml:space="preserve">/ Sales for 12 months ended </t>
  </si>
  <si>
    <t>/Sales for the 12 months ended</t>
  </si>
  <si>
    <t>Expected Gas Cost (EGC)</t>
  </si>
  <si>
    <t>Rates to be effective for service rendered from</t>
  </si>
  <si>
    <t xml:space="preserve"> </t>
  </si>
  <si>
    <t>Constellation Energy</t>
  </si>
  <si>
    <t>Mcf Rate</t>
  </si>
  <si>
    <t xml:space="preserve">Dth </t>
  </si>
  <si>
    <t>Mago Volumes</t>
  </si>
  <si>
    <t>Storage Volume</t>
  </si>
  <si>
    <t>DTH</t>
  </si>
  <si>
    <t>- Mago Purchases</t>
  </si>
  <si>
    <t xml:space="preserve">Total Cost of Volumes Purchased </t>
  </si>
  <si>
    <t>Total Cost Of Volumes (Mago excluded)</t>
  </si>
  <si>
    <t>MCF</t>
  </si>
  <si>
    <t>- Mago Sales</t>
  </si>
  <si>
    <t>Total GCA Sales</t>
  </si>
  <si>
    <t>Total System  (flowed thru city gate)</t>
  </si>
  <si>
    <t xml:space="preserve">*Total Sales Volumes Purchased   </t>
  </si>
  <si>
    <t>*may not be more than .95% of supply volumes purchased</t>
  </si>
  <si>
    <t>MCF x CF = DTH</t>
  </si>
  <si>
    <t>x Allowable Mcf Purchases (must not exceed Mcf sales / .95)</t>
  </si>
  <si>
    <t>Reporting Period used in the calculations</t>
  </si>
  <si>
    <t>USAGE PUR</t>
  </si>
  <si>
    <t>Industrial Usage</t>
  </si>
  <si>
    <t>TOTAL GAS COST</t>
  </si>
  <si>
    <t>USAGE THRU CITY GAGE</t>
  </si>
  <si>
    <t>Total Usage</t>
  </si>
  <si>
    <t>THE EXPECTED GAS COST</t>
  </si>
  <si>
    <t>Date</t>
  </si>
  <si>
    <t>Residential Usage</t>
  </si>
  <si>
    <t>Residential Revenue</t>
  </si>
  <si>
    <t>Commerical Usage</t>
  </si>
  <si>
    <t>Commerical Revenue</t>
  </si>
  <si>
    <t>Total Resid &amp; Comm Usage</t>
  </si>
  <si>
    <t>Total Resid &amp; Comm Revenue</t>
  </si>
  <si>
    <t>Industrial Revenue</t>
  </si>
  <si>
    <t>total</t>
  </si>
  <si>
    <t>Purchases</t>
  </si>
  <si>
    <t>Usage Pur</t>
  </si>
  <si>
    <t>Monthly Gas Cost</t>
  </si>
  <si>
    <t>Transportation Cost</t>
  </si>
  <si>
    <t>Usage Thru City Gate</t>
  </si>
  <si>
    <t>Inventory Volume</t>
  </si>
  <si>
    <t>Total Gas Cost</t>
  </si>
  <si>
    <t>Overall $$$ per Mcf</t>
  </si>
  <si>
    <t>From fuel page</t>
  </si>
  <si>
    <t>Purchased are DTH and sales are MCF</t>
  </si>
  <si>
    <t>[Calculation]</t>
  </si>
  <si>
    <t>DR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</si>
</sst>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[$-409]mmmm\ d\,\ yyyy;@"/>
    <numFmt numFmtId="169" formatCode="[$-409]mmm\-yy;@"/>
    <numFmt numFmtId="170" formatCode="0.0000"/>
    <numFmt numFmtId="171" formatCode="_(&quot;$&quot;* #,##0_);_(&quot;$&quot;* \(#,##0\);_(&quot;$&quot;* &quot;-&quot;??_);_(@_)"/>
    <numFmt numFmtId="172" formatCode="&quot;$&quot;#,##0.0000_);\(&quot;$&quot;#,##0.0000\)"/>
    <numFmt numFmtId="173" formatCode="mmmm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2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7" fontId="3" fillId="0" borderId="1" xfId="1" applyNumberFormat="1" applyFont="1" applyBorder="1"/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7" fontId="5" fillId="0" borderId="1" xfId="0" applyNumberFormat="1" applyFont="1" applyBorder="1" applyAlignment="1">
      <alignment horizontal="center"/>
    </xf>
    <xf numFmtId="168" fontId="3" fillId="0" borderId="0" xfId="0" applyNumberFormat="1" applyFont="1" applyFill="1"/>
    <xf numFmtId="0" fontId="3" fillId="0" borderId="0" xfId="0" applyFont="1" applyFill="1"/>
    <xf numFmtId="0" fontId="1" fillId="0" borderId="0" xfId="0" applyFont="1"/>
    <xf numFmtId="0" fontId="3" fillId="0" borderId="0" xfId="0" applyFont="1" applyFill="1" applyBorder="1"/>
    <xf numFmtId="17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0" fillId="0" borderId="0" xfId="0" applyNumberFormat="1"/>
    <xf numFmtId="0" fontId="3" fillId="0" borderId="0" xfId="0" quotePrefix="1" applyFont="1" applyBorder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/>
    <xf numFmtId="8" fontId="3" fillId="0" borderId="0" xfId="0" applyNumberFormat="1" applyFont="1" applyFill="1"/>
    <xf numFmtId="0" fontId="3" fillId="0" borderId="0" xfId="0" quotePrefix="1" applyFont="1" applyFill="1" applyAlignment="1">
      <alignment horizontal="center"/>
    </xf>
    <xf numFmtId="164" fontId="3" fillId="0" borderId="0" xfId="0" applyNumberFormat="1" applyFont="1" applyFill="1"/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3" fillId="0" borderId="1" xfId="1" applyNumberFormat="1" applyFont="1" applyBorder="1"/>
    <xf numFmtId="43" fontId="3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quotePrefix="1" applyFont="1" applyBorder="1"/>
    <xf numFmtId="164" fontId="3" fillId="2" borderId="1" xfId="0" applyNumberFormat="1" applyFont="1" applyFill="1" applyBorder="1"/>
    <xf numFmtId="168" fontId="3" fillId="0" borderId="0" xfId="0" applyNumberFormat="1" applyFont="1" applyFill="1" applyBorder="1"/>
    <xf numFmtId="17" fontId="4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1" fontId="3" fillId="0" borderId="0" xfId="0" applyNumberFormat="1" applyFont="1"/>
    <xf numFmtId="43" fontId="3" fillId="0" borderId="0" xfId="1" applyNumberFormat="1" applyFont="1"/>
    <xf numFmtId="14" fontId="3" fillId="0" borderId="1" xfId="0" applyNumberFormat="1" applyFont="1" applyFill="1" applyBorder="1"/>
    <xf numFmtId="43" fontId="3" fillId="0" borderId="0" xfId="0" applyNumberFormat="1" applyFont="1"/>
    <xf numFmtId="168" fontId="3" fillId="2" borderId="0" xfId="0" applyNumberFormat="1" applyFont="1" applyFill="1"/>
    <xf numFmtId="165" fontId="3" fillId="0" borderId="1" xfId="0" quotePrefix="1" applyNumberFormat="1" applyFont="1" applyFill="1" applyBorder="1"/>
    <xf numFmtId="164" fontId="7" fillId="0" borderId="0" xfId="0" applyNumberFormat="1" applyFont="1"/>
    <xf numFmtId="8" fontId="7" fillId="0" borderId="0" xfId="0" applyNumberFormat="1" applyFont="1"/>
    <xf numFmtId="0" fontId="8" fillId="0" borderId="0" xfId="0" applyFont="1" applyAlignment="1">
      <alignment horizontal="left" vertical="center"/>
    </xf>
    <xf numFmtId="168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8" fontId="8" fillId="0" borderId="0" xfId="0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168" fontId="10" fillId="0" borderId="0" xfId="0" applyNumberFormat="1" applyFont="1" applyFill="1" applyAlignment="1">
      <alignment horizontal="left" vertical="center" indent="1"/>
    </xf>
    <xf numFmtId="0" fontId="10" fillId="0" borderId="0" xfId="0" applyFont="1" applyFill="1" applyAlignment="1">
      <alignment horizontal="left" vertical="center" indent="1"/>
    </xf>
    <xf numFmtId="17" fontId="11" fillId="0" borderId="0" xfId="0" applyNumberFormat="1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1" fontId="10" fillId="0" borderId="0" xfId="0" applyNumberFormat="1" applyFont="1" applyFill="1" applyBorder="1" applyAlignment="1">
      <alignment horizontal="left" vertical="center" indent="1"/>
    </xf>
    <xf numFmtId="8" fontId="10" fillId="0" borderId="0" xfId="0" applyNumberFormat="1" applyFont="1" applyFill="1" applyBorder="1" applyAlignment="1">
      <alignment horizontal="left" vertical="center" indent="1"/>
    </xf>
    <xf numFmtId="167" fontId="10" fillId="0" borderId="0" xfId="1" applyNumberFormat="1" applyFont="1" applyFill="1" applyBorder="1" applyAlignment="1">
      <alignment horizontal="left" vertical="center" indent="1"/>
    </xf>
    <xf numFmtId="164" fontId="10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/>
    <xf numFmtId="0" fontId="0" fillId="0" borderId="0" xfId="0" applyAlignment="1"/>
    <xf numFmtId="167" fontId="12" fillId="0" borderId="0" xfId="1" applyNumberFormat="1" applyFont="1" applyFill="1" applyBorder="1" applyAlignment="1">
      <alignment horizontal="left" vertical="center"/>
    </xf>
    <xf numFmtId="16" fontId="3" fillId="0" borderId="0" xfId="0" applyNumberFormat="1" applyFont="1"/>
    <xf numFmtId="0" fontId="13" fillId="0" borderId="6" xfId="0" applyFont="1" applyBorder="1" applyAlignment="1">
      <alignment horizontal="center" vertical="center" wrapText="1"/>
    </xf>
    <xf numFmtId="16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9" fontId="13" fillId="0" borderId="4" xfId="0" applyNumberFormat="1" applyFont="1" applyBorder="1" applyAlignment="1">
      <alignment horizontal="center"/>
    </xf>
    <xf numFmtId="0" fontId="13" fillId="0" borderId="0" xfId="0" applyFont="1"/>
    <xf numFmtId="0" fontId="0" fillId="0" borderId="4" xfId="0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/>
    </xf>
    <xf numFmtId="169" fontId="0" fillId="3" borderId="4" xfId="0" applyNumberFormat="1" applyFill="1" applyBorder="1" applyAlignment="1">
      <alignment horizontal="center" vertical="center"/>
    </xf>
    <xf numFmtId="44" fontId="13" fillId="0" borderId="3" xfId="3" applyFont="1" applyBorder="1" applyAlignment="1">
      <alignment horizontal="center" vertical="center" wrapText="1"/>
    </xf>
    <xf numFmtId="44" fontId="0" fillId="0" borderId="0" xfId="3" applyFont="1" applyBorder="1" applyAlignment="1">
      <alignment horizontal="center" vertical="center"/>
    </xf>
    <xf numFmtId="44" fontId="0" fillId="0" borderId="0" xfId="3" applyFont="1" applyBorder="1"/>
    <xf numFmtId="167" fontId="13" fillId="0" borderId="3" xfId="1" applyNumberFormat="1" applyFont="1" applyBorder="1" applyAlignment="1">
      <alignment horizontal="center" vertical="center" wrapText="1"/>
    </xf>
    <xf numFmtId="167" fontId="0" fillId="0" borderId="0" xfId="1" applyNumberFormat="1" applyFont="1" applyBorder="1" applyAlignment="1">
      <alignment horizontal="center" vertical="center"/>
    </xf>
    <xf numFmtId="167" fontId="13" fillId="0" borderId="0" xfId="1" applyNumberFormat="1" applyFont="1" applyBorder="1" applyAlignment="1">
      <alignment horizontal="center" vertical="center"/>
    </xf>
    <xf numFmtId="167" fontId="0" fillId="0" borderId="0" xfId="1" applyNumberFormat="1" applyFont="1" applyBorder="1"/>
    <xf numFmtId="167" fontId="0" fillId="3" borderId="0" xfId="1" applyNumberFormat="1" applyFont="1" applyFill="1" applyBorder="1" applyAlignment="1">
      <alignment horizontal="center" vertical="center"/>
    </xf>
    <xf numFmtId="167" fontId="0" fillId="0" borderId="5" xfId="1" applyNumberFormat="1" applyFont="1" applyBorder="1" applyAlignment="1">
      <alignment horizontal="center" vertical="center"/>
    </xf>
    <xf numFmtId="167" fontId="0" fillId="3" borderId="5" xfId="1" applyNumberFormat="1" applyFont="1" applyFill="1" applyBorder="1" applyAlignment="1">
      <alignment horizontal="center" vertical="center"/>
    </xf>
    <xf numFmtId="167" fontId="0" fillId="0" borderId="5" xfId="1" applyNumberFormat="1" applyFont="1" applyBorder="1"/>
    <xf numFmtId="167" fontId="13" fillId="0" borderId="0" xfId="1" applyNumberFormat="1" applyFont="1"/>
    <xf numFmtId="44" fontId="13" fillId="0" borderId="3" xfId="3" applyNumberFormat="1" applyFont="1" applyBorder="1" applyAlignment="1">
      <alignment horizontal="center" vertical="center" wrapText="1"/>
    </xf>
    <xf numFmtId="44" fontId="0" fillId="0" borderId="0" xfId="3" applyNumberFormat="1" applyFont="1" applyBorder="1" applyAlignment="1">
      <alignment horizontal="center" vertical="center"/>
    </xf>
    <xf numFmtId="44" fontId="13" fillId="0" borderId="0" xfId="3" applyNumberFormat="1" applyFont="1"/>
    <xf numFmtId="44" fontId="13" fillId="0" borderId="7" xfId="3" applyNumberFormat="1" applyFont="1" applyBorder="1" applyAlignment="1">
      <alignment horizontal="center" vertical="center" wrapText="1"/>
    </xf>
    <xf numFmtId="44" fontId="0" fillId="0" borderId="5" xfId="3" applyNumberFormat="1" applyFont="1" applyBorder="1" applyAlignment="1">
      <alignment horizontal="center" vertical="center"/>
    </xf>
    <xf numFmtId="44" fontId="0" fillId="3" borderId="5" xfId="3" applyNumberFormat="1" applyFont="1" applyFill="1" applyBorder="1" applyAlignment="1">
      <alignment horizontal="center" vertical="center"/>
    </xf>
    <xf numFmtId="44" fontId="13" fillId="0" borderId="5" xfId="3" applyNumberFormat="1" applyFont="1" applyBorder="1"/>
    <xf numFmtId="167" fontId="0" fillId="0" borderId="1" xfId="1" applyNumberFormat="1" applyFont="1" applyBorder="1" applyAlignment="1">
      <alignment horizontal="center" vertical="center"/>
    </xf>
    <xf numFmtId="44" fontId="0" fillId="0" borderId="1" xfId="3" applyNumberFormat="1" applyFont="1" applyBorder="1" applyAlignment="1">
      <alignment horizontal="center" vertical="center"/>
    </xf>
    <xf numFmtId="44" fontId="0" fillId="0" borderId="9" xfId="3" applyNumberFormat="1" applyFont="1" applyBorder="1" applyAlignment="1">
      <alignment horizontal="center" vertical="center"/>
    </xf>
    <xf numFmtId="169" fontId="0" fillId="0" borderId="8" xfId="0" applyNumberFormat="1" applyBorder="1" applyAlignment="1">
      <alignment horizontal="center"/>
    </xf>
    <xf numFmtId="166" fontId="0" fillId="0" borderId="0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3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/>
    <xf numFmtId="166" fontId="0" fillId="4" borderId="0" xfId="1" applyNumberFormat="1" applyFont="1" applyFill="1" applyBorder="1" applyAlignment="1">
      <alignment horizontal="center" vertical="center"/>
    </xf>
    <xf numFmtId="167" fontId="0" fillId="4" borderId="0" xfId="1" applyNumberFormat="1" applyFont="1" applyFill="1" applyBorder="1" applyAlignment="1">
      <alignment horizontal="center" vertical="center"/>
    </xf>
    <xf numFmtId="44" fontId="0" fillId="4" borderId="5" xfId="3" applyNumberFormat="1" applyFont="1" applyFill="1" applyBorder="1" applyAlignment="1">
      <alignment horizontal="center" vertical="center"/>
    </xf>
    <xf numFmtId="167" fontId="0" fillId="4" borderId="5" xfId="1" applyNumberFormat="1" applyFont="1" applyFill="1" applyBorder="1" applyAlignment="1">
      <alignment horizontal="center" vertical="center"/>
    </xf>
    <xf numFmtId="0" fontId="14" fillId="0" borderId="0" xfId="0" applyFont="1" applyFill="1"/>
    <xf numFmtId="167" fontId="0" fillId="0" borderId="0" xfId="1" applyNumberFormat="1" applyFont="1" applyBorder="1" applyAlignment="1">
      <alignment horizontal="left" vertical="center"/>
    </xf>
    <xf numFmtId="43" fontId="7" fillId="0" borderId="0" xfId="1" applyNumberFormat="1" applyFont="1" applyFill="1" applyBorder="1"/>
    <xf numFmtId="0" fontId="2" fillId="0" borderId="0" xfId="0" applyFont="1" applyFill="1" applyBorder="1" applyAlignment="1">
      <alignment horizontal="left" vertical="center" indent="1"/>
    </xf>
    <xf numFmtId="167" fontId="0" fillId="0" borderId="0" xfId="1" applyNumberFormat="1" applyFont="1" applyFill="1" applyBorder="1" applyAlignment="1">
      <alignment horizontal="center" vertical="center"/>
    </xf>
    <xf numFmtId="167" fontId="0" fillId="0" borderId="1" xfId="1" applyNumberFormat="1" applyFont="1" applyFill="1" applyBorder="1" applyAlignment="1">
      <alignment horizontal="center" vertical="center"/>
    </xf>
    <xf numFmtId="169" fontId="13" fillId="0" borderId="4" xfId="0" applyNumberFormat="1" applyFont="1" applyBorder="1" applyAlignment="1">
      <alignment horizontal="left"/>
    </xf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0" fontId="3" fillId="2" borderId="0" xfId="0" applyFont="1" applyFill="1" applyAlignment="1"/>
    <xf numFmtId="167" fontId="3" fillId="2" borderId="0" xfId="1" applyNumberFormat="1" applyFont="1" applyFill="1" applyBorder="1"/>
    <xf numFmtId="170" fontId="3" fillId="2" borderId="1" xfId="0" applyNumberFormat="1" applyFont="1" applyFill="1" applyBorder="1"/>
    <xf numFmtId="43" fontId="3" fillId="2" borderId="3" xfId="1" applyNumberFormat="1" applyFont="1" applyFill="1" applyBorder="1"/>
    <xf numFmtId="44" fontId="0" fillId="3" borderId="0" xfId="3" applyFont="1" applyFill="1" applyBorder="1" applyAlignment="1">
      <alignment horizontal="center" vertical="center"/>
    </xf>
    <xf numFmtId="44" fontId="0" fillId="3" borderId="0" xfId="3" applyNumberFormat="1" applyFont="1" applyFill="1" applyBorder="1" applyAlignment="1">
      <alignment horizontal="center" vertical="center"/>
    </xf>
    <xf numFmtId="167" fontId="13" fillId="3" borderId="3" xfId="1" applyNumberFormat="1" applyFont="1" applyFill="1" applyBorder="1" applyAlignment="1">
      <alignment horizontal="center" vertical="center" wrapText="1"/>
    </xf>
    <xf numFmtId="167" fontId="13" fillId="3" borderId="7" xfId="1" applyNumberFormat="1" applyFont="1" applyFill="1" applyBorder="1" applyAlignment="1">
      <alignment horizontal="center" vertical="center" wrapText="1"/>
    </xf>
    <xf numFmtId="166" fontId="13" fillId="3" borderId="3" xfId="1" applyNumberFormat="1" applyFont="1" applyFill="1" applyBorder="1" applyAlignment="1">
      <alignment horizontal="center" vertical="center" wrapText="1"/>
    </xf>
    <xf numFmtId="169" fontId="0" fillId="0" borderId="4" xfId="0" applyNumberFormat="1" applyFill="1" applyBorder="1" applyAlignment="1">
      <alignment horizontal="center"/>
    </xf>
    <xf numFmtId="44" fontId="0" fillId="0" borderId="0" xfId="3" applyFont="1" applyFill="1" applyBorder="1" applyAlignment="1">
      <alignment horizontal="center" vertical="center"/>
    </xf>
    <xf numFmtId="167" fontId="0" fillId="0" borderId="5" xfId="1" applyNumberFormat="1" applyFont="1" applyFill="1" applyBorder="1" applyAlignment="1">
      <alignment horizontal="center" vertical="center"/>
    </xf>
    <xf numFmtId="169" fontId="0" fillId="0" borderId="4" xfId="0" applyNumberFormat="1" applyFill="1" applyBorder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 vertical="center"/>
    </xf>
    <xf numFmtId="44" fontId="0" fillId="0" borderId="0" xfId="3" applyNumberFormat="1" applyFont="1" applyFill="1" applyBorder="1" applyAlignment="1">
      <alignment horizontal="center" vertical="center"/>
    </xf>
    <xf numFmtId="44" fontId="0" fillId="0" borderId="5" xfId="3" applyNumberFormat="1" applyFont="1" applyFill="1" applyBorder="1" applyAlignment="1">
      <alignment horizontal="center" vertical="center"/>
    </xf>
    <xf numFmtId="0" fontId="0" fillId="0" borderId="0" xfId="0" applyFill="1"/>
    <xf numFmtId="170" fontId="3" fillId="2" borderId="0" xfId="0" applyNumberFormat="1" applyFont="1" applyFill="1"/>
    <xf numFmtId="37" fontId="3" fillId="2" borderId="1" xfId="0" applyNumberFormat="1" applyFont="1" applyFill="1" applyBorder="1"/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3" fillId="0" borderId="0" xfId="0" applyFont="1" applyFill="1"/>
    <xf numFmtId="171" fontId="13" fillId="3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/>
    <xf numFmtId="39" fontId="3" fillId="0" borderId="0" xfId="0" applyNumberFormat="1" applyFont="1"/>
    <xf numFmtId="39" fontId="3" fillId="0" borderId="1" xfId="0" applyNumberFormat="1" applyFont="1" applyBorder="1"/>
    <xf numFmtId="172" fontId="3" fillId="0" borderId="0" xfId="0" applyNumberFormat="1" applyFont="1"/>
    <xf numFmtId="172" fontId="3" fillId="2" borderId="0" xfId="0" applyNumberFormat="1" applyFont="1" applyFill="1"/>
    <xf numFmtId="172" fontId="3" fillId="2" borderId="1" xfId="0" applyNumberFormat="1" applyFont="1" applyFill="1" applyBorder="1"/>
    <xf numFmtId="172" fontId="3" fillId="0" borderId="1" xfId="0" applyNumberFormat="1" applyFont="1" applyBorder="1" applyAlignment="1">
      <alignment horizontal="center"/>
    </xf>
    <xf numFmtId="0" fontId="16" fillId="0" borderId="0" xfId="0" applyFont="1"/>
    <xf numFmtId="167" fontId="1" fillId="3" borderId="0" xfId="1" applyNumberFormat="1" applyFont="1" applyFill="1" applyBorder="1" applyAlignment="1">
      <alignment horizontal="left" vertical="center"/>
    </xf>
    <xf numFmtId="43" fontId="3" fillId="0" borderId="1" xfId="1" applyFont="1" applyBorder="1"/>
    <xf numFmtId="173" fontId="3" fillId="0" borderId="0" xfId="0" applyNumberFormat="1" applyFont="1"/>
    <xf numFmtId="169" fontId="0" fillId="5" borderId="4" xfId="0" applyNumberFormat="1" applyFill="1" applyBorder="1" applyAlignment="1">
      <alignment horizontal="center"/>
    </xf>
    <xf numFmtId="167" fontId="0" fillId="5" borderId="0" xfId="1" applyNumberFormat="1" applyFont="1" applyFill="1" applyBorder="1" applyAlignment="1">
      <alignment horizontal="center" vertical="center"/>
    </xf>
    <xf numFmtId="44" fontId="0" fillId="5" borderId="0" xfId="3" applyFont="1" applyFill="1" applyBorder="1" applyAlignment="1">
      <alignment horizontal="center" vertical="center"/>
    </xf>
    <xf numFmtId="167" fontId="0" fillId="5" borderId="5" xfId="1" applyNumberFormat="1" applyFont="1" applyFill="1" applyBorder="1" applyAlignment="1">
      <alignment horizontal="center" vertical="center"/>
    </xf>
    <xf numFmtId="169" fontId="0" fillId="5" borderId="4" xfId="0" applyNumberFormat="1" applyFill="1" applyBorder="1" applyAlignment="1">
      <alignment horizontal="center" vertical="center"/>
    </xf>
    <xf numFmtId="166" fontId="0" fillId="5" borderId="0" xfId="1" applyNumberFormat="1" applyFont="1" applyFill="1" applyBorder="1" applyAlignment="1">
      <alignment horizontal="center" vertical="center"/>
    </xf>
    <xf numFmtId="44" fontId="0" fillId="5" borderId="0" xfId="3" applyNumberFormat="1" applyFont="1" applyFill="1" applyBorder="1" applyAlignment="1">
      <alignment horizontal="center" vertical="center"/>
    </xf>
    <xf numFmtId="44" fontId="0" fillId="5" borderId="5" xfId="3" applyNumberFormat="1" applyFont="1" applyFill="1" applyBorder="1" applyAlignment="1">
      <alignment horizontal="center" vertical="center"/>
    </xf>
    <xf numFmtId="0" fontId="0" fillId="5" borderId="0" xfId="0" applyFill="1"/>
    <xf numFmtId="0" fontId="0" fillId="3" borderId="0" xfId="0" applyFill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4:K48"/>
  <sheetViews>
    <sheetView topLeftCell="A40" workbookViewId="0">
      <selection activeCell="F9" sqref="F9"/>
    </sheetView>
  </sheetViews>
  <sheetFormatPr defaultColWidth="9.140625" defaultRowHeight="15" x14ac:dyDescent="0.2"/>
  <cols>
    <col min="1" max="4" width="9.140625" style="1"/>
    <col min="5" max="5" width="13.7109375" style="1" customWidth="1"/>
    <col min="6" max="6" width="22.28515625" style="1" bestFit="1" customWidth="1"/>
    <col min="7" max="7" width="11.42578125" style="1" customWidth="1"/>
    <col min="8" max="8" width="4.28515625" style="1" customWidth="1"/>
    <col min="9" max="9" width="15.5703125" style="1" customWidth="1"/>
    <col min="10" max="10" width="12.42578125" style="1" bestFit="1" customWidth="1"/>
    <col min="11" max="11" width="11.28515625" style="1" customWidth="1"/>
    <col min="12" max="16384" width="9.140625" style="1"/>
  </cols>
  <sheetData>
    <row r="4" spans="1:11" x14ac:dyDescent="0.2">
      <c r="A4" s="176" t="s">
        <v>0</v>
      </c>
      <c r="B4" s="176"/>
      <c r="C4" s="176"/>
      <c r="D4" s="176"/>
      <c r="E4" s="176"/>
      <c r="F4" s="176"/>
      <c r="G4" s="176"/>
      <c r="H4" s="176"/>
      <c r="I4" s="176"/>
    </row>
    <row r="6" spans="1:11" x14ac:dyDescent="0.2">
      <c r="A6" s="177" t="s">
        <v>1</v>
      </c>
      <c r="B6" s="177"/>
      <c r="C6" s="177"/>
      <c r="D6" s="177"/>
      <c r="E6" s="177"/>
      <c r="F6" s="177"/>
      <c r="G6" s="177"/>
      <c r="H6" s="177"/>
      <c r="I6" s="177"/>
    </row>
    <row r="8" spans="1:11" x14ac:dyDescent="0.2">
      <c r="A8" s="2" t="s">
        <v>2</v>
      </c>
      <c r="G8" s="3" t="s">
        <v>3</v>
      </c>
      <c r="I8" s="3" t="s">
        <v>4</v>
      </c>
    </row>
    <row r="9" spans="1:11" x14ac:dyDescent="0.2">
      <c r="I9" s="162"/>
    </row>
    <row r="10" spans="1:11" x14ac:dyDescent="0.2">
      <c r="A10" s="1" t="s">
        <v>70</v>
      </c>
      <c r="G10" s="4" t="s">
        <v>5</v>
      </c>
      <c r="I10" s="5">
        <f>I24</f>
        <v>3.7262</v>
      </c>
      <c r="K10" s="5"/>
    </row>
    <row r="11" spans="1:11" x14ac:dyDescent="0.2">
      <c r="A11" s="1" t="s">
        <v>6</v>
      </c>
      <c r="G11" s="4" t="s">
        <v>5</v>
      </c>
      <c r="I11" s="5">
        <f>I32</f>
        <v>0</v>
      </c>
      <c r="K11" s="5"/>
    </row>
    <row r="12" spans="1:11" x14ac:dyDescent="0.2">
      <c r="A12" s="1" t="s">
        <v>7</v>
      </c>
      <c r="G12" s="4" t="s">
        <v>5</v>
      </c>
      <c r="I12" s="5">
        <f>I40</f>
        <v>-0.59330000000000005</v>
      </c>
    </row>
    <row r="13" spans="1:11" x14ac:dyDescent="0.2">
      <c r="A13" s="6" t="s">
        <v>8</v>
      </c>
      <c r="B13" s="6"/>
      <c r="C13" s="6"/>
      <c r="D13" s="6"/>
      <c r="E13" s="6"/>
      <c r="F13" s="6"/>
      <c r="G13" s="7" t="s">
        <v>5</v>
      </c>
      <c r="H13" s="6"/>
      <c r="I13" s="8">
        <f>I48</f>
        <v>0</v>
      </c>
      <c r="K13" s="5"/>
    </row>
    <row r="14" spans="1:11" x14ac:dyDescent="0.2">
      <c r="A14" s="1" t="s">
        <v>9</v>
      </c>
      <c r="G14" s="4" t="s">
        <v>5</v>
      </c>
      <c r="I14" s="5">
        <f>ROUND(SUM(I10:I13),4)</f>
        <v>3.1328999999999998</v>
      </c>
      <c r="K14" s="5"/>
    </row>
    <row r="16" spans="1:11" x14ac:dyDescent="0.2">
      <c r="A16" s="1" t="s">
        <v>71</v>
      </c>
      <c r="F16" s="54">
        <v>44013</v>
      </c>
      <c r="K16" s="79"/>
    </row>
    <row r="17" spans="1:9" x14ac:dyDescent="0.2">
      <c r="A17" s="1" t="s">
        <v>90</v>
      </c>
      <c r="F17" s="54">
        <v>43921</v>
      </c>
    </row>
    <row r="18" spans="1:9" ht="15.75" thickBo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5.75" thickTop="1" x14ac:dyDescent="0.2"/>
    <row r="20" spans="1:9" x14ac:dyDescent="0.2">
      <c r="A20" s="1" t="s">
        <v>10</v>
      </c>
      <c r="G20" s="3" t="s">
        <v>3</v>
      </c>
      <c r="I20" s="3" t="s">
        <v>4</v>
      </c>
    </row>
    <row r="22" spans="1:9" x14ac:dyDescent="0.2">
      <c r="A22" s="1" t="s">
        <v>11</v>
      </c>
      <c r="G22" s="4" t="s">
        <v>5</v>
      </c>
      <c r="I22" s="11">
        <f>'Schedule II'!$F$35</f>
        <v>107332.67475728155</v>
      </c>
    </row>
    <row r="23" spans="1:9" x14ac:dyDescent="0.2">
      <c r="A23" s="12" t="s">
        <v>69</v>
      </c>
      <c r="B23" s="6"/>
      <c r="C23" s="6"/>
      <c r="D23" s="6"/>
      <c r="E23" s="6"/>
      <c r="F23" s="6"/>
      <c r="G23" s="7" t="s">
        <v>5</v>
      </c>
      <c r="H23" s="6"/>
      <c r="I23" s="164">
        <f>'Schedule II'!$B$28</f>
        <v>28805</v>
      </c>
    </row>
    <row r="24" spans="1:9" x14ac:dyDescent="0.2">
      <c r="A24" s="1" t="s">
        <v>12</v>
      </c>
      <c r="G24" s="4" t="s">
        <v>5</v>
      </c>
      <c r="I24" s="5">
        <f>ROUND(I22/I23,4)</f>
        <v>3.7262</v>
      </c>
    </row>
    <row r="25" spans="1:9" x14ac:dyDescent="0.2">
      <c r="G25" s="4"/>
    </row>
    <row r="26" spans="1:9" x14ac:dyDescent="0.2">
      <c r="A26" s="1" t="s">
        <v>13</v>
      </c>
      <c r="G26" s="3" t="s">
        <v>3</v>
      </c>
      <c r="I26" s="3" t="s">
        <v>4</v>
      </c>
    </row>
    <row r="28" spans="1:9" x14ac:dyDescent="0.2">
      <c r="A28" s="1" t="s">
        <v>14</v>
      </c>
      <c r="G28" s="4" t="s">
        <v>5</v>
      </c>
      <c r="I28" s="158">
        <v>0</v>
      </c>
    </row>
    <row r="29" spans="1:9" x14ac:dyDescent="0.2">
      <c r="A29" s="13" t="s">
        <v>15</v>
      </c>
      <c r="G29" s="4" t="s">
        <v>5</v>
      </c>
      <c r="I29" s="159">
        <v>0</v>
      </c>
    </row>
    <row r="30" spans="1:9" x14ac:dyDescent="0.2">
      <c r="A30" s="13" t="s">
        <v>16</v>
      </c>
      <c r="G30" s="4" t="s">
        <v>5</v>
      </c>
      <c r="I30" s="159">
        <v>0</v>
      </c>
    </row>
    <row r="31" spans="1:9" x14ac:dyDescent="0.2">
      <c r="A31" s="12" t="s">
        <v>17</v>
      </c>
      <c r="B31" s="6"/>
      <c r="C31" s="6"/>
      <c r="D31" s="6"/>
      <c r="E31" s="6"/>
      <c r="F31" s="6"/>
      <c r="G31" s="7" t="s">
        <v>5</v>
      </c>
      <c r="H31" s="6"/>
      <c r="I31" s="160">
        <v>0</v>
      </c>
    </row>
    <row r="32" spans="1:9" x14ac:dyDescent="0.2">
      <c r="A32" s="13" t="s">
        <v>18</v>
      </c>
      <c r="G32" s="4" t="s">
        <v>19</v>
      </c>
      <c r="I32" s="158">
        <f>ROUND(SUM(I28:I31),4)</f>
        <v>0</v>
      </c>
    </row>
    <row r="33" spans="1:9" x14ac:dyDescent="0.2">
      <c r="I33" s="158"/>
    </row>
    <row r="34" spans="1:9" x14ac:dyDescent="0.2">
      <c r="A34" s="1" t="s">
        <v>20</v>
      </c>
      <c r="G34" s="3" t="s">
        <v>3</v>
      </c>
      <c r="I34" s="161" t="s">
        <v>4</v>
      </c>
    </row>
    <row r="35" spans="1:9" x14ac:dyDescent="0.2">
      <c r="I35" s="158"/>
    </row>
    <row r="36" spans="1:9" x14ac:dyDescent="0.2">
      <c r="A36" s="1" t="s">
        <v>21</v>
      </c>
      <c r="G36" s="4" t="s">
        <v>5</v>
      </c>
      <c r="I36" s="158">
        <f>'Schedule IV'!$C$33</f>
        <v>-0.85271116819996517</v>
      </c>
    </row>
    <row r="37" spans="1:9" x14ac:dyDescent="0.2">
      <c r="A37" s="13" t="s">
        <v>22</v>
      </c>
      <c r="G37" s="4" t="s">
        <v>5</v>
      </c>
      <c r="I37" s="159">
        <v>-8.7900000000000006E-2</v>
      </c>
    </row>
    <row r="38" spans="1:9" x14ac:dyDescent="0.2">
      <c r="A38" s="13" t="s">
        <v>23</v>
      </c>
      <c r="G38" s="4" t="s">
        <v>5</v>
      </c>
      <c r="I38" s="159">
        <v>0.29339999999999999</v>
      </c>
    </row>
    <row r="39" spans="1:9" x14ac:dyDescent="0.2">
      <c r="A39" s="12" t="s">
        <v>24</v>
      </c>
      <c r="B39" s="6"/>
      <c r="C39" s="6"/>
      <c r="D39" s="6"/>
      <c r="E39" s="6"/>
      <c r="F39" s="6"/>
      <c r="G39" s="7" t="s">
        <v>5</v>
      </c>
      <c r="H39" s="6"/>
      <c r="I39" s="160">
        <v>5.3900000000000003E-2</v>
      </c>
    </row>
    <row r="40" spans="1:9" x14ac:dyDescent="0.2">
      <c r="A40" s="13" t="s">
        <v>25</v>
      </c>
      <c r="G40" s="4" t="s">
        <v>19</v>
      </c>
      <c r="I40" s="158">
        <f>ROUND(SUM(I36:I39),4)</f>
        <v>-0.59330000000000005</v>
      </c>
    </row>
    <row r="41" spans="1:9" x14ac:dyDescent="0.2">
      <c r="I41" s="158"/>
    </row>
    <row r="42" spans="1:9" x14ac:dyDescent="0.2">
      <c r="A42" s="1" t="s">
        <v>26</v>
      </c>
      <c r="G42" s="3" t="s">
        <v>3</v>
      </c>
      <c r="I42" s="161" t="s">
        <v>4</v>
      </c>
    </row>
    <row r="43" spans="1:9" x14ac:dyDescent="0.2">
      <c r="I43" s="158"/>
    </row>
    <row r="44" spans="1:9" x14ac:dyDescent="0.2">
      <c r="A44" s="1" t="s">
        <v>27</v>
      </c>
      <c r="G44" s="4" t="s">
        <v>5</v>
      </c>
      <c r="I44" s="158">
        <v>0</v>
      </c>
    </row>
    <row r="45" spans="1:9" x14ac:dyDescent="0.2">
      <c r="A45" s="13" t="s">
        <v>28</v>
      </c>
      <c r="G45" s="4" t="s">
        <v>5</v>
      </c>
      <c r="I45" s="159">
        <v>0</v>
      </c>
    </row>
    <row r="46" spans="1:9" x14ac:dyDescent="0.2">
      <c r="A46" s="13" t="s">
        <v>29</v>
      </c>
      <c r="G46" s="4" t="s">
        <v>5</v>
      </c>
      <c r="I46" s="159">
        <v>0</v>
      </c>
    </row>
    <row r="47" spans="1:9" x14ac:dyDescent="0.2">
      <c r="A47" s="12" t="s">
        <v>30</v>
      </c>
      <c r="B47" s="6"/>
      <c r="C47" s="6"/>
      <c r="D47" s="6"/>
      <c r="E47" s="6"/>
      <c r="F47" s="6"/>
      <c r="G47" s="7" t="s">
        <v>5</v>
      </c>
      <c r="H47" s="6"/>
      <c r="I47" s="160">
        <v>0</v>
      </c>
    </row>
    <row r="48" spans="1:9" x14ac:dyDescent="0.2">
      <c r="A48" s="13" t="s">
        <v>31</v>
      </c>
      <c r="G48" s="4" t="s">
        <v>19</v>
      </c>
      <c r="I48" s="158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4:I59"/>
  <sheetViews>
    <sheetView topLeftCell="A19" workbookViewId="0">
      <selection activeCell="B28" sqref="B28"/>
    </sheetView>
  </sheetViews>
  <sheetFormatPr defaultColWidth="9.140625" defaultRowHeight="15" x14ac:dyDescent="0.2"/>
  <cols>
    <col min="1" max="1" width="30.85546875" style="1" customWidth="1"/>
    <col min="2" max="2" width="13.5703125" style="1" customWidth="1"/>
    <col min="3" max="3" width="22.7109375" style="1" customWidth="1"/>
    <col min="4" max="4" width="12.85546875" style="1" bestFit="1" customWidth="1"/>
    <col min="5" max="5" width="17.5703125" style="1" bestFit="1" customWidth="1"/>
    <col min="6" max="6" width="15.5703125" style="1" customWidth="1"/>
    <col min="7" max="7" width="9.140625" style="1"/>
    <col min="8" max="8" width="12.85546875" style="1" bestFit="1" customWidth="1"/>
    <col min="9" max="9" width="12.42578125" style="1" customWidth="1"/>
    <col min="10" max="16384" width="9.140625" style="1"/>
  </cols>
  <sheetData>
    <row r="4" spans="1:9" x14ac:dyDescent="0.2">
      <c r="A4" s="176" t="s">
        <v>32</v>
      </c>
      <c r="B4" s="176"/>
      <c r="C4" s="176"/>
      <c r="D4" s="176"/>
      <c r="E4" s="176"/>
      <c r="F4" s="176"/>
    </row>
    <row r="6" spans="1:9" x14ac:dyDescent="0.2">
      <c r="A6" s="176" t="s">
        <v>33</v>
      </c>
      <c r="B6" s="176"/>
      <c r="C6" s="176"/>
      <c r="D6" s="176"/>
      <c r="E6" s="176"/>
      <c r="F6" s="176"/>
    </row>
    <row r="8" spans="1:9" ht="15.75" x14ac:dyDescent="0.25">
      <c r="H8" s="178" t="s">
        <v>114</v>
      </c>
      <c r="I8" s="178"/>
    </row>
    <row r="9" spans="1:9" x14ac:dyDescent="0.2">
      <c r="A9" s="1" t="s">
        <v>34</v>
      </c>
      <c r="C9" s="55">
        <f>'Schedule I'!F17</f>
        <v>43921</v>
      </c>
      <c r="H9" s="1" t="s">
        <v>113</v>
      </c>
    </row>
    <row r="10" spans="1:9" x14ac:dyDescent="0.2">
      <c r="H10" s="128">
        <v>3.7442000000000002</v>
      </c>
      <c r="I10" s="165">
        <f>'Schedule I'!F16</f>
        <v>44013</v>
      </c>
    </row>
    <row r="11" spans="1:9" x14ac:dyDescent="0.2">
      <c r="A11" s="4" t="s">
        <v>35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H11" s="148">
        <v>3.8429000000000002</v>
      </c>
      <c r="I11" s="165">
        <f>EDATE(I10,1)</f>
        <v>44044</v>
      </c>
    </row>
    <row r="12" spans="1:9" x14ac:dyDescent="0.2">
      <c r="A12" s="42"/>
      <c r="B12" s="42"/>
      <c r="C12" s="42" t="s">
        <v>41</v>
      </c>
      <c r="D12" s="42"/>
      <c r="E12" s="42"/>
      <c r="F12" s="4" t="s">
        <v>42</v>
      </c>
      <c r="H12" s="133">
        <v>4.0438000000000001</v>
      </c>
      <c r="I12" s="165">
        <f>EDATE(I11,1)</f>
        <v>44075</v>
      </c>
    </row>
    <row r="13" spans="1:9" x14ac:dyDescent="0.2">
      <c r="A13" s="3" t="s">
        <v>43</v>
      </c>
      <c r="B13" s="3" t="s">
        <v>75</v>
      </c>
      <c r="C13" s="3" t="s">
        <v>44</v>
      </c>
      <c r="D13" s="3" t="s">
        <v>45</v>
      </c>
      <c r="E13" s="3" t="s">
        <v>74</v>
      </c>
      <c r="F13" s="3" t="s">
        <v>46</v>
      </c>
      <c r="H13" s="1">
        <f>ROUND(AVERAGE(H10:H12),4)</f>
        <v>3.8769999999999998</v>
      </c>
    </row>
    <row r="14" spans="1:9" x14ac:dyDescent="0.2">
      <c r="A14" s="128" t="s">
        <v>73</v>
      </c>
      <c r="B14" s="155">
        <f>Data!L43</f>
        <v>43858</v>
      </c>
      <c r="C14" s="26">
        <v>1.03</v>
      </c>
      <c r="D14" s="31">
        <f>SUM(B14/C14)</f>
        <v>42580.582524271842</v>
      </c>
      <c r="E14" s="37">
        <f>H13</f>
        <v>3.8769999999999998</v>
      </c>
      <c r="F14" s="156">
        <f>SUM(D14*E14)</f>
        <v>165084.91844660192</v>
      </c>
    </row>
    <row r="15" spans="1:9" x14ac:dyDescent="0.2">
      <c r="A15" s="128" t="s">
        <v>76</v>
      </c>
      <c r="B15" s="155">
        <f>(Data!H42)*-1</f>
        <v>-8766</v>
      </c>
      <c r="C15" s="26">
        <v>1.03</v>
      </c>
      <c r="D15" s="31">
        <f>SUM(B15/C15)</f>
        <v>-8510.6796116504847</v>
      </c>
      <c r="E15" s="37">
        <f>E14</f>
        <v>3.8769999999999998</v>
      </c>
      <c r="F15" s="156">
        <f t="shared" ref="F15:F20" si="0">E15*D15</f>
        <v>-32995.904854368928</v>
      </c>
    </row>
    <row r="16" spans="1:9" x14ac:dyDescent="0.2">
      <c r="A16" s="128" t="s">
        <v>77</v>
      </c>
      <c r="B16" s="129">
        <v>-6577</v>
      </c>
      <c r="C16" s="26">
        <v>1.03</v>
      </c>
      <c r="D16" s="31">
        <f>SUM(B16/C16)</f>
        <v>-6385.4368932038833</v>
      </c>
      <c r="E16" s="37">
        <f>E15</f>
        <v>3.8769999999999998</v>
      </c>
      <c r="F16" s="156">
        <f t="shared" si="0"/>
        <v>-24756.338834951453</v>
      </c>
    </row>
    <row r="17" spans="1:8" x14ac:dyDescent="0.2">
      <c r="A17" s="128"/>
      <c r="B17" s="128"/>
      <c r="C17" s="128"/>
      <c r="D17" s="129"/>
      <c r="E17" s="130"/>
      <c r="F17" s="156">
        <f t="shared" si="0"/>
        <v>0</v>
      </c>
    </row>
    <row r="18" spans="1:8" x14ac:dyDescent="0.2">
      <c r="A18" s="128"/>
      <c r="B18" s="128"/>
      <c r="C18" s="128"/>
      <c r="D18" s="129"/>
      <c r="E18" s="130"/>
      <c r="F18" s="156">
        <f t="shared" si="0"/>
        <v>0</v>
      </c>
      <c r="H18" s="53"/>
    </row>
    <row r="19" spans="1:8" x14ac:dyDescent="0.2">
      <c r="A19" s="128"/>
      <c r="B19" s="128"/>
      <c r="C19" s="128"/>
      <c r="D19" s="129"/>
      <c r="E19" s="130"/>
      <c r="F19" s="156">
        <f t="shared" si="0"/>
        <v>0</v>
      </c>
    </row>
    <row r="20" spans="1:8" x14ac:dyDescent="0.2">
      <c r="A20" s="128"/>
      <c r="B20" s="128"/>
      <c r="C20" s="128"/>
      <c r="D20" s="129"/>
      <c r="E20" s="130"/>
      <c r="F20" s="156">
        <f t="shared" si="0"/>
        <v>0</v>
      </c>
    </row>
    <row r="21" spans="1:8" x14ac:dyDescent="0.2">
      <c r="D21" s="14"/>
      <c r="F21" s="156"/>
      <c r="H21" s="53"/>
    </row>
    <row r="22" spans="1:8" x14ac:dyDescent="0.2">
      <c r="D22" s="14"/>
      <c r="F22" s="156"/>
      <c r="H22" s="53"/>
    </row>
    <row r="23" spans="1:8" x14ac:dyDescent="0.2">
      <c r="D23" s="14"/>
      <c r="F23" s="156"/>
      <c r="H23" s="53"/>
    </row>
    <row r="24" spans="1:8" x14ac:dyDescent="0.2">
      <c r="A24" s="6"/>
      <c r="B24" s="6"/>
      <c r="C24" s="6"/>
      <c r="D24" s="15"/>
      <c r="E24" s="6"/>
      <c r="F24" s="157"/>
    </row>
    <row r="25" spans="1:8" x14ac:dyDescent="0.2">
      <c r="A25" s="1" t="s">
        <v>47</v>
      </c>
      <c r="D25" s="51">
        <f>SUM(D14:D24)</f>
        <v>27684.466019417472</v>
      </c>
      <c r="F25" s="11">
        <f>SUM(F14:F24)</f>
        <v>107332.67475728155</v>
      </c>
    </row>
    <row r="27" spans="1:8" x14ac:dyDescent="0.2">
      <c r="A27" s="1" t="s">
        <v>48</v>
      </c>
      <c r="B27" s="52">
        <f>C9</f>
        <v>43921</v>
      </c>
      <c r="C27" s="1" t="s">
        <v>49</v>
      </c>
      <c r="E27" s="40">
        <f>D25</f>
        <v>27684.466019417472</v>
      </c>
    </row>
    <row r="28" spans="1:8" x14ac:dyDescent="0.2">
      <c r="A28" s="1" t="s">
        <v>50</v>
      </c>
      <c r="B28" s="134">
        <f>Data!F42</f>
        <v>28805</v>
      </c>
      <c r="C28" s="1" t="s">
        <v>45</v>
      </c>
      <c r="D28" s="16"/>
    </row>
    <row r="29" spans="1:8" ht="15.75" x14ac:dyDescent="0.25">
      <c r="A29" s="44"/>
      <c r="B29" s="123"/>
      <c r="D29" s="16">
        <f>(E27-B28)/E27</f>
        <v>-4.0475188497282266E-2</v>
      </c>
      <c r="E29" s="121"/>
    </row>
    <row r="30" spans="1:8" x14ac:dyDescent="0.2">
      <c r="C30" s="53"/>
      <c r="E30" s="43" t="s">
        <v>3</v>
      </c>
      <c r="F30" s="43" t="s">
        <v>4</v>
      </c>
    </row>
    <row r="31" spans="1:8" x14ac:dyDescent="0.2">
      <c r="A31" s="1" t="s">
        <v>51</v>
      </c>
      <c r="F31" s="17">
        <f>F25</f>
        <v>107332.67475728155</v>
      </c>
    </row>
    <row r="32" spans="1:8" x14ac:dyDescent="0.2">
      <c r="A32" s="12" t="s">
        <v>52</v>
      </c>
      <c r="B32" s="6"/>
      <c r="C32" s="6"/>
      <c r="D32" s="6"/>
      <c r="E32" s="6"/>
      <c r="F32" s="41">
        <f>E27</f>
        <v>27684.466019417472</v>
      </c>
    </row>
    <row r="33" spans="1:8" x14ac:dyDescent="0.2">
      <c r="A33" s="13" t="s">
        <v>53</v>
      </c>
      <c r="F33" s="5">
        <f>F31/F32</f>
        <v>3.8770000000000002</v>
      </c>
    </row>
    <row r="34" spans="1:8" x14ac:dyDescent="0.2">
      <c r="A34" s="12" t="s">
        <v>89</v>
      </c>
      <c r="B34" s="6"/>
      <c r="C34" s="6"/>
      <c r="D34" s="6"/>
      <c r="E34" s="6"/>
      <c r="F34" s="45">
        <f>IF(((E27-B28)/E27)&gt;5%,($B$28/0.95),E27)</f>
        <v>27684.466019417472</v>
      </c>
      <c r="H34" s="53"/>
    </row>
    <row r="35" spans="1:8" ht="15.75" x14ac:dyDescent="0.25">
      <c r="A35" s="13" t="s">
        <v>54</v>
      </c>
      <c r="F35" s="57">
        <f>F33*F34</f>
        <v>107332.67475728155</v>
      </c>
    </row>
    <row r="51" spans="1:1" x14ac:dyDescent="0.2">
      <c r="A51" s="1" t="s">
        <v>72</v>
      </c>
    </row>
    <row r="52" spans="1:1" x14ac:dyDescent="0.2">
      <c r="A52" s="1" t="s">
        <v>72</v>
      </c>
    </row>
    <row r="53" spans="1:1" x14ac:dyDescent="0.2">
      <c r="A53" s="1" t="s">
        <v>72</v>
      </c>
    </row>
    <row r="54" spans="1:1" x14ac:dyDescent="0.2">
      <c r="A54" s="1" t="s">
        <v>72</v>
      </c>
    </row>
    <row r="55" spans="1:1" x14ac:dyDescent="0.2">
      <c r="A55" s="1" t="s">
        <v>72</v>
      </c>
    </row>
    <row r="56" spans="1:1" x14ac:dyDescent="0.2">
      <c r="A56" s="1" t="s">
        <v>72</v>
      </c>
    </row>
    <row r="57" spans="1:1" x14ac:dyDescent="0.2">
      <c r="A57" s="1" t="s">
        <v>72</v>
      </c>
    </row>
    <row r="58" spans="1:1" x14ac:dyDescent="0.2">
      <c r="A58" s="1" t="s">
        <v>72</v>
      </c>
    </row>
    <row r="59" spans="1:1" x14ac:dyDescent="0.2">
      <c r="A59" s="1" t="s">
        <v>72</v>
      </c>
    </row>
  </sheetData>
  <mergeCells count="3">
    <mergeCell ref="A4:F4"/>
    <mergeCell ref="A6:F6"/>
    <mergeCell ref="H8:I8"/>
  </mergeCells>
  <phoneticPr fontId="2" type="noConversion"/>
  <pageMargins left="0.75" right="0.75" top="0.5" bottom="1" header="0.5" footer="0.5"/>
  <pageSetup scale="80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AX37"/>
  <sheetViews>
    <sheetView tabSelected="1" topLeftCell="A16" workbookViewId="0">
      <selection activeCell="C32" sqref="C32"/>
    </sheetView>
  </sheetViews>
  <sheetFormatPr defaultColWidth="9.140625" defaultRowHeight="15" x14ac:dyDescent="0.2"/>
  <cols>
    <col min="1" max="1" width="57.7109375" style="1" bestFit="1" customWidth="1"/>
    <col min="2" max="2" width="22.28515625" style="1" bestFit="1" customWidth="1"/>
    <col min="3" max="3" width="22.28515625" style="1" customWidth="1"/>
    <col min="4" max="4" width="18.28515625" style="1" customWidth="1"/>
    <col min="5" max="5" width="18.140625" style="1" customWidth="1"/>
    <col min="6" max="6" width="22.28515625" style="67" customWidth="1"/>
    <col min="7" max="7" width="22.28515625" style="58" customWidth="1"/>
    <col min="8" max="8" width="19.140625" style="1" customWidth="1"/>
    <col min="9" max="9" width="14.85546875" style="1" bestFit="1" customWidth="1"/>
    <col min="10" max="10" width="15.85546875" style="1" customWidth="1"/>
    <col min="11" max="11" width="15.5703125" style="1" bestFit="1" customWidth="1"/>
    <col min="12" max="12" width="15.140625" style="1" bestFit="1" customWidth="1"/>
    <col min="13" max="13" width="13.5703125" style="1" bestFit="1" customWidth="1"/>
    <col min="14" max="14" width="14.5703125" style="1" customWidth="1"/>
    <col min="15" max="15" width="14.85546875" style="1" bestFit="1" customWidth="1"/>
    <col min="16" max="17" width="13.5703125" style="1" bestFit="1" customWidth="1"/>
    <col min="18" max="20" width="13.42578125" style="1" customWidth="1"/>
    <col min="21" max="21" width="14.7109375" style="1" bestFit="1" customWidth="1"/>
    <col min="22" max="22" width="13.42578125" style="1" bestFit="1" customWidth="1"/>
    <col min="23" max="23" width="15" style="1" customWidth="1"/>
    <col min="24" max="24" width="14.7109375" style="1" bestFit="1" customWidth="1"/>
    <col min="25" max="25" width="11.5703125" style="1" customWidth="1"/>
    <col min="26" max="26" width="12.28515625" style="1" customWidth="1"/>
    <col min="27" max="28" width="11.140625" style="1" customWidth="1"/>
    <col min="29" max="30" width="11.28515625" style="1" customWidth="1"/>
    <col min="31" max="31" width="11" style="1" customWidth="1"/>
    <col min="32" max="32" width="10.5703125" style="1" customWidth="1"/>
    <col min="33" max="33" width="11" style="1" customWidth="1"/>
    <col min="34" max="34" width="10.85546875" style="1" customWidth="1"/>
    <col min="35" max="35" width="11.28515625" style="1" customWidth="1"/>
    <col min="36" max="36" width="11.5703125" style="1" customWidth="1"/>
    <col min="37" max="37" width="10" style="1" customWidth="1"/>
    <col min="38" max="38" width="10.42578125" style="1" customWidth="1"/>
    <col min="39" max="39" width="11" style="1" customWidth="1"/>
    <col min="40" max="40" width="10" style="1" customWidth="1"/>
    <col min="41" max="41" width="10.85546875" style="1" customWidth="1"/>
    <col min="42" max="42" width="10.140625" style="1" customWidth="1"/>
    <col min="43" max="43" width="10.5703125" style="1" customWidth="1"/>
    <col min="44" max="44" width="10.28515625" style="1" customWidth="1"/>
    <col min="45" max="45" width="10.7109375" style="1" customWidth="1"/>
    <col min="46" max="46" width="10.42578125" style="1" customWidth="1"/>
    <col min="47" max="47" width="10.28515625" style="1" customWidth="1"/>
    <col min="48" max="48" width="10.28515625" style="1" bestFit="1" customWidth="1"/>
    <col min="49" max="50" width="11.5703125" style="1" bestFit="1" customWidth="1"/>
    <col min="51" max="16384" width="9.140625" style="1"/>
  </cols>
  <sheetData>
    <row r="2" spans="1:50" x14ac:dyDescent="0.2">
      <c r="C2" s="1" t="s">
        <v>88</v>
      </c>
    </row>
    <row r="3" spans="1:50" x14ac:dyDescent="0.2">
      <c r="B3" s="27" t="s">
        <v>55</v>
      </c>
    </row>
    <row r="4" spans="1:50" x14ac:dyDescent="0.2">
      <c r="A4" s="76" t="s">
        <v>72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/>
      <c r="M4"/>
      <c r="N4"/>
      <c r="O4"/>
      <c r="P4"/>
      <c r="Q4"/>
      <c r="R4"/>
      <c r="S4"/>
      <c r="T4"/>
      <c r="U4"/>
      <c r="V4"/>
      <c r="W4"/>
    </row>
    <row r="5" spans="1:50" x14ac:dyDescent="0.2">
      <c r="B5" s="27" t="s">
        <v>56</v>
      </c>
    </row>
    <row r="6" spans="1:50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/>
      <c r="M6"/>
      <c r="N6"/>
      <c r="O6"/>
      <c r="P6"/>
      <c r="Q6"/>
      <c r="R6"/>
      <c r="S6"/>
      <c r="T6"/>
      <c r="U6"/>
      <c r="V6"/>
      <c r="W6"/>
    </row>
    <row r="7" spans="1:50" x14ac:dyDescent="0.2">
      <c r="E7" s="50"/>
      <c r="H7" s="28"/>
      <c r="I7" s="28"/>
      <c r="J7" s="28"/>
      <c r="K7" s="28"/>
      <c r="L7" s="28"/>
    </row>
    <row r="8" spans="1:50" x14ac:dyDescent="0.2">
      <c r="H8" s="28"/>
      <c r="I8" s="28"/>
      <c r="J8" s="28"/>
      <c r="K8" s="28"/>
      <c r="L8" s="28"/>
    </row>
    <row r="9" spans="1:50" x14ac:dyDescent="0.2">
      <c r="A9" s="1" t="s">
        <v>67</v>
      </c>
      <c r="B9" s="25">
        <f>'Schedule II'!C9</f>
        <v>43921</v>
      </c>
      <c r="C9" s="25"/>
      <c r="D9" s="25"/>
      <c r="E9" s="25"/>
      <c r="F9" s="68"/>
      <c r="G9" s="59"/>
      <c r="H9" s="47"/>
      <c r="I9" s="28"/>
      <c r="J9" s="28"/>
      <c r="K9" s="28"/>
      <c r="L9" s="28"/>
    </row>
    <row r="10" spans="1:50" x14ac:dyDescent="0.2">
      <c r="F10" s="69"/>
      <c r="G10" s="60"/>
      <c r="H10" s="28"/>
      <c r="I10" s="28"/>
      <c r="J10" s="28"/>
      <c r="K10" s="28"/>
      <c r="L10" s="28"/>
    </row>
    <row r="11" spans="1:50" x14ac:dyDescent="0.2">
      <c r="F11" s="69"/>
      <c r="G11" s="60"/>
      <c r="H11" s="28"/>
      <c r="I11" s="48"/>
      <c r="J11" s="48"/>
      <c r="K11" s="48"/>
      <c r="L11" s="28"/>
    </row>
    <row r="12" spans="1:50" x14ac:dyDescent="0.2">
      <c r="A12" s="2" t="s">
        <v>57</v>
      </c>
      <c r="B12" s="3" t="s">
        <v>3</v>
      </c>
      <c r="C12" s="24">
        <v>43849</v>
      </c>
      <c r="D12" s="24">
        <v>43862</v>
      </c>
      <c r="E12" s="24">
        <v>43891</v>
      </c>
      <c r="F12" s="70"/>
      <c r="G12" s="61"/>
      <c r="H12" s="30"/>
      <c r="I12" s="29"/>
      <c r="J12" s="29"/>
      <c r="K12" s="2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</row>
    <row r="13" spans="1:50" x14ac:dyDescent="0.2">
      <c r="A13" s="1" t="s">
        <v>58</v>
      </c>
      <c r="B13" s="33" t="s">
        <v>78</v>
      </c>
      <c r="C13" s="131">
        <v>2852</v>
      </c>
      <c r="D13" s="131">
        <v>2775</v>
      </c>
      <c r="E13" s="131">
        <v>2900</v>
      </c>
      <c r="F13" s="71" t="s">
        <v>91</v>
      </c>
      <c r="G13" s="62"/>
      <c r="H13" s="3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x14ac:dyDescent="0.2">
      <c r="A14" s="13" t="s">
        <v>79</v>
      </c>
      <c r="B14" s="33" t="s">
        <v>82</v>
      </c>
      <c r="C14" s="131">
        <v>0</v>
      </c>
      <c r="D14" s="131">
        <v>0</v>
      </c>
      <c r="E14" s="131">
        <v>0</v>
      </c>
      <c r="F14" s="72" t="s">
        <v>92</v>
      </c>
      <c r="G14" s="63"/>
      <c r="H14" s="3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x14ac:dyDescent="0.2">
      <c r="A15" s="13" t="s">
        <v>86</v>
      </c>
      <c r="B15" s="33" t="s">
        <v>78</v>
      </c>
      <c r="C15" s="34">
        <f>(C13-(C14*'Schedule II'!$C$14))</f>
        <v>2852</v>
      </c>
      <c r="D15" s="34">
        <f>(D13-(D14*'Schedule II'!$C$14))</f>
        <v>2775</v>
      </c>
      <c r="E15" s="34">
        <f>(E13-(E14*'Schedule II'!$C$14))</f>
        <v>2900</v>
      </c>
      <c r="F15" s="124" t="s">
        <v>116</v>
      </c>
      <c r="G15" s="62"/>
      <c r="H15" s="30"/>
      <c r="I15" s="49"/>
      <c r="J15" s="49"/>
      <c r="K15" s="49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x14ac:dyDescent="0.2">
      <c r="A16" s="1" t="s">
        <v>80</v>
      </c>
      <c r="B16" s="33" t="s">
        <v>59</v>
      </c>
      <c r="C16" s="130">
        <v>12824.02</v>
      </c>
      <c r="D16" s="130">
        <v>12571.23</v>
      </c>
      <c r="E16" s="130">
        <v>10715.9</v>
      </c>
      <c r="F16" s="73" t="s">
        <v>93</v>
      </c>
      <c r="G16" s="64"/>
      <c r="H16" s="21"/>
      <c r="I16" s="21"/>
      <c r="J16" s="21"/>
      <c r="K16" s="21"/>
      <c r="L16" s="21"/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0" x14ac:dyDescent="0.2">
      <c r="A17" s="1" t="s">
        <v>81</v>
      </c>
      <c r="B17" s="33" t="s">
        <v>59</v>
      </c>
      <c r="C17" s="35">
        <f>C16-((C16/C13)*(C13-C15))</f>
        <v>12824.02</v>
      </c>
      <c r="D17" s="35">
        <f>D16-((D16/D13)*(D13-D15))</f>
        <v>12571.23</v>
      </c>
      <c r="E17" s="35">
        <f>E16-((E16/E13)*(E13-E15))</f>
        <v>10715.9</v>
      </c>
      <c r="F17" s="124" t="s">
        <v>116</v>
      </c>
      <c r="G17" s="64"/>
      <c r="H17" s="21"/>
      <c r="I17" s="21"/>
      <c r="J17" s="21"/>
      <c r="K17" s="21"/>
      <c r="L17" s="21"/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0" x14ac:dyDescent="0.2">
      <c r="B18" s="33"/>
      <c r="C18" s="35"/>
      <c r="D18" s="35"/>
      <c r="E18" s="35"/>
      <c r="F18" s="73"/>
      <c r="G18" s="64"/>
      <c r="H18" s="21"/>
      <c r="I18" s="23"/>
      <c r="J18" s="21"/>
      <c r="K18" s="21"/>
      <c r="L18" s="21"/>
      <c r="M18" s="2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0" s="10" customFormat="1" x14ac:dyDescent="0.2">
      <c r="A19" s="32" t="s">
        <v>85</v>
      </c>
      <c r="B19" s="30" t="s">
        <v>78</v>
      </c>
      <c r="C19" s="132">
        <v>5799</v>
      </c>
      <c r="D19" s="132">
        <v>5753</v>
      </c>
      <c r="E19" s="132">
        <v>3320</v>
      </c>
      <c r="F19" s="74" t="s">
        <v>94</v>
      </c>
      <c r="G19" s="65"/>
      <c r="H19" s="22"/>
      <c r="I19" s="22"/>
      <c r="J19" s="22"/>
      <c r="K19" s="22"/>
      <c r="L19" s="22"/>
      <c r="M19" s="2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0" x14ac:dyDescent="0.2">
      <c r="A20" s="32" t="s">
        <v>83</v>
      </c>
      <c r="B20" s="30" t="s">
        <v>82</v>
      </c>
      <c r="C20" s="131">
        <v>0</v>
      </c>
      <c r="D20" s="131">
        <v>0</v>
      </c>
      <c r="E20" s="131">
        <v>0</v>
      </c>
      <c r="F20" s="74" t="s">
        <v>92</v>
      </c>
      <c r="G20" s="65"/>
      <c r="H20" s="22"/>
      <c r="I20" s="22"/>
      <c r="J20" s="22"/>
      <c r="K20" s="22"/>
      <c r="L20" s="22"/>
      <c r="M20" s="2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 x14ac:dyDescent="0.2">
      <c r="A21" s="32" t="s">
        <v>84</v>
      </c>
      <c r="B21" s="30" t="s">
        <v>78</v>
      </c>
      <c r="C21" s="22">
        <f>C19-(C13-C15)</f>
        <v>5799</v>
      </c>
      <c r="D21" s="22">
        <f>D19-(D13-D15)</f>
        <v>5753</v>
      </c>
      <c r="E21" s="22">
        <f>E19-(E13-E15)</f>
        <v>3320</v>
      </c>
      <c r="F21" s="124" t="s">
        <v>116</v>
      </c>
      <c r="G21" s="65"/>
      <c r="H21" s="22"/>
      <c r="I21" s="22"/>
      <c r="J21" s="22"/>
      <c r="K21" s="22"/>
      <c r="L21" s="22"/>
      <c r="M21" s="2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</row>
    <row r="22" spans="1:50" x14ac:dyDescent="0.2">
      <c r="A22" s="32" t="s">
        <v>84</v>
      </c>
      <c r="B22" s="30" t="s">
        <v>82</v>
      </c>
      <c r="C22" s="22">
        <f>C21/'Schedule II'!$C$14</f>
        <v>5630.0970873786409</v>
      </c>
      <c r="D22" s="22">
        <f>D21/'Schedule II'!$C$14</f>
        <v>5585.4368932038833</v>
      </c>
      <c r="E22" s="22">
        <f>E21/'Schedule II'!$C$14</f>
        <v>3223.3009708737864</v>
      </c>
      <c r="F22" s="124" t="s">
        <v>116</v>
      </c>
      <c r="G22" s="65"/>
      <c r="H22" s="22"/>
      <c r="I22" s="22"/>
      <c r="J22" s="22"/>
      <c r="K22" s="22"/>
      <c r="L22" s="22"/>
      <c r="M22" s="20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</row>
    <row r="23" spans="1:50" x14ac:dyDescent="0.2">
      <c r="A23" s="32"/>
      <c r="B23" s="30"/>
      <c r="C23" s="22"/>
      <c r="D23" s="22"/>
      <c r="E23" s="22"/>
      <c r="F23" s="74"/>
      <c r="G23" s="65"/>
      <c r="H23" s="22"/>
      <c r="I23" s="22"/>
      <c r="J23" s="22"/>
      <c r="K23" s="22"/>
      <c r="L23" s="22"/>
      <c r="M23" s="20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</row>
    <row r="24" spans="1:50" x14ac:dyDescent="0.2">
      <c r="A24" s="13" t="s">
        <v>60</v>
      </c>
      <c r="B24" s="36" t="s">
        <v>5</v>
      </c>
      <c r="C24" s="37">
        <f>C17/C27</f>
        <v>2.3965651280134557</v>
      </c>
      <c r="D24" s="37">
        <f>D17/D27</f>
        <v>2.2728674742361235</v>
      </c>
      <c r="E24" s="37">
        <f>E17/E27</f>
        <v>2.9675713098864578</v>
      </c>
      <c r="F24" s="75"/>
      <c r="G24" s="66"/>
      <c r="H24" s="23"/>
      <c r="I24" s="23"/>
      <c r="J24" s="23"/>
      <c r="K24" s="23"/>
      <c r="L24" s="23"/>
      <c r="M24" s="20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</row>
    <row r="25" spans="1:50" x14ac:dyDescent="0.2">
      <c r="A25" s="12" t="s">
        <v>61</v>
      </c>
      <c r="B25" s="38" t="s">
        <v>5</v>
      </c>
      <c r="C25" s="46">
        <v>4.1863999999999999</v>
      </c>
      <c r="D25" s="46">
        <v>4.1863999999999999</v>
      </c>
      <c r="E25" s="46">
        <f>D25</f>
        <v>4.1863999999999999</v>
      </c>
      <c r="F25" s="78" t="s">
        <v>96</v>
      </c>
      <c r="H25" s="23"/>
      <c r="I25" s="23"/>
      <c r="J25" s="23"/>
      <c r="K25" s="23"/>
      <c r="L25" s="23"/>
      <c r="M25" s="20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</row>
    <row r="26" spans="1:50" x14ac:dyDescent="0.2">
      <c r="A26" s="13" t="s">
        <v>62</v>
      </c>
      <c r="B26" s="36" t="s">
        <v>5</v>
      </c>
      <c r="C26" s="37">
        <f>C24-C25</f>
        <v>-1.7898348719865442</v>
      </c>
      <c r="D26" s="37">
        <f>D24-D25</f>
        <v>-1.9135325257638764</v>
      </c>
      <c r="E26" s="37">
        <f>E24-E25</f>
        <v>-1.2188286901135421</v>
      </c>
      <c r="F26" s="124" t="s">
        <v>116</v>
      </c>
      <c r="G26" s="66"/>
      <c r="H26" s="23"/>
      <c r="I26" s="23"/>
      <c r="J26" s="23"/>
      <c r="K26" s="23"/>
      <c r="L26" s="23"/>
      <c r="M26" s="20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</row>
    <row r="27" spans="1:50" x14ac:dyDescent="0.2">
      <c r="A27" s="12" t="s">
        <v>63</v>
      </c>
      <c r="B27" s="39" t="s">
        <v>45</v>
      </c>
      <c r="C27" s="149">
        <v>5351</v>
      </c>
      <c r="D27" s="149">
        <v>5531</v>
      </c>
      <c r="E27" s="149">
        <v>3611</v>
      </c>
      <c r="F27" s="74" t="s">
        <v>102</v>
      </c>
      <c r="G27" s="65"/>
      <c r="H27" s="22"/>
      <c r="I27" s="22"/>
      <c r="J27" s="22"/>
      <c r="K27" s="22"/>
      <c r="L27" s="22"/>
      <c r="M27" s="20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</row>
    <row r="28" spans="1:50" x14ac:dyDescent="0.2">
      <c r="A28" s="13" t="s">
        <v>64</v>
      </c>
      <c r="B28" s="33" t="s">
        <v>59</v>
      </c>
      <c r="C28" s="35">
        <f>C26*C27</f>
        <v>-9577.406399999998</v>
      </c>
      <c r="D28" s="35">
        <f>D26*D27</f>
        <v>-10583.7484</v>
      </c>
      <c r="E28" s="35">
        <f>E26*E27</f>
        <v>-4401.1904000000004</v>
      </c>
      <c r="F28" s="124" t="s">
        <v>116</v>
      </c>
      <c r="G28" s="64"/>
      <c r="H28" s="21"/>
      <c r="I28" s="21"/>
      <c r="J28" s="21"/>
      <c r="K28" s="21"/>
      <c r="L28" s="21"/>
      <c r="M28" s="20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</row>
    <row r="29" spans="1:50" x14ac:dyDescent="0.2">
      <c r="B29" s="26"/>
      <c r="C29" s="26"/>
      <c r="D29" s="26"/>
      <c r="E29" s="26"/>
      <c r="F29" s="71"/>
      <c r="G29" s="62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1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50" x14ac:dyDescent="0.2">
      <c r="A30" s="13"/>
      <c r="B30" s="33"/>
      <c r="C30" s="33"/>
      <c r="D30" s="33"/>
      <c r="E30" s="33"/>
      <c r="F30" s="73"/>
      <c r="G30" s="64"/>
      <c r="H30" s="28"/>
      <c r="I30" s="30"/>
      <c r="J30" s="30"/>
      <c r="K30" s="30"/>
      <c r="L30" s="30"/>
      <c r="M30" s="30"/>
      <c r="N30" s="30"/>
      <c r="O30" s="21"/>
      <c r="P30" s="21"/>
      <c r="Q30" s="21"/>
      <c r="R30" s="21"/>
      <c r="S30" s="21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50" x14ac:dyDescent="0.2">
      <c r="A31" s="1" t="s">
        <v>65</v>
      </c>
      <c r="B31" s="33"/>
      <c r="C31" s="35">
        <f>SUM(C28:E28)</f>
        <v>-24562.345199999996</v>
      </c>
      <c r="D31" s="35"/>
      <c r="E31" s="35"/>
      <c r="F31" s="73"/>
      <c r="G31" s="64"/>
      <c r="H31" s="21"/>
      <c r="I31" s="30"/>
      <c r="J31" s="3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50" x14ac:dyDescent="0.2">
      <c r="A32" s="12" t="s">
        <v>68</v>
      </c>
      <c r="B32" s="6"/>
      <c r="C32" s="40">
        <f>'Schedule II'!$B$28</f>
        <v>28805</v>
      </c>
      <c r="D32" s="18"/>
      <c r="E32" s="18"/>
      <c r="F32" s="71"/>
      <c r="G32" s="62"/>
      <c r="H32" s="28"/>
      <c r="I32" s="28"/>
      <c r="J32" s="30"/>
      <c r="K32" s="22"/>
      <c r="L32" s="22"/>
      <c r="M32" s="22"/>
      <c r="N32" s="22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ht="15.75" x14ac:dyDescent="0.25">
      <c r="A33" s="13" t="s">
        <v>66</v>
      </c>
      <c r="C33" s="56">
        <f>C31/C32</f>
        <v>-0.85271116819996517</v>
      </c>
      <c r="F33" s="71"/>
      <c r="G33" s="62"/>
      <c r="H33" s="28"/>
      <c r="I33" s="28"/>
      <c r="J33" s="28"/>
      <c r="K33" s="23"/>
      <c r="L33" s="23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x14ac:dyDescent="0.2">
      <c r="F34" s="71"/>
      <c r="G34" s="62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x14ac:dyDescent="0.2">
      <c r="A35" s="1" t="s">
        <v>87</v>
      </c>
      <c r="F35" s="71"/>
      <c r="G35" s="62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</row>
    <row r="36" spans="1:42" x14ac:dyDescent="0.2">
      <c r="F36" s="71"/>
      <c r="G36" s="62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</row>
    <row r="37" spans="1:42" x14ac:dyDescent="0.2">
      <c r="F37" s="71"/>
      <c r="G37" s="62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</sheetData>
  <phoneticPr fontId="2" type="noConversion"/>
  <printOptions gridLines="1"/>
  <pageMargins left="0" right="0" top="0" bottom="0" header="0" footer="0"/>
  <pageSetup scale="5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0"/>
  <sheetViews>
    <sheetView workbookViewId="0">
      <pane ySplit="1" topLeftCell="A27" activePane="bottomLeft" state="frozen"/>
      <selection pane="bottomLeft" activeCell="A38" sqref="A38:XFD40"/>
    </sheetView>
  </sheetViews>
  <sheetFormatPr defaultRowHeight="12.75" x14ac:dyDescent="0.2"/>
  <cols>
    <col min="1" max="1" width="10" style="82" customWidth="1"/>
    <col min="2" max="2" width="11.28515625" style="96" customWidth="1"/>
    <col min="3" max="3" width="12.28515625" style="92" customWidth="1"/>
    <col min="4" max="4" width="12" style="96" customWidth="1"/>
    <col min="5" max="5" width="12" style="92" customWidth="1"/>
    <col min="6" max="6" width="10.5703125" style="96" customWidth="1"/>
    <col min="7" max="7" width="12.28515625" style="92" customWidth="1"/>
    <col min="8" max="8" width="9.85546875" style="96" customWidth="1"/>
    <col min="9" max="9" width="11.28515625" style="92" customWidth="1"/>
    <col min="10" max="10" width="10.28515625" style="100" customWidth="1"/>
    <col min="11" max="11" width="11.140625" style="85" customWidth="1"/>
    <col min="12" max="12" width="10.28515625" style="113" bestFit="1" customWidth="1"/>
    <col min="13" max="13" width="12.28515625" style="103" bestFit="1" customWidth="1"/>
    <col min="14" max="14" width="14.42578125" style="103" customWidth="1"/>
    <col min="15" max="15" width="10.28515625" style="94" bestFit="1" customWidth="1"/>
    <col min="16" max="16" width="10.5703125" style="94" customWidth="1"/>
    <col min="17" max="17" width="12.28515625" style="106" bestFit="1" customWidth="1"/>
    <col min="18" max="16384" width="9.140625" style="147"/>
  </cols>
  <sheetData>
    <row r="1" spans="1:19" s="152" customFormat="1" ht="51" x14ac:dyDescent="0.2">
      <c r="A1" s="80" t="s">
        <v>97</v>
      </c>
      <c r="B1" s="93" t="s">
        <v>98</v>
      </c>
      <c r="C1" s="90" t="s">
        <v>99</v>
      </c>
      <c r="D1" s="93" t="s">
        <v>100</v>
      </c>
      <c r="E1" s="90" t="s">
        <v>101</v>
      </c>
      <c r="F1" s="137" t="s">
        <v>102</v>
      </c>
      <c r="G1" s="90" t="s">
        <v>103</v>
      </c>
      <c r="H1" s="137" t="s">
        <v>92</v>
      </c>
      <c r="I1" s="90" t="s">
        <v>104</v>
      </c>
      <c r="J1" s="138" t="s">
        <v>95</v>
      </c>
      <c r="K1" s="80" t="s">
        <v>106</v>
      </c>
      <c r="L1" s="139" t="s">
        <v>107</v>
      </c>
      <c r="M1" s="102" t="s">
        <v>108</v>
      </c>
      <c r="N1" s="102" t="s">
        <v>109</v>
      </c>
      <c r="O1" s="93" t="s">
        <v>110</v>
      </c>
      <c r="P1" s="93" t="s">
        <v>111</v>
      </c>
      <c r="Q1" s="105" t="s">
        <v>112</v>
      </c>
      <c r="R1" s="150"/>
      <c r="S1" s="151"/>
    </row>
    <row r="2" spans="1:19" x14ac:dyDescent="0.2">
      <c r="A2" s="81">
        <v>42736</v>
      </c>
      <c r="B2" s="94">
        <v>4610.5</v>
      </c>
      <c r="C2" s="91">
        <v>28640.09</v>
      </c>
      <c r="D2" s="94">
        <v>960.8</v>
      </c>
      <c r="E2" s="91">
        <v>5863.83</v>
      </c>
      <c r="F2" s="94">
        <v>5571.3</v>
      </c>
      <c r="G2" s="91">
        <v>34503.919999999998</v>
      </c>
      <c r="H2" s="94">
        <v>0</v>
      </c>
      <c r="I2" s="91">
        <v>0</v>
      </c>
      <c r="J2" s="98">
        <v>5571</v>
      </c>
      <c r="K2" s="81">
        <v>42736</v>
      </c>
      <c r="L2" s="113">
        <v>1500</v>
      </c>
      <c r="M2" s="103">
        <v>5245.5</v>
      </c>
      <c r="N2" s="103">
        <v>5677.16</v>
      </c>
      <c r="O2" s="94">
        <v>6303</v>
      </c>
      <c r="P2" s="125">
        <v>2941</v>
      </c>
      <c r="Q2" s="106">
        <v>10922.66</v>
      </c>
    </row>
    <row r="3" spans="1:19" x14ac:dyDescent="0.2">
      <c r="A3" s="81">
        <f>EDATE(A2,1)</f>
        <v>42767</v>
      </c>
      <c r="B3" s="94">
        <v>4334.5</v>
      </c>
      <c r="C3" s="91">
        <v>26798.36</v>
      </c>
      <c r="D3" s="94">
        <v>818.7</v>
      </c>
      <c r="E3" s="91">
        <v>5010.1000000000004</v>
      </c>
      <c r="F3" s="94">
        <v>5153.2</v>
      </c>
      <c r="G3" s="91">
        <v>31808.46</v>
      </c>
      <c r="H3" s="94">
        <v>0</v>
      </c>
      <c r="I3" s="91">
        <v>0</v>
      </c>
      <c r="J3" s="98">
        <v>5153</v>
      </c>
      <c r="K3" s="81">
        <f>EDATE(K2,1)</f>
        <v>42767</v>
      </c>
      <c r="L3" s="113">
        <v>3807</v>
      </c>
      <c r="M3" s="103">
        <v>11865.93</v>
      </c>
      <c r="N3" s="103">
        <v>3936.05</v>
      </c>
      <c r="O3" s="94">
        <v>4370</v>
      </c>
      <c r="P3" s="125">
        <v>2378</v>
      </c>
      <c r="Q3" s="106">
        <v>15801.98</v>
      </c>
    </row>
    <row r="4" spans="1:19" x14ac:dyDescent="0.2">
      <c r="A4" s="81">
        <f t="shared" ref="A4:A37" si="0">EDATE(A3,1)</f>
        <v>42795</v>
      </c>
      <c r="B4" s="94">
        <v>3543.4</v>
      </c>
      <c r="C4" s="91">
        <v>21908.71</v>
      </c>
      <c r="D4" s="94">
        <v>702.9</v>
      </c>
      <c r="E4" s="91">
        <v>4308.72</v>
      </c>
      <c r="F4" s="94">
        <v>4246.3</v>
      </c>
      <c r="G4" s="91">
        <v>26217.43</v>
      </c>
      <c r="H4" s="94">
        <v>0</v>
      </c>
      <c r="I4" s="91">
        <v>0</v>
      </c>
      <c r="J4" s="98">
        <v>4246</v>
      </c>
      <c r="K4" s="81">
        <f t="shared" ref="K4:K16" si="1">EDATE(K3,1)</f>
        <v>42795</v>
      </c>
      <c r="L4" s="113">
        <v>4662</v>
      </c>
      <c r="M4" s="103">
        <v>14692.45</v>
      </c>
      <c r="N4" s="103">
        <v>3997.36</v>
      </c>
      <c r="O4" s="94">
        <v>4438</v>
      </c>
      <c r="P4" s="125">
        <v>2602</v>
      </c>
      <c r="Q4" s="106">
        <v>18689.810000000001</v>
      </c>
    </row>
    <row r="5" spans="1:19" x14ac:dyDescent="0.2">
      <c r="A5" s="81">
        <f t="shared" si="0"/>
        <v>42826</v>
      </c>
      <c r="B5" s="94">
        <v>2124.6999999999998</v>
      </c>
      <c r="C5" s="91">
        <v>7368.24</v>
      </c>
      <c r="D5" s="94">
        <v>226.6</v>
      </c>
      <c r="E5" s="91">
        <v>1477.72</v>
      </c>
      <c r="F5" s="94">
        <v>2351.3000000000002</v>
      </c>
      <c r="G5" s="91">
        <v>8845.9599999999991</v>
      </c>
      <c r="H5" s="94">
        <v>2</v>
      </c>
      <c r="I5" s="91">
        <v>12.07</v>
      </c>
      <c r="J5" s="98">
        <v>2353</v>
      </c>
      <c r="K5" s="81">
        <f t="shared" si="1"/>
        <v>42826</v>
      </c>
      <c r="L5" s="113">
        <v>1125</v>
      </c>
      <c r="M5" s="103">
        <v>3990.38</v>
      </c>
      <c r="N5" s="103">
        <v>2949.79</v>
      </c>
      <c r="O5" s="94">
        <v>3275</v>
      </c>
      <c r="P5" s="125">
        <v>452</v>
      </c>
      <c r="Q5" s="106">
        <v>6940.17</v>
      </c>
    </row>
    <row r="6" spans="1:19" x14ac:dyDescent="0.2">
      <c r="A6" s="81">
        <f t="shared" si="0"/>
        <v>42856</v>
      </c>
      <c r="B6" s="94">
        <v>852.4</v>
      </c>
      <c r="C6" s="91">
        <v>5622.24</v>
      </c>
      <c r="D6" s="94">
        <v>191</v>
      </c>
      <c r="E6" s="91">
        <v>1244.6099999999999</v>
      </c>
      <c r="F6" s="94">
        <v>1043.4000000000001</v>
      </c>
      <c r="G6" s="91">
        <v>6866.85</v>
      </c>
      <c r="H6" s="94">
        <v>4.3</v>
      </c>
      <c r="I6" s="91">
        <v>25.72</v>
      </c>
      <c r="J6" s="98">
        <v>1048</v>
      </c>
      <c r="K6" s="81">
        <f t="shared" si="1"/>
        <v>42856</v>
      </c>
      <c r="L6" s="113">
        <v>4498</v>
      </c>
      <c r="M6" s="103">
        <v>15422.13</v>
      </c>
      <c r="N6" s="103">
        <v>2936.24</v>
      </c>
      <c r="O6" s="94">
        <v>3260</v>
      </c>
      <c r="P6" s="125">
        <v>1690</v>
      </c>
      <c r="Q6" s="106">
        <v>18358.37</v>
      </c>
    </row>
    <row r="7" spans="1:19" x14ac:dyDescent="0.2">
      <c r="A7" s="81">
        <f t="shared" si="0"/>
        <v>42887</v>
      </c>
      <c r="B7" s="94">
        <v>439.7</v>
      </c>
      <c r="C7" s="91">
        <v>3156.59</v>
      </c>
      <c r="D7" s="94">
        <v>129.6</v>
      </c>
      <c r="E7" s="91">
        <v>889.47</v>
      </c>
      <c r="F7" s="94">
        <v>569.29999999999995</v>
      </c>
      <c r="G7" s="91">
        <v>4046.06</v>
      </c>
      <c r="H7" s="94">
        <v>2.1</v>
      </c>
      <c r="I7" s="91">
        <v>13.41</v>
      </c>
      <c r="J7" s="98">
        <v>571</v>
      </c>
      <c r="K7" s="81">
        <f t="shared" si="1"/>
        <v>42887</v>
      </c>
      <c r="L7" s="113">
        <v>4713</v>
      </c>
      <c r="M7" s="103">
        <v>15547.36</v>
      </c>
      <c r="N7" s="103">
        <v>1116.04</v>
      </c>
      <c r="O7" s="94">
        <v>1239</v>
      </c>
      <c r="P7" s="125">
        <v>5164</v>
      </c>
      <c r="Q7" s="106">
        <v>16663.400000000001</v>
      </c>
    </row>
    <row r="8" spans="1:19" x14ac:dyDescent="0.2">
      <c r="A8" s="81">
        <f t="shared" si="0"/>
        <v>42917</v>
      </c>
      <c r="B8" s="94">
        <v>452.4</v>
      </c>
      <c r="C8" s="91">
        <v>3113.85</v>
      </c>
      <c r="D8" s="94">
        <v>105.9</v>
      </c>
      <c r="E8" s="91">
        <v>726.23</v>
      </c>
      <c r="F8" s="94">
        <v>558.29999999999995</v>
      </c>
      <c r="G8" s="91">
        <v>3840.08</v>
      </c>
      <c r="H8" s="94">
        <v>135.69999999999999</v>
      </c>
      <c r="I8" s="91">
        <v>831.14</v>
      </c>
      <c r="J8" s="98">
        <v>694</v>
      </c>
      <c r="K8" s="81">
        <f t="shared" si="1"/>
        <v>42917</v>
      </c>
      <c r="L8" s="113">
        <v>4930</v>
      </c>
      <c r="M8" s="103">
        <v>16322.21</v>
      </c>
      <c r="N8" s="103">
        <v>1972.56</v>
      </c>
      <c r="O8" s="94">
        <v>2190</v>
      </c>
      <c r="P8" s="125">
        <v>7904</v>
      </c>
      <c r="Q8" s="106">
        <v>18294.87</v>
      </c>
    </row>
    <row r="9" spans="1:19" x14ac:dyDescent="0.2">
      <c r="A9" s="81">
        <f t="shared" si="0"/>
        <v>42948</v>
      </c>
      <c r="B9" s="94">
        <v>382.8</v>
      </c>
      <c r="C9" s="91">
        <v>2634.96</v>
      </c>
      <c r="D9" s="94">
        <v>92.4</v>
      </c>
      <c r="E9" s="91">
        <v>633.53</v>
      </c>
      <c r="F9" s="94">
        <v>475.2</v>
      </c>
      <c r="G9" s="91">
        <v>3268.49</v>
      </c>
      <c r="H9" s="94">
        <v>154.19999999999999</v>
      </c>
      <c r="I9" s="91">
        <v>944.53</v>
      </c>
      <c r="J9" s="98">
        <v>629</v>
      </c>
      <c r="K9" s="81">
        <f t="shared" si="1"/>
        <v>42948</v>
      </c>
      <c r="L9" s="113">
        <v>4800</v>
      </c>
      <c r="M9" s="103">
        <v>15421.92</v>
      </c>
      <c r="N9" s="103">
        <v>1904.13</v>
      </c>
      <c r="O9" s="94">
        <v>2114</v>
      </c>
      <c r="P9" s="125">
        <v>10590</v>
      </c>
      <c r="Q9" s="106">
        <v>17326.05</v>
      </c>
    </row>
    <row r="10" spans="1:19" x14ac:dyDescent="0.2">
      <c r="A10" s="81">
        <f t="shared" si="0"/>
        <v>42979</v>
      </c>
      <c r="B10" s="94">
        <v>473.1</v>
      </c>
      <c r="C10" s="91">
        <v>3102.86</v>
      </c>
      <c r="D10" s="94">
        <v>114.6</v>
      </c>
      <c r="E10" s="91">
        <v>5812.83</v>
      </c>
      <c r="F10" s="94">
        <v>587.70000000000005</v>
      </c>
      <c r="G10" s="91">
        <v>8915.69</v>
      </c>
      <c r="H10" s="94">
        <v>413.2</v>
      </c>
      <c r="I10" s="91">
        <v>2709.97</v>
      </c>
      <c r="J10" s="98">
        <v>1001</v>
      </c>
      <c r="K10" s="81">
        <f t="shared" si="1"/>
        <v>42979</v>
      </c>
      <c r="L10" s="113">
        <v>4700</v>
      </c>
      <c r="M10" s="103">
        <v>15002.6</v>
      </c>
      <c r="N10" s="103">
        <v>4231.51</v>
      </c>
      <c r="O10" s="94">
        <v>4698</v>
      </c>
      <c r="P10" s="125">
        <v>10592</v>
      </c>
      <c r="Q10" s="106">
        <v>19234.11</v>
      </c>
    </row>
    <row r="11" spans="1:19" x14ac:dyDescent="0.2">
      <c r="A11" s="81">
        <f t="shared" si="0"/>
        <v>43009</v>
      </c>
      <c r="B11" s="94">
        <v>493.9</v>
      </c>
      <c r="C11" s="91">
        <v>3399.68</v>
      </c>
      <c r="D11" s="94">
        <v>131.4</v>
      </c>
      <c r="E11" s="91">
        <v>4126.34</v>
      </c>
      <c r="F11" s="94">
        <v>625.29999999999995</v>
      </c>
      <c r="G11" s="91">
        <v>7526.02</v>
      </c>
      <c r="H11" s="94">
        <v>110.8</v>
      </c>
      <c r="I11" s="91">
        <v>726.66</v>
      </c>
      <c r="J11" s="98">
        <v>736</v>
      </c>
      <c r="K11" s="81">
        <f t="shared" si="1"/>
        <v>43009</v>
      </c>
      <c r="L11" s="113">
        <v>4929</v>
      </c>
      <c r="M11" s="103">
        <v>15616.32</v>
      </c>
      <c r="N11" s="103">
        <v>2484.13</v>
      </c>
      <c r="O11" s="94">
        <v>2758</v>
      </c>
      <c r="P11" s="125">
        <v>12763</v>
      </c>
      <c r="Q11" s="106">
        <v>18100.45</v>
      </c>
    </row>
    <row r="12" spans="1:19" x14ac:dyDescent="0.2">
      <c r="A12" s="81">
        <f t="shared" si="0"/>
        <v>43040</v>
      </c>
      <c r="B12" s="94">
        <v>3129.8</v>
      </c>
      <c r="C12" s="91">
        <v>21339.13</v>
      </c>
      <c r="D12" s="94">
        <v>581.1</v>
      </c>
      <c r="E12" s="91">
        <v>3990.24</v>
      </c>
      <c r="F12" s="94">
        <v>3710.9</v>
      </c>
      <c r="G12" s="91">
        <v>25329.37</v>
      </c>
      <c r="H12" s="94">
        <v>3</v>
      </c>
      <c r="I12" s="91">
        <v>20</v>
      </c>
      <c r="J12" s="98">
        <v>3714</v>
      </c>
      <c r="K12" s="81">
        <f t="shared" si="1"/>
        <v>43040</v>
      </c>
      <c r="L12" s="113">
        <v>4175</v>
      </c>
      <c r="M12" s="103">
        <v>13460.6</v>
      </c>
      <c r="N12" s="103">
        <v>3631.66</v>
      </c>
      <c r="O12" s="94">
        <v>4032</v>
      </c>
      <c r="P12" s="125">
        <v>12906</v>
      </c>
      <c r="Q12" s="106">
        <v>17092.259999999998</v>
      </c>
    </row>
    <row r="13" spans="1:19" x14ac:dyDescent="0.2">
      <c r="A13" s="81">
        <f t="shared" si="0"/>
        <v>43070</v>
      </c>
      <c r="B13" s="94">
        <v>3944.1</v>
      </c>
      <c r="C13" s="91">
        <v>27145.79</v>
      </c>
      <c r="D13" s="94">
        <v>794.1</v>
      </c>
      <c r="E13" s="91">
        <v>5420.76</v>
      </c>
      <c r="F13" s="94">
        <v>4738.2</v>
      </c>
      <c r="G13" s="91">
        <v>32566.55</v>
      </c>
      <c r="H13" s="94">
        <v>0</v>
      </c>
      <c r="I13" s="91">
        <v>0</v>
      </c>
      <c r="J13" s="98">
        <v>4738</v>
      </c>
      <c r="K13" s="81">
        <f t="shared" si="1"/>
        <v>43070</v>
      </c>
      <c r="L13" s="113">
        <v>3350</v>
      </c>
      <c r="M13" s="103">
        <v>10919</v>
      </c>
      <c r="N13" s="103">
        <v>6550.76</v>
      </c>
      <c r="O13" s="94">
        <v>7273</v>
      </c>
      <c r="P13" s="125">
        <v>6868</v>
      </c>
      <c r="Q13" s="106">
        <v>17469.759999999998</v>
      </c>
    </row>
    <row r="14" spans="1:19" x14ac:dyDescent="0.2">
      <c r="A14" s="81">
        <f t="shared" si="0"/>
        <v>43101</v>
      </c>
      <c r="B14" s="94">
        <v>7685.8</v>
      </c>
      <c r="C14" s="91">
        <v>52898.61</v>
      </c>
      <c r="D14" s="94">
        <v>1607.8</v>
      </c>
      <c r="E14" s="91">
        <v>10994.73</v>
      </c>
      <c r="F14" s="94">
        <v>9293.6</v>
      </c>
      <c r="G14" s="91">
        <v>63893.34</v>
      </c>
      <c r="H14" s="94">
        <v>0</v>
      </c>
      <c r="I14" s="91">
        <v>0</v>
      </c>
      <c r="J14" s="98">
        <v>9294</v>
      </c>
      <c r="K14" s="81">
        <f t="shared" si="1"/>
        <v>43101</v>
      </c>
      <c r="L14" s="113">
        <v>4950</v>
      </c>
      <c r="M14" s="103">
        <v>18509.91</v>
      </c>
      <c r="N14" s="103">
        <v>7861.31</v>
      </c>
      <c r="O14" s="94">
        <v>8728</v>
      </c>
      <c r="P14" s="125">
        <v>3090</v>
      </c>
      <c r="Q14" s="106">
        <v>26371.22</v>
      </c>
    </row>
    <row r="15" spans="1:19" x14ac:dyDescent="0.2">
      <c r="A15" s="81">
        <f t="shared" si="0"/>
        <v>43132</v>
      </c>
      <c r="B15" s="94">
        <v>4396.6000000000004</v>
      </c>
      <c r="C15" s="91">
        <v>30260.14</v>
      </c>
      <c r="D15" s="94">
        <v>843.6</v>
      </c>
      <c r="E15" s="91">
        <v>5771.25</v>
      </c>
      <c r="F15" s="94">
        <v>5240.2</v>
      </c>
      <c r="G15" s="91">
        <v>36031.39</v>
      </c>
      <c r="H15" s="94">
        <v>0</v>
      </c>
      <c r="I15" s="91">
        <v>0</v>
      </c>
      <c r="J15" s="98">
        <v>5240</v>
      </c>
      <c r="K15" s="81">
        <f t="shared" si="1"/>
        <v>43132</v>
      </c>
      <c r="L15" s="113">
        <v>4550</v>
      </c>
      <c r="M15" s="103">
        <v>13855.31</v>
      </c>
      <c r="N15" s="103">
        <v>4546.74</v>
      </c>
      <c r="O15" s="94">
        <v>5048</v>
      </c>
      <c r="P15" s="125">
        <v>2592</v>
      </c>
      <c r="Q15" s="106">
        <v>18402.05</v>
      </c>
    </row>
    <row r="16" spans="1:19" x14ac:dyDescent="0.2">
      <c r="A16" s="81">
        <f t="shared" si="0"/>
        <v>43160</v>
      </c>
      <c r="B16" s="94">
        <v>4552.2</v>
      </c>
      <c r="C16" s="91">
        <v>31356.47</v>
      </c>
      <c r="D16" s="94">
        <v>793.9</v>
      </c>
      <c r="E16" s="91">
        <v>5442.32</v>
      </c>
      <c r="F16" s="94">
        <v>5346.1</v>
      </c>
      <c r="G16" s="91">
        <v>36798.79</v>
      </c>
      <c r="H16" s="94">
        <v>0</v>
      </c>
      <c r="I16" s="91">
        <v>0</v>
      </c>
      <c r="J16" s="98">
        <v>5346</v>
      </c>
      <c r="K16" s="112">
        <f t="shared" si="1"/>
        <v>43160</v>
      </c>
      <c r="L16" s="114">
        <v>3050</v>
      </c>
      <c r="M16" s="110">
        <v>9506</v>
      </c>
      <c r="N16" s="110">
        <v>4779.12</v>
      </c>
      <c r="O16" s="109">
        <v>5306</v>
      </c>
      <c r="P16" s="126">
        <v>336</v>
      </c>
      <c r="Q16" s="111">
        <v>14285.12</v>
      </c>
    </row>
    <row r="17" spans="1:17" x14ac:dyDescent="0.2">
      <c r="A17" s="81">
        <f t="shared" si="0"/>
        <v>43191</v>
      </c>
      <c r="B17" s="94">
        <v>2286</v>
      </c>
      <c r="C17" s="91">
        <v>16933.439999999999</v>
      </c>
      <c r="D17" s="94">
        <v>454</v>
      </c>
      <c r="E17" s="91">
        <v>3349.76</v>
      </c>
      <c r="F17" s="94">
        <v>2740</v>
      </c>
      <c r="G17" s="91">
        <v>20283.2</v>
      </c>
      <c r="H17" s="118">
        <v>0</v>
      </c>
      <c r="I17" s="91">
        <v>0</v>
      </c>
      <c r="J17" s="120">
        <v>2740</v>
      </c>
      <c r="K17" s="86">
        <v>43191</v>
      </c>
      <c r="L17" s="117">
        <v>4375</v>
      </c>
      <c r="M17" s="103">
        <v>12747.2</v>
      </c>
      <c r="N17" s="103">
        <v>3132.63</v>
      </c>
      <c r="O17" s="118">
        <v>3478</v>
      </c>
      <c r="P17" s="94">
        <v>0</v>
      </c>
      <c r="Q17" s="119">
        <v>15879.83</v>
      </c>
    </row>
    <row r="18" spans="1:17" x14ac:dyDescent="0.2">
      <c r="A18" s="81">
        <f t="shared" si="0"/>
        <v>43221</v>
      </c>
      <c r="B18" s="94">
        <v>677</v>
      </c>
      <c r="C18" s="91">
        <v>5001.97</v>
      </c>
      <c r="D18" s="94">
        <v>165</v>
      </c>
      <c r="E18" s="91">
        <v>1212.94</v>
      </c>
      <c r="F18" s="94">
        <v>842</v>
      </c>
      <c r="G18" s="91">
        <v>6214.91</v>
      </c>
      <c r="H18" s="118">
        <v>2531</v>
      </c>
      <c r="I18" s="91">
        <v>16598.650000000001</v>
      </c>
      <c r="J18" s="120">
        <v>3373</v>
      </c>
      <c r="K18" s="86">
        <f t="shared" ref="K18:K37" si="2">EDATE(K17,1)</f>
        <v>43221</v>
      </c>
      <c r="L18" s="117">
        <v>3336</v>
      </c>
      <c r="M18" s="103">
        <v>9738.81</v>
      </c>
      <c r="N18" s="103">
        <v>3086.69</v>
      </c>
      <c r="O18" s="118">
        <v>3427</v>
      </c>
      <c r="P18" s="94">
        <v>0</v>
      </c>
      <c r="Q18" s="119">
        <v>12825.5</v>
      </c>
    </row>
    <row r="19" spans="1:17" x14ac:dyDescent="0.2">
      <c r="A19" s="81">
        <f t="shared" si="0"/>
        <v>43252</v>
      </c>
      <c r="B19" s="94">
        <v>448</v>
      </c>
      <c r="C19" s="91">
        <v>3305.03</v>
      </c>
      <c r="D19" s="94">
        <v>120</v>
      </c>
      <c r="E19" s="91">
        <v>878.38</v>
      </c>
      <c r="F19" s="94">
        <v>568</v>
      </c>
      <c r="G19" s="91">
        <v>4183.41</v>
      </c>
      <c r="H19" s="118">
        <v>2083</v>
      </c>
      <c r="I19" s="91">
        <v>13660.67</v>
      </c>
      <c r="J19" s="120">
        <v>2651</v>
      </c>
      <c r="K19" s="86">
        <f t="shared" si="2"/>
        <v>43252</v>
      </c>
      <c r="L19" s="117">
        <v>1990</v>
      </c>
      <c r="M19" s="103">
        <v>5878.9</v>
      </c>
      <c r="N19" s="103">
        <v>2328.35</v>
      </c>
      <c r="O19" s="118">
        <v>2585</v>
      </c>
      <c r="P19" s="94">
        <v>2044</v>
      </c>
      <c r="Q19" s="119">
        <v>8207.25</v>
      </c>
    </row>
    <row r="20" spans="1:17" x14ac:dyDescent="0.2">
      <c r="A20" s="140">
        <f t="shared" si="0"/>
        <v>43282</v>
      </c>
      <c r="B20" s="125">
        <v>360</v>
      </c>
      <c r="C20" s="141">
        <v>2660.75</v>
      </c>
      <c r="D20" s="125">
        <v>92</v>
      </c>
      <c r="E20" s="141">
        <v>676.07</v>
      </c>
      <c r="F20" s="125">
        <v>452</v>
      </c>
      <c r="G20" s="141">
        <v>3336.82</v>
      </c>
      <c r="H20" s="125">
        <v>2904</v>
      </c>
      <c r="I20" s="141">
        <v>19044.22</v>
      </c>
      <c r="J20" s="142">
        <v>3356</v>
      </c>
      <c r="K20" s="143">
        <f t="shared" si="2"/>
        <v>43282</v>
      </c>
      <c r="L20" s="144">
        <v>4750</v>
      </c>
      <c r="M20" s="145">
        <v>14033.85</v>
      </c>
      <c r="N20" s="145">
        <v>2788.61</v>
      </c>
      <c r="O20" s="125">
        <v>3096</v>
      </c>
      <c r="P20" s="125">
        <v>0</v>
      </c>
      <c r="Q20" s="146">
        <v>16822.46</v>
      </c>
    </row>
    <row r="21" spans="1:17" x14ac:dyDescent="0.2">
      <c r="A21" s="140">
        <f t="shared" si="0"/>
        <v>43313</v>
      </c>
      <c r="B21" s="125">
        <v>339</v>
      </c>
      <c r="C21" s="141">
        <v>2519.91</v>
      </c>
      <c r="D21" s="125">
        <v>89</v>
      </c>
      <c r="E21" s="141">
        <v>657.08</v>
      </c>
      <c r="F21" s="125">
        <v>428</v>
      </c>
      <c r="G21" s="141">
        <v>3176.99</v>
      </c>
      <c r="H21" s="125">
        <v>2683.8</v>
      </c>
      <c r="I21" s="141">
        <v>17599.95</v>
      </c>
      <c r="J21" s="142">
        <v>3111.8</v>
      </c>
      <c r="K21" s="143">
        <f t="shared" si="2"/>
        <v>43313</v>
      </c>
      <c r="L21" s="144">
        <v>4619</v>
      </c>
      <c r="M21" s="145">
        <v>14235.26</v>
      </c>
      <c r="N21" s="145">
        <v>3063.35</v>
      </c>
      <c r="O21" s="125">
        <v>3401.1</v>
      </c>
      <c r="P21" s="125">
        <v>-8297</v>
      </c>
      <c r="Q21" s="146">
        <v>17298.61</v>
      </c>
    </row>
    <row r="22" spans="1:17" x14ac:dyDescent="0.2">
      <c r="A22" s="140">
        <f t="shared" si="0"/>
        <v>43344</v>
      </c>
      <c r="B22" s="125">
        <v>447</v>
      </c>
      <c r="C22" s="141">
        <v>3162.38</v>
      </c>
      <c r="D22" s="125">
        <v>121</v>
      </c>
      <c r="E22" s="141">
        <v>853.8</v>
      </c>
      <c r="F22" s="125">
        <v>568</v>
      </c>
      <c r="G22" s="141">
        <v>4016.18</v>
      </c>
      <c r="H22" s="125">
        <v>399</v>
      </c>
      <c r="I22" s="141">
        <v>3350.52</v>
      </c>
      <c r="J22" s="142">
        <v>967</v>
      </c>
      <c r="K22" s="143">
        <f t="shared" si="2"/>
        <v>43344</v>
      </c>
      <c r="L22" s="144">
        <v>4800</v>
      </c>
      <c r="M22" s="145">
        <v>14621.28</v>
      </c>
      <c r="N22" s="145">
        <v>622.48</v>
      </c>
      <c r="O22" s="125">
        <v>691.1</v>
      </c>
      <c r="P22" s="125">
        <v>8843</v>
      </c>
      <c r="Q22" s="146">
        <v>15243.76</v>
      </c>
    </row>
    <row r="23" spans="1:17" x14ac:dyDescent="0.2">
      <c r="A23" s="140">
        <f t="shared" si="0"/>
        <v>43374</v>
      </c>
      <c r="B23" s="125">
        <v>1255</v>
      </c>
      <c r="C23" s="141">
        <v>8873.43</v>
      </c>
      <c r="D23" s="125">
        <v>221</v>
      </c>
      <c r="E23" s="141">
        <v>1559.66</v>
      </c>
      <c r="F23" s="125">
        <v>1476</v>
      </c>
      <c r="G23" s="141">
        <v>10433.09</v>
      </c>
      <c r="H23" s="125">
        <v>0.9</v>
      </c>
      <c r="I23" s="141">
        <v>5.71</v>
      </c>
      <c r="J23" s="142">
        <v>1476.9</v>
      </c>
      <c r="K23" s="143">
        <f t="shared" si="2"/>
        <v>43374</v>
      </c>
      <c r="L23" s="144">
        <v>4814</v>
      </c>
      <c r="M23" s="145">
        <v>15717.54</v>
      </c>
      <c r="N23" s="145">
        <v>2116.64</v>
      </c>
      <c r="O23" s="125">
        <v>2350</v>
      </c>
      <c r="P23" s="125">
        <v>2464</v>
      </c>
      <c r="Q23" s="146">
        <v>17834.18</v>
      </c>
    </row>
    <row r="24" spans="1:17" x14ac:dyDescent="0.2">
      <c r="A24" s="140">
        <f t="shared" si="0"/>
        <v>43405</v>
      </c>
      <c r="B24" s="125">
        <v>3012</v>
      </c>
      <c r="C24" s="141">
        <v>20547.25</v>
      </c>
      <c r="D24" s="125">
        <v>539</v>
      </c>
      <c r="E24" s="141">
        <v>3665.34</v>
      </c>
      <c r="F24" s="125">
        <v>3551</v>
      </c>
      <c r="G24" s="141">
        <v>24212.59</v>
      </c>
      <c r="H24" s="125">
        <v>0</v>
      </c>
      <c r="I24" s="141">
        <v>0</v>
      </c>
      <c r="J24" s="142">
        <v>3551</v>
      </c>
      <c r="K24" s="143">
        <f t="shared" si="2"/>
        <v>43405</v>
      </c>
      <c r="L24" s="144">
        <v>4989</v>
      </c>
      <c r="M24" s="145">
        <v>19769.16</v>
      </c>
      <c r="N24" s="145">
        <v>5262.8</v>
      </c>
      <c r="O24" s="125">
        <v>5843</v>
      </c>
      <c r="P24" s="125">
        <v>-854</v>
      </c>
      <c r="Q24" s="146">
        <v>25031.96</v>
      </c>
    </row>
    <row r="25" spans="1:17" x14ac:dyDescent="0.2">
      <c r="A25" s="140">
        <f t="shared" si="0"/>
        <v>43435</v>
      </c>
      <c r="B25" s="125">
        <v>4085</v>
      </c>
      <c r="C25" s="141">
        <v>27864.36</v>
      </c>
      <c r="D25" s="125">
        <v>790</v>
      </c>
      <c r="E25" s="141">
        <v>5351.44</v>
      </c>
      <c r="F25" s="125">
        <v>4875</v>
      </c>
      <c r="G25" s="141">
        <v>33215.800000000003</v>
      </c>
      <c r="H25" s="125">
        <v>0</v>
      </c>
      <c r="I25" s="141">
        <v>0</v>
      </c>
      <c r="J25" s="142">
        <v>4875</v>
      </c>
      <c r="K25" s="143">
        <f t="shared" si="2"/>
        <v>43435</v>
      </c>
      <c r="L25" s="144">
        <v>4360</v>
      </c>
      <c r="M25" s="145">
        <v>15256.21</v>
      </c>
      <c r="N25" s="145">
        <v>5192.5600000000004</v>
      </c>
      <c r="O25" s="125">
        <v>5764.4</v>
      </c>
      <c r="P25" s="125">
        <v>-1404.4</v>
      </c>
      <c r="Q25" s="146">
        <v>20448.77</v>
      </c>
    </row>
    <row r="26" spans="1:17" s="174" customFormat="1" x14ac:dyDescent="0.2">
      <c r="A26" s="166">
        <f t="shared" si="0"/>
        <v>43466</v>
      </c>
      <c r="B26" s="167">
        <v>5534</v>
      </c>
      <c r="C26" s="168">
        <v>30722.62</v>
      </c>
      <c r="D26" s="167">
        <v>1091</v>
      </c>
      <c r="E26" s="168">
        <v>5989.42</v>
      </c>
      <c r="F26" s="167">
        <v>6625</v>
      </c>
      <c r="G26" s="168">
        <v>36712.04</v>
      </c>
      <c r="H26" s="167">
        <v>0</v>
      </c>
      <c r="I26" s="168">
        <v>0</v>
      </c>
      <c r="J26" s="169">
        <v>6625</v>
      </c>
      <c r="K26" s="170">
        <f t="shared" si="2"/>
        <v>43466</v>
      </c>
      <c r="L26" s="171">
        <v>4960</v>
      </c>
      <c r="M26" s="172">
        <v>15100.88</v>
      </c>
      <c r="N26" s="172">
        <v>6878.66</v>
      </c>
      <c r="O26" s="167">
        <v>7636.2</v>
      </c>
      <c r="P26" s="167">
        <v>-2676.2</v>
      </c>
      <c r="Q26" s="173">
        <v>21979.54</v>
      </c>
    </row>
    <row r="27" spans="1:17" s="174" customFormat="1" x14ac:dyDescent="0.2">
      <c r="A27" s="166">
        <f t="shared" si="0"/>
        <v>43497</v>
      </c>
      <c r="B27" s="167">
        <v>4788</v>
      </c>
      <c r="C27" s="168">
        <v>26525.91</v>
      </c>
      <c r="D27" s="167">
        <v>1012</v>
      </c>
      <c r="E27" s="168">
        <v>5529.75</v>
      </c>
      <c r="F27" s="167">
        <v>5800</v>
      </c>
      <c r="G27" s="168">
        <v>32055.66</v>
      </c>
      <c r="H27" s="167">
        <v>0</v>
      </c>
      <c r="I27" s="168">
        <v>0</v>
      </c>
      <c r="J27" s="169">
        <v>5800</v>
      </c>
      <c r="K27" s="170">
        <f t="shared" si="2"/>
        <v>43497</v>
      </c>
      <c r="L27" s="171">
        <v>3950</v>
      </c>
      <c r="M27" s="172">
        <v>11551.06</v>
      </c>
      <c r="N27" s="172">
        <v>4784.5200000000004</v>
      </c>
      <c r="O27" s="167">
        <v>5311.4</v>
      </c>
      <c r="P27" s="167">
        <v>-1361.4</v>
      </c>
      <c r="Q27" s="173">
        <v>16335.58</v>
      </c>
    </row>
    <row r="28" spans="1:17" s="174" customFormat="1" x14ac:dyDescent="0.2">
      <c r="A28" s="166">
        <f t="shared" si="0"/>
        <v>43525</v>
      </c>
      <c r="B28" s="167">
        <v>4927</v>
      </c>
      <c r="C28" s="168">
        <v>27298.15</v>
      </c>
      <c r="D28" s="167">
        <v>884</v>
      </c>
      <c r="E28" s="168">
        <v>4842.62</v>
      </c>
      <c r="F28" s="167">
        <v>5811</v>
      </c>
      <c r="G28" s="168">
        <v>32140.77</v>
      </c>
      <c r="H28" s="167">
        <v>0</v>
      </c>
      <c r="I28" s="168">
        <v>0</v>
      </c>
      <c r="J28" s="169">
        <v>5811</v>
      </c>
      <c r="K28" s="170">
        <f t="shared" si="2"/>
        <v>43525</v>
      </c>
      <c r="L28" s="171">
        <v>4198</v>
      </c>
      <c r="M28" s="172">
        <v>12410.22</v>
      </c>
      <c r="N28" s="172">
        <v>4726.88</v>
      </c>
      <c r="O28" s="167">
        <v>5247.4</v>
      </c>
      <c r="P28" s="167">
        <v>-1049.4000000000001</v>
      </c>
      <c r="Q28" s="173">
        <v>17137.099999999999</v>
      </c>
    </row>
    <row r="29" spans="1:17" x14ac:dyDescent="0.2">
      <c r="A29" s="88">
        <f t="shared" si="0"/>
        <v>43556</v>
      </c>
      <c r="B29" s="97">
        <v>1878</v>
      </c>
      <c r="C29" s="135">
        <v>10405.709999999999</v>
      </c>
      <c r="D29" s="97">
        <v>377</v>
      </c>
      <c r="E29" s="135">
        <v>2075.48</v>
      </c>
      <c r="F29" s="97">
        <v>2255</v>
      </c>
      <c r="G29" s="135">
        <v>12481.19</v>
      </c>
      <c r="H29" s="97">
        <v>0</v>
      </c>
      <c r="I29" s="135">
        <v>0</v>
      </c>
      <c r="J29" s="99">
        <v>2255</v>
      </c>
      <c r="K29" s="89">
        <f t="shared" si="2"/>
        <v>43556</v>
      </c>
      <c r="L29" s="115">
        <v>2714</v>
      </c>
      <c r="M29" s="136">
        <v>7535.57</v>
      </c>
      <c r="N29" s="136">
        <v>1531.17</v>
      </c>
      <c r="O29" s="97">
        <v>1699.8</v>
      </c>
      <c r="P29" s="163">
        <v>1014.2</v>
      </c>
      <c r="Q29" s="107">
        <v>9066.74</v>
      </c>
    </row>
    <row r="30" spans="1:17" x14ac:dyDescent="0.2">
      <c r="A30" s="88">
        <f t="shared" si="0"/>
        <v>43586</v>
      </c>
      <c r="B30" s="97">
        <v>583</v>
      </c>
      <c r="C30" s="135">
        <v>3232.95</v>
      </c>
      <c r="D30" s="97">
        <v>155</v>
      </c>
      <c r="E30" s="135">
        <v>846.28</v>
      </c>
      <c r="F30" s="97">
        <v>738</v>
      </c>
      <c r="G30" s="135">
        <v>4079.23</v>
      </c>
      <c r="H30" s="97">
        <v>0</v>
      </c>
      <c r="I30" s="135">
        <v>0</v>
      </c>
      <c r="J30" s="99">
        <v>738</v>
      </c>
      <c r="K30" s="89">
        <f t="shared" si="2"/>
        <v>43586</v>
      </c>
      <c r="L30" s="115">
        <v>3881</v>
      </c>
      <c r="M30" s="136">
        <v>10788.83</v>
      </c>
      <c r="N30" s="136">
        <v>1094.29</v>
      </c>
      <c r="O30" s="97">
        <v>1214.8</v>
      </c>
      <c r="P30" s="163">
        <v>2666.2</v>
      </c>
      <c r="Q30" s="107">
        <v>11883.12</v>
      </c>
    </row>
    <row r="31" spans="1:17" x14ac:dyDescent="0.2">
      <c r="A31" s="88">
        <f t="shared" si="0"/>
        <v>43617</v>
      </c>
      <c r="B31" s="97">
        <v>560</v>
      </c>
      <c r="C31" s="135">
        <v>2969.9</v>
      </c>
      <c r="D31" s="97">
        <v>131</v>
      </c>
      <c r="E31" s="135">
        <v>721.99</v>
      </c>
      <c r="F31" s="97">
        <v>691</v>
      </c>
      <c r="G31" s="135">
        <v>3691.89</v>
      </c>
      <c r="H31" s="97">
        <v>1853</v>
      </c>
      <c r="I31" s="135">
        <v>12643.34</v>
      </c>
      <c r="J31" s="99">
        <v>2544</v>
      </c>
      <c r="K31" s="89">
        <f t="shared" si="2"/>
        <v>43617</v>
      </c>
      <c r="L31" s="115">
        <v>3563</v>
      </c>
      <c r="M31" s="136">
        <v>9461.3700000000008</v>
      </c>
      <c r="N31" s="136">
        <v>2399.4</v>
      </c>
      <c r="O31" s="97">
        <v>2663.6</v>
      </c>
      <c r="P31" s="163">
        <v>899.4</v>
      </c>
      <c r="Q31" s="107">
        <v>11860.77</v>
      </c>
    </row>
    <row r="32" spans="1:17" x14ac:dyDescent="0.2">
      <c r="A32" s="88">
        <f t="shared" si="0"/>
        <v>43647</v>
      </c>
      <c r="B32" s="97">
        <v>367</v>
      </c>
      <c r="C32" s="135">
        <v>2545.09</v>
      </c>
      <c r="D32" s="97">
        <v>99</v>
      </c>
      <c r="E32" s="135">
        <v>684.26</v>
      </c>
      <c r="F32" s="97">
        <v>466</v>
      </c>
      <c r="G32" s="135">
        <v>3229.35</v>
      </c>
      <c r="H32" s="97">
        <v>4263</v>
      </c>
      <c r="I32" s="135">
        <v>29571.61</v>
      </c>
      <c r="J32" s="99">
        <v>4729</v>
      </c>
      <c r="K32" s="89">
        <f t="shared" si="2"/>
        <v>43647</v>
      </c>
      <c r="L32" s="115">
        <v>3949</v>
      </c>
      <c r="M32" s="136">
        <v>10432.370000000001</v>
      </c>
      <c r="N32" s="136">
        <v>4050.5</v>
      </c>
      <c r="O32" s="97">
        <v>4496.6000000000004</v>
      </c>
      <c r="P32" s="163">
        <v>-547.6</v>
      </c>
      <c r="Q32" s="107">
        <v>14482.87</v>
      </c>
    </row>
    <row r="33" spans="1:17" x14ac:dyDescent="0.2">
      <c r="A33" s="88">
        <f t="shared" si="0"/>
        <v>43678</v>
      </c>
      <c r="B33" s="97">
        <v>356</v>
      </c>
      <c r="C33" s="135">
        <v>2472.86</v>
      </c>
      <c r="D33" s="97">
        <v>108</v>
      </c>
      <c r="E33" s="135">
        <v>750.15</v>
      </c>
      <c r="F33" s="97">
        <v>464</v>
      </c>
      <c r="G33" s="135">
        <v>3223.01</v>
      </c>
      <c r="H33" s="97">
        <v>1651</v>
      </c>
      <c r="I33" s="135">
        <v>11749.99</v>
      </c>
      <c r="J33" s="99">
        <v>2115</v>
      </c>
      <c r="K33" s="89">
        <f t="shared" si="2"/>
        <v>43678</v>
      </c>
      <c r="L33" s="115">
        <v>4810</v>
      </c>
      <c r="M33" s="136">
        <v>11898.08</v>
      </c>
      <c r="N33" s="136">
        <v>1736.67</v>
      </c>
      <c r="O33" s="97">
        <v>1927.9</v>
      </c>
      <c r="P33" s="163">
        <v>2882.1</v>
      </c>
      <c r="Q33" s="107">
        <v>13634.75</v>
      </c>
    </row>
    <row r="34" spans="1:17" x14ac:dyDescent="0.2">
      <c r="A34" s="88">
        <f t="shared" si="0"/>
        <v>43709</v>
      </c>
      <c r="B34" s="97">
        <v>333</v>
      </c>
      <c r="C34" s="135">
        <v>2312.33</v>
      </c>
      <c r="D34" s="97">
        <v>106</v>
      </c>
      <c r="E34" s="135">
        <v>732.35</v>
      </c>
      <c r="F34" s="97">
        <v>439</v>
      </c>
      <c r="G34" s="135">
        <v>3044.68</v>
      </c>
      <c r="H34" s="97">
        <v>36</v>
      </c>
      <c r="I34" s="135">
        <v>235.62</v>
      </c>
      <c r="J34" s="99">
        <v>475</v>
      </c>
      <c r="K34" s="89">
        <f t="shared" si="2"/>
        <v>43709</v>
      </c>
      <c r="L34" s="115">
        <v>2500</v>
      </c>
      <c r="M34" s="136">
        <v>7147.5</v>
      </c>
      <c r="N34" s="136">
        <v>1174.58</v>
      </c>
      <c r="O34" s="97">
        <v>1303.9000000000001</v>
      </c>
      <c r="P34" s="163">
        <v>1196.0999999999999</v>
      </c>
      <c r="Q34" s="107">
        <v>8322.08</v>
      </c>
    </row>
    <row r="35" spans="1:17" x14ac:dyDescent="0.2">
      <c r="A35" s="88">
        <f t="shared" si="0"/>
        <v>43739</v>
      </c>
      <c r="B35" s="97">
        <v>726</v>
      </c>
      <c r="C35" s="135">
        <v>6097.25</v>
      </c>
      <c r="D35" s="97">
        <v>196</v>
      </c>
      <c r="E35" s="135">
        <v>1640.92</v>
      </c>
      <c r="F35" s="97">
        <v>922</v>
      </c>
      <c r="G35" s="135">
        <v>7738.17</v>
      </c>
      <c r="H35" s="97">
        <v>963</v>
      </c>
      <c r="I35" s="135">
        <v>7317.95</v>
      </c>
      <c r="J35" s="99">
        <v>1885</v>
      </c>
      <c r="K35" s="89">
        <f t="shared" si="2"/>
        <v>43739</v>
      </c>
      <c r="L35" s="115">
        <v>4125</v>
      </c>
      <c r="M35" s="136">
        <v>10128.549999999999</v>
      </c>
      <c r="N35" s="136">
        <v>2131.89</v>
      </c>
      <c r="O35" s="97">
        <v>2366.6999999999998</v>
      </c>
      <c r="P35" s="97"/>
      <c r="Q35" s="107">
        <v>12260.44</v>
      </c>
    </row>
    <row r="36" spans="1:17" x14ac:dyDescent="0.2">
      <c r="A36" s="88">
        <f t="shared" si="0"/>
        <v>43770</v>
      </c>
      <c r="B36" s="97">
        <v>3020</v>
      </c>
      <c r="C36" s="135">
        <v>25346.720000000001</v>
      </c>
      <c r="D36" s="97">
        <v>659</v>
      </c>
      <c r="E36" s="135">
        <v>5477.16</v>
      </c>
      <c r="F36" s="97">
        <v>3679</v>
      </c>
      <c r="G36" s="135">
        <v>30823.88</v>
      </c>
      <c r="H36" s="97">
        <v>0</v>
      </c>
      <c r="I36" s="135">
        <v>0</v>
      </c>
      <c r="J36" s="99">
        <v>3679</v>
      </c>
      <c r="K36" s="89">
        <f t="shared" si="2"/>
        <v>43770</v>
      </c>
      <c r="L36" s="115">
        <v>4175</v>
      </c>
      <c r="M36" s="136">
        <v>11245.33</v>
      </c>
      <c r="N36" s="136">
        <v>4298.1499999999996</v>
      </c>
      <c r="O36" s="97">
        <v>4771.5</v>
      </c>
      <c r="P36" s="97">
        <v>-4468</v>
      </c>
      <c r="Q36" s="107">
        <v>15543.48</v>
      </c>
    </row>
    <row r="37" spans="1:17" x14ac:dyDescent="0.2">
      <c r="A37" s="88">
        <f t="shared" si="0"/>
        <v>43800</v>
      </c>
      <c r="B37" s="97">
        <v>3828</v>
      </c>
      <c r="C37" s="135">
        <v>32092.58</v>
      </c>
      <c r="D37" s="97">
        <v>830</v>
      </c>
      <c r="E37" s="135">
        <v>6923.93</v>
      </c>
      <c r="F37" s="97">
        <v>4658</v>
      </c>
      <c r="G37" s="135">
        <v>39016.51</v>
      </c>
      <c r="H37" s="97">
        <v>0</v>
      </c>
      <c r="I37" s="135">
        <v>0</v>
      </c>
      <c r="J37" s="99">
        <v>4658</v>
      </c>
      <c r="K37" s="89">
        <f t="shared" si="2"/>
        <v>43800</v>
      </c>
      <c r="L37" s="115">
        <v>5614</v>
      </c>
      <c r="M37" s="136">
        <v>14746.58</v>
      </c>
      <c r="N37" s="136">
        <v>4706.13</v>
      </c>
      <c r="O37" s="97">
        <v>5224.3999999999996</v>
      </c>
      <c r="P37" s="97"/>
      <c r="Q37" s="107">
        <v>19452.71</v>
      </c>
    </row>
    <row r="38" spans="1:17" s="175" customFormat="1" x14ac:dyDescent="0.2">
      <c r="A38" s="88">
        <v>43850</v>
      </c>
      <c r="B38" s="97">
        <v>4401</v>
      </c>
      <c r="C38" s="135">
        <v>34665.97</v>
      </c>
      <c r="D38" s="97">
        <v>950</v>
      </c>
      <c r="E38" s="135">
        <v>7428.08</v>
      </c>
      <c r="F38" s="97">
        <f t="shared" ref="F38:G40" si="3">SUM(B38+D38)</f>
        <v>5351</v>
      </c>
      <c r="G38" s="97">
        <f t="shared" si="3"/>
        <v>42094.05</v>
      </c>
      <c r="H38" s="97"/>
      <c r="I38" s="135"/>
      <c r="J38" s="99"/>
      <c r="K38" s="89">
        <v>43850</v>
      </c>
      <c r="L38" s="115">
        <v>2852</v>
      </c>
      <c r="M38" s="136">
        <v>7600.88</v>
      </c>
      <c r="N38" s="136">
        <v>5223.1400000000003</v>
      </c>
      <c r="O38" s="97">
        <v>5799</v>
      </c>
      <c r="P38" s="97"/>
      <c r="Q38" s="107">
        <f>SUM(M38+N38)</f>
        <v>12824.02</v>
      </c>
    </row>
    <row r="39" spans="1:17" s="175" customFormat="1" x14ac:dyDescent="0.2">
      <c r="A39" s="88">
        <v>43881</v>
      </c>
      <c r="B39" s="97">
        <v>4521</v>
      </c>
      <c r="C39" s="135">
        <v>35612.19</v>
      </c>
      <c r="D39" s="97">
        <v>1010</v>
      </c>
      <c r="E39" s="135">
        <v>7893.54</v>
      </c>
      <c r="F39" s="97">
        <f t="shared" si="3"/>
        <v>5531</v>
      </c>
      <c r="G39" s="97">
        <f t="shared" si="3"/>
        <v>43505.73</v>
      </c>
      <c r="H39" s="97"/>
      <c r="I39" s="135"/>
      <c r="J39" s="99"/>
      <c r="K39" s="89">
        <v>43881</v>
      </c>
      <c r="L39" s="115">
        <v>2775</v>
      </c>
      <c r="M39" s="136">
        <v>7389.48</v>
      </c>
      <c r="N39" s="136">
        <v>5181.75</v>
      </c>
      <c r="O39" s="97">
        <f>SUM(N39/0.9007)</f>
        <v>5753.0254246697014</v>
      </c>
      <c r="P39" s="97"/>
      <c r="Q39" s="107">
        <f>SUM(M39+N39)</f>
        <v>12571.23</v>
      </c>
    </row>
    <row r="40" spans="1:17" s="175" customFormat="1" x14ac:dyDescent="0.2">
      <c r="A40" s="88">
        <v>43910</v>
      </c>
      <c r="B40" s="97">
        <v>2976</v>
      </c>
      <c r="C40" s="135">
        <v>19128.53</v>
      </c>
      <c r="D40" s="97">
        <v>635</v>
      </c>
      <c r="E40" s="135">
        <v>4045.92</v>
      </c>
      <c r="F40" s="97">
        <f t="shared" si="3"/>
        <v>3611</v>
      </c>
      <c r="G40" s="97">
        <f t="shared" si="3"/>
        <v>23174.449999999997</v>
      </c>
      <c r="H40" s="97"/>
      <c r="I40" s="135"/>
      <c r="J40" s="99"/>
      <c r="K40" s="89">
        <v>43910</v>
      </c>
      <c r="L40" s="115">
        <v>2900</v>
      </c>
      <c r="M40" s="136">
        <v>7725.6</v>
      </c>
      <c r="N40" s="136">
        <v>2990.3</v>
      </c>
      <c r="O40" s="97">
        <f>SUM(N40/0.9007)</f>
        <v>3319.9733540579555</v>
      </c>
      <c r="P40" s="97"/>
      <c r="Q40" s="107">
        <f>SUM(M40+N40)</f>
        <v>10715.900000000001</v>
      </c>
    </row>
    <row r="41" spans="1:17" x14ac:dyDescent="0.2">
      <c r="A41" s="81"/>
      <c r="B41" s="94"/>
      <c r="C41" s="91"/>
      <c r="D41" s="94"/>
      <c r="E41" s="91"/>
      <c r="F41" s="94"/>
      <c r="G41" s="91"/>
      <c r="H41" s="94"/>
      <c r="I41" s="91"/>
      <c r="J41" s="98"/>
      <c r="K41" s="86"/>
    </row>
    <row r="42" spans="1:17" s="153" customFormat="1" x14ac:dyDescent="0.2">
      <c r="A42" s="83" t="s">
        <v>105</v>
      </c>
      <c r="B42" s="95">
        <f>SUM(B29:B40)</f>
        <v>23549</v>
      </c>
      <c r="C42" s="95">
        <f t="shared" ref="C42:J42" si="4">SUM(C29:C40)</f>
        <v>176882.08000000002</v>
      </c>
      <c r="D42" s="95">
        <f t="shared" si="4"/>
        <v>5256</v>
      </c>
      <c r="E42" s="95">
        <f t="shared" si="4"/>
        <v>39220.06</v>
      </c>
      <c r="F42" s="95">
        <f t="shared" si="4"/>
        <v>28805</v>
      </c>
      <c r="G42" s="95">
        <f t="shared" si="4"/>
        <v>216102.14</v>
      </c>
      <c r="H42" s="95">
        <f t="shared" si="4"/>
        <v>8766</v>
      </c>
      <c r="I42" s="95">
        <f t="shared" si="4"/>
        <v>61518.509999999995</v>
      </c>
      <c r="J42" s="95">
        <f t="shared" si="4"/>
        <v>23078</v>
      </c>
      <c r="K42" s="84"/>
      <c r="L42" s="116"/>
      <c r="M42" s="104"/>
      <c r="N42" s="104"/>
      <c r="O42" s="101"/>
      <c r="P42" s="101"/>
      <c r="Q42" s="108"/>
    </row>
    <row r="43" spans="1:17" x14ac:dyDescent="0.2">
      <c r="A43" s="81"/>
      <c r="B43" s="94"/>
      <c r="C43" s="91"/>
      <c r="D43" s="94"/>
      <c r="E43" s="91"/>
      <c r="F43" s="94"/>
      <c r="G43" s="91"/>
      <c r="H43" s="94"/>
      <c r="I43" s="91"/>
      <c r="J43" s="98"/>
      <c r="K43" s="87" t="s">
        <v>105</v>
      </c>
      <c r="L43" s="154">
        <f t="shared" ref="L43:Q43" si="5">SUM(L29:L40)</f>
        <v>43858</v>
      </c>
      <c r="M43" s="154">
        <f t="shared" si="5"/>
        <v>116100.14000000001</v>
      </c>
      <c r="N43" s="154">
        <f t="shared" si="5"/>
        <v>36517.97</v>
      </c>
      <c r="O43" s="154">
        <f t="shared" si="5"/>
        <v>40541.198778727652</v>
      </c>
      <c r="P43" s="154">
        <f t="shared" si="5"/>
        <v>3642.3999999999996</v>
      </c>
      <c r="Q43" s="154">
        <f t="shared" si="5"/>
        <v>152618.10999999999</v>
      </c>
    </row>
    <row r="44" spans="1:17" x14ac:dyDescent="0.2">
      <c r="A44" s="81"/>
      <c r="B44" s="94"/>
      <c r="C44" s="91"/>
      <c r="D44" s="94"/>
      <c r="E44" s="91"/>
      <c r="F44" s="94"/>
      <c r="G44" s="91"/>
      <c r="H44" s="94"/>
      <c r="I44" s="91"/>
      <c r="J44" s="98"/>
    </row>
    <row r="45" spans="1:17" x14ac:dyDescent="0.2">
      <c r="A45" s="81"/>
      <c r="B45" s="94"/>
      <c r="C45" s="91"/>
      <c r="D45" s="94"/>
      <c r="E45" s="91"/>
      <c r="F45" s="94"/>
      <c r="G45" s="91"/>
      <c r="H45" s="94"/>
      <c r="I45" s="91"/>
      <c r="J45" s="98"/>
      <c r="L45" s="113" t="s">
        <v>72</v>
      </c>
      <c r="O45" s="95"/>
      <c r="P45" s="95"/>
    </row>
    <row r="46" spans="1:17" x14ac:dyDescent="0.2">
      <c r="B46" s="127" t="s">
        <v>117</v>
      </c>
      <c r="C46" s="91"/>
      <c r="D46" s="94"/>
      <c r="E46" s="91"/>
      <c r="F46" s="94"/>
      <c r="G46" s="91"/>
      <c r="H46" s="94"/>
      <c r="I46" s="91"/>
      <c r="J46" s="98"/>
    </row>
    <row r="47" spans="1:17" x14ac:dyDescent="0.2">
      <c r="A47" s="81"/>
      <c r="B47" s="122" t="s">
        <v>115</v>
      </c>
      <c r="C47" s="91"/>
      <c r="D47" s="94"/>
      <c r="E47" s="91"/>
      <c r="F47" s="94"/>
      <c r="G47" s="91"/>
      <c r="H47" s="94"/>
      <c r="I47" s="91"/>
      <c r="J47" s="98"/>
    </row>
    <row r="48" spans="1:17" x14ac:dyDescent="0.2">
      <c r="A48" s="81"/>
      <c r="B48" s="94"/>
      <c r="C48" s="91"/>
      <c r="D48" s="94"/>
      <c r="E48" s="91"/>
      <c r="F48" s="94"/>
      <c r="G48" s="91"/>
      <c r="H48" s="94"/>
      <c r="I48" s="91"/>
      <c r="J48" s="98"/>
    </row>
    <row r="49" spans="2:10" x14ac:dyDescent="0.2">
      <c r="B49" s="94"/>
      <c r="C49" s="91"/>
      <c r="D49" s="94"/>
      <c r="E49" s="91"/>
      <c r="F49" s="94"/>
      <c r="G49" s="91"/>
      <c r="H49" s="94"/>
      <c r="I49" s="91"/>
      <c r="J49" s="98"/>
    </row>
    <row r="50" spans="2:10" x14ac:dyDescent="0.2">
      <c r="B50" s="94"/>
      <c r="C50" s="91"/>
      <c r="D50" s="94"/>
      <c r="E50" s="91"/>
      <c r="F50" s="94"/>
      <c r="G50" s="91"/>
      <c r="H50" s="94"/>
      <c r="I50" s="91"/>
      <c r="J50" s="9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I</vt:lpstr>
      <vt:lpstr>Schedule II</vt:lpstr>
      <vt:lpstr>Schedule IV</vt:lpstr>
      <vt:lpstr>Data</vt:lpstr>
      <vt:lpstr>'Schedule I'!Print_Area</vt:lpstr>
      <vt:lpstr>'Schedule II'!Print_Area</vt:lpstr>
      <vt:lpstr>'Schedule IV'!Print_Area</vt:lpstr>
    </vt:vector>
  </TitlesOfParts>
  <Company>Kentucky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Kerry R. Kasey</cp:lastModifiedBy>
  <cp:lastPrinted>2020-05-20T14:37:59Z</cp:lastPrinted>
  <dcterms:created xsi:type="dcterms:W3CDTF">2006-10-26T17:11:15Z</dcterms:created>
  <dcterms:modified xsi:type="dcterms:W3CDTF">2020-05-21T19:13:21Z</dcterms:modified>
</cp:coreProperties>
</file>