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N\Documents\Grayson County Water\"/>
    </mc:Choice>
  </mc:AlternateContent>
  <xr:revisionPtr revIDLastSave="0" documentId="13_ncr:1_{04173E09-9818-4861-8174-C227DBCCC982}" xr6:coauthVersionLast="45" xr6:coauthVersionMax="45" xr10:uidLastSave="{00000000-0000-0000-0000-000000000000}"/>
  <bookViews>
    <workbookView xWindow="0" yWindow="0" windowWidth="20490" windowHeight="10920" activeTab="1" xr2:uid="{00000000-000D-0000-FFFF-FFFF00000000}"/>
  </bookViews>
  <sheets>
    <sheet name="Users" sheetId="1" r:id="rId1"/>
    <sheet name="Forecast" sheetId="2" r:id="rId2"/>
    <sheet name="Sheet2" sheetId="8" r:id="rId3"/>
    <sheet name="Current Budget" sheetId="7" r:id="rId4"/>
    <sheet name="Proposed Budgets" sheetId="3" r:id="rId5"/>
    <sheet name="Rates" sheetId="4" r:id="rId6"/>
    <sheet name="Over 25,000" sheetId="5" r:id="rId7"/>
    <sheet name="Sheet1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2" l="1"/>
  <c r="I41" i="3" l="1"/>
  <c r="I40" i="3"/>
  <c r="I25" i="7" l="1"/>
  <c r="I21" i="7"/>
  <c r="I8" i="7"/>
  <c r="I34" i="3" l="1"/>
  <c r="C49" i="4" l="1"/>
  <c r="C45" i="4"/>
  <c r="C40" i="4"/>
  <c r="C35" i="4"/>
  <c r="C29" i="4"/>
  <c r="C23" i="4"/>
  <c r="C17" i="4"/>
  <c r="C10" i="4"/>
  <c r="C3" i="4"/>
  <c r="D49" i="4" s="1"/>
  <c r="D40" i="4" l="1"/>
  <c r="D23" i="4"/>
  <c r="D45" i="4"/>
  <c r="D10" i="4"/>
  <c r="D35" i="4"/>
  <c r="D17" i="4"/>
  <c r="D29" i="4"/>
  <c r="E9" i="1"/>
  <c r="E10" i="2" l="1"/>
  <c r="E9" i="2"/>
  <c r="E8" i="2"/>
  <c r="E8" i="1"/>
  <c r="E7" i="1"/>
  <c r="J17" i="8" l="1"/>
  <c r="I17" i="8"/>
  <c r="G17" i="8"/>
  <c r="D8" i="8"/>
  <c r="G26" i="8"/>
  <c r="G18" i="8"/>
  <c r="G10" i="8"/>
  <c r="H44" i="8"/>
  <c r="E44" i="8"/>
  <c r="F42" i="8"/>
  <c r="I42" i="8" s="1"/>
  <c r="D42" i="8"/>
  <c r="J42" i="8" s="1"/>
  <c r="F41" i="8"/>
  <c r="I41" i="8" s="1"/>
  <c r="D41" i="8"/>
  <c r="J41" i="8" s="1"/>
  <c r="I40" i="8"/>
  <c r="I44" i="8" s="1"/>
  <c r="F40" i="8"/>
  <c r="F44" i="8" s="1"/>
  <c r="D40" i="8"/>
  <c r="J40" i="8" s="1"/>
  <c r="H37" i="8"/>
  <c r="E37" i="8"/>
  <c r="G36" i="8"/>
  <c r="F36" i="8"/>
  <c r="I36" i="8" s="1"/>
  <c r="D36" i="8"/>
  <c r="J36" i="8" s="1"/>
  <c r="F35" i="8"/>
  <c r="I35" i="8" s="1"/>
  <c r="D35" i="8"/>
  <c r="G35" i="8" s="1"/>
  <c r="F34" i="8"/>
  <c r="I34" i="8" s="1"/>
  <c r="D34" i="8"/>
  <c r="G34" i="8" s="1"/>
  <c r="H29" i="8"/>
  <c r="H46" i="8" s="1"/>
  <c r="E29" i="8"/>
  <c r="E46" i="8" s="1"/>
  <c r="I28" i="8"/>
  <c r="F28" i="8"/>
  <c r="I27" i="8"/>
  <c r="G27" i="8"/>
  <c r="F27" i="8"/>
  <c r="I26" i="8"/>
  <c r="F26" i="8"/>
  <c r="J27" i="8"/>
  <c r="J25" i="8"/>
  <c r="I25" i="8"/>
  <c r="G25" i="8"/>
  <c r="F25" i="8"/>
  <c r="I24" i="8"/>
  <c r="F24" i="8"/>
  <c r="J23" i="8"/>
  <c r="I23" i="8"/>
  <c r="G23" i="8"/>
  <c r="F23" i="8"/>
  <c r="J24" i="8"/>
  <c r="I22" i="8"/>
  <c r="F22" i="8"/>
  <c r="J21" i="8"/>
  <c r="I21" i="8"/>
  <c r="G21" i="8"/>
  <c r="F21" i="8"/>
  <c r="G22" i="8"/>
  <c r="I20" i="8"/>
  <c r="F20" i="8"/>
  <c r="J19" i="8"/>
  <c r="I19" i="8"/>
  <c r="G19" i="8"/>
  <c r="F19" i="8"/>
  <c r="J20" i="8"/>
  <c r="I18" i="8"/>
  <c r="F18" i="8"/>
  <c r="F17" i="8"/>
  <c r="I16" i="8"/>
  <c r="F16" i="8"/>
  <c r="J15" i="8"/>
  <c r="I15" i="8"/>
  <c r="G15" i="8"/>
  <c r="F15" i="8"/>
  <c r="J16" i="8"/>
  <c r="I14" i="8"/>
  <c r="F14" i="8"/>
  <c r="J13" i="8"/>
  <c r="I13" i="8"/>
  <c r="G13" i="8"/>
  <c r="F13" i="8"/>
  <c r="G14" i="8"/>
  <c r="I12" i="8"/>
  <c r="F12" i="8"/>
  <c r="J11" i="8"/>
  <c r="I11" i="8"/>
  <c r="G11" i="8"/>
  <c r="F11" i="8"/>
  <c r="J12" i="8"/>
  <c r="I10" i="8"/>
  <c r="F10" i="8"/>
  <c r="I9" i="8"/>
  <c r="F9" i="8"/>
  <c r="F29" i="8" s="1"/>
  <c r="F37" i="8" l="1"/>
  <c r="G40" i="8"/>
  <c r="G41" i="8"/>
  <c r="I29" i="8"/>
  <c r="G9" i="8"/>
  <c r="J44" i="8"/>
  <c r="G37" i="8"/>
  <c r="F46" i="8"/>
  <c r="I37" i="8"/>
  <c r="J9" i="8"/>
  <c r="J34" i="8"/>
  <c r="J10" i="8"/>
  <c r="G12" i="8"/>
  <c r="J14" i="8"/>
  <c r="G16" i="8"/>
  <c r="J18" i="8"/>
  <c r="G20" i="8"/>
  <c r="J22" i="8"/>
  <c r="G24" i="8"/>
  <c r="J26" i="8"/>
  <c r="J35" i="8"/>
  <c r="G42" i="8"/>
  <c r="J37" i="8" l="1"/>
  <c r="G44" i="8"/>
  <c r="G29" i="8"/>
  <c r="G46" i="8" s="1"/>
  <c r="J29" i="8"/>
  <c r="J46" i="8" s="1"/>
  <c r="I46" i="8" l="1"/>
  <c r="C42" i="4" l="1"/>
  <c r="C46" i="4" s="1"/>
  <c r="C50" i="4" s="1"/>
  <c r="C41" i="4"/>
  <c r="I25" i="3" l="1"/>
  <c r="C37" i="4"/>
  <c r="C36" i="4"/>
  <c r="C32" i="4"/>
  <c r="C31" i="4"/>
  <c r="C30" i="4"/>
  <c r="C26" i="4"/>
  <c r="C25" i="4"/>
  <c r="C24" i="4"/>
  <c r="C20" i="4"/>
  <c r="C19" i="4"/>
  <c r="C18" i="4"/>
  <c r="C14" i="4"/>
  <c r="C13" i="4"/>
  <c r="C12" i="4"/>
  <c r="C11" i="4"/>
  <c r="N9" i="6"/>
  <c r="O9" i="6" s="1"/>
  <c r="N8" i="6"/>
  <c r="O8" i="6" s="1"/>
  <c r="N7" i="6"/>
  <c r="O7" i="6" s="1"/>
  <c r="N6" i="6"/>
  <c r="O6" i="6" s="1"/>
  <c r="N5" i="6"/>
  <c r="O5" i="6" s="1"/>
  <c r="N4" i="6"/>
  <c r="O4" i="6" s="1"/>
  <c r="N3" i="6"/>
  <c r="O3" i="6" s="1"/>
  <c r="M9" i="6"/>
  <c r="L9" i="6"/>
  <c r="M8" i="6"/>
  <c r="L8" i="6"/>
  <c r="M7" i="6"/>
  <c r="L7" i="6"/>
  <c r="M6" i="6"/>
  <c r="L6" i="6"/>
  <c r="M5" i="6"/>
  <c r="L5" i="6"/>
  <c r="M4" i="6"/>
  <c r="L4" i="6"/>
  <c r="M3" i="6"/>
  <c r="L3" i="6"/>
  <c r="K9" i="6"/>
  <c r="K8" i="6"/>
  <c r="K7" i="6"/>
  <c r="K6" i="6"/>
  <c r="K5" i="6"/>
  <c r="K4" i="6"/>
  <c r="K3" i="6"/>
  <c r="E11" i="6"/>
  <c r="J11" i="6" s="1"/>
  <c r="D11" i="6"/>
  <c r="J9" i="6"/>
  <c r="J8" i="6"/>
  <c r="J7" i="6"/>
  <c r="J6" i="6"/>
  <c r="J5" i="6"/>
  <c r="J4" i="6"/>
  <c r="J3" i="6"/>
  <c r="H11" i="6" l="1"/>
  <c r="G11" i="6"/>
  <c r="F11" i="6"/>
  <c r="K11" i="6" s="1"/>
  <c r="L11" i="6" l="1"/>
  <c r="N11" i="6"/>
  <c r="O11" i="6" s="1"/>
  <c r="M11" i="6"/>
  <c r="I44" i="7"/>
  <c r="I43" i="7"/>
  <c r="I41" i="7"/>
  <c r="I40" i="7"/>
  <c r="I34" i="7"/>
  <c r="I12" i="7"/>
  <c r="I44" i="3"/>
  <c r="I43" i="3"/>
  <c r="A17" i="6"/>
  <c r="A13" i="6"/>
  <c r="I47" i="7" l="1"/>
  <c r="I27" i="7"/>
  <c r="I36" i="7" s="1"/>
  <c r="I51" i="7" s="1"/>
  <c r="I52" i="2"/>
  <c r="L52" i="2" s="1"/>
  <c r="I51" i="1"/>
  <c r="K52" i="2"/>
  <c r="K67" i="2"/>
  <c r="J67" i="2"/>
  <c r="H67" i="2"/>
  <c r="I67" i="2" s="1"/>
  <c r="L67" i="2" s="1"/>
  <c r="I65" i="1"/>
  <c r="I66" i="2"/>
  <c r="J66" i="2"/>
  <c r="H66" i="2"/>
  <c r="K51" i="2"/>
  <c r="K50" i="2"/>
  <c r="K49" i="2"/>
  <c r="I51" i="2"/>
  <c r="L51" i="2" s="1"/>
  <c r="D51" i="2"/>
  <c r="G51" i="2" s="1"/>
  <c r="I50" i="2"/>
  <c r="L50" i="2" s="1"/>
  <c r="D50" i="2"/>
  <c r="G50" i="2" s="1"/>
  <c r="I49" i="2"/>
  <c r="L49" i="2" s="1"/>
  <c r="D49" i="2"/>
  <c r="G49" i="2" s="1"/>
  <c r="I48" i="2"/>
  <c r="F51" i="2"/>
  <c r="F50" i="2"/>
  <c r="F49" i="2"/>
  <c r="D48" i="2"/>
  <c r="F50" i="1"/>
  <c r="F49" i="1"/>
  <c r="F48" i="1"/>
  <c r="I50" i="1"/>
  <c r="I49" i="1"/>
  <c r="I48" i="1"/>
  <c r="X3" i="5"/>
  <c r="Y3" i="5" s="1"/>
  <c r="H58" i="2"/>
  <c r="K58" i="2" s="1"/>
  <c r="I56" i="1"/>
  <c r="I63" i="2"/>
  <c r="L63" i="2" s="1"/>
  <c r="I62" i="2"/>
  <c r="L62" i="2" s="1"/>
  <c r="K63" i="2"/>
  <c r="K62" i="2"/>
  <c r="I61" i="2"/>
  <c r="I62" i="1"/>
  <c r="I61" i="1"/>
  <c r="AJ4" i="5"/>
  <c r="AJ3" i="5"/>
  <c r="AJ2" i="5"/>
  <c r="AJ1" i="5"/>
  <c r="AJ22" i="5" s="1"/>
  <c r="AI22" i="5"/>
  <c r="AI1" i="5"/>
  <c r="AG7" i="5"/>
  <c r="AG6" i="5"/>
  <c r="AG3" i="5"/>
  <c r="AF3" i="5"/>
  <c r="AC5" i="5"/>
  <c r="AC9" i="5" s="1"/>
  <c r="AC7" i="5"/>
  <c r="AF7" i="5" s="1"/>
  <c r="AC6" i="5"/>
  <c r="AD5" i="5"/>
  <c r="AD4" i="5"/>
  <c r="AD9" i="5" s="1"/>
  <c r="AC4" i="5"/>
  <c r="AA6" i="5"/>
  <c r="AF6" i="5" s="1"/>
  <c r="AB5" i="5"/>
  <c r="AG5" i="5" s="1"/>
  <c r="AA5" i="5"/>
  <c r="AF5" i="5" s="1"/>
  <c r="AB4" i="5"/>
  <c r="AG4" i="5" s="1"/>
  <c r="AA4" i="5"/>
  <c r="AA9" i="5" s="1"/>
  <c r="V6" i="5"/>
  <c r="W6" i="5"/>
  <c r="W5" i="5"/>
  <c r="V5" i="5"/>
  <c r="W4" i="5"/>
  <c r="W9" i="5" s="1"/>
  <c r="W10" i="5" s="1"/>
  <c r="V4" i="5"/>
  <c r="V9" i="5" s="1"/>
  <c r="V10" i="5" s="1"/>
  <c r="V11" i="5" s="1"/>
  <c r="T7" i="5"/>
  <c r="X7" i="5" s="1"/>
  <c r="Y7" i="5" s="1"/>
  <c r="U6" i="5"/>
  <c r="T6" i="5"/>
  <c r="X6" i="5" s="1"/>
  <c r="Y6" i="5" s="1"/>
  <c r="U5" i="5"/>
  <c r="T5" i="5"/>
  <c r="X5" i="5" s="1"/>
  <c r="Y5" i="5" s="1"/>
  <c r="U4" i="5"/>
  <c r="U9" i="5" s="1"/>
  <c r="T4" i="5"/>
  <c r="X4" i="5" s="1"/>
  <c r="Y4" i="5" s="1"/>
  <c r="I53" i="7" l="1"/>
  <c r="AF9" i="5"/>
  <c r="U10" i="5"/>
  <c r="U14" i="5"/>
  <c r="U15" i="5" s="1"/>
  <c r="AG9" i="5"/>
  <c r="T9" i="5"/>
  <c r="AF4" i="5"/>
  <c r="AB9" i="5"/>
  <c r="I58" i="2"/>
  <c r="L58" i="2" s="1"/>
  <c r="L69" i="2"/>
  <c r="H59" i="2"/>
  <c r="K59" i="2" s="1"/>
  <c r="K69" i="2"/>
  <c r="K66" i="2"/>
  <c r="L66" i="2"/>
  <c r="K61" i="2"/>
  <c r="L61" i="2"/>
  <c r="K57" i="2"/>
  <c r="I57" i="2"/>
  <c r="L57" i="2" s="1"/>
  <c r="I55" i="2"/>
  <c r="J55" i="2"/>
  <c r="K55" i="2" s="1"/>
  <c r="F48" i="2"/>
  <c r="I28" i="2"/>
  <c r="L28" i="2" s="1"/>
  <c r="I27" i="2"/>
  <c r="I26" i="2"/>
  <c r="I25" i="2"/>
  <c r="I24" i="2"/>
  <c r="I23" i="2"/>
  <c r="I22" i="2"/>
  <c r="I21" i="2"/>
  <c r="I20" i="2"/>
  <c r="I19" i="2"/>
  <c r="L19" i="2" s="1"/>
  <c r="I18" i="2"/>
  <c r="I17" i="2"/>
  <c r="I16" i="2"/>
  <c r="I15" i="2"/>
  <c r="I14" i="2"/>
  <c r="I13" i="2"/>
  <c r="I12" i="2"/>
  <c r="I11" i="2"/>
  <c r="I10" i="2"/>
  <c r="I9" i="2"/>
  <c r="I8" i="2"/>
  <c r="K28" i="2"/>
  <c r="K19" i="2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D28" i="2"/>
  <c r="D27" i="2"/>
  <c r="D26" i="2"/>
  <c r="D25" i="2"/>
  <c r="D24" i="2"/>
  <c r="D23" i="2"/>
  <c r="D22" i="2"/>
  <c r="D21" i="2"/>
  <c r="D20" i="2"/>
  <c r="D18" i="2"/>
  <c r="D19" i="2"/>
  <c r="D17" i="2"/>
  <c r="D16" i="2"/>
  <c r="D15" i="2"/>
  <c r="D14" i="2"/>
  <c r="D13" i="2"/>
  <c r="D12" i="2"/>
  <c r="D11" i="2"/>
  <c r="D10" i="2"/>
  <c r="G10" i="2" s="1"/>
  <c r="D9" i="2"/>
  <c r="G9" i="2" s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8" i="2"/>
  <c r="G8" i="2" s="1"/>
  <c r="I67" i="1"/>
  <c r="G11" i="2" l="1"/>
  <c r="G15" i="2"/>
  <c r="G18" i="2"/>
  <c r="G23" i="2"/>
  <c r="G27" i="2"/>
  <c r="L10" i="2"/>
  <c r="L14" i="2"/>
  <c r="L18" i="2"/>
  <c r="L22" i="2"/>
  <c r="L26" i="2"/>
  <c r="AJ23" i="5"/>
  <c r="AJ24" i="5" s="1"/>
  <c r="AG10" i="5"/>
  <c r="G12" i="2"/>
  <c r="G16" i="2"/>
  <c r="G20" i="2"/>
  <c r="G24" i="2"/>
  <c r="L11" i="2"/>
  <c r="L15" i="2"/>
  <c r="L23" i="2"/>
  <c r="L27" i="2"/>
  <c r="L55" i="2"/>
  <c r="G13" i="2"/>
  <c r="G17" i="2"/>
  <c r="G21" i="2"/>
  <c r="G25" i="2"/>
  <c r="L8" i="2"/>
  <c r="L12" i="2"/>
  <c r="L16" i="2"/>
  <c r="L20" i="2"/>
  <c r="L24" i="2"/>
  <c r="G14" i="2"/>
  <c r="G19" i="2"/>
  <c r="G22" i="2"/>
  <c r="G26" i="2"/>
  <c r="L9" i="2"/>
  <c r="L13" i="2"/>
  <c r="L17" i="2"/>
  <c r="L21" i="2"/>
  <c r="L25" i="2"/>
  <c r="T10" i="5"/>
  <c r="T11" i="5" s="1"/>
  <c r="T14" i="5"/>
  <c r="T15" i="5" s="1"/>
  <c r="T16" i="5" s="1"/>
  <c r="AF10" i="5"/>
  <c r="AI23" i="5"/>
  <c r="AI24" i="5" s="1"/>
  <c r="AI25" i="5" s="1"/>
  <c r="L48" i="2"/>
  <c r="I59" i="2"/>
  <c r="L59" i="2" s="1"/>
  <c r="K48" i="2"/>
  <c r="G48" i="2"/>
  <c r="I64" i="1"/>
  <c r="I60" i="1"/>
  <c r="I57" i="1"/>
  <c r="I55" i="1"/>
  <c r="I53" i="1"/>
  <c r="H53" i="1"/>
  <c r="I47" i="1"/>
  <c r="F47" i="1"/>
  <c r="Q2" i="5"/>
  <c r="I27" i="1"/>
  <c r="N34" i="5"/>
  <c r="N35" i="5" s="1"/>
  <c r="O34" i="5"/>
  <c r="O35" i="5" s="1"/>
  <c r="O36" i="5" s="1"/>
  <c r="K43" i="5"/>
  <c r="L42" i="5"/>
  <c r="L43" i="5" s="1"/>
  <c r="L44" i="5" s="1"/>
  <c r="K42" i="5"/>
  <c r="H26" i="1"/>
  <c r="I26" i="1" s="1"/>
  <c r="I25" i="1"/>
  <c r="H24" i="1"/>
  <c r="H25" i="1"/>
  <c r="H23" i="1"/>
  <c r="I23" i="1" s="1"/>
  <c r="I22" i="1"/>
  <c r="H22" i="1"/>
  <c r="H21" i="1"/>
  <c r="I21" i="1" s="1"/>
  <c r="I20" i="1"/>
  <c r="H20" i="1"/>
  <c r="H19" i="1"/>
  <c r="I19" i="1" s="1"/>
  <c r="I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10" i="1"/>
  <c r="H10" i="1"/>
  <c r="H9" i="1"/>
  <c r="I9" i="1" s="1"/>
  <c r="I8" i="1"/>
  <c r="H8" i="1"/>
  <c r="H7" i="1"/>
  <c r="I7" i="1" s="1"/>
  <c r="N42" i="5" l="1"/>
  <c r="N43" i="5" s="1"/>
  <c r="O42" i="5"/>
  <c r="O43" i="5" s="1"/>
  <c r="H29" i="1"/>
  <c r="AF11" i="5"/>
  <c r="I24" i="1"/>
  <c r="I29" i="1" s="1"/>
  <c r="I31" i="1" s="1"/>
  <c r="E26" i="1"/>
  <c r="E25" i="1"/>
  <c r="E24" i="1"/>
  <c r="E23" i="1"/>
  <c r="F23" i="1" s="1"/>
  <c r="F24" i="2" s="1"/>
  <c r="E22" i="1"/>
  <c r="F22" i="1" s="1"/>
  <c r="F23" i="2" s="1"/>
  <c r="E21" i="1"/>
  <c r="E20" i="1"/>
  <c r="E19" i="1"/>
  <c r="E18" i="1"/>
  <c r="E17" i="1"/>
  <c r="E16" i="1"/>
  <c r="F16" i="1" s="1"/>
  <c r="F17" i="2" s="1"/>
  <c r="E15" i="1"/>
  <c r="E14" i="1"/>
  <c r="E13" i="1"/>
  <c r="E12" i="1"/>
  <c r="F12" i="1" s="1"/>
  <c r="F13" i="2" s="1"/>
  <c r="E11" i="1"/>
  <c r="F11" i="1" s="1"/>
  <c r="F12" i="2" s="1"/>
  <c r="E10" i="1"/>
  <c r="F9" i="1"/>
  <c r="F10" i="2" s="1"/>
  <c r="F24" i="1"/>
  <c r="F25" i="2" s="1"/>
  <c r="F7" i="1"/>
  <c r="F8" i="2" s="1"/>
  <c r="I2" i="5"/>
  <c r="E91" i="5"/>
  <c r="E92" i="5" s="1"/>
  <c r="E93" i="5" s="1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1" i="5"/>
  <c r="D91" i="5" s="1"/>
  <c r="D92" i="5" s="1"/>
  <c r="A92" i="5"/>
  <c r="E28" i="2" s="1"/>
  <c r="G28" i="2" s="1"/>
  <c r="B91" i="5"/>
  <c r="A91" i="5"/>
  <c r="F26" i="1"/>
  <c r="F27" i="2" s="1"/>
  <c r="F25" i="1"/>
  <c r="F26" i="2" s="1"/>
  <c r="F21" i="1"/>
  <c r="F22" i="2" s="1"/>
  <c r="F20" i="1"/>
  <c r="F21" i="2" s="1"/>
  <c r="F19" i="1"/>
  <c r="F20" i="2" s="1"/>
  <c r="F18" i="1"/>
  <c r="F19" i="2" s="1"/>
  <c r="F17" i="1"/>
  <c r="F18" i="2" s="1"/>
  <c r="F15" i="1"/>
  <c r="F16" i="2" s="1"/>
  <c r="F14" i="1"/>
  <c r="F15" i="2" s="1"/>
  <c r="F13" i="1"/>
  <c r="F14" i="2" s="1"/>
  <c r="F10" i="1"/>
  <c r="F11" i="2" s="1"/>
  <c r="F8" i="1"/>
  <c r="F9" i="2" s="1"/>
  <c r="Q12" i="2"/>
  <c r="Q11" i="2"/>
  <c r="Q13" i="2"/>
  <c r="Q10" i="2"/>
  <c r="Q9" i="2"/>
  <c r="Q8" i="2"/>
  <c r="E27" i="1" l="1"/>
  <c r="F27" i="1" s="1"/>
  <c r="F28" i="2" s="1"/>
  <c r="O44" i="5"/>
  <c r="Q1" i="5"/>
  <c r="Q4" i="5" s="1"/>
  <c r="E29" i="1"/>
  <c r="E45" i="1" s="1"/>
  <c r="E69" i="1" s="1"/>
  <c r="F29" i="1"/>
  <c r="I4" i="5" s="1"/>
  <c r="I6" i="5" s="1"/>
  <c r="I8" i="5" s="1"/>
  <c r="E29" i="2"/>
  <c r="E46" i="2" s="1"/>
  <c r="E71" i="2" s="1"/>
  <c r="R47" i="3"/>
  <c r="I47" i="3"/>
  <c r="R34" i="3"/>
  <c r="R25" i="3"/>
  <c r="R12" i="3"/>
  <c r="U44" i="2"/>
  <c r="R44" i="2"/>
  <c r="S42" i="2"/>
  <c r="V42" i="2" s="1"/>
  <c r="Q42" i="2"/>
  <c r="W42" i="2" s="1"/>
  <c r="S41" i="2"/>
  <c r="V41" i="2" s="1"/>
  <c r="Q41" i="2"/>
  <c r="W41" i="2" s="1"/>
  <c r="S40" i="2"/>
  <c r="Q40" i="2"/>
  <c r="W40" i="2" s="1"/>
  <c r="W44" i="2" s="1"/>
  <c r="U37" i="2"/>
  <c r="R37" i="2"/>
  <c r="S36" i="2"/>
  <c r="V36" i="2" s="1"/>
  <c r="Q36" i="2"/>
  <c r="W36" i="2" s="1"/>
  <c r="S35" i="2"/>
  <c r="Q35" i="2"/>
  <c r="W35" i="2" s="1"/>
  <c r="S34" i="2"/>
  <c r="V34" i="2" s="1"/>
  <c r="Q34" i="2"/>
  <c r="W34" i="2" s="1"/>
  <c r="W37" i="2" s="1"/>
  <c r="U29" i="2"/>
  <c r="U46" i="2" s="1"/>
  <c r="R29" i="2"/>
  <c r="R46" i="2" s="1"/>
  <c r="V28" i="2"/>
  <c r="S28" i="2"/>
  <c r="Q28" i="2"/>
  <c r="V27" i="2"/>
  <c r="S27" i="2"/>
  <c r="Q27" i="2"/>
  <c r="V26" i="2"/>
  <c r="S26" i="2"/>
  <c r="Q26" i="2"/>
  <c r="T27" i="2" s="1"/>
  <c r="V25" i="2"/>
  <c r="S25" i="2"/>
  <c r="Q25" i="2"/>
  <c r="W26" i="2" s="1"/>
  <c r="V24" i="2"/>
  <c r="S24" i="2"/>
  <c r="Q24" i="2"/>
  <c r="T25" i="2" s="1"/>
  <c r="V23" i="2"/>
  <c r="S23" i="2"/>
  <c r="Q23" i="2"/>
  <c r="W24" i="2" s="1"/>
  <c r="V22" i="2"/>
  <c r="S22" i="2"/>
  <c r="Q22" i="2"/>
  <c r="T23" i="2" s="1"/>
  <c r="V21" i="2"/>
  <c r="S21" i="2"/>
  <c r="Q21" i="2"/>
  <c r="W22" i="2" s="1"/>
  <c r="V20" i="2"/>
  <c r="S20" i="2"/>
  <c r="Q20" i="2"/>
  <c r="W21" i="2" s="1"/>
  <c r="V19" i="2"/>
  <c r="S19" i="2"/>
  <c r="Q19" i="2"/>
  <c r="W20" i="2" s="1"/>
  <c r="V18" i="2"/>
  <c r="S18" i="2"/>
  <c r="Q18" i="2"/>
  <c r="T19" i="2" s="1"/>
  <c r="V17" i="2"/>
  <c r="S17" i="2"/>
  <c r="Q17" i="2"/>
  <c r="W18" i="2" s="1"/>
  <c r="V16" i="2"/>
  <c r="S16" i="2"/>
  <c r="Q16" i="2"/>
  <c r="T17" i="2" s="1"/>
  <c r="V15" i="2"/>
  <c r="S15" i="2"/>
  <c r="Q15" i="2"/>
  <c r="W16" i="2" s="1"/>
  <c r="V14" i="2"/>
  <c r="S14" i="2"/>
  <c r="Q14" i="2"/>
  <c r="W15" i="2" s="1"/>
  <c r="V13" i="2"/>
  <c r="S13" i="2"/>
  <c r="W14" i="2"/>
  <c r="V12" i="2"/>
  <c r="S12" i="2"/>
  <c r="W13" i="2"/>
  <c r="V11" i="2"/>
  <c r="S11" i="2"/>
  <c r="W12" i="2"/>
  <c r="V10" i="2"/>
  <c r="S10" i="2"/>
  <c r="W11" i="2"/>
  <c r="V9" i="2"/>
  <c r="S9" i="2"/>
  <c r="W10" i="2"/>
  <c r="J29" i="2"/>
  <c r="L29" i="2"/>
  <c r="H45" i="1"/>
  <c r="H69" i="1" s="1"/>
  <c r="R27" i="3" l="1"/>
  <c r="R36" i="3" s="1"/>
  <c r="R53" i="3" s="1"/>
  <c r="S37" i="2"/>
  <c r="F31" i="1"/>
  <c r="S44" i="2"/>
  <c r="S29" i="2"/>
  <c r="S46" i="2" s="1"/>
  <c r="V29" i="2"/>
  <c r="W17" i="2"/>
  <c r="W19" i="2"/>
  <c r="W23" i="2"/>
  <c r="W25" i="2"/>
  <c r="W27" i="2"/>
  <c r="T11" i="2"/>
  <c r="T13" i="2"/>
  <c r="T15" i="2"/>
  <c r="T21" i="2"/>
  <c r="T9" i="2"/>
  <c r="W9" i="2"/>
  <c r="T34" i="2"/>
  <c r="V35" i="2"/>
  <c r="V37" i="2" s="1"/>
  <c r="T36" i="2"/>
  <c r="V40" i="2"/>
  <c r="V44" i="2" s="1"/>
  <c r="T41" i="2"/>
  <c r="T10" i="2"/>
  <c r="T12" i="2"/>
  <c r="T14" i="2"/>
  <c r="T16" i="2"/>
  <c r="T18" i="2"/>
  <c r="T20" i="2"/>
  <c r="T22" i="2"/>
  <c r="T24" i="2"/>
  <c r="T26" i="2"/>
  <c r="T35" i="2"/>
  <c r="T40" i="2"/>
  <c r="T42" i="2"/>
  <c r="J46" i="2"/>
  <c r="J71" i="2" s="1"/>
  <c r="F45" i="1"/>
  <c r="F69" i="1" s="1"/>
  <c r="I45" i="1"/>
  <c r="I69" i="1" s="1"/>
  <c r="W29" i="2" l="1"/>
  <c r="V46" i="2" s="1"/>
  <c r="T44" i="2"/>
  <c r="T37" i="2"/>
  <c r="T29" i="2"/>
  <c r="F29" i="2"/>
  <c r="L46" i="2"/>
  <c r="L71" i="2" s="1"/>
  <c r="L73" i="2" s="1"/>
  <c r="G29" i="2"/>
  <c r="K29" i="2"/>
  <c r="K31" i="2" l="1"/>
  <c r="I30" i="2" s="1"/>
  <c r="K46" i="2"/>
  <c r="K71" i="2" s="1"/>
  <c r="F31" i="2"/>
  <c r="D30" i="2" s="1"/>
  <c r="T46" i="2"/>
  <c r="T71" i="2" s="1"/>
  <c r="F46" i="2"/>
  <c r="F71" i="2" s="1"/>
  <c r="W46" i="2"/>
  <c r="W71" i="2" s="1"/>
  <c r="G46" i="2"/>
  <c r="G71" i="2" s="1"/>
  <c r="G73" i="2" l="1"/>
  <c r="I6" i="3" s="1"/>
  <c r="I12" i="3" s="1"/>
  <c r="I27" i="3" l="1"/>
  <c r="I36" i="3" s="1"/>
  <c r="I53" i="3" s="1"/>
  <c r="I55" i="3" l="1"/>
</calcChain>
</file>

<file path=xl/sharedStrings.xml><?xml version="1.0" encoding="utf-8"?>
<sst xmlns="http://schemas.openxmlformats.org/spreadsheetml/2006/main" count="400" uniqueCount="160">
  <si>
    <t>XII.  ANALYSIS OF ACTUAL WATER USAGE - EXISTING SYSTEM</t>
  </si>
  <si>
    <t>Residential</t>
  </si>
  <si>
    <t>Commercial</t>
  </si>
  <si>
    <t>MONTHLY WATER  USAGE</t>
  </si>
  <si>
    <t xml:space="preserve">No. of </t>
  </si>
  <si>
    <t>Usage</t>
  </si>
  <si>
    <t>Average</t>
  </si>
  <si>
    <t>Users</t>
  </si>
  <si>
    <t>1,000</t>
  </si>
  <si>
    <t>5/8 x 3/4 meter</t>
  </si>
  <si>
    <t>Subtotal</t>
  </si>
  <si>
    <t xml:space="preserve">Average Monthly Usage </t>
  </si>
  <si>
    <t>1 inch meter</t>
  </si>
  <si>
    <t>2 inch meter</t>
  </si>
  <si>
    <t>Totals</t>
  </si>
  <si>
    <t>XXV.  FORECAST OF WATER - INCOME -  EXISTING SYSTEM</t>
  </si>
  <si>
    <t>MONTHLY WATER USAGE</t>
  </si>
  <si>
    <t>Income</t>
  </si>
  <si>
    <t>Rate</t>
  </si>
  <si>
    <t>Average Monthly Rate</t>
  </si>
  <si>
    <t>Annual Total:</t>
  </si>
  <si>
    <t>XXVI.  FORECAST OF WATER - INCOME -  NEW USERS - EXTENSION ONLY</t>
  </si>
  <si>
    <t>XXXI. PROPOSED OPERATING BUDGET - (WATER SYSTEM) - EXISTING USERS</t>
  </si>
  <si>
    <t>XXXII. PROPOSED OPERATING BUDGET - (WATER SYSTEM) - NEW USERS ONLY</t>
  </si>
  <si>
    <t>(1st Full Year of Operation)</t>
  </si>
  <si>
    <t xml:space="preserve">Year Ending </t>
  </si>
  <si>
    <t>A.</t>
  </si>
  <si>
    <t>Operating Income:</t>
  </si>
  <si>
    <t>Water Sales</t>
  </si>
  <si>
    <t>Disconnect/Reconnect/Late Charge Fees</t>
  </si>
  <si>
    <t>Other (Describe)</t>
  </si>
  <si>
    <t xml:space="preserve"> </t>
  </si>
  <si>
    <t>Less Allowances and Deductions</t>
  </si>
  <si>
    <t>Total Operating Income</t>
  </si>
  <si>
    <t>B.</t>
  </si>
  <si>
    <t>Operation and Maintenance Expenses:</t>
  </si>
  <si>
    <t>(Based on Uniform System of Accounts prescribed by National</t>
  </si>
  <si>
    <t xml:space="preserve">  Association of Regulatory Utility Commissioners)</t>
  </si>
  <si>
    <t>Source of Supply Expense</t>
  </si>
  <si>
    <t>Pumping Expense</t>
  </si>
  <si>
    <t>Water Treatment Expense</t>
  </si>
  <si>
    <t>Transmission and Distribution Expense</t>
  </si>
  <si>
    <t>Customer Accounts Expense</t>
  </si>
  <si>
    <t>Administrative and General Expense</t>
  </si>
  <si>
    <t>Total Operating Expenses</t>
  </si>
  <si>
    <t>Net Operating Income</t>
  </si>
  <si>
    <t>C.</t>
  </si>
  <si>
    <t>Non-Operating Income:</t>
  </si>
  <si>
    <t>Interest on Deposits</t>
  </si>
  <si>
    <t>Other (Identify)</t>
  </si>
  <si>
    <t>Total Non-Operating Income</t>
  </si>
  <si>
    <t>D.</t>
  </si>
  <si>
    <t>Net Income</t>
  </si>
  <si>
    <t>E.</t>
  </si>
  <si>
    <t>Debt Repayment:</t>
  </si>
  <si>
    <t>RD Interest</t>
  </si>
  <si>
    <t>RD Principal</t>
  </si>
  <si>
    <t>Reserve</t>
  </si>
  <si>
    <t>Non-RD Interest</t>
  </si>
  <si>
    <t>Non-RD Principal</t>
  </si>
  <si>
    <t>Total Debt Repayment</t>
  </si>
  <si>
    <t>F.</t>
  </si>
  <si>
    <t>Balance Available for Coverage and Depreciation</t>
  </si>
  <si>
    <t>Debt Coverage Ratio</t>
  </si>
  <si>
    <t>1 inch</t>
  </si>
  <si>
    <t xml:space="preserve">          0 -   1,499 Gal.</t>
  </si>
  <si>
    <t xml:space="preserve">   1,500 -   2,499 Gal.</t>
  </si>
  <si>
    <t xml:space="preserve">   2,500 -   3,499 Gal.</t>
  </si>
  <si>
    <t xml:space="preserve">   3,500 -   4,499 Gal.</t>
  </si>
  <si>
    <t xml:space="preserve">   4,500 -   5,499 Gal.</t>
  </si>
  <si>
    <t xml:space="preserve">   5,500 -   6,499 Gal.</t>
  </si>
  <si>
    <t xml:space="preserve">   6,500 -   7,499 Gal.</t>
  </si>
  <si>
    <t xml:space="preserve">   7,500 -   8,499 Gal.</t>
  </si>
  <si>
    <t xml:space="preserve">   8,500 -   9,499 Gal.</t>
  </si>
  <si>
    <t xml:space="preserve">  9,500 -  10,499 Gal.</t>
  </si>
  <si>
    <t>10,500 -  11,499 Gal.</t>
  </si>
  <si>
    <t>11,500 -  12,499 Gal.</t>
  </si>
  <si>
    <t>12,500 -  13,499 Gal.</t>
  </si>
  <si>
    <t>13,500 -  14,499 Gal.</t>
  </si>
  <si>
    <t>14,500 -  15,499 Gal.</t>
  </si>
  <si>
    <t>15,500 -  16,499 Gal.</t>
  </si>
  <si>
    <t>16,500 -  17,499 Gal.</t>
  </si>
  <si>
    <t>17,500 -  18,499 Gal.</t>
  </si>
  <si>
    <t>18,500 -  19,499 Gal.</t>
  </si>
  <si>
    <t>19,500 -  20,499 Gal.</t>
  </si>
  <si>
    <t>20,500 &amp; Over</t>
  </si>
  <si>
    <t>1 Inch meters</t>
  </si>
  <si>
    <t>1.5 inch meters</t>
  </si>
  <si>
    <t>2 inch meters</t>
  </si>
  <si>
    <t>3 inch meters</t>
  </si>
  <si>
    <t>4 inch meters</t>
  </si>
  <si>
    <t>First 1500</t>
  </si>
  <si>
    <t>Next 8500</t>
  </si>
  <si>
    <t>Next 40000</t>
  </si>
  <si>
    <t>Next 100000</t>
  </si>
  <si>
    <t>Over 150000</t>
  </si>
  <si>
    <t>First 5000</t>
  </si>
  <si>
    <t>Next 5000</t>
  </si>
  <si>
    <t>1.5 Inch</t>
  </si>
  <si>
    <t>First 10000</t>
  </si>
  <si>
    <t>2 Inch</t>
  </si>
  <si>
    <t>First 16000</t>
  </si>
  <si>
    <t>Next 34000</t>
  </si>
  <si>
    <t>3 Inch</t>
  </si>
  <si>
    <t>First 30000</t>
  </si>
  <si>
    <t>Next 20000</t>
  </si>
  <si>
    <t>4 Inch</t>
  </si>
  <si>
    <t>First 50000</t>
  </si>
  <si>
    <t>Wholesale - Caneyville</t>
  </si>
  <si>
    <t>Wholesale</t>
  </si>
  <si>
    <t>1.5 Inch meters</t>
  </si>
  <si>
    <t>2 Inch meters</t>
  </si>
  <si>
    <t>3 Inch meters</t>
  </si>
  <si>
    <t>4 Inch meters</t>
  </si>
  <si>
    <t>One Inch</t>
  </si>
  <si>
    <t>Agric</t>
  </si>
  <si>
    <t>Comm</t>
  </si>
  <si>
    <t>0-5000</t>
  </si>
  <si>
    <t>5001-10000</t>
  </si>
  <si>
    <t>10001-50000</t>
  </si>
  <si>
    <t>50001-150000</t>
  </si>
  <si>
    <t>over 150k</t>
  </si>
  <si>
    <t>5/8 inch</t>
  </si>
  <si>
    <t>0-16000</t>
  </si>
  <si>
    <t>16001-150000</t>
  </si>
  <si>
    <t>0-30000</t>
  </si>
  <si>
    <t>30001-150000</t>
  </si>
  <si>
    <t>Monthly Totals:</t>
  </si>
  <si>
    <t>0-50000</t>
  </si>
  <si>
    <t>Over 50001</t>
  </si>
  <si>
    <t xml:space="preserve"> Usage</t>
  </si>
  <si>
    <t>Total</t>
  </si>
  <si>
    <t>Short Lived Assets</t>
  </si>
  <si>
    <t xml:space="preserve">XXX. CURRENT OPERATING BUDGET - (WATER SYSTEM) </t>
  </si>
  <si>
    <t>Forfieted Discounts &amp; Misc Revenue</t>
  </si>
  <si>
    <t>Purchased water</t>
  </si>
  <si>
    <t>pumping expense</t>
  </si>
  <si>
    <t>wtp expense</t>
  </si>
  <si>
    <t>gen distribution</t>
  </si>
  <si>
    <t>maintenance expense</t>
  </si>
  <si>
    <t>customer account</t>
  </si>
  <si>
    <t>administration</t>
  </si>
  <si>
    <t>% change</t>
  </si>
  <si>
    <t>15-16</t>
  </si>
  <si>
    <t>16-17</t>
  </si>
  <si>
    <t>17-18</t>
  </si>
  <si>
    <t>18-19</t>
  </si>
  <si>
    <t>15-19</t>
  </si>
  <si>
    <t>5 yr avg</t>
  </si>
  <si>
    <t xml:space="preserve">Interest </t>
  </si>
  <si>
    <t>Cell Tower Rent</t>
  </si>
  <si>
    <t>(net income divided by total debt repayment)</t>
  </si>
  <si>
    <t>6 Inch</t>
  </si>
  <si>
    <t>First 100000</t>
  </si>
  <si>
    <t>Next 50000</t>
  </si>
  <si>
    <t>8 Inch</t>
  </si>
  <si>
    <t>First 150000</t>
  </si>
  <si>
    <t>10 Inch</t>
  </si>
  <si>
    <t>First 250000</t>
  </si>
  <si>
    <t>Over 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</si>
</sst>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;;;"/>
    <numFmt numFmtId="167" formatCode="0.00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28"/>
      <name val="Calibri"/>
      <family val="2"/>
      <scheme val="minor"/>
    </font>
    <font>
      <i/>
      <sz val="11"/>
      <color indexed="28"/>
      <name val="Calibri"/>
      <family val="2"/>
      <scheme val="minor"/>
    </font>
    <font>
      <b/>
      <sz val="11"/>
      <color indexed="2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trike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164" fontId="3" fillId="0" borderId="0" xfId="3" applyFont="1" applyAlignment="1">
      <alignment horizontal="left"/>
    </xf>
    <xf numFmtId="164" fontId="4" fillId="0" borderId="0" xfId="3" applyFont="1"/>
    <xf numFmtId="0" fontId="4" fillId="0" borderId="0" xfId="0" applyFont="1"/>
    <xf numFmtId="164" fontId="5" fillId="0" borderId="0" xfId="3" applyFont="1"/>
    <xf numFmtId="164" fontId="4" fillId="0" borderId="0" xfId="3" applyFont="1" applyAlignment="1">
      <alignment horizontal="left"/>
    </xf>
    <xf numFmtId="165" fontId="4" fillId="0" borderId="0" xfId="1" applyNumberFormat="1" applyFont="1"/>
    <xf numFmtId="164" fontId="5" fillId="0" borderId="0" xfId="3" applyFont="1" applyAlignment="1">
      <alignment horizontal="left"/>
    </xf>
    <xf numFmtId="168" fontId="4" fillId="0" borderId="0" xfId="2" applyNumberFormat="1" applyFont="1"/>
    <xf numFmtId="168" fontId="4" fillId="0" borderId="1" xfId="2" applyNumberFormat="1" applyFont="1" applyBorder="1"/>
    <xf numFmtId="168" fontId="4" fillId="0" borderId="2" xfId="2" applyNumberFormat="1" applyFont="1" applyBorder="1"/>
    <xf numFmtId="168" fontId="6" fillId="0" borderId="0" xfId="2" applyNumberFormat="1" applyFont="1"/>
    <xf numFmtId="2" fontId="4" fillId="0" borderId="0" xfId="0" applyNumberFormat="1" applyFont="1"/>
    <xf numFmtId="44" fontId="4" fillId="0" borderId="0" xfId="2" applyFont="1"/>
    <xf numFmtId="9" fontId="0" fillId="0" borderId="0" xfId="0" applyNumberFormat="1"/>
    <xf numFmtId="44" fontId="0" fillId="0" borderId="0" xfId="0" applyNumberFormat="1"/>
    <xf numFmtId="43" fontId="0" fillId="0" borderId="0" xfId="1" applyFont="1"/>
    <xf numFmtId="1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9" fontId="0" fillId="0" borderId="0" xfId="4" applyFont="1"/>
    <xf numFmtId="10" fontId="0" fillId="0" borderId="0" xfId="4" applyNumberFormat="1" applyFont="1"/>
    <xf numFmtId="44" fontId="0" fillId="0" borderId="0" xfId="2" applyFont="1"/>
    <xf numFmtId="0" fontId="7" fillId="0" borderId="0" xfId="0" applyFont="1"/>
    <xf numFmtId="165" fontId="1" fillId="0" borderId="0" xfId="1" applyNumberFormat="1"/>
    <xf numFmtId="1" fontId="1" fillId="0" borderId="0" xfId="1" applyNumberFormat="1"/>
    <xf numFmtId="0" fontId="1" fillId="0" borderId="0" xfId="0" applyFont="1"/>
    <xf numFmtId="0" fontId="1" fillId="3" borderId="0" xfId="0" applyFont="1" applyFill="1"/>
    <xf numFmtId="44" fontId="7" fillId="0" borderId="6" xfId="2" applyFont="1" applyBorder="1"/>
    <xf numFmtId="44" fontId="1" fillId="0" borderId="6" xfId="2" applyBorder="1"/>
    <xf numFmtId="44" fontId="7" fillId="0" borderId="0" xfId="2" applyFont="1"/>
    <xf numFmtId="44" fontId="1" fillId="0" borderId="0" xfId="2"/>
    <xf numFmtId="1" fontId="1" fillId="0" borderId="0" xfId="0" applyNumberFormat="1" applyFont="1"/>
    <xf numFmtId="164" fontId="8" fillId="0" borderId="0" xfId="3" applyFont="1" applyAlignment="1">
      <alignment horizontal="left"/>
    </xf>
    <xf numFmtId="164" fontId="7" fillId="0" borderId="0" xfId="3" applyFont="1"/>
    <xf numFmtId="164" fontId="8" fillId="0" borderId="0" xfId="3" applyFont="1"/>
    <xf numFmtId="164" fontId="9" fillId="0" borderId="0" xfId="3" applyFont="1"/>
    <xf numFmtId="164" fontId="10" fillId="0" borderId="0" xfId="3" applyFont="1" applyAlignment="1">
      <alignment horizontal="centerContinuous"/>
    </xf>
    <xf numFmtId="164" fontId="7" fillId="0" borderId="0" xfId="3" applyFont="1" applyAlignment="1">
      <alignment horizontal="centerContinuous"/>
    </xf>
    <xf numFmtId="164" fontId="9" fillId="0" borderId="0" xfId="3" applyFont="1" applyAlignment="1">
      <alignment horizontal="centerContinuous"/>
    </xf>
    <xf numFmtId="164" fontId="11" fillId="0" borderId="0" xfId="3" applyFont="1"/>
    <xf numFmtId="164" fontId="11" fillId="0" borderId="0" xfId="3" applyFont="1" applyAlignment="1">
      <alignment horizontal="left"/>
    </xf>
    <xf numFmtId="0" fontId="12" fillId="0" borderId="0" xfId="0" applyFont="1" applyProtection="1">
      <protection hidden="1"/>
    </xf>
    <xf numFmtId="164" fontId="11" fillId="0" borderId="1" xfId="3" applyFont="1" applyBorder="1"/>
    <xf numFmtId="164" fontId="7" fillId="0" borderId="1" xfId="3" applyFont="1" applyBorder="1" applyAlignment="1">
      <alignment horizontal="left"/>
    </xf>
    <xf numFmtId="164" fontId="7" fillId="0" borderId="1" xfId="3" applyFont="1" applyBorder="1"/>
    <xf numFmtId="164" fontId="7" fillId="3" borderId="7" xfId="3" applyFont="1" applyFill="1" applyBorder="1" applyAlignment="1">
      <alignment horizontal="center"/>
    </xf>
    <xf numFmtId="164" fontId="7" fillId="3" borderId="3" xfId="3" applyFont="1" applyFill="1" applyBorder="1" applyAlignment="1">
      <alignment horizontal="center"/>
    </xf>
    <xf numFmtId="164" fontId="7" fillId="0" borderId="3" xfId="3" applyFont="1" applyBorder="1" applyAlignment="1">
      <alignment horizontal="center"/>
    </xf>
    <xf numFmtId="164" fontId="7" fillId="0" borderId="8" xfId="3" applyFont="1" applyBorder="1" applyAlignment="1">
      <alignment horizontal="center"/>
    </xf>
    <xf numFmtId="164" fontId="7" fillId="0" borderId="0" xfId="3" applyFont="1" applyAlignment="1">
      <alignment horizontal="right"/>
    </xf>
    <xf numFmtId="164" fontId="7" fillId="2" borderId="7" xfId="3" applyFont="1" applyFill="1" applyBorder="1" applyAlignment="1">
      <alignment horizontal="center"/>
    </xf>
    <xf numFmtId="164" fontId="7" fillId="2" borderId="3" xfId="3" applyFont="1" applyFill="1" applyBorder="1" applyAlignment="1">
      <alignment horizontal="center"/>
    </xf>
    <xf numFmtId="164" fontId="11" fillId="0" borderId="2" xfId="3" applyFont="1" applyBorder="1" applyAlignment="1">
      <alignment horizontal="left"/>
    </xf>
    <xf numFmtId="164" fontId="7" fillId="0" borderId="2" xfId="3" applyFont="1" applyBorder="1"/>
    <xf numFmtId="164" fontId="7" fillId="3" borderId="2" xfId="3" applyFont="1" applyFill="1" applyBorder="1" applyAlignment="1">
      <alignment horizontal="center"/>
    </xf>
    <xf numFmtId="164" fontId="7" fillId="3" borderId="9" xfId="3" applyFont="1" applyFill="1" applyBorder="1" applyAlignment="1">
      <alignment horizontal="center"/>
    </xf>
    <xf numFmtId="164" fontId="7" fillId="3" borderId="4" xfId="3" applyFont="1" applyFill="1" applyBorder="1" applyAlignment="1">
      <alignment horizontal="center"/>
    </xf>
    <xf numFmtId="164" fontId="7" fillId="3" borderId="10" xfId="3" applyFont="1" applyFill="1" applyBorder="1" applyAlignment="1">
      <alignment horizontal="center"/>
    </xf>
    <xf numFmtId="164" fontId="7" fillId="0" borderId="11" xfId="3" applyFont="1" applyBorder="1" applyAlignment="1">
      <alignment horizontal="center"/>
    </xf>
    <xf numFmtId="164" fontId="7" fillId="0" borderId="4" xfId="3" applyFont="1" applyBorder="1" applyAlignment="1">
      <alignment horizontal="center"/>
    </xf>
    <xf numFmtId="164" fontId="11" fillId="0" borderId="2" xfId="3" applyFont="1" applyBorder="1" applyAlignment="1">
      <alignment horizontal="right"/>
    </xf>
    <xf numFmtId="164" fontId="7" fillId="2" borderId="9" xfId="3" applyFont="1" applyFill="1" applyBorder="1" applyAlignment="1">
      <alignment horizontal="center"/>
    </xf>
    <xf numFmtId="164" fontId="7" fillId="0" borderId="4" xfId="3" applyFont="1" applyBorder="1"/>
    <xf numFmtId="164" fontId="7" fillId="2" borderId="4" xfId="3" applyFont="1" applyFill="1" applyBorder="1" applyAlignment="1">
      <alignment horizontal="center"/>
    </xf>
    <xf numFmtId="164" fontId="7" fillId="0" borderId="10" xfId="3" applyFont="1" applyBorder="1"/>
    <xf numFmtId="164" fontId="7" fillId="3" borderId="0" xfId="3" applyFont="1" applyFill="1"/>
    <xf numFmtId="0" fontId="7" fillId="3" borderId="0" xfId="0" applyFont="1" applyFill="1"/>
    <xf numFmtId="44" fontId="7" fillId="3" borderId="0" xfId="2" applyFont="1" applyFill="1"/>
    <xf numFmtId="164" fontId="13" fillId="0" borderId="0" xfId="3" applyFont="1"/>
    <xf numFmtId="166" fontId="7" fillId="0" borderId="0" xfId="3" applyNumberFormat="1" applyFont="1"/>
    <xf numFmtId="164" fontId="7" fillId="0" borderId="0" xfId="3" applyFont="1" applyAlignment="1">
      <alignment horizontal="left"/>
    </xf>
    <xf numFmtId="165" fontId="7" fillId="3" borderId="0" xfId="1" applyNumberFormat="1" applyFont="1" applyFill="1"/>
    <xf numFmtId="165" fontId="7" fillId="0" borderId="0" xfId="1" applyNumberFormat="1" applyFont="1"/>
    <xf numFmtId="37" fontId="7" fillId="0" borderId="0" xfId="3" applyNumberFormat="1" applyFont="1"/>
    <xf numFmtId="43" fontId="7" fillId="0" borderId="0" xfId="1" applyFont="1"/>
    <xf numFmtId="37" fontId="14" fillId="0" borderId="0" xfId="3" applyNumberFormat="1" applyFont="1"/>
    <xf numFmtId="37" fontId="7" fillId="3" borderId="0" xfId="3" applyNumberFormat="1" applyFont="1" applyFill="1"/>
    <xf numFmtId="165" fontId="7" fillId="3" borderId="0" xfId="1" applyNumberFormat="1" applyFont="1" applyFill="1" applyAlignment="1">
      <alignment horizontal="right"/>
    </xf>
    <xf numFmtId="165" fontId="7" fillId="0" borderId="0" xfId="1" applyNumberFormat="1" applyFont="1" applyAlignment="1">
      <alignment horizontal="right"/>
    </xf>
    <xf numFmtId="164" fontId="13" fillId="3" borderId="0" xfId="3" applyFont="1" applyFill="1" applyAlignment="1">
      <alignment horizontal="left"/>
    </xf>
    <xf numFmtId="0" fontId="13" fillId="3" borderId="0" xfId="0" applyFont="1" applyFill="1"/>
    <xf numFmtId="165" fontId="13" fillId="3" borderId="5" xfId="1" applyNumberFormat="1" applyFont="1" applyFill="1" applyBorder="1"/>
    <xf numFmtId="37" fontId="13" fillId="3" borderId="5" xfId="3" applyNumberFormat="1" applyFont="1" applyFill="1" applyBorder="1"/>
    <xf numFmtId="5" fontId="13" fillId="3" borderId="5" xfId="3" applyNumberFormat="1" applyFont="1" applyFill="1" applyBorder="1"/>
    <xf numFmtId="5" fontId="15" fillId="0" borderId="5" xfId="3" applyNumberFormat="1" applyFont="1" applyBorder="1"/>
    <xf numFmtId="165" fontId="13" fillId="0" borderId="5" xfId="1" applyNumberFormat="1" applyFont="1" applyBorder="1"/>
    <xf numFmtId="37" fontId="13" fillId="0" borderId="5" xfId="3" applyNumberFormat="1" applyFont="1" applyBorder="1"/>
    <xf numFmtId="5" fontId="13" fillId="0" borderId="5" xfId="3" applyNumberFormat="1" applyFont="1" applyBorder="1"/>
    <xf numFmtId="0" fontId="13" fillId="0" borderId="0" xfId="0" applyFont="1"/>
    <xf numFmtId="164" fontId="13" fillId="0" borderId="5" xfId="3" applyFont="1" applyBorder="1"/>
    <xf numFmtId="167" fontId="14" fillId="3" borderId="0" xfId="3" applyNumberFormat="1" applyFont="1" applyFill="1"/>
    <xf numFmtId="167" fontId="14" fillId="0" borderId="0" xfId="3" applyNumberFormat="1" applyFont="1"/>
    <xf numFmtId="167" fontId="7" fillId="0" borderId="0" xfId="3" applyNumberFormat="1" applyFont="1"/>
    <xf numFmtId="164" fontId="14" fillId="0" borderId="0" xfId="3" applyFont="1"/>
    <xf numFmtId="164" fontId="7" fillId="3" borderId="6" xfId="3" applyFont="1" applyFill="1" applyBorder="1"/>
    <xf numFmtId="37" fontId="7" fillId="3" borderId="6" xfId="3" applyNumberFormat="1" applyFont="1" applyFill="1" applyBorder="1"/>
    <xf numFmtId="164" fontId="14" fillId="3" borderId="6" xfId="3" applyFont="1" applyFill="1" applyBorder="1"/>
    <xf numFmtId="164" fontId="14" fillId="0" borderId="6" xfId="3" applyFont="1" applyBorder="1"/>
    <xf numFmtId="164" fontId="7" fillId="0" borderId="6" xfId="3" applyFont="1" applyBorder="1"/>
    <xf numFmtId="37" fontId="7" fillId="0" borderId="6" xfId="3" applyNumberFormat="1" applyFont="1" applyBorder="1"/>
    <xf numFmtId="0" fontId="14" fillId="0" borderId="0" xfId="0" applyFont="1"/>
    <xf numFmtId="44" fontId="14" fillId="0" borderId="0" xfId="2" applyFont="1"/>
    <xf numFmtId="164" fontId="13" fillId="0" borderId="6" xfId="0" applyNumberFormat="1" applyFont="1" applyBorder="1"/>
    <xf numFmtId="165" fontId="13" fillId="0" borderId="6" xfId="1" applyNumberFormat="1" applyFont="1" applyBorder="1"/>
    <xf numFmtId="44" fontId="15" fillId="0" borderId="6" xfId="2" applyFont="1" applyBorder="1"/>
    <xf numFmtId="44" fontId="15" fillId="0" borderId="0" xfId="2" applyFont="1"/>
    <xf numFmtId="37" fontId="13" fillId="0" borderId="0" xfId="3" applyNumberFormat="1" applyFont="1"/>
    <xf numFmtId="164" fontId="13" fillId="0" borderId="6" xfId="3" applyFont="1" applyBorder="1"/>
    <xf numFmtId="44" fontId="14" fillId="0" borderId="6" xfId="2" applyFont="1" applyBorder="1"/>
    <xf numFmtId="164" fontId="8" fillId="0" borderId="6" xfId="3" applyFont="1" applyBorder="1"/>
    <xf numFmtId="165" fontId="8" fillId="0" borderId="6" xfId="1" applyNumberFormat="1" applyFont="1" applyBorder="1"/>
    <xf numFmtId="44" fontId="8" fillId="0" borderId="6" xfId="2" applyFont="1" applyBorder="1"/>
    <xf numFmtId="44" fontId="16" fillId="0" borderId="6" xfId="2" applyFont="1" applyBorder="1"/>
    <xf numFmtId="165" fontId="8" fillId="0" borderId="0" xfId="1" applyNumberFormat="1" applyFont="1"/>
    <xf numFmtId="44" fontId="8" fillId="0" borderId="0" xfId="2" applyFont="1"/>
    <xf numFmtId="44" fontId="16" fillId="0" borderId="0" xfId="2" applyFont="1"/>
    <xf numFmtId="0" fontId="8" fillId="0" borderId="0" xfId="0" applyFont="1"/>
    <xf numFmtId="168" fontId="16" fillId="0" borderId="0" xfId="2" applyNumberFormat="1" applyFont="1"/>
    <xf numFmtId="44" fontId="7" fillId="0" borderId="0" xfId="0" applyNumberFormat="1" applyFont="1"/>
    <xf numFmtId="165" fontId="7" fillId="0" borderId="6" xfId="1" applyNumberFormat="1" applyFont="1" applyBorder="1"/>
    <xf numFmtId="1" fontId="7" fillId="0" borderId="0" xfId="3" applyNumberFormat="1" applyFont="1"/>
    <xf numFmtId="0" fontId="7" fillId="0" borderId="6" xfId="0" applyFont="1" applyBorder="1"/>
    <xf numFmtId="168" fontId="8" fillId="0" borderId="6" xfId="0" applyNumberFormat="1" applyFont="1" applyBorder="1"/>
    <xf numFmtId="168" fontId="7" fillId="3" borderId="0" xfId="2" applyNumberFormat="1" applyFont="1" applyFill="1"/>
    <xf numFmtId="168" fontId="7" fillId="0" borderId="0" xfId="2" applyNumberFormat="1" applyFont="1"/>
    <xf numFmtId="168" fontId="8" fillId="0" borderId="0" xfId="2" applyNumberFormat="1" applyFont="1"/>
    <xf numFmtId="168" fontId="7" fillId="0" borderId="0" xfId="0" applyNumberFormat="1" applyFont="1"/>
    <xf numFmtId="168" fontId="7" fillId="0" borderId="6" xfId="2" applyNumberFormat="1" applyFont="1" applyBorder="1"/>
    <xf numFmtId="169" fontId="0" fillId="0" borderId="0" xfId="2" applyNumberFormat="1" applyFont="1"/>
    <xf numFmtId="0" fontId="17" fillId="0" borderId="0" xfId="0" applyFont="1"/>
    <xf numFmtId="0" fontId="18" fillId="0" borderId="0" xfId="0" applyFont="1"/>
    <xf numFmtId="165" fontId="13" fillId="0" borderId="13" xfId="1" applyNumberFormat="1" applyFont="1" applyBorder="1"/>
    <xf numFmtId="168" fontId="19" fillId="0" borderId="13" xfId="2" applyNumberFormat="1" applyFont="1" applyBorder="1"/>
    <xf numFmtId="168" fontId="13" fillId="0" borderId="13" xfId="2" applyNumberFormat="1" applyFont="1" applyBorder="1"/>
    <xf numFmtId="0" fontId="1" fillId="0" borderId="6" xfId="0" applyFont="1" applyBorder="1"/>
    <xf numFmtId="165" fontId="1" fillId="0" borderId="6" xfId="0" applyNumberFormat="1" applyFont="1" applyBorder="1"/>
    <xf numFmtId="164" fontId="7" fillId="0" borderId="2" xfId="3" applyFont="1" applyBorder="1" applyAlignment="1">
      <alignment horizontal="center"/>
    </xf>
    <xf numFmtId="164" fontId="7" fillId="2" borderId="0" xfId="3" applyFont="1" applyFill="1" applyAlignment="1">
      <alignment horizontal="center"/>
    </xf>
    <xf numFmtId="164" fontId="11" fillId="0" borderId="2" xfId="3" applyFont="1" applyBorder="1" applyAlignment="1">
      <alignment horizontal="center"/>
    </xf>
    <xf numFmtId="164" fontId="7" fillId="2" borderId="2" xfId="3" applyFont="1" applyFill="1" applyBorder="1" applyAlignment="1">
      <alignment horizontal="center"/>
    </xf>
    <xf numFmtId="165" fontId="13" fillId="0" borderId="0" xfId="1" applyNumberFormat="1" applyFont="1"/>
    <xf numFmtId="164" fontId="7" fillId="0" borderId="0" xfId="3" applyFont="1" applyAlignment="1">
      <alignment horizontal="center"/>
    </xf>
    <xf numFmtId="5" fontId="13" fillId="0" borderId="0" xfId="3" applyNumberFormat="1" applyFont="1"/>
    <xf numFmtId="168" fontId="13" fillId="0" borderId="0" xfId="2" applyNumberFormat="1" applyFont="1"/>
    <xf numFmtId="168" fontId="8" fillId="0" borderId="0" xfId="0" applyNumberFormat="1" applyFont="1"/>
    <xf numFmtId="44" fontId="14" fillId="3" borderId="0" xfId="2" applyFont="1" applyFill="1"/>
    <xf numFmtId="165" fontId="7" fillId="3" borderId="6" xfId="1" applyNumberFormat="1" applyFont="1" applyFill="1" applyBorder="1"/>
    <xf numFmtId="168" fontId="7" fillId="3" borderId="6" xfId="2" applyNumberFormat="1" applyFont="1" applyFill="1" applyBorder="1"/>
    <xf numFmtId="164" fontId="8" fillId="3" borderId="0" xfId="3" applyFont="1" applyFill="1"/>
    <xf numFmtId="165" fontId="8" fillId="3" borderId="0" xfId="1" applyNumberFormat="1" applyFont="1" applyFill="1"/>
    <xf numFmtId="44" fontId="8" fillId="3" borderId="0" xfId="2" applyFont="1" applyFill="1"/>
    <xf numFmtId="165" fontId="0" fillId="3" borderId="0" xfId="1" applyNumberFormat="1" applyFont="1" applyFill="1"/>
    <xf numFmtId="164" fontId="13" fillId="3" borderId="13" xfId="3" applyFont="1" applyFill="1" applyBorder="1"/>
    <xf numFmtId="165" fontId="13" fillId="3" borderId="13" xfId="1" applyNumberFormat="1" applyFont="1" applyFill="1" applyBorder="1"/>
    <xf numFmtId="168" fontId="13" fillId="3" borderId="13" xfId="2" applyNumberFormat="1" applyFont="1" applyFill="1" applyBorder="1"/>
    <xf numFmtId="0" fontId="7" fillId="3" borderId="6" xfId="0" applyFont="1" applyFill="1" applyBorder="1"/>
    <xf numFmtId="168" fontId="8" fillId="3" borderId="6" xfId="0" applyNumberFormat="1" applyFont="1" applyFill="1" applyBorder="1"/>
    <xf numFmtId="164" fontId="7" fillId="3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164" fontId="20" fillId="0" borderId="0" xfId="3" applyFont="1" applyAlignment="1">
      <alignment horizontal="left"/>
    </xf>
    <xf numFmtId="168" fontId="4" fillId="0" borderId="13" xfId="2" applyNumberFormat="1" applyFont="1" applyBorder="1"/>
    <xf numFmtId="168" fontId="4" fillId="0" borderId="0" xfId="2" applyNumberFormat="1" applyFont="1" applyBorder="1"/>
    <xf numFmtId="0" fontId="21" fillId="0" borderId="0" xfId="0" applyFont="1"/>
    <xf numFmtId="168" fontId="0" fillId="0" borderId="0" xfId="0" applyNumberFormat="1"/>
    <xf numFmtId="164" fontId="4" fillId="0" borderId="0" xfId="3" applyFont="1" applyFill="1" applyAlignment="1">
      <alignment horizontal="left"/>
    </xf>
    <xf numFmtId="164" fontId="7" fillId="0" borderId="15" xfId="3" applyFont="1" applyBorder="1" applyAlignment="1">
      <alignment horizontal="center"/>
    </xf>
    <xf numFmtId="164" fontId="7" fillId="0" borderId="10" xfId="3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165" fontId="1" fillId="0" borderId="0" xfId="0" applyNumberFormat="1" applyFont="1"/>
    <xf numFmtId="43" fontId="1" fillId="0" borderId="0" xfId="0" applyNumberFormat="1" applyFont="1"/>
    <xf numFmtId="164" fontId="7" fillId="0" borderId="2" xfId="3" applyFont="1" applyBorder="1" applyAlignment="1">
      <alignment horizontal="center"/>
    </xf>
    <xf numFmtId="164" fontId="7" fillId="3" borderId="12" xfId="3" applyFont="1" applyFill="1" applyBorder="1" applyAlignment="1">
      <alignment horizontal="center"/>
    </xf>
    <xf numFmtId="164" fontId="7" fillId="3" borderId="13" xfId="3" applyFont="1" applyFill="1" applyBorder="1" applyAlignment="1">
      <alignment horizontal="center"/>
    </xf>
    <xf numFmtId="164" fontId="7" fillId="3" borderId="14" xfId="3" applyFont="1" applyFill="1" applyBorder="1" applyAlignment="1">
      <alignment horizontal="center"/>
    </xf>
    <xf numFmtId="164" fontId="7" fillId="0" borderId="12" xfId="3" applyFont="1" applyBorder="1" applyAlignment="1">
      <alignment horizontal="center"/>
    </xf>
    <xf numFmtId="164" fontId="7" fillId="0" borderId="13" xfId="3" applyFont="1" applyBorder="1" applyAlignment="1">
      <alignment horizontal="center"/>
    </xf>
    <xf numFmtId="164" fontId="7" fillId="0" borderId="14" xfId="3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MTN-USE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workbookViewId="0">
      <selection activeCell="E10" sqref="E10"/>
    </sheetView>
  </sheetViews>
  <sheetFormatPr defaultRowHeight="15" x14ac:dyDescent="0.25"/>
  <cols>
    <col min="3" max="3" width="10.5703125" customWidth="1"/>
    <col min="4" max="4" width="11.85546875" bestFit="1" customWidth="1"/>
    <col min="5" max="5" width="10" bestFit="1" customWidth="1"/>
    <col min="6" max="6" width="14.7109375" bestFit="1" customWidth="1"/>
    <col min="7" max="7" width="14.5703125" customWidth="1"/>
    <col min="8" max="8" width="9.28515625" bestFit="1" customWidth="1"/>
    <col min="9" max="9" width="13.28515625" bestFit="1" customWidth="1"/>
    <col min="14" max="14" width="14.28515625" bestFit="1" customWidth="1"/>
  </cols>
  <sheetData>
    <row r="1" spans="1:10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26"/>
    </row>
    <row r="2" spans="1:10" x14ac:dyDescent="0.25">
      <c r="A2" s="35"/>
      <c r="B2" s="34"/>
      <c r="C2" s="34"/>
      <c r="D2" s="34"/>
      <c r="E2" s="34"/>
      <c r="F2" s="34"/>
      <c r="G2" s="34"/>
      <c r="H2" s="34"/>
      <c r="I2" s="34"/>
      <c r="J2" s="26"/>
    </row>
    <row r="3" spans="1:10" x14ac:dyDescent="0.25">
      <c r="A3" s="41" t="s">
        <v>3</v>
      </c>
      <c r="B3" s="34"/>
      <c r="C3" s="34"/>
      <c r="D3" s="34"/>
      <c r="E3" s="34"/>
      <c r="F3" s="34"/>
      <c r="G3" s="34"/>
      <c r="H3" s="34"/>
      <c r="I3" s="34"/>
      <c r="J3" s="26"/>
    </row>
    <row r="4" spans="1:10" x14ac:dyDescent="0.25">
      <c r="A4" s="23"/>
      <c r="B4" s="40"/>
      <c r="C4" s="40"/>
      <c r="D4" s="171" t="s">
        <v>1</v>
      </c>
      <c r="E4" s="171"/>
      <c r="F4" s="171"/>
      <c r="G4" s="171" t="s">
        <v>2</v>
      </c>
      <c r="H4" s="171"/>
      <c r="I4" s="171"/>
      <c r="J4" s="26"/>
    </row>
    <row r="5" spans="1:10" x14ac:dyDescent="0.25">
      <c r="B5" s="34"/>
      <c r="C5" s="34"/>
      <c r="D5" s="159" t="s">
        <v>6</v>
      </c>
      <c r="E5" s="138" t="s">
        <v>4</v>
      </c>
      <c r="F5" s="48" t="s">
        <v>131</v>
      </c>
      <c r="G5" s="48" t="s">
        <v>6</v>
      </c>
      <c r="H5" s="52" t="s">
        <v>4</v>
      </c>
      <c r="I5" s="48" t="s">
        <v>131</v>
      </c>
      <c r="J5" s="26"/>
    </row>
    <row r="6" spans="1:10" x14ac:dyDescent="0.25">
      <c r="A6" s="139"/>
      <c r="B6" s="54"/>
      <c r="C6" s="54"/>
      <c r="D6" s="137" t="s">
        <v>130</v>
      </c>
      <c r="E6" s="140" t="s">
        <v>7</v>
      </c>
      <c r="F6" s="60" t="s">
        <v>5</v>
      </c>
      <c r="G6" s="60" t="s">
        <v>5</v>
      </c>
      <c r="H6" s="64" t="s">
        <v>7</v>
      </c>
      <c r="I6" s="60" t="s">
        <v>5</v>
      </c>
      <c r="J6" s="26"/>
    </row>
    <row r="7" spans="1:10" x14ac:dyDescent="0.25">
      <c r="A7" s="71" t="s">
        <v>65</v>
      </c>
      <c r="B7" s="34"/>
      <c r="C7" s="34"/>
      <c r="D7" s="73">
        <v>516</v>
      </c>
      <c r="E7" s="73">
        <f>(25762/12)+67</f>
        <v>2213.8333333333335</v>
      </c>
      <c r="F7" s="73">
        <f>E7*D7</f>
        <v>1142338</v>
      </c>
      <c r="G7" s="73">
        <v>371</v>
      </c>
      <c r="H7" s="73">
        <f>(267+2060)/12</f>
        <v>193.91666666666666</v>
      </c>
      <c r="I7" s="73">
        <f>H7*G7</f>
        <v>71943.083333333328</v>
      </c>
      <c r="J7" s="26"/>
    </row>
    <row r="8" spans="1:10" x14ac:dyDescent="0.25">
      <c r="A8" s="71" t="s">
        <v>66</v>
      </c>
      <c r="B8" s="34"/>
      <c r="C8" s="34"/>
      <c r="D8" s="74">
        <v>2004</v>
      </c>
      <c r="E8" s="73">
        <f>(13068/12)+67</f>
        <v>1156</v>
      </c>
      <c r="F8" s="73">
        <f t="shared" ref="F8:F26" si="0">E8*D8</f>
        <v>2316624</v>
      </c>
      <c r="G8" s="73">
        <v>1967</v>
      </c>
      <c r="H8" s="73">
        <f>(65+304)/12</f>
        <v>30.75</v>
      </c>
      <c r="I8" s="73">
        <f t="shared" ref="I8:I27" si="1">H8*G8</f>
        <v>60485.25</v>
      </c>
      <c r="J8" s="26"/>
    </row>
    <row r="9" spans="1:10" x14ac:dyDescent="0.25">
      <c r="A9" s="71" t="s">
        <v>67</v>
      </c>
      <c r="B9" s="34"/>
      <c r="C9" s="34"/>
      <c r="D9" s="74">
        <v>2975</v>
      </c>
      <c r="E9" s="79">
        <f>(12022/12)</f>
        <v>1001.8333333333334</v>
      </c>
      <c r="F9" s="73">
        <f t="shared" si="0"/>
        <v>2980454.166666667</v>
      </c>
      <c r="G9" s="73">
        <v>2966</v>
      </c>
      <c r="H9" s="79">
        <f>(66+218)/12</f>
        <v>23.666666666666668</v>
      </c>
      <c r="I9" s="73">
        <f t="shared" si="1"/>
        <v>70195.333333333343</v>
      </c>
      <c r="J9" s="26"/>
    </row>
    <row r="10" spans="1:10" x14ac:dyDescent="0.25">
      <c r="A10" s="71" t="s">
        <v>68</v>
      </c>
      <c r="B10" s="34"/>
      <c r="C10" s="34"/>
      <c r="D10" s="74">
        <v>3968</v>
      </c>
      <c r="E10" s="79">
        <f>8903/12</f>
        <v>741.91666666666663</v>
      </c>
      <c r="F10" s="73">
        <f t="shared" si="0"/>
        <v>2943925.333333333</v>
      </c>
      <c r="G10" s="73">
        <v>3992</v>
      </c>
      <c r="H10" s="79">
        <f>(35+157)/12</f>
        <v>16</v>
      </c>
      <c r="I10" s="73">
        <f t="shared" si="1"/>
        <v>63872</v>
      </c>
      <c r="J10" s="26"/>
    </row>
    <row r="11" spans="1:10" x14ac:dyDescent="0.25">
      <c r="A11" s="71" t="s">
        <v>69</v>
      </c>
      <c r="B11" s="34"/>
      <c r="C11" s="34"/>
      <c r="D11" s="74">
        <v>4960</v>
      </c>
      <c r="E11" s="79">
        <f>5756/12</f>
        <v>479.66666666666669</v>
      </c>
      <c r="F11" s="73">
        <f t="shared" si="0"/>
        <v>2379146.666666667</v>
      </c>
      <c r="G11" s="73">
        <v>4977</v>
      </c>
      <c r="H11" s="79">
        <f>(28+118)/12</f>
        <v>12.166666666666666</v>
      </c>
      <c r="I11" s="73">
        <f t="shared" si="1"/>
        <v>60553.5</v>
      </c>
      <c r="J11" s="26"/>
    </row>
    <row r="12" spans="1:10" x14ac:dyDescent="0.25">
      <c r="A12" s="71" t="s">
        <v>70</v>
      </c>
      <c r="B12" s="34"/>
      <c r="C12" s="34"/>
      <c r="D12" s="74">
        <v>5952</v>
      </c>
      <c r="E12" s="79">
        <f>3508/12</f>
        <v>292.33333333333331</v>
      </c>
      <c r="F12" s="73">
        <f t="shared" si="0"/>
        <v>1739968</v>
      </c>
      <c r="G12" s="73">
        <v>5970</v>
      </c>
      <c r="H12" s="79">
        <f>(24+96)/12</f>
        <v>10</v>
      </c>
      <c r="I12" s="73">
        <f t="shared" si="1"/>
        <v>59700</v>
      </c>
      <c r="J12" s="26"/>
    </row>
    <row r="13" spans="1:10" x14ac:dyDescent="0.25">
      <c r="A13" s="71" t="s">
        <v>71</v>
      </c>
      <c r="B13" s="34"/>
      <c r="C13" s="34"/>
      <c r="D13" s="74">
        <v>6949</v>
      </c>
      <c r="E13" s="79">
        <f>2281/12</f>
        <v>190.08333333333334</v>
      </c>
      <c r="F13" s="73">
        <f t="shared" si="0"/>
        <v>1320889.0833333335</v>
      </c>
      <c r="G13" s="73">
        <v>7001</v>
      </c>
      <c r="H13" s="79">
        <f>(19+61)/12</f>
        <v>6.666666666666667</v>
      </c>
      <c r="I13" s="73">
        <f t="shared" si="1"/>
        <v>46673.333333333336</v>
      </c>
      <c r="J13" s="26"/>
    </row>
    <row r="14" spans="1:10" x14ac:dyDescent="0.25">
      <c r="A14" s="71" t="s">
        <v>72</v>
      </c>
      <c r="B14" s="34"/>
      <c r="C14" s="34"/>
      <c r="D14" s="74">
        <v>7960</v>
      </c>
      <c r="E14" s="79">
        <f>1366/12</f>
        <v>113.83333333333333</v>
      </c>
      <c r="F14" s="73">
        <f t="shared" si="0"/>
        <v>906113.33333333326</v>
      </c>
      <c r="G14" s="73">
        <v>7995</v>
      </c>
      <c r="H14" s="79">
        <f>(4+57)/12</f>
        <v>5.083333333333333</v>
      </c>
      <c r="I14" s="73">
        <f t="shared" si="1"/>
        <v>40641.25</v>
      </c>
      <c r="J14" s="26"/>
    </row>
    <row r="15" spans="1:10" x14ac:dyDescent="0.25">
      <c r="A15" s="71" t="s">
        <v>73</v>
      </c>
      <c r="B15" s="34"/>
      <c r="C15" s="34"/>
      <c r="D15" s="74">
        <v>8969</v>
      </c>
      <c r="E15" s="79">
        <f>980/12</f>
        <v>81.666666666666671</v>
      </c>
      <c r="F15" s="73">
        <f t="shared" si="0"/>
        <v>732468.33333333337</v>
      </c>
      <c r="G15" s="73">
        <v>8973</v>
      </c>
      <c r="H15" s="79">
        <f>(8+43)/12</f>
        <v>4.25</v>
      </c>
      <c r="I15" s="73">
        <f t="shared" si="1"/>
        <v>38135.25</v>
      </c>
      <c r="J15" s="26"/>
    </row>
    <row r="16" spans="1:10" x14ac:dyDescent="0.25">
      <c r="A16" s="71" t="s">
        <v>74</v>
      </c>
      <c r="B16" s="34"/>
      <c r="C16" s="34"/>
      <c r="D16" s="74">
        <v>9941</v>
      </c>
      <c r="E16" s="79">
        <f>590/12</f>
        <v>49.166666666666664</v>
      </c>
      <c r="F16" s="73">
        <f t="shared" si="0"/>
        <v>488765.83333333331</v>
      </c>
      <c r="G16" s="73">
        <v>9956</v>
      </c>
      <c r="H16" s="79">
        <f>(2+29)/12</f>
        <v>2.5833333333333335</v>
      </c>
      <c r="I16" s="73">
        <f t="shared" si="1"/>
        <v>25719.666666666668</v>
      </c>
      <c r="J16" s="26"/>
    </row>
    <row r="17" spans="1:14" x14ac:dyDescent="0.25">
      <c r="A17" s="71" t="s">
        <v>75</v>
      </c>
      <c r="B17" s="34"/>
      <c r="C17" s="34"/>
      <c r="D17" s="74">
        <v>10972</v>
      </c>
      <c r="E17" s="79">
        <f>448/12</f>
        <v>37.333333333333336</v>
      </c>
      <c r="F17" s="73">
        <f t="shared" si="0"/>
        <v>409621.33333333337</v>
      </c>
      <c r="G17" s="73">
        <v>11039</v>
      </c>
      <c r="H17" s="79">
        <f>(2+23)/12</f>
        <v>2.0833333333333335</v>
      </c>
      <c r="I17" s="73">
        <f t="shared" si="1"/>
        <v>22997.916666666668</v>
      </c>
      <c r="J17" s="26"/>
    </row>
    <row r="18" spans="1:14" x14ac:dyDescent="0.25">
      <c r="A18" s="71" t="s">
        <v>76</v>
      </c>
      <c r="B18" s="34"/>
      <c r="C18" s="34"/>
      <c r="D18" s="74">
        <v>11936</v>
      </c>
      <c r="E18" s="79">
        <f>330/12</f>
        <v>27.5</v>
      </c>
      <c r="F18" s="73">
        <f t="shared" si="0"/>
        <v>328240</v>
      </c>
      <c r="G18" s="73">
        <v>11887</v>
      </c>
      <c r="H18" s="79">
        <v>2</v>
      </c>
      <c r="I18" s="73">
        <f t="shared" si="1"/>
        <v>23774</v>
      </c>
      <c r="J18" s="26"/>
    </row>
    <row r="19" spans="1:14" x14ac:dyDescent="0.25">
      <c r="A19" s="71" t="s">
        <v>77</v>
      </c>
      <c r="B19" s="34"/>
      <c r="C19" s="34"/>
      <c r="D19" s="74">
        <v>12940</v>
      </c>
      <c r="E19" s="79">
        <f>247/12</f>
        <v>20.583333333333332</v>
      </c>
      <c r="F19" s="73">
        <f t="shared" si="0"/>
        <v>266348.33333333331</v>
      </c>
      <c r="G19" s="73">
        <v>13060</v>
      </c>
      <c r="H19" s="79">
        <f>20/12</f>
        <v>1.6666666666666667</v>
      </c>
      <c r="I19" s="73">
        <f t="shared" si="1"/>
        <v>21766.666666666668</v>
      </c>
      <c r="J19" s="26"/>
    </row>
    <row r="20" spans="1:14" x14ac:dyDescent="0.25">
      <c r="A20" s="71" t="s">
        <v>78</v>
      </c>
      <c r="B20" s="34"/>
      <c r="C20" s="34"/>
      <c r="D20" s="74">
        <v>13959</v>
      </c>
      <c r="E20" s="79">
        <f>190/12</f>
        <v>15.833333333333334</v>
      </c>
      <c r="F20" s="73">
        <f t="shared" si="0"/>
        <v>221017.5</v>
      </c>
      <c r="G20" s="73">
        <v>14082</v>
      </c>
      <c r="H20" s="79">
        <f>21/12</f>
        <v>1.75</v>
      </c>
      <c r="I20" s="73">
        <f t="shared" si="1"/>
        <v>24643.5</v>
      </c>
      <c r="J20" s="26"/>
    </row>
    <row r="21" spans="1:14" x14ac:dyDescent="0.25">
      <c r="A21" s="71" t="s">
        <v>79</v>
      </c>
      <c r="B21" s="34"/>
      <c r="C21" s="34"/>
      <c r="D21" s="74">
        <v>14973</v>
      </c>
      <c r="E21" s="79">
        <f>136/12</f>
        <v>11.333333333333334</v>
      </c>
      <c r="F21" s="73">
        <f t="shared" si="0"/>
        <v>169694</v>
      </c>
      <c r="G21" s="73">
        <v>14919</v>
      </c>
      <c r="H21" s="79">
        <f>14/12</f>
        <v>1.1666666666666667</v>
      </c>
      <c r="I21" s="73">
        <f t="shared" si="1"/>
        <v>17405.5</v>
      </c>
      <c r="J21" s="26"/>
    </row>
    <row r="22" spans="1:14" x14ac:dyDescent="0.25">
      <c r="A22" s="71" t="s">
        <v>80</v>
      </c>
      <c r="B22" s="34"/>
      <c r="C22" s="34"/>
      <c r="D22" s="74">
        <v>15982</v>
      </c>
      <c r="E22" s="79">
        <f>109/12</f>
        <v>9.0833333333333339</v>
      </c>
      <c r="F22" s="73">
        <f t="shared" si="0"/>
        <v>145169.83333333334</v>
      </c>
      <c r="G22" s="73">
        <v>16165</v>
      </c>
      <c r="H22" s="79">
        <f>10/12</f>
        <v>0.83333333333333337</v>
      </c>
      <c r="I22" s="73">
        <f t="shared" si="1"/>
        <v>13470.833333333334</v>
      </c>
      <c r="J22" s="26"/>
    </row>
    <row r="23" spans="1:14" x14ac:dyDescent="0.25">
      <c r="A23" s="71" t="s">
        <v>81</v>
      </c>
      <c r="B23" s="34"/>
      <c r="C23" s="34"/>
      <c r="D23" s="74">
        <v>16965</v>
      </c>
      <c r="E23" s="79">
        <f>97/12</f>
        <v>8.0833333333333339</v>
      </c>
      <c r="F23" s="73">
        <f t="shared" si="0"/>
        <v>137133.75</v>
      </c>
      <c r="G23" s="73">
        <v>17051</v>
      </c>
      <c r="H23" s="79">
        <f>6/12</f>
        <v>0.5</v>
      </c>
      <c r="I23" s="73">
        <f t="shared" si="1"/>
        <v>8525.5</v>
      </c>
      <c r="J23" s="26"/>
      <c r="N23" s="16"/>
    </row>
    <row r="24" spans="1:14" x14ac:dyDescent="0.25">
      <c r="A24" s="71" t="s">
        <v>82</v>
      </c>
      <c r="B24" s="34"/>
      <c r="C24" s="34"/>
      <c r="D24" s="74">
        <v>17981</v>
      </c>
      <c r="E24" s="79">
        <f>82/12</f>
        <v>6.833333333333333</v>
      </c>
      <c r="F24" s="73">
        <f t="shared" si="0"/>
        <v>122870.16666666666</v>
      </c>
      <c r="G24" s="73">
        <v>18081</v>
      </c>
      <c r="H24" s="79">
        <f>10/12</f>
        <v>0.83333333333333337</v>
      </c>
      <c r="I24" s="73">
        <f t="shared" si="1"/>
        <v>15067.5</v>
      </c>
      <c r="J24" s="26"/>
    </row>
    <row r="25" spans="1:14" x14ac:dyDescent="0.25">
      <c r="A25" s="71" t="s">
        <v>83</v>
      </c>
      <c r="B25" s="34"/>
      <c r="C25" s="34"/>
      <c r="D25" s="74">
        <v>19031</v>
      </c>
      <c r="E25" s="79">
        <f>62/12</f>
        <v>5.166666666666667</v>
      </c>
      <c r="F25" s="73">
        <f t="shared" si="0"/>
        <v>98326.833333333343</v>
      </c>
      <c r="G25" s="73">
        <v>18957</v>
      </c>
      <c r="H25" s="79">
        <f>7/12</f>
        <v>0.58333333333333337</v>
      </c>
      <c r="I25" s="73">
        <f t="shared" si="1"/>
        <v>11058.25</v>
      </c>
      <c r="J25" s="26"/>
    </row>
    <row r="26" spans="1:14" x14ac:dyDescent="0.25">
      <c r="A26" s="71" t="s">
        <v>84</v>
      </c>
      <c r="B26" s="34"/>
      <c r="C26" s="34"/>
      <c r="D26" s="74">
        <v>19945</v>
      </c>
      <c r="E26" s="79">
        <f>58/12</f>
        <v>4.833333333333333</v>
      </c>
      <c r="F26" s="73">
        <f t="shared" si="0"/>
        <v>96400.833333333328</v>
      </c>
      <c r="G26" s="73">
        <v>20120</v>
      </c>
      <c r="H26" s="79">
        <f>15/12</f>
        <v>1.25</v>
      </c>
      <c r="I26" s="73">
        <f t="shared" si="1"/>
        <v>25150</v>
      </c>
      <c r="J26" s="26"/>
    </row>
    <row r="27" spans="1:14" x14ac:dyDescent="0.25">
      <c r="A27" s="71" t="s">
        <v>85</v>
      </c>
      <c r="B27" s="34"/>
      <c r="C27" s="34"/>
      <c r="D27" s="74">
        <v>41347</v>
      </c>
      <c r="E27" s="79">
        <f>'Over 25,000'!A92</f>
        <v>40.666666666666664</v>
      </c>
      <c r="F27" s="73">
        <f>E27*D27</f>
        <v>1681444.6666666665</v>
      </c>
      <c r="G27" s="73">
        <v>43706</v>
      </c>
      <c r="H27" s="79">
        <v>11</v>
      </c>
      <c r="I27" s="73">
        <f t="shared" si="1"/>
        <v>480766</v>
      </c>
      <c r="J27" s="26"/>
    </row>
    <row r="28" spans="1:14" x14ac:dyDescent="0.25">
      <c r="A28" s="71"/>
      <c r="B28" s="34"/>
      <c r="C28" s="34"/>
      <c r="D28" s="74"/>
      <c r="E28" s="79"/>
      <c r="F28" s="79"/>
      <c r="G28" s="79"/>
      <c r="H28" s="79"/>
      <c r="I28" s="79"/>
      <c r="J28" s="26"/>
    </row>
    <row r="29" spans="1:14" x14ac:dyDescent="0.25">
      <c r="A29" s="34"/>
      <c r="B29" s="34"/>
      <c r="C29" s="34"/>
      <c r="D29" s="89"/>
      <c r="E29" s="86">
        <f>SUM(E7:E28)</f>
        <v>6507.5833333333321</v>
      </c>
      <c r="F29" s="86">
        <f>SUM(F7:F27)</f>
        <v>20626960</v>
      </c>
      <c r="G29" s="86"/>
      <c r="H29" s="86">
        <f>SUM(H7:H28)</f>
        <v>328.74999999999994</v>
      </c>
      <c r="I29" s="86">
        <f>SUM(I7:I28)</f>
        <v>1202544.3333333333</v>
      </c>
      <c r="J29" s="26"/>
    </row>
    <row r="30" spans="1:14" x14ac:dyDescent="0.25">
      <c r="A30" s="71"/>
      <c r="B30" s="34"/>
      <c r="C30" s="34"/>
      <c r="D30" s="34"/>
      <c r="E30" s="73"/>
      <c r="F30" s="73"/>
      <c r="G30" s="73"/>
      <c r="H30" s="73"/>
      <c r="I30" s="73"/>
      <c r="J30" s="26"/>
    </row>
    <row r="31" spans="1:14" ht="15.75" thickBot="1" x14ac:dyDescent="0.3">
      <c r="A31" s="71" t="s">
        <v>11</v>
      </c>
      <c r="B31" s="34"/>
      <c r="C31" s="34"/>
      <c r="D31" s="34"/>
      <c r="E31" s="120"/>
      <c r="F31" s="120">
        <f>F29/E29</f>
        <v>3169.6805009540158</v>
      </c>
      <c r="G31" s="120"/>
      <c r="H31" s="120"/>
      <c r="I31" s="120">
        <f>I29/H29</f>
        <v>3657.9295310519651</v>
      </c>
      <c r="J31" s="26"/>
    </row>
    <row r="32" spans="1:14" ht="15.75" thickTop="1" x14ac:dyDescent="0.25">
      <c r="A32" s="34"/>
      <c r="B32" s="34"/>
      <c r="C32" s="34"/>
      <c r="D32" s="34"/>
      <c r="E32" s="73"/>
      <c r="F32" s="74"/>
      <c r="G32" s="73"/>
      <c r="H32" s="73"/>
      <c r="I32" s="73"/>
      <c r="J32" s="26"/>
    </row>
    <row r="33" spans="1:10" hidden="1" x14ac:dyDescent="0.25">
      <c r="A33" s="69"/>
      <c r="B33" s="34"/>
      <c r="C33" s="34"/>
      <c r="D33" s="74"/>
      <c r="E33" s="73"/>
      <c r="F33" s="34"/>
      <c r="G33" s="73"/>
      <c r="H33" s="73"/>
      <c r="I33" s="73"/>
      <c r="J33" s="26"/>
    </row>
    <row r="34" spans="1:10" hidden="1" x14ac:dyDescent="0.25">
      <c r="A34" s="71"/>
      <c r="B34" s="34"/>
      <c r="C34" s="34"/>
      <c r="D34" s="74"/>
      <c r="E34" s="73"/>
      <c r="F34" s="74"/>
      <c r="G34" s="73"/>
      <c r="H34" s="73"/>
      <c r="I34" s="73"/>
      <c r="J34" s="26"/>
    </row>
    <row r="35" spans="1:10" hidden="1" x14ac:dyDescent="0.25">
      <c r="A35" s="71"/>
      <c r="B35" s="34"/>
      <c r="C35" s="34"/>
      <c r="D35" s="74"/>
      <c r="E35" s="73"/>
      <c r="F35" s="74"/>
      <c r="G35" s="73"/>
      <c r="H35" s="73"/>
      <c r="I35" s="73"/>
      <c r="J35" s="26"/>
    </row>
    <row r="36" spans="1:10" hidden="1" x14ac:dyDescent="0.25">
      <c r="A36" s="71"/>
      <c r="B36" s="34"/>
      <c r="C36" s="34"/>
      <c r="D36" s="74"/>
      <c r="E36" s="73"/>
      <c r="F36" s="74"/>
      <c r="G36" s="73"/>
      <c r="H36" s="73"/>
      <c r="I36" s="73"/>
      <c r="J36" s="26"/>
    </row>
    <row r="37" spans="1:10" ht="15.75" hidden="1" thickBot="1" x14ac:dyDescent="0.3">
      <c r="A37" s="71"/>
      <c r="B37" s="34"/>
      <c r="C37" s="23"/>
      <c r="D37" s="89"/>
      <c r="E37" s="104"/>
      <c r="F37" s="103"/>
      <c r="G37" s="104"/>
      <c r="H37" s="104"/>
      <c r="I37" s="104"/>
      <c r="J37" s="26"/>
    </row>
    <row r="38" spans="1:10" ht="15.75" hidden="1" thickTop="1" x14ac:dyDescent="0.25">
      <c r="A38" s="71"/>
      <c r="B38" s="34"/>
      <c r="C38" s="34"/>
      <c r="D38" s="74"/>
      <c r="E38" s="73"/>
      <c r="F38" s="74"/>
      <c r="G38" s="73"/>
      <c r="H38" s="73"/>
      <c r="I38" s="73"/>
      <c r="J38" s="26"/>
    </row>
    <row r="39" spans="1:10" hidden="1" x14ac:dyDescent="0.25">
      <c r="A39" s="69"/>
      <c r="B39" s="34"/>
      <c r="C39" s="34"/>
      <c r="D39" s="34"/>
      <c r="E39" s="73"/>
      <c r="F39" s="34"/>
      <c r="G39" s="73"/>
      <c r="H39" s="73"/>
      <c r="I39" s="73"/>
      <c r="J39" s="26"/>
    </row>
    <row r="40" spans="1:10" hidden="1" x14ac:dyDescent="0.25">
      <c r="A40" s="71"/>
      <c r="B40" s="34"/>
      <c r="C40" s="34"/>
      <c r="D40" s="74"/>
      <c r="E40" s="73"/>
      <c r="F40" s="74"/>
      <c r="G40" s="73"/>
      <c r="H40" s="73"/>
      <c r="I40" s="73"/>
      <c r="J40" s="26"/>
    </row>
    <row r="41" spans="1:10" hidden="1" x14ac:dyDescent="0.25">
      <c r="A41" s="71"/>
      <c r="B41" s="34"/>
      <c r="C41" s="73"/>
      <c r="D41" s="74"/>
      <c r="E41" s="73"/>
      <c r="F41" s="74"/>
      <c r="G41" s="73"/>
      <c r="H41" s="73"/>
      <c r="I41" s="73"/>
      <c r="J41" s="26"/>
    </row>
    <row r="42" spans="1:10" hidden="1" x14ac:dyDescent="0.25">
      <c r="A42" s="71"/>
      <c r="B42" s="34"/>
      <c r="C42" s="73"/>
      <c r="D42" s="74"/>
      <c r="E42" s="73"/>
      <c r="F42" s="74"/>
      <c r="G42" s="73"/>
      <c r="H42" s="73"/>
      <c r="I42" s="73"/>
      <c r="J42" s="26"/>
    </row>
    <row r="43" spans="1:10" ht="15.75" hidden="1" thickBot="1" x14ac:dyDescent="0.3">
      <c r="A43" s="71"/>
      <c r="B43" s="34"/>
      <c r="C43" s="34"/>
      <c r="D43" s="107"/>
      <c r="E43" s="104"/>
      <c r="F43" s="104"/>
      <c r="G43" s="104"/>
      <c r="H43" s="104"/>
      <c r="I43" s="104"/>
      <c r="J43" s="26"/>
    </row>
    <row r="44" spans="1:10" x14ac:dyDescent="0.25">
      <c r="A44" s="23"/>
      <c r="B44" s="34"/>
      <c r="C44" s="34"/>
      <c r="D44" s="107"/>
      <c r="E44" s="141"/>
      <c r="F44" s="141"/>
      <c r="G44" s="141"/>
      <c r="H44" s="141"/>
      <c r="I44" s="141"/>
      <c r="J44" s="26"/>
    </row>
    <row r="45" spans="1:10" ht="15.75" thickBot="1" x14ac:dyDescent="0.3">
      <c r="A45" s="23"/>
      <c r="B45" s="23"/>
      <c r="C45" s="23"/>
      <c r="D45" s="110" t="s">
        <v>14</v>
      </c>
      <c r="E45" s="111">
        <f>+E29+E37+E43</f>
        <v>6507.5833333333321</v>
      </c>
      <c r="F45" s="111">
        <f>+F29+F37+F43</f>
        <v>20626960</v>
      </c>
      <c r="G45" s="111"/>
      <c r="H45" s="111">
        <f>+H29+H37+H43</f>
        <v>328.74999999999994</v>
      </c>
      <c r="I45" s="111">
        <f>+I29+I37+I43</f>
        <v>1202544.3333333333</v>
      </c>
      <c r="J45" s="26"/>
    </row>
    <row r="46" spans="1:10" ht="15.75" thickTop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5">
      <c r="A47" s="26" t="s">
        <v>86</v>
      </c>
      <c r="B47" s="26"/>
      <c r="C47" s="130" t="s">
        <v>117</v>
      </c>
      <c r="D47" s="24">
        <v>2112</v>
      </c>
      <c r="E47" s="24">
        <v>3</v>
      </c>
      <c r="F47" s="24">
        <f>E47*D47</f>
        <v>6336</v>
      </c>
      <c r="G47" s="24">
        <v>1693</v>
      </c>
      <c r="H47" s="24">
        <v>10</v>
      </c>
      <c r="I47" s="24">
        <f>H47*G47</f>
        <v>16930</v>
      </c>
      <c r="J47" s="26"/>
    </row>
    <row r="48" spans="1:10" x14ac:dyDescent="0.25">
      <c r="A48" s="26"/>
      <c r="B48" s="26"/>
      <c r="C48" s="130" t="s">
        <v>118</v>
      </c>
      <c r="D48" s="24">
        <v>7172</v>
      </c>
      <c r="E48" s="24">
        <v>1</v>
      </c>
      <c r="F48" s="24">
        <f>E48*D48</f>
        <v>7172</v>
      </c>
      <c r="G48" s="24">
        <v>7400</v>
      </c>
      <c r="H48" s="24">
        <v>6</v>
      </c>
      <c r="I48" s="24">
        <f>H48*G48</f>
        <v>44400</v>
      </c>
      <c r="J48" s="26"/>
    </row>
    <row r="49" spans="1:10" x14ac:dyDescent="0.25">
      <c r="A49" s="26"/>
      <c r="B49" s="26"/>
      <c r="C49" s="130" t="s">
        <v>119</v>
      </c>
      <c r="D49" s="24">
        <v>21931</v>
      </c>
      <c r="E49" s="24">
        <v>1</v>
      </c>
      <c r="F49" s="24">
        <f>E49*D49</f>
        <v>21931</v>
      </c>
      <c r="G49" s="24">
        <v>21090</v>
      </c>
      <c r="H49" s="24">
        <v>6</v>
      </c>
      <c r="I49" s="24">
        <f>H49*G49</f>
        <v>126540</v>
      </c>
      <c r="J49" s="26"/>
    </row>
    <row r="50" spans="1:10" x14ac:dyDescent="0.25">
      <c r="A50" s="26"/>
      <c r="B50" s="26"/>
      <c r="C50" s="130" t="s">
        <v>120</v>
      </c>
      <c r="D50" s="24">
        <v>76926</v>
      </c>
      <c r="E50" s="24">
        <v>1</v>
      </c>
      <c r="F50" s="24">
        <f>E50*D50</f>
        <v>76926</v>
      </c>
      <c r="G50" s="24">
        <v>83768</v>
      </c>
      <c r="H50" s="24">
        <v>2</v>
      </c>
      <c r="I50" s="24">
        <f>H50*G50</f>
        <v>167536</v>
      </c>
      <c r="J50" s="26"/>
    </row>
    <row r="51" spans="1:10" x14ac:dyDescent="0.25">
      <c r="A51" s="26"/>
      <c r="B51" s="26"/>
      <c r="C51" s="130" t="s">
        <v>95</v>
      </c>
      <c r="D51" s="24">
        <v>0</v>
      </c>
      <c r="E51" s="24">
        <v>0</v>
      </c>
      <c r="F51" s="24">
        <v>0</v>
      </c>
      <c r="G51" s="24">
        <v>211418</v>
      </c>
      <c r="H51" s="24">
        <v>1</v>
      </c>
      <c r="I51" s="24">
        <f>H51*G51</f>
        <v>211418</v>
      </c>
      <c r="J51" s="26"/>
    </row>
    <row r="52" spans="1:10" x14ac:dyDescent="0.25">
      <c r="A52" s="26"/>
      <c r="B52" s="26"/>
      <c r="C52" s="130"/>
      <c r="D52" s="24"/>
      <c r="E52" s="24"/>
      <c r="F52" s="24"/>
      <c r="G52" s="24"/>
      <c r="H52" s="24"/>
      <c r="I52" s="24"/>
      <c r="J52" s="26"/>
    </row>
    <row r="53" spans="1:10" x14ac:dyDescent="0.25">
      <c r="A53" s="26" t="s">
        <v>87</v>
      </c>
      <c r="B53" s="26"/>
      <c r="C53" s="130"/>
      <c r="D53" s="24"/>
      <c r="E53" s="24"/>
      <c r="F53" s="24"/>
      <c r="G53" s="24">
        <v>96989</v>
      </c>
      <c r="H53" s="24">
        <f>56/12</f>
        <v>4.666666666666667</v>
      </c>
      <c r="I53" s="24">
        <f>G53*H53</f>
        <v>452615.33333333337</v>
      </c>
      <c r="J53" s="26"/>
    </row>
    <row r="54" spans="1:10" x14ac:dyDescent="0.25">
      <c r="A54" s="26"/>
      <c r="B54" s="26"/>
      <c r="C54" s="130"/>
      <c r="D54" s="24"/>
      <c r="E54" s="24"/>
      <c r="F54" s="24"/>
      <c r="G54" s="24"/>
      <c r="H54" s="24"/>
      <c r="I54" s="24"/>
      <c r="J54" s="26"/>
    </row>
    <row r="55" spans="1:10" x14ac:dyDescent="0.25">
      <c r="A55" s="26" t="s">
        <v>88</v>
      </c>
      <c r="B55" s="26"/>
      <c r="C55" s="130" t="s">
        <v>123</v>
      </c>
      <c r="D55" s="24"/>
      <c r="E55" s="24"/>
      <c r="F55" s="24"/>
      <c r="G55" s="24">
        <v>2946</v>
      </c>
      <c r="H55" s="24">
        <v>4</v>
      </c>
      <c r="I55" s="24">
        <f>G55*H55</f>
        <v>11784</v>
      </c>
      <c r="J55" s="26"/>
    </row>
    <row r="56" spans="1:10" x14ac:dyDescent="0.25">
      <c r="A56" s="26"/>
      <c r="B56" s="26"/>
      <c r="C56" s="130" t="s">
        <v>124</v>
      </c>
      <c r="D56" s="24"/>
      <c r="E56" s="24"/>
      <c r="F56" s="24"/>
      <c r="G56" s="24">
        <v>39424</v>
      </c>
      <c r="H56" s="24">
        <v>5</v>
      </c>
      <c r="I56" s="24">
        <f>G56*H56</f>
        <v>197120</v>
      </c>
      <c r="J56" s="26"/>
    </row>
    <row r="57" spans="1:10" x14ac:dyDescent="0.25">
      <c r="A57" s="26"/>
      <c r="B57" s="26"/>
      <c r="C57" s="130" t="s">
        <v>95</v>
      </c>
      <c r="D57" s="24"/>
      <c r="E57" s="24"/>
      <c r="F57" s="24"/>
      <c r="G57" s="24">
        <v>417229</v>
      </c>
      <c r="H57" s="24">
        <v>4</v>
      </c>
      <c r="I57" s="24">
        <f>G57*H57</f>
        <v>1668916</v>
      </c>
      <c r="J57" s="26"/>
    </row>
    <row r="58" spans="1:10" x14ac:dyDescent="0.25">
      <c r="A58" s="26"/>
      <c r="B58" s="26"/>
      <c r="C58" s="130"/>
      <c r="D58" s="24"/>
      <c r="E58" s="24"/>
      <c r="F58" s="24"/>
      <c r="G58" s="24"/>
      <c r="H58" s="24"/>
      <c r="I58" s="24"/>
      <c r="J58" s="26"/>
    </row>
    <row r="59" spans="1:10" x14ac:dyDescent="0.25">
      <c r="A59" s="26"/>
      <c r="B59" s="26"/>
      <c r="C59" s="130"/>
      <c r="D59" s="24"/>
      <c r="E59" s="24"/>
      <c r="F59" s="24"/>
      <c r="G59" s="24"/>
      <c r="H59" s="24"/>
      <c r="I59" s="24"/>
      <c r="J59" s="26"/>
    </row>
    <row r="60" spans="1:10" x14ac:dyDescent="0.25">
      <c r="A60" s="26" t="s">
        <v>89</v>
      </c>
      <c r="B60" s="26"/>
      <c r="C60" s="130" t="s">
        <v>125</v>
      </c>
      <c r="D60" s="24"/>
      <c r="E60" s="24"/>
      <c r="F60" s="24"/>
      <c r="G60" s="24">
        <v>9869</v>
      </c>
      <c r="H60" s="24">
        <v>1</v>
      </c>
      <c r="I60" s="24">
        <f>G60*H60</f>
        <v>9869</v>
      </c>
      <c r="J60" s="26"/>
    </row>
    <row r="61" spans="1:10" x14ac:dyDescent="0.25">
      <c r="A61" s="26"/>
      <c r="B61" s="26"/>
      <c r="C61" s="130" t="s">
        <v>126</v>
      </c>
      <c r="D61" s="24"/>
      <c r="E61" s="24"/>
      <c r="F61" s="24"/>
      <c r="G61" s="24">
        <v>80709</v>
      </c>
      <c r="H61" s="24">
        <v>1</v>
      </c>
      <c r="I61" s="24">
        <f>G61*H61</f>
        <v>80709</v>
      </c>
      <c r="J61" s="26"/>
    </row>
    <row r="62" spans="1:10" x14ac:dyDescent="0.25">
      <c r="A62" s="26"/>
      <c r="B62" s="26"/>
      <c r="C62" s="130" t="s">
        <v>95</v>
      </c>
      <c r="D62" s="24"/>
      <c r="E62" s="24"/>
      <c r="F62" s="24"/>
      <c r="G62" s="24">
        <v>1800000</v>
      </c>
      <c r="H62" s="24">
        <v>1</v>
      </c>
      <c r="I62" s="24">
        <f>G62*H62</f>
        <v>1800000</v>
      </c>
      <c r="J62" s="26"/>
    </row>
    <row r="63" spans="1:10" x14ac:dyDescent="0.25">
      <c r="A63" s="26"/>
      <c r="B63" s="26"/>
      <c r="C63" s="26"/>
      <c r="D63" s="24"/>
      <c r="E63" s="24"/>
      <c r="F63" s="24"/>
      <c r="G63" s="24"/>
      <c r="H63" s="24"/>
      <c r="I63" s="24"/>
      <c r="J63" s="26"/>
    </row>
    <row r="64" spans="1:10" x14ac:dyDescent="0.25">
      <c r="A64" s="26" t="s">
        <v>90</v>
      </c>
      <c r="B64" s="26"/>
      <c r="C64" s="130" t="s">
        <v>128</v>
      </c>
      <c r="D64" s="24"/>
      <c r="E64" s="24"/>
      <c r="F64" s="24"/>
      <c r="G64" s="24">
        <v>4453</v>
      </c>
      <c r="H64" s="24">
        <v>4</v>
      </c>
      <c r="I64" s="24">
        <f>G64*H64</f>
        <v>17812</v>
      </c>
      <c r="J64" s="26"/>
    </row>
    <row r="65" spans="1:10" x14ac:dyDescent="0.25">
      <c r="A65" s="26"/>
      <c r="B65" s="26"/>
      <c r="C65" s="130" t="s">
        <v>129</v>
      </c>
      <c r="D65" s="24"/>
      <c r="E65" s="24"/>
      <c r="F65" s="24"/>
      <c r="G65" s="24">
        <v>156555</v>
      </c>
      <c r="H65" s="24">
        <v>2</v>
      </c>
      <c r="I65" s="24">
        <f>G65*H65</f>
        <v>313110</v>
      </c>
      <c r="J65" s="26"/>
    </row>
    <row r="66" spans="1:10" x14ac:dyDescent="0.25">
      <c r="A66" s="26"/>
      <c r="B66" s="26"/>
      <c r="C66" s="26"/>
      <c r="D66" s="24"/>
      <c r="E66" s="24"/>
      <c r="F66" s="24"/>
      <c r="G66" s="24"/>
      <c r="H66" s="24"/>
      <c r="I66" s="24"/>
      <c r="J66" s="26"/>
    </row>
    <row r="67" spans="1:10" x14ac:dyDescent="0.25">
      <c r="A67" s="26" t="s">
        <v>108</v>
      </c>
      <c r="B67" s="26"/>
      <c r="C67" s="26"/>
      <c r="D67" s="24"/>
      <c r="E67" s="24"/>
      <c r="F67" s="24"/>
      <c r="G67" s="24">
        <v>3971000</v>
      </c>
      <c r="H67" s="24">
        <v>1</v>
      </c>
      <c r="I67" s="24">
        <f>H67*G67</f>
        <v>3971000</v>
      </c>
      <c r="J67" s="26"/>
    </row>
    <row r="68" spans="1:10" x14ac:dyDescent="0.25">
      <c r="A68" s="26"/>
      <c r="B68" s="26"/>
      <c r="C68" s="26"/>
      <c r="D68" s="26"/>
      <c r="E68" s="26"/>
      <c r="F68" s="26"/>
      <c r="G68" s="26"/>
      <c r="H68" s="32"/>
      <c r="I68" s="26"/>
      <c r="J68" s="26"/>
    </row>
    <row r="69" spans="1:10" ht="15.75" thickBot="1" x14ac:dyDescent="0.3">
      <c r="A69" s="26"/>
      <c r="B69" s="26"/>
      <c r="C69" s="26"/>
      <c r="D69" s="135"/>
      <c r="E69" s="136">
        <f>SUM(E45:E62)</f>
        <v>6513.5833333333321</v>
      </c>
      <c r="F69" s="136">
        <f>SUM(F45:F62)</f>
        <v>20739325</v>
      </c>
      <c r="G69" s="135"/>
      <c r="H69" s="136">
        <f>SUM(H45:H67)</f>
        <v>381.41666666666663</v>
      </c>
      <c r="I69" s="136">
        <f>SUM(I45:I67)</f>
        <v>10292303.666666666</v>
      </c>
      <c r="J69" s="26"/>
    </row>
    <row r="70" spans="1:10" ht="15.75" thickTop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</row>
  </sheetData>
  <mergeCells count="2">
    <mergeCell ref="D4:F4"/>
    <mergeCell ref="G4:I4"/>
  </mergeCells>
  <pageMargins left="0.5" right="0.5" top="0.5" bottom="0.25" header="0.3" footer="0.3"/>
  <pageSetup scale="85" firstPageNumber="7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55"/>
  <sheetViews>
    <sheetView tabSelected="1" topLeftCell="A57" workbookViewId="0">
      <selection activeCell="I70" sqref="I70"/>
    </sheetView>
  </sheetViews>
  <sheetFormatPr defaultRowHeight="15" x14ac:dyDescent="0.25"/>
  <cols>
    <col min="2" max="2" width="9.5703125" customWidth="1"/>
    <col min="3" max="4" width="9.28515625" bestFit="1" customWidth="1"/>
    <col min="5" max="5" width="10" bestFit="1" customWidth="1"/>
    <col min="6" max="6" width="12.7109375" customWidth="1"/>
    <col min="7" max="7" width="14.28515625" bestFit="1" customWidth="1"/>
    <col min="8" max="9" width="12.28515625" customWidth="1"/>
    <col min="10" max="10" width="9.28515625" bestFit="1" customWidth="1"/>
    <col min="11" max="11" width="13.28515625" bestFit="1" customWidth="1"/>
    <col min="12" max="12" width="12.5703125" bestFit="1" customWidth="1"/>
    <col min="13" max="13" width="5.85546875" customWidth="1"/>
    <col min="16" max="23" width="9.28515625" bestFit="1" customWidth="1"/>
  </cols>
  <sheetData>
    <row r="1" spans="1:25" x14ac:dyDescent="0.25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3" t="s">
        <v>21</v>
      </c>
      <c r="O1" s="34"/>
      <c r="P1" s="34"/>
      <c r="Q1" s="34"/>
      <c r="R1" s="34"/>
      <c r="S1" s="34"/>
      <c r="T1" s="34"/>
      <c r="U1" s="34"/>
      <c r="V1" s="34"/>
      <c r="W1" s="34"/>
      <c r="X1" s="26"/>
      <c r="Y1" s="26"/>
    </row>
    <row r="2" spans="1:25" x14ac:dyDescent="0.25">
      <c r="A2" s="35"/>
      <c r="B2" s="34"/>
      <c r="C2" s="34"/>
      <c r="D2" s="34"/>
      <c r="E2" s="34"/>
      <c r="F2" s="34"/>
      <c r="G2" s="36"/>
      <c r="H2" s="36"/>
      <c r="I2" s="36"/>
      <c r="J2" s="34"/>
      <c r="K2" s="34"/>
      <c r="L2" s="34"/>
      <c r="M2" s="34"/>
      <c r="N2" s="37"/>
      <c r="O2" s="38"/>
      <c r="P2" s="38"/>
      <c r="Q2" s="38"/>
      <c r="R2" s="38"/>
      <c r="S2" s="38"/>
      <c r="T2" s="39"/>
      <c r="U2" s="38"/>
      <c r="V2" s="38"/>
      <c r="W2" s="38"/>
      <c r="X2" s="26"/>
      <c r="Y2" s="26"/>
    </row>
    <row r="3" spans="1:25" x14ac:dyDescent="0.25">
      <c r="A3" s="41" t="s">
        <v>16</v>
      </c>
      <c r="B3" s="34"/>
      <c r="C3" s="34"/>
      <c r="D3" s="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6"/>
      <c r="R3" s="34"/>
      <c r="S3" s="34"/>
      <c r="T3" s="34"/>
      <c r="U3" s="34"/>
      <c r="V3" s="34"/>
      <c r="W3" s="34"/>
      <c r="X3" s="26"/>
      <c r="Y3" s="26"/>
    </row>
    <row r="4" spans="1:25" x14ac:dyDescent="0.25">
      <c r="A4" s="26"/>
      <c r="B4" s="40"/>
      <c r="C4" s="172" t="s">
        <v>1</v>
      </c>
      <c r="D4" s="173"/>
      <c r="E4" s="173"/>
      <c r="F4" s="173"/>
      <c r="G4" s="174"/>
      <c r="H4" s="175" t="s">
        <v>2</v>
      </c>
      <c r="I4" s="176"/>
      <c r="J4" s="176"/>
      <c r="K4" s="176"/>
      <c r="L4" s="177"/>
      <c r="M4" s="142"/>
      <c r="N4" s="26"/>
      <c r="O4" s="40"/>
      <c r="P4" s="41"/>
      <c r="Q4" s="42">
        <v>4.9000000000000004</v>
      </c>
      <c r="R4" s="43"/>
      <c r="S4" s="44" t="s">
        <v>1</v>
      </c>
      <c r="T4" s="45"/>
      <c r="U4" s="45"/>
      <c r="V4" s="44" t="s">
        <v>2</v>
      </c>
      <c r="W4" s="45"/>
      <c r="X4" s="26"/>
      <c r="Y4" s="26"/>
    </row>
    <row r="5" spans="1:25" x14ac:dyDescent="0.25">
      <c r="B5" s="34"/>
      <c r="C5" s="168" t="s">
        <v>6</v>
      </c>
      <c r="D5" s="158" t="s">
        <v>6</v>
      </c>
      <c r="E5" s="46" t="s">
        <v>4</v>
      </c>
      <c r="F5" s="47"/>
      <c r="G5" s="47"/>
      <c r="H5" s="48" t="s">
        <v>6</v>
      </c>
      <c r="I5" s="48" t="s">
        <v>6</v>
      </c>
      <c r="J5" s="48" t="s">
        <v>4</v>
      </c>
      <c r="K5" s="48"/>
      <c r="L5" s="166"/>
      <c r="M5" s="142"/>
      <c r="N5" s="41" t="s">
        <v>16</v>
      </c>
      <c r="O5" s="34"/>
      <c r="P5" s="26"/>
      <c r="Q5" s="50" t="s">
        <v>6</v>
      </c>
      <c r="R5" s="51" t="s">
        <v>4</v>
      </c>
      <c r="S5" s="48" t="s">
        <v>5</v>
      </c>
      <c r="T5" s="48" t="s">
        <v>17</v>
      </c>
      <c r="U5" s="52" t="s">
        <v>4</v>
      </c>
      <c r="V5" s="48" t="s">
        <v>5</v>
      </c>
      <c r="W5" s="49" t="s">
        <v>17</v>
      </c>
      <c r="X5" s="26"/>
      <c r="Y5" s="26"/>
    </row>
    <row r="6" spans="1:25" x14ac:dyDescent="0.25">
      <c r="A6" s="53"/>
      <c r="B6" s="54"/>
      <c r="C6" s="56" t="s">
        <v>5</v>
      </c>
      <c r="D6" s="55" t="s">
        <v>18</v>
      </c>
      <c r="E6" s="56" t="s">
        <v>7</v>
      </c>
      <c r="F6" s="57" t="s">
        <v>5</v>
      </c>
      <c r="G6" s="58" t="s">
        <v>17</v>
      </c>
      <c r="H6" s="59" t="s">
        <v>5</v>
      </c>
      <c r="I6" s="137" t="s">
        <v>18</v>
      </c>
      <c r="J6" s="60" t="s">
        <v>7</v>
      </c>
      <c r="K6" s="60" t="s">
        <v>5</v>
      </c>
      <c r="L6" s="167" t="s">
        <v>17</v>
      </c>
      <c r="M6" s="142"/>
      <c r="N6" s="53"/>
      <c r="O6" s="54"/>
      <c r="P6" s="53" t="s">
        <v>6</v>
      </c>
      <c r="Q6" s="61" t="s">
        <v>18</v>
      </c>
      <c r="R6" s="62" t="s">
        <v>7</v>
      </c>
      <c r="S6" s="60" t="s">
        <v>8</v>
      </c>
      <c r="T6" s="63"/>
      <c r="U6" s="64" t="s">
        <v>7</v>
      </c>
      <c r="V6" s="60" t="s">
        <v>8</v>
      </c>
      <c r="W6" s="65"/>
      <c r="X6" s="26"/>
      <c r="Y6" s="26"/>
    </row>
    <row r="7" spans="1:25" x14ac:dyDescent="0.25">
      <c r="A7" s="26"/>
      <c r="B7" s="34"/>
      <c r="C7" s="66"/>
      <c r="D7" s="27"/>
      <c r="E7" s="67"/>
      <c r="F7" s="66"/>
      <c r="G7" s="68"/>
      <c r="H7" s="30"/>
      <c r="I7" s="30"/>
      <c r="J7" s="34"/>
      <c r="K7" s="34"/>
      <c r="L7" s="34"/>
      <c r="M7" s="34"/>
      <c r="N7" s="69" t="s">
        <v>9</v>
      </c>
      <c r="O7" s="34"/>
      <c r="P7" s="34"/>
      <c r="Q7" s="70"/>
      <c r="R7" s="34"/>
      <c r="S7" s="34"/>
      <c r="T7" s="34"/>
      <c r="U7" s="34"/>
      <c r="V7" s="34"/>
      <c r="W7" s="34"/>
      <c r="X7" s="26"/>
      <c r="Y7" s="26"/>
    </row>
    <row r="8" spans="1:25" x14ac:dyDescent="0.25">
      <c r="A8" s="71" t="s">
        <v>65</v>
      </c>
      <c r="B8" s="34"/>
      <c r="C8" s="72">
        <v>516</v>
      </c>
      <c r="D8" s="68">
        <f>Rates!C3</f>
        <v>19.350000000000001</v>
      </c>
      <c r="E8" s="72">
        <f>Users!E7</f>
        <v>2213.8333333333335</v>
      </c>
      <c r="F8" s="72">
        <f>Users!F7</f>
        <v>1142338</v>
      </c>
      <c r="G8" s="124">
        <f>E8*D8</f>
        <v>42837.675000000003</v>
      </c>
      <c r="H8" s="73">
        <v>371</v>
      </c>
      <c r="I8" s="30">
        <f>Rates!C3</f>
        <v>19.350000000000001</v>
      </c>
      <c r="J8" s="73">
        <f>(267+2060)/12</f>
        <v>193.91666666666666</v>
      </c>
      <c r="K8" s="74">
        <f>J8*H8</f>
        <v>71943.083333333328</v>
      </c>
      <c r="L8" s="125">
        <f>J8*I8</f>
        <v>3752.2874999999999</v>
      </c>
      <c r="M8" s="125"/>
      <c r="N8" s="71" t="s">
        <v>65</v>
      </c>
      <c r="O8" s="34"/>
      <c r="P8" s="74"/>
      <c r="Q8" s="75">
        <f t="shared" ref="Q8:Q23" si="0">+D8</f>
        <v>19.350000000000001</v>
      </c>
      <c r="R8" s="34"/>
      <c r="S8" s="74"/>
      <c r="T8" s="76"/>
      <c r="U8" s="34"/>
      <c r="V8" s="74"/>
      <c r="W8" s="76"/>
      <c r="X8" s="26"/>
      <c r="Y8" s="26"/>
    </row>
    <row r="9" spans="1:25" x14ac:dyDescent="0.25">
      <c r="A9" s="71" t="s">
        <v>66</v>
      </c>
      <c r="B9" s="34"/>
      <c r="C9" s="77">
        <v>2004</v>
      </c>
      <c r="D9" s="68">
        <f>Rates!C$3+(((Forecast!C9-1500)/1000)*Rates!C$4)</f>
        <v>23.921280000000003</v>
      </c>
      <c r="E9" s="72">
        <f>Users!E8</f>
        <v>1156</v>
      </c>
      <c r="F9" s="72">
        <f>Users!F8</f>
        <v>2316624</v>
      </c>
      <c r="G9" s="124">
        <f>E9*D9</f>
        <v>27652.999680000004</v>
      </c>
      <c r="H9" s="73">
        <v>1967</v>
      </c>
      <c r="I9" s="30">
        <f>Rates!C$3+(((Forecast!H9-1500)/1000)*Rates!C$4)</f>
        <v>23.58569</v>
      </c>
      <c r="J9" s="73">
        <f>(65+304)/12</f>
        <v>30.75</v>
      </c>
      <c r="K9" s="74">
        <f t="shared" ref="K9:K28" si="1">J9*H9</f>
        <v>60485.25</v>
      </c>
      <c r="L9" s="125">
        <f>J9*I9</f>
        <v>725.25996750000002</v>
      </c>
      <c r="M9" s="125"/>
      <c r="N9" s="71" t="s">
        <v>66</v>
      </c>
      <c r="O9" s="34"/>
      <c r="P9" s="74">
        <v>1500</v>
      </c>
      <c r="Q9" s="75">
        <f t="shared" si="0"/>
        <v>23.921280000000003</v>
      </c>
      <c r="R9" s="34"/>
      <c r="S9" s="74">
        <f t="shared" ref="S9:S23" si="2">(R9*P9)/1000</f>
        <v>0</v>
      </c>
      <c r="T9" s="76">
        <f>Q9*R9</f>
        <v>0</v>
      </c>
      <c r="U9" s="34"/>
      <c r="V9" s="74">
        <f t="shared" ref="V9:V23" si="3">(U9*P9)/1000</f>
        <v>0</v>
      </c>
      <c r="W9" s="76">
        <f>Q9*U9</f>
        <v>0</v>
      </c>
      <c r="X9" s="26"/>
      <c r="Y9" s="26"/>
    </row>
    <row r="10" spans="1:25" x14ac:dyDescent="0.25">
      <c r="A10" s="71" t="s">
        <v>67</v>
      </c>
      <c r="B10" s="34"/>
      <c r="C10" s="77">
        <v>2975</v>
      </c>
      <c r="D10" s="68">
        <f>Rates!C$3+(((Forecast!C10-1500)/1000)*Rates!C$4)</f>
        <v>32.728250000000003</v>
      </c>
      <c r="E10" s="78">
        <f>Users!E9</f>
        <v>1001.8333333333334</v>
      </c>
      <c r="F10" s="72">
        <f>Users!F9</f>
        <v>2980454.166666667</v>
      </c>
      <c r="G10" s="124">
        <f t="shared" ref="G10:G28" si="4">E10*D10</f>
        <v>32788.251791666669</v>
      </c>
      <c r="H10" s="73">
        <v>2966</v>
      </c>
      <c r="I10" s="30">
        <f>Rates!C$3+(((Forecast!H10-1500)/1000)*Rates!C$4)</f>
        <v>32.646619999999999</v>
      </c>
      <c r="J10" s="79">
        <f>(66+218)/12</f>
        <v>23.666666666666668</v>
      </c>
      <c r="K10" s="74">
        <f t="shared" si="1"/>
        <v>70195.333333333343</v>
      </c>
      <c r="L10" s="125">
        <f t="shared" ref="L10:L28" si="5">J10*I10</f>
        <v>772.63667333333331</v>
      </c>
      <c r="M10" s="125"/>
      <c r="N10" s="71" t="s">
        <v>67</v>
      </c>
      <c r="O10" s="34"/>
      <c r="P10" s="74">
        <v>2500</v>
      </c>
      <c r="Q10" s="75">
        <f t="shared" si="0"/>
        <v>32.728250000000003</v>
      </c>
      <c r="R10" s="34"/>
      <c r="S10" s="74">
        <f t="shared" si="2"/>
        <v>0</v>
      </c>
      <c r="T10" s="76">
        <f t="shared" ref="T10:T25" si="6">Q9*R10</f>
        <v>0</v>
      </c>
      <c r="U10" s="34"/>
      <c r="V10" s="74">
        <f t="shared" si="3"/>
        <v>0</v>
      </c>
      <c r="W10" s="76">
        <f t="shared" ref="W10:W25" si="7">Q9*U10</f>
        <v>0</v>
      </c>
      <c r="X10" s="26"/>
      <c r="Y10" s="26"/>
    </row>
    <row r="11" spans="1:25" x14ac:dyDescent="0.25">
      <c r="A11" s="71" t="s">
        <v>68</v>
      </c>
      <c r="B11" s="34"/>
      <c r="C11" s="77">
        <v>3968</v>
      </c>
      <c r="D11" s="68">
        <f>Rates!C$3+(((Forecast!C11-1500)/1000)*Rates!C$4)</f>
        <v>41.734760000000001</v>
      </c>
      <c r="E11" s="78">
        <f>8903/12</f>
        <v>741.91666666666663</v>
      </c>
      <c r="F11" s="72">
        <f>Users!F10</f>
        <v>2943925.333333333</v>
      </c>
      <c r="G11" s="124">
        <f t="shared" si="4"/>
        <v>30963.714023333334</v>
      </c>
      <c r="H11" s="73">
        <v>3992</v>
      </c>
      <c r="I11" s="30">
        <f>Rates!C$3+(((Forecast!H11-1500)/1000)*Rates!C$4)</f>
        <v>41.952440000000003</v>
      </c>
      <c r="J11" s="79">
        <f>(35+157)/12</f>
        <v>16</v>
      </c>
      <c r="K11" s="74">
        <f t="shared" si="1"/>
        <v>63872</v>
      </c>
      <c r="L11" s="125">
        <f t="shared" si="5"/>
        <v>671.23904000000005</v>
      </c>
      <c r="M11" s="125"/>
      <c r="N11" s="71" t="s">
        <v>68</v>
      </c>
      <c r="O11" s="34"/>
      <c r="P11" s="74">
        <v>3500</v>
      </c>
      <c r="Q11" s="75">
        <f t="shared" si="0"/>
        <v>41.734760000000001</v>
      </c>
      <c r="R11" s="34"/>
      <c r="S11" s="74">
        <f t="shared" si="2"/>
        <v>0</v>
      </c>
      <c r="T11" s="76">
        <f t="shared" si="6"/>
        <v>0</v>
      </c>
      <c r="U11" s="34"/>
      <c r="V11" s="74">
        <f t="shared" si="3"/>
        <v>0</v>
      </c>
      <c r="W11" s="76">
        <f t="shared" si="7"/>
        <v>0</v>
      </c>
      <c r="X11" s="26"/>
      <c r="Y11" s="26"/>
    </row>
    <row r="12" spans="1:25" x14ac:dyDescent="0.25">
      <c r="A12" s="71" t="s">
        <v>69</v>
      </c>
      <c r="B12" s="34"/>
      <c r="C12" s="77">
        <v>4960</v>
      </c>
      <c r="D12" s="68">
        <f>Rates!C$3+(((Forecast!C12-1500)/1000)*Rates!C$4)</f>
        <v>50.732200000000006</v>
      </c>
      <c r="E12" s="78">
        <f>5756/12</f>
        <v>479.66666666666669</v>
      </c>
      <c r="F12" s="72">
        <f>Users!F11</f>
        <v>2379146.666666667</v>
      </c>
      <c r="G12" s="124">
        <f t="shared" si="4"/>
        <v>24334.545266666672</v>
      </c>
      <c r="H12" s="73">
        <v>4977</v>
      </c>
      <c r="I12" s="30">
        <f>Rates!C$3+(((Forecast!H12-1500)/1000)*Rates!C$4)</f>
        <v>50.886390000000006</v>
      </c>
      <c r="J12" s="79">
        <f>(28+118)/12</f>
        <v>12.166666666666666</v>
      </c>
      <c r="K12" s="74">
        <f t="shared" si="1"/>
        <v>60553.5</v>
      </c>
      <c r="L12" s="125">
        <f t="shared" si="5"/>
        <v>619.11774500000001</v>
      </c>
      <c r="M12" s="125"/>
      <c r="N12" s="71" t="s">
        <v>69</v>
      </c>
      <c r="O12" s="34"/>
      <c r="P12" s="74">
        <v>4500</v>
      </c>
      <c r="Q12" s="75">
        <f t="shared" si="0"/>
        <v>50.732200000000006</v>
      </c>
      <c r="R12" s="34"/>
      <c r="S12" s="74">
        <f t="shared" si="2"/>
        <v>0</v>
      </c>
      <c r="T12" s="76">
        <f t="shared" si="6"/>
        <v>0</v>
      </c>
      <c r="U12" s="34"/>
      <c r="V12" s="74">
        <f t="shared" si="3"/>
        <v>0</v>
      </c>
      <c r="W12" s="76">
        <f t="shared" si="7"/>
        <v>0</v>
      </c>
      <c r="X12" s="26"/>
      <c r="Y12" s="26"/>
    </row>
    <row r="13" spans="1:25" x14ac:dyDescent="0.25">
      <c r="A13" s="71" t="s">
        <v>70</v>
      </c>
      <c r="B13" s="34"/>
      <c r="C13" s="77">
        <v>5952</v>
      </c>
      <c r="D13" s="68">
        <f>Rates!C$3+(((Forecast!C13-1500)/1000)*Rates!C$4)</f>
        <v>59.729640000000003</v>
      </c>
      <c r="E13" s="78">
        <f>3508/12</f>
        <v>292.33333333333331</v>
      </c>
      <c r="F13" s="72">
        <f>Users!F12</f>
        <v>1739968</v>
      </c>
      <c r="G13" s="124">
        <f t="shared" si="4"/>
        <v>17460.964759999999</v>
      </c>
      <c r="H13" s="73">
        <v>5970</v>
      </c>
      <c r="I13" s="30">
        <f>Rates!C$3+(((Forecast!H13-1500)/1000)*Rates!C$4)</f>
        <v>59.892899999999997</v>
      </c>
      <c r="J13" s="79">
        <f>(24+96)/12</f>
        <v>10</v>
      </c>
      <c r="K13" s="74">
        <f t="shared" si="1"/>
        <v>59700</v>
      </c>
      <c r="L13" s="125">
        <f t="shared" si="5"/>
        <v>598.92899999999997</v>
      </c>
      <c r="M13" s="125"/>
      <c r="N13" s="71" t="s">
        <v>70</v>
      </c>
      <c r="O13" s="34"/>
      <c r="P13" s="74">
        <v>5500</v>
      </c>
      <c r="Q13" s="75">
        <f t="shared" si="0"/>
        <v>59.729640000000003</v>
      </c>
      <c r="R13" s="34"/>
      <c r="S13" s="74">
        <f t="shared" si="2"/>
        <v>0</v>
      </c>
      <c r="T13" s="76">
        <f t="shared" si="6"/>
        <v>0</v>
      </c>
      <c r="U13" s="34"/>
      <c r="V13" s="74">
        <f t="shared" si="3"/>
        <v>0</v>
      </c>
      <c r="W13" s="76">
        <f t="shared" si="7"/>
        <v>0</v>
      </c>
      <c r="X13" s="26"/>
      <c r="Y13" s="26"/>
    </row>
    <row r="14" spans="1:25" x14ac:dyDescent="0.25">
      <c r="A14" s="71" t="s">
        <v>71</v>
      </c>
      <c r="B14" s="34"/>
      <c r="C14" s="77">
        <v>6949</v>
      </c>
      <c r="D14" s="68">
        <f>Rates!C$3+(((Forecast!C14-1500)/1000)*Rates!C$4)</f>
        <v>68.77243</v>
      </c>
      <c r="E14" s="78">
        <f>2281/12</f>
        <v>190.08333333333334</v>
      </c>
      <c r="F14" s="72">
        <f>Users!F13</f>
        <v>1320889.0833333335</v>
      </c>
      <c r="G14" s="124">
        <f t="shared" si="4"/>
        <v>13072.492735833333</v>
      </c>
      <c r="H14" s="73">
        <v>7001</v>
      </c>
      <c r="I14" s="30">
        <f>Rates!C$3+(((Forecast!H14-1500)/1000)*Rates!C$4)</f>
        <v>69.244070000000008</v>
      </c>
      <c r="J14" s="79">
        <f>(19+61)/12</f>
        <v>6.666666666666667</v>
      </c>
      <c r="K14" s="74">
        <f t="shared" si="1"/>
        <v>46673.333333333336</v>
      </c>
      <c r="L14" s="125">
        <f t="shared" si="5"/>
        <v>461.6271333333334</v>
      </c>
      <c r="M14" s="125"/>
      <c r="N14" s="71" t="s">
        <v>71</v>
      </c>
      <c r="O14" s="34"/>
      <c r="P14" s="74">
        <v>6500</v>
      </c>
      <c r="Q14" s="75">
        <f t="shared" si="0"/>
        <v>68.77243</v>
      </c>
      <c r="R14" s="34"/>
      <c r="S14" s="74">
        <f t="shared" si="2"/>
        <v>0</v>
      </c>
      <c r="T14" s="76">
        <f t="shared" si="6"/>
        <v>0</v>
      </c>
      <c r="U14" s="34"/>
      <c r="V14" s="74">
        <f t="shared" si="3"/>
        <v>0</v>
      </c>
      <c r="W14" s="76">
        <f t="shared" si="7"/>
        <v>0</v>
      </c>
      <c r="X14" s="26"/>
      <c r="Y14" s="26"/>
    </row>
    <row r="15" spans="1:25" x14ac:dyDescent="0.25">
      <c r="A15" s="71" t="s">
        <v>72</v>
      </c>
      <c r="B15" s="34"/>
      <c r="C15" s="77">
        <v>7960</v>
      </c>
      <c r="D15" s="68">
        <f>Rates!C$3+(((Forecast!C15-1500)/1000)*Rates!C$4)</f>
        <v>77.9422</v>
      </c>
      <c r="E15" s="78">
        <f>1366/12</f>
        <v>113.83333333333333</v>
      </c>
      <c r="F15" s="72">
        <f>Users!F14</f>
        <v>906113.33333333326</v>
      </c>
      <c r="G15" s="124">
        <f t="shared" si="4"/>
        <v>8872.4204333333328</v>
      </c>
      <c r="H15" s="73">
        <v>7995</v>
      </c>
      <c r="I15" s="30">
        <f>Rates!C$3+(((Forecast!H15-1500)/1000)*Rates!C$4)</f>
        <v>78.259650000000008</v>
      </c>
      <c r="J15" s="79">
        <f>(4+57)/12</f>
        <v>5.083333333333333</v>
      </c>
      <c r="K15" s="74">
        <f t="shared" si="1"/>
        <v>40641.25</v>
      </c>
      <c r="L15" s="125">
        <f t="shared" si="5"/>
        <v>397.81988749999999</v>
      </c>
      <c r="M15" s="125"/>
      <c r="N15" s="71" t="s">
        <v>72</v>
      </c>
      <c r="O15" s="34"/>
      <c r="P15" s="74">
        <v>7500</v>
      </c>
      <c r="Q15" s="75">
        <f t="shared" si="0"/>
        <v>77.9422</v>
      </c>
      <c r="R15" s="34"/>
      <c r="S15" s="74">
        <f t="shared" si="2"/>
        <v>0</v>
      </c>
      <c r="T15" s="76">
        <f t="shared" si="6"/>
        <v>0</v>
      </c>
      <c r="U15" s="34"/>
      <c r="V15" s="74">
        <f t="shared" si="3"/>
        <v>0</v>
      </c>
      <c r="W15" s="76">
        <f t="shared" si="7"/>
        <v>0</v>
      </c>
      <c r="X15" s="26"/>
      <c r="Y15" s="26"/>
    </row>
    <row r="16" spans="1:25" x14ac:dyDescent="0.25">
      <c r="A16" s="71" t="s">
        <v>73</v>
      </c>
      <c r="B16" s="34"/>
      <c r="C16" s="77">
        <v>8969</v>
      </c>
      <c r="D16" s="68">
        <f>Rates!C$3+(((Forecast!C16-1500)/1000)*Rates!C$4)</f>
        <v>87.093829999999997</v>
      </c>
      <c r="E16" s="78">
        <f>980/12</f>
        <v>81.666666666666671</v>
      </c>
      <c r="F16" s="72">
        <f>Users!F15</f>
        <v>732468.33333333337</v>
      </c>
      <c r="G16" s="124">
        <f t="shared" si="4"/>
        <v>7112.6627833333332</v>
      </c>
      <c r="H16" s="73">
        <v>8973</v>
      </c>
      <c r="I16" s="30">
        <f>Rates!C$3+(((Forecast!H16-1500)/1000)*Rates!C$4)</f>
        <v>87.130110000000002</v>
      </c>
      <c r="J16" s="79">
        <f>(8+43)/12</f>
        <v>4.25</v>
      </c>
      <c r="K16" s="74">
        <f t="shared" si="1"/>
        <v>38135.25</v>
      </c>
      <c r="L16" s="125">
        <f t="shared" si="5"/>
        <v>370.30296750000002</v>
      </c>
      <c r="M16" s="125"/>
      <c r="N16" s="71" t="s">
        <v>73</v>
      </c>
      <c r="O16" s="34"/>
      <c r="P16" s="74">
        <v>8500</v>
      </c>
      <c r="Q16" s="75">
        <f t="shared" si="0"/>
        <v>87.093829999999997</v>
      </c>
      <c r="R16" s="34"/>
      <c r="S16" s="74">
        <f t="shared" si="2"/>
        <v>0</v>
      </c>
      <c r="T16" s="76">
        <f t="shared" si="6"/>
        <v>0</v>
      </c>
      <c r="U16" s="34"/>
      <c r="V16" s="74">
        <f t="shared" si="3"/>
        <v>0</v>
      </c>
      <c r="W16" s="76">
        <f t="shared" si="7"/>
        <v>0</v>
      </c>
      <c r="X16" s="26"/>
      <c r="Y16" s="26"/>
    </row>
    <row r="17" spans="1:25" x14ac:dyDescent="0.25">
      <c r="A17" s="71" t="s">
        <v>74</v>
      </c>
      <c r="B17" s="34"/>
      <c r="C17" s="77">
        <v>9941</v>
      </c>
      <c r="D17" s="68">
        <f>Rates!C$3+(((Forecast!C17-1500)/1000)*Rates!C$4)</f>
        <v>95.909870000000012</v>
      </c>
      <c r="E17" s="78">
        <f>590/12</f>
        <v>49.166666666666664</v>
      </c>
      <c r="F17" s="72">
        <f>Users!F16</f>
        <v>488765.83333333331</v>
      </c>
      <c r="G17" s="124">
        <f t="shared" si="4"/>
        <v>4715.5686083333339</v>
      </c>
      <c r="H17" s="73">
        <v>9956</v>
      </c>
      <c r="I17" s="30">
        <f>Rates!C$3+(((Forecast!H17-1500)/1000)*Rates!C$4)</f>
        <v>96.045919999999995</v>
      </c>
      <c r="J17" s="79">
        <f>(2+29)/12</f>
        <v>2.5833333333333335</v>
      </c>
      <c r="K17" s="74">
        <f t="shared" si="1"/>
        <v>25719.666666666668</v>
      </c>
      <c r="L17" s="125">
        <f t="shared" si="5"/>
        <v>248.11862666666667</v>
      </c>
      <c r="M17" s="125"/>
      <c r="N17" s="71" t="s">
        <v>74</v>
      </c>
      <c r="O17" s="34"/>
      <c r="P17" s="74">
        <v>9500</v>
      </c>
      <c r="Q17" s="75">
        <f t="shared" si="0"/>
        <v>95.909870000000012</v>
      </c>
      <c r="R17" s="34"/>
      <c r="S17" s="74">
        <f t="shared" si="2"/>
        <v>0</v>
      </c>
      <c r="T17" s="76">
        <f t="shared" si="6"/>
        <v>0</v>
      </c>
      <c r="U17" s="34"/>
      <c r="V17" s="74">
        <f t="shared" si="3"/>
        <v>0</v>
      </c>
      <c r="W17" s="76">
        <f t="shared" si="7"/>
        <v>0</v>
      </c>
      <c r="X17" s="26"/>
      <c r="Y17" s="26"/>
    </row>
    <row r="18" spans="1:25" x14ac:dyDescent="0.25">
      <c r="A18" s="71" t="s">
        <v>75</v>
      </c>
      <c r="B18" s="34"/>
      <c r="C18" s="77">
        <v>10972</v>
      </c>
      <c r="D18" s="68">
        <f>Rates!C$3+(8.5*Rates!C$4)+(((Forecast!C18-10000)/1000)*Rates!C$5)</f>
        <v>104.3668</v>
      </c>
      <c r="E18" s="78">
        <f>448/12</f>
        <v>37.333333333333336</v>
      </c>
      <c r="F18" s="72">
        <f>Users!F17</f>
        <v>409621.33333333337</v>
      </c>
      <c r="G18" s="124">
        <f t="shared" si="4"/>
        <v>3896.3605333333335</v>
      </c>
      <c r="H18" s="73">
        <v>11039</v>
      </c>
      <c r="I18" s="30">
        <f>Rates!C$3+(8.5*Rates!C$4)+(((Forecast!H18-10000)/1000)*Rates!C$5)</f>
        <v>104.91284999999999</v>
      </c>
      <c r="J18" s="79">
        <f>(2+23)/12</f>
        <v>2.0833333333333335</v>
      </c>
      <c r="K18" s="74">
        <f t="shared" si="1"/>
        <v>22997.916666666668</v>
      </c>
      <c r="L18" s="125">
        <f t="shared" si="5"/>
        <v>218.56843749999999</v>
      </c>
      <c r="M18" s="125"/>
      <c r="N18" s="71" t="s">
        <v>75</v>
      </c>
      <c r="O18" s="34"/>
      <c r="P18" s="74">
        <v>10500</v>
      </c>
      <c r="Q18" s="75">
        <f t="shared" si="0"/>
        <v>104.3668</v>
      </c>
      <c r="R18" s="34"/>
      <c r="S18" s="74">
        <f t="shared" si="2"/>
        <v>0</v>
      </c>
      <c r="T18" s="76">
        <f t="shared" si="6"/>
        <v>0</v>
      </c>
      <c r="U18" s="34"/>
      <c r="V18" s="74">
        <f t="shared" si="3"/>
        <v>0</v>
      </c>
      <c r="W18" s="76">
        <f t="shared" si="7"/>
        <v>0</v>
      </c>
      <c r="X18" s="26"/>
      <c r="Y18" s="26"/>
    </row>
    <row r="19" spans="1:25" x14ac:dyDescent="0.25">
      <c r="A19" s="71" t="s">
        <v>76</v>
      </c>
      <c r="B19" s="34"/>
      <c r="C19" s="77">
        <v>11936</v>
      </c>
      <c r="D19" s="68">
        <f>Rates!C$3+(8.5*Rates!C$4)+(((Forecast!C19-10000)/1000)*Rates!C$5)</f>
        <v>112.2234</v>
      </c>
      <c r="E19" s="78">
        <f>330/12</f>
        <v>27.5</v>
      </c>
      <c r="F19" s="72">
        <f>Users!F18</f>
        <v>328240</v>
      </c>
      <c r="G19" s="124">
        <f t="shared" si="4"/>
        <v>3086.1435000000001</v>
      </c>
      <c r="H19" s="73">
        <v>11887</v>
      </c>
      <c r="I19" s="30">
        <f>Rates!C$3+(8.5*Rates!C$4)+(((Forecast!H19-10000)/1000)*Rates!C$5)</f>
        <v>111.82405</v>
      </c>
      <c r="J19" s="79">
        <v>2</v>
      </c>
      <c r="K19" s="74">
        <f t="shared" si="1"/>
        <v>23774</v>
      </c>
      <c r="L19" s="125">
        <f t="shared" si="5"/>
        <v>223.6481</v>
      </c>
      <c r="M19" s="125"/>
      <c r="N19" s="71" t="s">
        <v>76</v>
      </c>
      <c r="O19" s="34"/>
      <c r="P19" s="74">
        <v>11500</v>
      </c>
      <c r="Q19" s="75">
        <f t="shared" si="0"/>
        <v>112.2234</v>
      </c>
      <c r="R19" s="34"/>
      <c r="S19" s="74">
        <f t="shared" si="2"/>
        <v>0</v>
      </c>
      <c r="T19" s="76">
        <f t="shared" si="6"/>
        <v>0</v>
      </c>
      <c r="U19" s="34"/>
      <c r="V19" s="74">
        <f t="shared" si="3"/>
        <v>0</v>
      </c>
      <c r="W19" s="76">
        <f t="shared" si="7"/>
        <v>0</v>
      </c>
      <c r="X19" s="26"/>
      <c r="Y19" s="26"/>
    </row>
    <row r="20" spans="1:25" x14ac:dyDescent="0.25">
      <c r="A20" s="71" t="s">
        <v>77</v>
      </c>
      <c r="B20" s="34"/>
      <c r="C20" s="77">
        <v>12940</v>
      </c>
      <c r="D20" s="68">
        <f>Rates!C$3+(8.5*Rates!C$4)+(((Forecast!C20-10000)/1000)*Rates!C$5)</f>
        <v>120.40599999999999</v>
      </c>
      <c r="E20" s="78">
        <f>247/12</f>
        <v>20.583333333333332</v>
      </c>
      <c r="F20" s="72">
        <f>Users!F19</f>
        <v>266348.33333333331</v>
      </c>
      <c r="G20" s="124">
        <f t="shared" si="4"/>
        <v>2478.3568333333328</v>
      </c>
      <c r="H20" s="73">
        <v>13060</v>
      </c>
      <c r="I20" s="30">
        <f>Rates!C$3+(8.5*Rates!C$4)+(((Forecast!H20-10000)/1000)*Rates!C$5)</f>
        <v>121.38399999999999</v>
      </c>
      <c r="J20" s="79">
        <f>20/12</f>
        <v>1.6666666666666667</v>
      </c>
      <c r="K20" s="74">
        <f t="shared" si="1"/>
        <v>21766.666666666668</v>
      </c>
      <c r="L20" s="125">
        <f t="shared" si="5"/>
        <v>202.30666666666664</v>
      </c>
      <c r="M20" s="125"/>
      <c r="N20" s="71" t="s">
        <v>77</v>
      </c>
      <c r="O20" s="34"/>
      <c r="P20" s="74">
        <v>12500</v>
      </c>
      <c r="Q20" s="75">
        <f t="shared" si="0"/>
        <v>120.40599999999999</v>
      </c>
      <c r="R20" s="34"/>
      <c r="S20" s="74">
        <f t="shared" si="2"/>
        <v>0</v>
      </c>
      <c r="T20" s="76">
        <f t="shared" si="6"/>
        <v>0</v>
      </c>
      <c r="U20" s="34"/>
      <c r="V20" s="74">
        <f t="shared" si="3"/>
        <v>0</v>
      </c>
      <c r="W20" s="76">
        <f t="shared" si="7"/>
        <v>0</v>
      </c>
      <c r="X20" s="26"/>
      <c r="Y20" s="26"/>
    </row>
    <row r="21" spans="1:25" x14ac:dyDescent="0.25">
      <c r="A21" s="71" t="s">
        <v>78</v>
      </c>
      <c r="B21" s="34"/>
      <c r="C21" s="77">
        <v>13959</v>
      </c>
      <c r="D21" s="68">
        <f>Rates!C$3+(8.5*Rates!C$4)+(((Forecast!C21-10000)/1000)*Rates!C$5)</f>
        <v>128.71084999999999</v>
      </c>
      <c r="E21" s="78">
        <f>190/12</f>
        <v>15.833333333333334</v>
      </c>
      <c r="F21" s="72">
        <f>Users!F20</f>
        <v>221017.5</v>
      </c>
      <c r="G21" s="124">
        <f t="shared" si="4"/>
        <v>2037.9217916666666</v>
      </c>
      <c r="H21" s="73">
        <v>14082</v>
      </c>
      <c r="I21" s="30">
        <f>Rates!C$3+(8.5*Rates!C$4)+(((Forecast!H21-10000)/1000)*Rates!C$5)</f>
        <v>129.7133</v>
      </c>
      <c r="J21" s="79">
        <f>21/12</f>
        <v>1.75</v>
      </c>
      <c r="K21" s="74">
        <f t="shared" si="1"/>
        <v>24643.5</v>
      </c>
      <c r="L21" s="125">
        <f t="shared" si="5"/>
        <v>226.99827500000001</v>
      </c>
      <c r="M21" s="125"/>
      <c r="N21" s="71" t="s">
        <v>78</v>
      </c>
      <c r="O21" s="34"/>
      <c r="P21" s="74">
        <v>13500</v>
      </c>
      <c r="Q21" s="75">
        <f t="shared" si="0"/>
        <v>128.71084999999999</v>
      </c>
      <c r="R21" s="34"/>
      <c r="S21" s="74">
        <f t="shared" si="2"/>
        <v>0</v>
      </c>
      <c r="T21" s="76">
        <f t="shared" si="6"/>
        <v>0</v>
      </c>
      <c r="U21" s="34"/>
      <c r="V21" s="74">
        <f t="shared" si="3"/>
        <v>0</v>
      </c>
      <c r="W21" s="76">
        <f t="shared" si="7"/>
        <v>0</v>
      </c>
      <c r="X21" s="26"/>
      <c r="Y21" s="26"/>
    </row>
    <row r="22" spans="1:25" x14ac:dyDescent="0.25">
      <c r="A22" s="71" t="s">
        <v>79</v>
      </c>
      <c r="B22" s="34"/>
      <c r="C22" s="77">
        <v>14973</v>
      </c>
      <c r="D22" s="68">
        <f>Rates!C$3+(8.5*Rates!C$4)+(((Forecast!C22-10000)/1000)*Rates!C$5)</f>
        <v>136.97494999999998</v>
      </c>
      <c r="E22" s="78">
        <f>136/12</f>
        <v>11.333333333333334</v>
      </c>
      <c r="F22" s="72">
        <f>Users!F21</f>
        <v>169694</v>
      </c>
      <c r="G22" s="124">
        <f t="shared" si="4"/>
        <v>1552.3827666666666</v>
      </c>
      <c r="H22" s="73">
        <v>14919</v>
      </c>
      <c r="I22" s="30">
        <f>Rates!C$3+(8.5*Rates!C$4)+(((Forecast!H22-10000)/1000)*Rates!C$5)</f>
        <v>136.53485000000001</v>
      </c>
      <c r="J22" s="79">
        <f>14/12</f>
        <v>1.1666666666666667</v>
      </c>
      <c r="K22" s="74">
        <f t="shared" si="1"/>
        <v>17405.5</v>
      </c>
      <c r="L22" s="125">
        <f t="shared" si="5"/>
        <v>159.29065833333334</v>
      </c>
      <c r="M22" s="125"/>
      <c r="N22" s="71" t="s">
        <v>79</v>
      </c>
      <c r="O22" s="34"/>
      <c r="P22" s="74">
        <v>14500</v>
      </c>
      <c r="Q22" s="75">
        <f t="shared" si="0"/>
        <v>136.97494999999998</v>
      </c>
      <c r="R22" s="34"/>
      <c r="S22" s="74">
        <f t="shared" si="2"/>
        <v>0</v>
      </c>
      <c r="T22" s="76">
        <f t="shared" si="6"/>
        <v>0</v>
      </c>
      <c r="U22" s="34"/>
      <c r="V22" s="74">
        <f t="shared" si="3"/>
        <v>0</v>
      </c>
      <c r="W22" s="76">
        <f t="shared" si="7"/>
        <v>0</v>
      </c>
      <c r="X22" s="26"/>
      <c r="Y22" s="26"/>
    </row>
    <row r="23" spans="1:25" x14ac:dyDescent="0.25">
      <c r="A23" s="71" t="s">
        <v>80</v>
      </c>
      <c r="B23" s="34"/>
      <c r="C23" s="77">
        <v>15982</v>
      </c>
      <c r="D23" s="68">
        <f>Rates!C$3+(8.5*Rates!C$4)+(((Forecast!C23-10000)/1000)*Rates!C$5)</f>
        <v>145.19829999999999</v>
      </c>
      <c r="E23" s="78">
        <f>109/12</f>
        <v>9.0833333333333339</v>
      </c>
      <c r="F23" s="72">
        <f>Users!F22</f>
        <v>145169.83333333334</v>
      </c>
      <c r="G23" s="124">
        <f t="shared" si="4"/>
        <v>1318.8845583333334</v>
      </c>
      <c r="H23" s="73">
        <v>16165</v>
      </c>
      <c r="I23" s="30">
        <f>Rates!C$3+(8.5*Rates!C$4)+(((Forecast!H23-10000)/1000)*Rates!C$5)</f>
        <v>146.68975</v>
      </c>
      <c r="J23" s="79">
        <f>10/12</f>
        <v>0.83333333333333337</v>
      </c>
      <c r="K23" s="74">
        <f t="shared" si="1"/>
        <v>13470.833333333334</v>
      </c>
      <c r="L23" s="125">
        <f t="shared" si="5"/>
        <v>122.24145833333334</v>
      </c>
      <c r="M23" s="125"/>
      <c r="N23" s="71" t="s">
        <v>80</v>
      </c>
      <c r="O23" s="34"/>
      <c r="P23" s="74">
        <v>15500</v>
      </c>
      <c r="Q23" s="75">
        <f t="shared" si="0"/>
        <v>145.19829999999999</v>
      </c>
      <c r="R23" s="34"/>
      <c r="S23" s="74">
        <f t="shared" si="2"/>
        <v>0</v>
      </c>
      <c r="T23" s="76">
        <f t="shared" si="6"/>
        <v>0</v>
      </c>
      <c r="U23" s="34"/>
      <c r="V23" s="74">
        <f t="shared" si="3"/>
        <v>0</v>
      </c>
      <c r="W23" s="76">
        <f t="shared" si="7"/>
        <v>0</v>
      </c>
      <c r="X23" s="26"/>
      <c r="Y23" s="26"/>
    </row>
    <row r="24" spans="1:25" x14ac:dyDescent="0.25">
      <c r="A24" s="71" t="s">
        <v>81</v>
      </c>
      <c r="B24" s="34"/>
      <c r="C24" s="77">
        <v>16965</v>
      </c>
      <c r="D24" s="68">
        <f>Rates!C$3+(8.5*Rates!C$4)+(((Forecast!C24-10000)/1000)*Rates!C$5)</f>
        <v>153.20974999999999</v>
      </c>
      <c r="E24" s="78">
        <f>97/12</f>
        <v>8.0833333333333339</v>
      </c>
      <c r="F24" s="72">
        <f>Users!F23</f>
        <v>137133.75</v>
      </c>
      <c r="G24" s="124">
        <f t="shared" si="4"/>
        <v>1238.4454791666667</v>
      </c>
      <c r="H24" s="73">
        <v>17051</v>
      </c>
      <c r="I24" s="30">
        <f>Rates!C$3+(8.5*Rates!C$4)+(((Forecast!H24-10000)/1000)*Rates!C$5)</f>
        <v>153.91065</v>
      </c>
      <c r="J24" s="79">
        <f>6/12</f>
        <v>0.5</v>
      </c>
      <c r="K24" s="74">
        <f t="shared" si="1"/>
        <v>8525.5</v>
      </c>
      <c r="L24" s="125">
        <f t="shared" si="5"/>
        <v>76.955325000000002</v>
      </c>
      <c r="M24" s="125"/>
      <c r="N24" s="71" t="s">
        <v>81</v>
      </c>
      <c r="O24" s="34"/>
      <c r="P24" s="74">
        <v>16500</v>
      </c>
      <c r="Q24" s="75">
        <f>+D24</f>
        <v>153.20974999999999</v>
      </c>
      <c r="R24" s="34"/>
      <c r="S24" s="74">
        <f>(R24*P24)/1000</f>
        <v>0</v>
      </c>
      <c r="T24" s="76">
        <f t="shared" si="6"/>
        <v>0</v>
      </c>
      <c r="U24" s="34"/>
      <c r="V24" s="74">
        <f>(U24*P24)/1000</f>
        <v>0</v>
      </c>
      <c r="W24" s="76">
        <f t="shared" si="7"/>
        <v>0</v>
      </c>
      <c r="X24" s="26"/>
      <c r="Y24" s="26"/>
    </row>
    <row r="25" spans="1:25" x14ac:dyDescent="0.25">
      <c r="A25" s="71" t="s">
        <v>82</v>
      </c>
      <c r="B25" s="34"/>
      <c r="C25" s="77">
        <v>17981</v>
      </c>
      <c r="D25" s="68">
        <f>Rates!C$3+(8.5*Rates!C$4)+(((Forecast!C25-10000)/1000)*Rates!C$5)</f>
        <v>161.49015</v>
      </c>
      <c r="E25" s="78">
        <f>82/12</f>
        <v>6.833333333333333</v>
      </c>
      <c r="F25" s="72">
        <f>Users!F24</f>
        <v>122870.16666666666</v>
      </c>
      <c r="G25" s="124">
        <f t="shared" si="4"/>
        <v>1103.5160249999999</v>
      </c>
      <c r="H25" s="73">
        <v>18081</v>
      </c>
      <c r="I25" s="30">
        <f>Rates!C$3+(8.5*Rates!C$4)+(((Forecast!H25-10000)/1000)*Rates!C$5)</f>
        <v>162.30515</v>
      </c>
      <c r="J25" s="79">
        <f>10/12</f>
        <v>0.83333333333333337</v>
      </c>
      <c r="K25" s="74">
        <f t="shared" si="1"/>
        <v>15067.5</v>
      </c>
      <c r="L25" s="125">
        <f t="shared" si="5"/>
        <v>135.25429166666666</v>
      </c>
      <c r="M25" s="125"/>
      <c r="N25" s="71" t="s">
        <v>82</v>
      </c>
      <c r="O25" s="34"/>
      <c r="P25" s="74">
        <v>17500</v>
      </c>
      <c r="Q25" s="75">
        <f>+D25</f>
        <v>161.49015</v>
      </c>
      <c r="R25" s="34"/>
      <c r="S25" s="74">
        <f>(R25*P25)/1000</f>
        <v>0</v>
      </c>
      <c r="T25" s="76">
        <f t="shared" si="6"/>
        <v>0</v>
      </c>
      <c r="U25" s="34"/>
      <c r="V25" s="74">
        <f>(U25*P25)/1000</f>
        <v>0</v>
      </c>
      <c r="W25" s="76">
        <f t="shared" si="7"/>
        <v>0</v>
      </c>
      <c r="X25" s="26"/>
      <c r="Y25" s="26"/>
    </row>
    <row r="26" spans="1:25" x14ac:dyDescent="0.25">
      <c r="A26" s="71" t="s">
        <v>83</v>
      </c>
      <c r="B26" s="34"/>
      <c r="C26" s="77">
        <v>19031</v>
      </c>
      <c r="D26" s="68">
        <f>Rates!C$3+(8.5*Rates!C$4)+(((Forecast!C26-10000)/1000)*Rates!C$5)</f>
        <v>170.04765</v>
      </c>
      <c r="E26" s="78">
        <f>62/12</f>
        <v>5.166666666666667</v>
      </c>
      <c r="F26" s="72">
        <f>Users!F25</f>
        <v>98326.833333333343</v>
      </c>
      <c r="G26" s="124">
        <f t="shared" si="4"/>
        <v>878.5795250000001</v>
      </c>
      <c r="H26" s="73">
        <v>18957</v>
      </c>
      <c r="I26" s="30">
        <f>Rates!C$3+(8.5*Rates!C$4)+(((Forecast!H26-10000)/1000)*Rates!C$5)</f>
        <v>169.44454999999999</v>
      </c>
      <c r="J26" s="79">
        <f>7/12</f>
        <v>0.58333333333333337</v>
      </c>
      <c r="K26" s="74">
        <f t="shared" si="1"/>
        <v>11058.25</v>
      </c>
      <c r="L26" s="125">
        <f t="shared" si="5"/>
        <v>98.842654166666662</v>
      </c>
      <c r="M26" s="125"/>
      <c r="N26" s="71" t="s">
        <v>83</v>
      </c>
      <c r="O26" s="34"/>
      <c r="P26" s="74">
        <v>18500</v>
      </c>
      <c r="Q26" s="75">
        <f>+D26</f>
        <v>170.04765</v>
      </c>
      <c r="R26" s="34"/>
      <c r="S26" s="74">
        <f>(R26*P26)/1000</f>
        <v>0</v>
      </c>
      <c r="T26" s="76">
        <f>Q25*R26</f>
        <v>0</v>
      </c>
      <c r="U26" s="34"/>
      <c r="V26" s="74">
        <f>(U26*P26)/1000</f>
        <v>0</v>
      </c>
      <c r="W26" s="76">
        <f>Q25*U26</f>
        <v>0</v>
      </c>
      <c r="X26" s="26"/>
      <c r="Y26" s="26"/>
    </row>
    <row r="27" spans="1:25" x14ac:dyDescent="0.25">
      <c r="A27" s="71" t="s">
        <v>84</v>
      </c>
      <c r="B27" s="34"/>
      <c r="C27" s="77">
        <v>19945</v>
      </c>
      <c r="D27" s="68">
        <f>Rates!C$3+(8.5*Rates!C$4)+(((Forecast!C27-10000)/1000)*Rates!C$5)</f>
        <v>177.49675000000002</v>
      </c>
      <c r="E27" s="78">
        <f>58/12</f>
        <v>4.833333333333333</v>
      </c>
      <c r="F27" s="72">
        <f>Users!F26</f>
        <v>96400.833333333328</v>
      </c>
      <c r="G27" s="124">
        <f t="shared" si="4"/>
        <v>857.90095833333339</v>
      </c>
      <c r="H27" s="73">
        <v>20120</v>
      </c>
      <c r="I27" s="30">
        <f>Rates!C$3+(8.5*Rates!C$4)+(((Forecast!H27-10000)/1000)*Rates!C$5)</f>
        <v>178.923</v>
      </c>
      <c r="J27" s="79">
        <f>15/12</f>
        <v>1.25</v>
      </c>
      <c r="K27" s="74">
        <f t="shared" si="1"/>
        <v>25150</v>
      </c>
      <c r="L27" s="125">
        <f t="shared" si="5"/>
        <v>223.65375</v>
      </c>
      <c r="M27" s="125"/>
      <c r="N27" s="71" t="s">
        <v>84</v>
      </c>
      <c r="O27" s="34"/>
      <c r="P27" s="74">
        <v>19500</v>
      </c>
      <c r="Q27" s="75">
        <f>+D28</f>
        <v>351.92304999999999</v>
      </c>
      <c r="R27" s="34"/>
      <c r="S27" s="74">
        <f>(R27*P27)/1000</f>
        <v>0</v>
      </c>
      <c r="T27" s="76">
        <f>Q26*R27</f>
        <v>0</v>
      </c>
      <c r="U27" s="34"/>
      <c r="V27" s="74">
        <f>(U27*P27)/1000</f>
        <v>0</v>
      </c>
      <c r="W27" s="76">
        <f>Q26*U27</f>
        <v>0</v>
      </c>
      <c r="X27" s="26"/>
      <c r="Y27" s="26"/>
    </row>
    <row r="28" spans="1:25" x14ac:dyDescent="0.25">
      <c r="A28" s="71" t="s">
        <v>85</v>
      </c>
      <c r="B28" s="34"/>
      <c r="C28" s="77">
        <v>41347</v>
      </c>
      <c r="D28" s="68">
        <f>(Rates!C3+(8.5*Rates!C4)+(((Forecast!C28-10000)/1000)*Rates!C5))</f>
        <v>351.92304999999999</v>
      </c>
      <c r="E28" s="78">
        <f>'Over 25,000'!A92</f>
        <v>40.666666666666664</v>
      </c>
      <c r="F28" s="72">
        <f>Users!F27</f>
        <v>1681444.6666666665</v>
      </c>
      <c r="G28" s="124">
        <f t="shared" si="4"/>
        <v>14311.537366666666</v>
      </c>
      <c r="H28" s="73">
        <v>43706</v>
      </c>
      <c r="I28" s="30">
        <f>(Rates!C3+(8.5*Rates!C4)+(((Forecast!H28-10000)/1000)*Rates!C5))</f>
        <v>371.14890000000003</v>
      </c>
      <c r="J28" s="79">
        <v>11</v>
      </c>
      <c r="K28" s="74">
        <f t="shared" si="1"/>
        <v>480766</v>
      </c>
      <c r="L28" s="125">
        <f t="shared" si="5"/>
        <v>4082.6379000000002</v>
      </c>
      <c r="M28" s="125"/>
      <c r="N28" s="71" t="s">
        <v>85</v>
      </c>
      <c r="O28" s="34"/>
      <c r="P28" s="74">
        <v>22150</v>
      </c>
      <c r="Q28" s="75" t="str">
        <f>+D29</f>
        <v>Subtotal</v>
      </c>
      <c r="R28" s="34"/>
      <c r="S28" s="74">
        <f>(R28*P28)/1000</f>
        <v>0</v>
      </c>
      <c r="T28" s="76"/>
      <c r="U28" s="34"/>
      <c r="V28" s="74">
        <f>(U28*P28)/1000</f>
        <v>0</v>
      </c>
      <c r="W28" s="76"/>
      <c r="X28" s="26"/>
      <c r="Y28" s="26"/>
    </row>
    <row r="29" spans="1:25" x14ac:dyDescent="0.25">
      <c r="A29" s="26"/>
      <c r="B29" s="34"/>
      <c r="C29" s="80"/>
      <c r="D29" s="81" t="s">
        <v>10</v>
      </c>
      <c r="E29" s="82">
        <f>SUM(E7:E28)</f>
        <v>6507.5833333333321</v>
      </c>
      <c r="F29" s="83">
        <f>SUM(F8:F28)</f>
        <v>20626960</v>
      </c>
      <c r="G29" s="84">
        <f>SUM(G8:G28)</f>
        <v>242571.32441999999</v>
      </c>
      <c r="H29" s="85"/>
      <c r="I29" s="85"/>
      <c r="J29" s="86">
        <f>SUM(J8:J28)</f>
        <v>328.74999999999994</v>
      </c>
      <c r="K29" s="87">
        <f>SUM(K8:K28)</f>
        <v>1202544.3333333333</v>
      </c>
      <c r="L29" s="88">
        <f>SUM(L8:L28)</f>
        <v>14387.7360575</v>
      </c>
      <c r="M29" s="143"/>
      <c r="N29" s="26"/>
      <c r="O29" s="34"/>
      <c r="P29" s="26"/>
      <c r="Q29" s="89" t="s">
        <v>10</v>
      </c>
      <c r="R29" s="90">
        <f t="shared" ref="R29:W29" si="8">SUM(R8:R28)</f>
        <v>0</v>
      </c>
      <c r="S29" s="87">
        <f t="shared" si="8"/>
        <v>0</v>
      </c>
      <c r="T29" s="85">
        <f t="shared" si="8"/>
        <v>0</v>
      </c>
      <c r="U29" s="90">
        <f t="shared" si="8"/>
        <v>0</v>
      </c>
      <c r="V29" s="87">
        <f t="shared" si="8"/>
        <v>0</v>
      </c>
      <c r="W29" s="85">
        <f t="shared" si="8"/>
        <v>0</v>
      </c>
      <c r="X29" s="26"/>
      <c r="Y29" s="26"/>
    </row>
    <row r="30" spans="1:25" x14ac:dyDescent="0.25">
      <c r="A30" s="71" t="s">
        <v>19</v>
      </c>
      <c r="B30" s="34"/>
      <c r="C30" s="66"/>
      <c r="D30" s="68">
        <f>Rates!C3+(((Forecast!F31-1500)/1000)*Rates!C4)</f>
        <v>34.494002143652928</v>
      </c>
      <c r="E30" s="66"/>
      <c r="F30" s="66"/>
      <c r="G30" s="91"/>
      <c r="H30" s="92"/>
      <c r="I30" s="30">
        <f>Rates!C3+(((Forecast!K31-1500)/1000)*Rates!C4)</f>
        <v>38.92242084664133</v>
      </c>
      <c r="J30" s="34"/>
      <c r="K30" s="34"/>
      <c r="L30" s="34"/>
      <c r="M30" s="34"/>
      <c r="N30" s="71" t="s">
        <v>19</v>
      </c>
      <c r="O30" s="34"/>
      <c r="P30" s="34"/>
      <c r="Q30" s="93"/>
      <c r="R30" s="34"/>
      <c r="S30" s="34"/>
      <c r="T30" s="92"/>
      <c r="U30" s="34"/>
      <c r="V30" s="34"/>
      <c r="W30" s="94"/>
      <c r="X30" s="26"/>
      <c r="Y30" s="26"/>
    </row>
    <row r="31" spans="1:25" ht="15.75" thickBot="1" x14ac:dyDescent="0.3">
      <c r="A31" s="71" t="s">
        <v>11</v>
      </c>
      <c r="B31" s="34"/>
      <c r="C31" s="66"/>
      <c r="D31" s="95"/>
      <c r="E31" s="95"/>
      <c r="F31" s="96">
        <f>(F29)/E29</f>
        <v>3169.6805009540158</v>
      </c>
      <c r="G31" s="97"/>
      <c r="H31" s="98"/>
      <c r="I31" s="98"/>
      <c r="J31" s="99"/>
      <c r="K31" s="100">
        <f>K29/J29</f>
        <v>3657.9295310519651</v>
      </c>
      <c r="L31" s="99"/>
      <c r="M31" s="34"/>
      <c r="N31" s="71" t="s">
        <v>11</v>
      </c>
      <c r="O31" s="34"/>
      <c r="P31" s="34"/>
      <c r="Q31" s="99"/>
      <c r="R31" s="99"/>
      <c r="S31" s="100"/>
      <c r="T31" s="98"/>
      <c r="U31" s="99"/>
      <c r="V31" s="100"/>
      <c r="W31" s="98"/>
      <c r="X31" s="26"/>
      <c r="Y31" s="26"/>
    </row>
    <row r="32" spans="1:25" ht="15.75" hidden="1" thickTop="1" x14ac:dyDescent="0.25">
      <c r="A32" s="26"/>
      <c r="B32" s="26"/>
      <c r="C32" s="26"/>
      <c r="D32" s="26"/>
      <c r="E32" s="26"/>
      <c r="F32" s="26"/>
      <c r="G32" s="101"/>
      <c r="H32" s="101"/>
      <c r="I32" s="101"/>
      <c r="J32" s="26"/>
      <c r="K32" s="26"/>
      <c r="L32" s="23"/>
      <c r="M32" s="23"/>
      <c r="N32" s="26"/>
      <c r="O32" s="26"/>
      <c r="P32" s="26"/>
      <c r="Q32" s="26"/>
      <c r="R32" s="26"/>
      <c r="S32" s="26"/>
      <c r="T32" s="101"/>
      <c r="U32" s="26"/>
      <c r="V32" s="26"/>
      <c r="W32" s="101"/>
      <c r="X32" s="26"/>
      <c r="Y32" s="26"/>
    </row>
    <row r="33" spans="1:25" hidden="1" x14ac:dyDescent="0.25">
      <c r="A33" s="69"/>
      <c r="B33" s="34"/>
      <c r="C33" s="34"/>
      <c r="D33" s="74"/>
      <c r="E33" s="34"/>
      <c r="F33" s="34"/>
      <c r="G33" s="102"/>
      <c r="H33" s="102"/>
      <c r="I33" s="102"/>
      <c r="J33" s="34"/>
      <c r="K33" s="34"/>
      <c r="L33" s="30"/>
      <c r="M33" s="30"/>
      <c r="N33" s="69" t="s">
        <v>12</v>
      </c>
      <c r="O33" s="34"/>
      <c r="P33" s="34"/>
      <c r="Q33" s="74"/>
      <c r="R33" s="34"/>
      <c r="S33" s="34"/>
      <c r="T33" s="102"/>
      <c r="U33" s="34"/>
      <c r="V33" s="34"/>
      <c r="W33" s="102"/>
      <c r="X33" s="26"/>
      <c r="Y33" s="26"/>
    </row>
    <row r="34" spans="1:25" hidden="1" x14ac:dyDescent="0.25">
      <c r="A34" s="71"/>
      <c r="B34" s="34"/>
      <c r="C34" s="74"/>
      <c r="D34" s="93"/>
      <c r="E34" s="34"/>
      <c r="F34" s="74"/>
      <c r="G34" s="102"/>
      <c r="H34" s="102"/>
      <c r="I34" s="102"/>
      <c r="J34" s="34"/>
      <c r="K34" s="74"/>
      <c r="L34" s="30"/>
      <c r="M34" s="30"/>
      <c r="N34" s="71"/>
      <c r="O34" s="34"/>
      <c r="P34" s="74"/>
      <c r="Q34" s="93">
        <f>P$77+(((2*P$78)+(3*P$79))+(((P34-7000)/1000)*P$80))</f>
        <v>0</v>
      </c>
      <c r="R34" s="34">
        <v>0</v>
      </c>
      <c r="S34" s="74">
        <f>(R34*P34)/1000</f>
        <v>0</v>
      </c>
      <c r="T34" s="102">
        <f>Q34*R34</f>
        <v>0</v>
      </c>
      <c r="U34" s="34">
        <v>0</v>
      </c>
      <c r="V34" s="74">
        <f>U34*(S34/1000)</f>
        <v>0</v>
      </c>
      <c r="W34" s="102">
        <f>Q34*U34</f>
        <v>0</v>
      </c>
      <c r="X34" s="26"/>
      <c r="Y34" s="26"/>
    </row>
    <row r="35" spans="1:25" hidden="1" x14ac:dyDescent="0.25">
      <c r="A35" s="71"/>
      <c r="B35" s="34"/>
      <c r="C35" s="74"/>
      <c r="D35" s="93"/>
      <c r="E35" s="34"/>
      <c r="F35" s="74"/>
      <c r="G35" s="102"/>
      <c r="H35" s="102"/>
      <c r="I35" s="102"/>
      <c r="J35" s="34"/>
      <c r="K35" s="74"/>
      <c r="L35" s="30"/>
      <c r="M35" s="30"/>
      <c r="N35" s="71"/>
      <c r="O35" s="34"/>
      <c r="P35" s="74"/>
      <c r="Q35" s="93">
        <f>P$77+((((2*P$78)+(3*P$79)+(3*P$80))+(((P35-10000)/1000)*P$89)))</f>
        <v>0</v>
      </c>
      <c r="R35" s="34">
        <v>0</v>
      </c>
      <c r="S35" s="74">
        <f>(R35*P35)/1000</f>
        <v>0</v>
      </c>
      <c r="T35" s="102">
        <f>Q35*R35</f>
        <v>0</v>
      </c>
      <c r="U35" s="34">
        <v>0</v>
      </c>
      <c r="V35" s="74">
        <f>U35*(S35/1000)</f>
        <v>0</v>
      </c>
      <c r="W35" s="102">
        <f>Q35*U35</f>
        <v>0</v>
      </c>
      <c r="X35" s="26"/>
      <c r="Y35" s="26"/>
    </row>
    <row r="36" spans="1:25" hidden="1" x14ac:dyDescent="0.25">
      <c r="A36" s="71"/>
      <c r="B36" s="34"/>
      <c r="C36" s="74"/>
      <c r="D36" s="93"/>
      <c r="E36" s="34"/>
      <c r="F36" s="74"/>
      <c r="G36" s="102"/>
      <c r="H36" s="102"/>
      <c r="I36" s="102"/>
      <c r="J36" s="34"/>
      <c r="K36" s="74"/>
      <c r="L36" s="30"/>
      <c r="M36" s="30"/>
      <c r="N36" s="71"/>
      <c r="O36" s="34"/>
      <c r="P36" s="74"/>
      <c r="Q36" s="93">
        <f>P$77+((((2*P$78)+(3*P$79)+(3*P$80))+(((P36-10000)/1000)*P$89)))</f>
        <v>0</v>
      </c>
      <c r="R36" s="34">
        <v>0</v>
      </c>
      <c r="S36" s="74">
        <f>(R36*P36)/1000</f>
        <v>0</v>
      </c>
      <c r="T36" s="102">
        <f>Q36*R36</f>
        <v>0</v>
      </c>
      <c r="U36" s="34">
        <v>0</v>
      </c>
      <c r="V36" s="74">
        <f>U36*(S36/1000)</f>
        <v>0</v>
      </c>
      <c r="W36" s="102">
        <f>Q36*U36</f>
        <v>0</v>
      </c>
      <c r="X36" s="26"/>
      <c r="Y36" s="26"/>
    </row>
    <row r="37" spans="1:25" ht="15.75" hidden="1" thickBot="1" x14ac:dyDescent="0.3">
      <c r="A37" s="23"/>
      <c r="B37" s="23"/>
      <c r="C37" s="23"/>
      <c r="D37" s="89"/>
      <c r="E37" s="103"/>
      <c r="F37" s="104"/>
      <c r="G37" s="105"/>
      <c r="H37" s="105"/>
      <c r="I37" s="105"/>
      <c r="J37" s="103"/>
      <c r="K37" s="104"/>
      <c r="L37" s="28"/>
      <c r="M37" s="30"/>
      <c r="N37" s="23"/>
      <c r="O37" s="23"/>
      <c r="P37" s="23"/>
      <c r="Q37" s="89" t="s">
        <v>10</v>
      </c>
      <c r="R37" s="103">
        <f t="shared" ref="R37:W37" si="9">SUM(R34:R36)</f>
        <v>0</v>
      </c>
      <c r="S37" s="104">
        <f t="shared" si="9"/>
        <v>0</v>
      </c>
      <c r="T37" s="105">
        <f t="shared" si="9"/>
        <v>0</v>
      </c>
      <c r="U37" s="103">
        <f t="shared" si="9"/>
        <v>0</v>
      </c>
      <c r="V37" s="104">
        <f t="shared" si="9"/>
        <v>0</v>
      </c>
      <c r="W37" s="29">
        <f t="shared" si="9"/>
        <v>0</v>
      </c>
      <c r="X37" s="26"/>
      <c r="Y37" s="26"/>
    </row>
    <row r="38" spans="1:25" ht="15.75" hidden="1" thickTop="1" x14ac:dyDescent="0.25">
      <c r="A38" s="23"/>
      <c r="B38" s="34"/>
      <c r="C38" s="34"/>
      <c r="D38" s="34"/>
      <c r="E38" s="69"/>
      <c r="F38" s="69"/>
      <c r="G38" s="106"/>
      <c r="H38" s="106"/>
      <c r="I38" s="106"/>
      <c r="J38" s="69"/>
      <c r="K38" s="107"/>
      <c r="L38" s="30"/>
      <c r="M38" s="30"/>
      <c r="N38" s="23"/>
      <c r="O38" s="34"/>
      <c r="P38" s="34"/>
      <c r="Q38" s="34"/>
      <c r="R38" s="69"/>
      <c r="S38" s="69"/>
      <c r="T38" s="106"/>
      <c r="U38" s="69"/>
      <c r="V38" s="107"/>
      <c r="W38" s="31"/>
      <c r="X38" s="26"/>
      <c r="Y38" s="26"/>
    </row>
    <row r="39" spans="1:25" hidden="1" x14ac:dyDescent="0.25">
      <c r="A39" s="69"/>
      <c r="B39" s="34"/>
      <c r="C39" s="34"/>
      <c r="D39" s="34"/>
      <c r="E39" s="34"/>
      <c r="F39" s="34"/>
      <c r="G39" s="102"/>
      <c r="H39" s="102"/>
      <c r="I39" s="102"/>
      <c r="J39" s="34"/>
      <c r="K39" s="34"/>
      <c r="L39" s="30"/>
      <c r="M39" s="30"/>
      <c r="N39" s="69" t="s">
        <v>13</v>
      </c>
      <c r="O39" s="34"/>
      <c r="P39" s="34"/>
      <c r="Q39" s="34"/>
      <c r="R39" s="34"/>
      <c r="S39" s="34"/>
      <c r="T39" s="102"/>
      <c r="U39" s="34"/>
      <c r="V39" s="34"/>
      <c r="W39" s="31"/>
      <c r="X39" s="26"/>
      <c r="Y39" s="26"/>
    </row>
    <row r="40" spans="1:25" hidden="1" x14ac:dyDescent="0.25">
      <c r="A40" s="71"/>
      <c r="B40" s="34"/>
      <c r="C40" s="74"/>
      <c r="D40" s="93"/>
      <c r="E40" s="34"/>
      <c r="F40" s="74"/>
      <c r="G40" s="102"/>
      <c r="H40" s="102"/>
      <c r="I40" s="102"/>
      <c r="J40" s="34"/>
      <c r="K40" s="74"/>
      <c r="L40" s="30"/>
      <c r="M40" s="30"/>
      <c r="N40" s="71"/>
      <c r="O40" s="34"/>
      <c r="P40" s="74"/>
      <c r="Q40" s="93">
        <f>P$77+((((2*P$78)+(3*P$79)+(3*P$80))+(((P40-10000)/1000)*P$89)))</f>
        <v>0</v>
      </c>
      <c r="R40" s="34">
        <v>0</v>
      </c>
      <c r="S40" s="74">
        <f>(R40*P40)/1000</f>
        <v>0</v>
      </c>
      <c r="T40" s="102">
        <f>Q40*R40</f>
        <v>0</v>
      </c>
      <c r="U40" s="34">
        <v>0</v>
      </c>
      <c r="V40" s="74">
        <f>(U40*S40)/1000</f>
        <v>0</v>
      </c>
      <c r="W40" s="102">
        <f>Q40*U40</f>
        <v>0</v>
      </c>
      <c r="X40" s="26"/>
      <c r="Y40" s="26"/>
    </row>
    <row r="41" spans="1:25" hidden="1" x14ac:dyDescent="0.25">
      <c r="A41" s="71"/>
      <c r="B41" s="34"/>
      <c r="C41" s="74"/>
      <c r="D41" s="93"/>
      <c r="E41" s="34"/>
      <c r="F41" s="74"/>
      <c r="G41" s="102"/>
      <c r="H41" s="102"/>
      <c r="I41" s="102"/>
      <c r="J41" s="34"/>
      <c r="K41" s="74"/>
      <c r="L41" s="30"/>
      <c r="M41" s="30"/>
      <c r="N41" s="71"/>
      <c r="O41" s="34"/>
      <c r="P41" s="74"/>
      <c r="Q41" s="93">
        <f>P$77+((((2*P$78)+(3*P$79)+(3*P$80))+(((P41-10000)/1000)*P$89)))</f>
        <v>0</v>
      </c>
      <c r="R41" s="34">
        <v>0</v>
      </c>
      <c r="S41" s="74">
        <f>(R41*P41)/1000</f>
        <v>0</v>
      </c>
      <c r="T41" s="102">
        <f>Q41*R41</f>
        <v>0</v>
      </c>
      <c r="U41" s="34">
        <v>0</v>
      </c>
      <c r="V41" s="74">
        <f>(U41*S41)/1000</f>
        <v>0</v>
      </c>
      <c r="W41" s="102">
        <f>Q41*U41</f>
        <v>0</v>
      </c>
      <c r="X41" s="26"/>
      <c r="Y41" s="26"/>
    </row>
    <row r="42" spans="1:25" hidden="1" x14ac:dyDescent="0.25">
      <c r="A42" s="71"/>
      <c r="B42" s="34"/>
      <c r="C42" s="74"/>
      <c r="D42" s="93"/>
      <c r="E42" s="34"/>
      <c r="F42" s="74"/>
      <c r="G42" s="102"/>
      <c r="H42" s="102"/>
      <c r="I42" s="102"/>
      <c r="J42" s="34"/>
      <c r="K42" s="74"/>
      <c r="L42" s="30"/>
      <c r="M42" s="30"/>
      <c r="N42" s="71"/>
      <c r="O42" s="34"/>
      <c r="P42" s="74"/>
      <c r="Q42" s="93">
        <f>P$77+((((2*P$78)+(3*P$79)+(3*P$80))+(((P42-10000)/1000)*P$89)))</f>
        <v>0</v>
      </c>
      <c r="R42" s="34">
        <v>0</v>
      </c>
      <c r="S42" s="74">
        <f>(R42*P42)/1000</f>
        <v>0</v>
      </c>
      <c r="T42" s="102">
        <f>Q42*R42</f>
        <v>0</v>
      </c>
      <c r="U42" s="34">
        <v>0</v>
      </c>
      <c r="V42" s="74">
        <f>(U42*S42)/1000</f>
        <v>0</v>
      </c>
      <c r="W42" s="102">
        <f>Q42*U42</f>
        <v>0</v>
      </c>
      <c r="X42" s="26"/>
      <c r="Y42" s="26"/>
    </row>
    <row r="43" spans="1:25" hidden="1" x14ac:dyDescent="0.25">
      <c r="A43" s="71"/>
      <c r="B43" s="34"/>
      <c r="C43" s="74"/>
      <c r="D43" s="31"/>
      <c r="E43" s="34"/>
      <c r="F43" s="74"/>
      <c r="G43" s="102"/>
      <c r="H43" s="102"/>
      <c r="I43" s="102"/>
      <c r="J43" s="34"/>
      <c r="K43" s="74"/>
      <c r="L43" s="30"/>
      <c r="M43" s="30"/>
      <c r="N43" s="71"/>
      <c r="O43" s="34"/>
      <c r="P43" s="74"/>
      <c r="Q43" s="31"/>
      <c r="R43" s="34"/>
      <c r="S43" s="74"/>
      <c r="T43" s="102"/>
      <c r="U43" s="34"/>
      <c r="V43" s="74"/>
      <c r="W43" s="102"/>
      <c r="X43" s="26"/>
      <c r="Y43" s="26"/>
    </row>
    <row r="44" spans="1:25" ht="15.75" hidden="1" thickBot="1" x14ac:dyDescent="0.3">
      <c r="A44" s="23"/>
      <c r="B44" s="34"/>
      <c r="C44" s="34"/>
      <c r="D44" s="107"/>
      <c r="E44" s="108"/>
      <c r="F44" s="104"/>
      <c r="G44" s="109"/>
      <c r="H44" s="109"/>
      <c r="I44" s="109"/>
      <c r="J44" s="108"/>
      <c r="K44" s="104"/>
      <c r="L44" s="28"/>
      <c r="M44" s="30"/>
      <c r="N44" s="23"/>
      <c r="O44" s="34"/>
      <c r="P44" s="34"/>
      <c r="Q44" s="107" t="s">
        <v>10</v>
      </c>
      <c r="R44" s="108">
        <f t="shared" ref="R44:W44" si="10">SUM(R40:R43)</f>
        <v>0</v>
      </c>
      <c r="S44" s="104">
        <f t="shared" si="10"/>
        <v>0</v>
      </c>
      <c r="T44" s="109">
        <f t="shared" si="10"/>
        <v>0</v>
      </c>
      <c r="U44" s="108">
        <f t="shared" si="10"/>
        <v>0</v>
      </c>
      <c r="V44" s="104">
        <f t="shared" si="10"/>
        <v>0</v>
      </c>
      <c r="W44" s="29">
        <f t="shared" si="10"/>
        <v>0</v>
      </c>
      <c r="X44" s="26"/>
      <c r="Y44" s="26"/>
    </row>
    <row r="45" spans="1:25" ht="15.75" thickTop="1" x14ac:dyDescent="0.25">
      <c r="A45" s="23"/>
      <c r="B45" s="23"/>
      <c r="C45" s="67"/>
      <c r="D45" s="67"/>
      <c r="E45" s="67"/>
      <c r="F45" s="67"/>
      <c r="G45" s="146"/>
      <c r="H45" s="102"/>
      <c r="I45" s="102"/>
      <c r="J45" s="23"/>
      <c r="K45" s="23"/>
      <c r="L45" s="30"/>
      <c r="M45" s="30"/>
      <c r="N45" s="23"/>
      <c r="O45" s="23"/>
      <c r="P45" s="23"/>
      <c r="Q45" s="23"/>
      <c r="R45" s="23"/>
      <c r="S45" s="23"/>
      <c r="T45" s="102"/>
      <c r="U45" s="23"/>
      <c r="V45" s="23"/>
      <c r="W45" s="31"/>
      <c r="X45" s="26"/>
      <c r="Y45" s="26"/>
    </row>
    <row r="46" spans="1:25" ht="15.75" hidden="1" thickBot="1" x14ac:dyDescent="0.3">
      <c r="A46" s="69"/>
      <c r="B46" s="34"/>
      <c r="C46" s="66"/>
      <c r="D46" s="95" t="s">
        <v>14</v>
      </c>
      <c r="E46" s="147">
        <f>+E29+E37+E44</f>
        <v>6507.5833333333321</v>
      </c>
      <c r="F46" s="147">
        <f>+F29+F37+F44</f>
        <v>20626960</v>
      </c>
      <c r="G46" s="148">
        <f>+G29+G37+G44</f>
        <v>242571.32441999999</v>
      </c>
      <c r="H46" s="109"/>
      <c r="I46" s="109"/>
      <c r="J46" s="120">
        <f>+J29+J37+J44</f>
        <v>328.74999999999994</v>
      </c>
      <c r="K46" s="120">
        <f>K29</f>
        <v>1202544.3333333333</v>
      </c>
      <c r="L46" s="128">
        <f>L29+L37+L44</f>
        <v>14387.7360575</v>
      </c>
      <c r="M46" s="125"/>
      <c r="N46" s="69"/>
      <c r="O46" s="34"/>
      <c r="P46" s="34"/>
      <c r="Q46" s="110" t="s">
        <v>14</v>
      </c>
      <c r="R46" s="110">
        <f>+R29+R37+R44</f>
        <v>0</v>
      </c>
      <c r="S46" s="111">
        <f>+S29+S37+S44</f>
        <v>0</v>
      </c>
      <c r="T46" s="113">
        <f>+T29+T37+T44</f>
        <v>0</v>
      </c>
      <c r="U46" s="110">
        <f>+U29+U37+U44</f>
        <v>0</v>
      </c>
      <c r="V46" s="111">
        <f>+W29+V37+V44</f>
        <v>0</v>
      </c>
      <c r="W46" s="112">
        <f>W29+W37+W44</f>
        <v>0</v>
      </c>
      <c r="X46" s="26"/>
      <c r="Y46" s="26"/>
    </row>
    <row r="47" spans="1:25" hidden="1" x14ac:dyDescent="0.25">
      <c r="A47" s="69"/>
      <c r="B47" s="34"/>
      <c r="C47" s="66"/>
      <c r="D47" s="149"/>
      <c r="E47" s="149"/>
      <c r="F47" s="150"/>
      <c r="G47" s="151"/>
      <c r="H47" s="116"/>
      <c r="I47" s="116"/>
      <c r="J47" s="35"/>
      <c r="K47" s="114"/>
      <c r="L47" s="115"/>
      <c r="M47" s="115"/>
      <c r="N47" s="69"/>
      <c r="O47" s="34"/>
      <c r="P47" s="34"/>
      <c r="Q47" s="35"/>
      <c r="R47" s="35"/>
      <c r="S47" s="114"/>
      <c r="T47" s="116"/>
      <c r="U47" s="35"/>
      <c r="V47" s="114"/>
      <c r="W47" s="115"/>
      <c r="X47" s="26"/>
      <c r="Y47" s="26"/>
    </row>
    <row r="48" spans="1:25" x14ac:dyDescent="0.25">
      <c r="A48" s="26" t="s">
        <v>86</v>
      </c>
      <c r="B48" s="34"/>
      <c r="C48" s="152">
        <v>2112</v>
      </c>
      <c r="D48" s="68">
        <f>Rates!C10</f>
        <v>51.094999999999999</v>
      </c>
      <c r="E48" s="152">
        <v>3</v>
      </c>
      <c r="F48" s="72">
        <f>E48*C48</f>
        <v>6336</v>
      </c>
      <c r="G48" s="124">
        <f>E48*D48</f>
        <v>153.285</v>
      </c>
      <c r="H48" s="18">
        <v>1693</v>
      </c>
      <c r="I48" s="30">
        <f>Rates!C10</f>
        <v>51.094999999999999</v>
      </c>
      <c r="J48" s="18">
        <v>10</v>
      </c>
      <c r="K48" s="73">
        <f>J48*H48</f>
        <v>16930</v>
      </c>
      <c r="L48" s="125">
        <f>J48*I48</f>
        <v>510.95</v>
      </c>
      <c r="M48" s="125"/>
      <c r="N48" s="69"/>
      <c r="O48" s="34"/>
      <c r="P48" s="34"/>
      <c r="Q48" s="35"/>
      <c r="R48" s="35"/>
      <c r="S48" s="114"/>
      <c r="T48" s="116"/>
      <c r="U48" s="35"/>
      <c r="V48" s="114"/>
      <c r="W48" s="115"/>
      <c r="X48" s="26"/>
      <c r="Y48" s="26"/>
    </row>
    <row r="49" spans="1:25" x14ac:dyDescent="0.25">
      <c r="A49" s="26"/>
      <c r="B49" s="34"/>
      <c r="C49" s="152">
        <v>7172</v>
      </c>
      <c r="D49" s="68">
        <f>Rates!$C10+(((Forecast!C49-5000)/1000)*Rates!$C11)</f>
        <v>70.79504</v>
      </c>
      <c r="E49" s="152">
        <v>1</v>
      </c>
      <c r="F49" s="72">
        <f>E49*C49</f>
        <v>7172</v>
      </c>
      <c r="G49" s="124">
        <f>E49*D49</f>
        <v>70.79504</v>
      </c>
      <c r="H49" s="18">
        <v>7400</v>
      </c>
      <c r="I49" s="30">
        <f>Rates!$C10+(((Forecast!H49-5000)/1000)*Rates!$C11)</f>
        <v>72.863</v>
      </c>
      <c r="J49" s="18">
        <v>6</v>
      </c>
      <c r="K49" s="73">
        <f>J49*H49</f>
        <v>44400</v>
      </c>
      <c r="L49" s="125">
        <f>J49*I49</f>
        <v>437.178</v>
      </c>
      <c r="M49" s="125"/>
      <c r="N49" s="69"/>
      <c r="O49" s="34"/>
      <c r="P49" s="34"/>
      <c r="Q49" s="35"/>
      <c r="R49" s="35"/>
      <c r="S49" s="114"/>
      <c r="T49" s="116"/>
      <c r="U49" s="35"/>
      <c r="V49" s="114"/>
      <c r="W49" s="115"/>
      <c r="X49" s="26"/>
      <c r="Y49" s="26"/>
    </row>
    <row r="50" spans="1:25" x14ac:dyDescent="0.25">
      <c r="A50" s="26"/>
      <c r="B50" s="34"/>
      <c r="C50" s="152">
        <v>21931</v>
      </c>
      <c r="D50" s="68">
        <f>Rates!$C10+(5*Rates!$C11)+(((Forecast!C50-10000)/1000)*Rates!$C12)</f>
        <v>193.68265</v>
      </c>
      <c r="E50" s="152">
        <v>1</v>
      </c>
      <c r="F50" s="72">
        <f>E50*C50</f>
        <v>21931</v>
      </c>
      <c r="G50" s="124">
        <f>E50*D50</f>
        <v>193.68265</v>
      </c>
      <c r="H50" s="18">
        <v>21090</v>
      </c>
      <c r="I50" s="30">
        <f>Rates!$C10+(5*Rates!$C11)+(((Forecast!H50-10000)/1000)*Rates!$C12)</f>
        <v>186.82849999999999</v>
      </c>
      <c r="J50" s="18">
        <v>6</v>
      </c>
      <c r="K50" s="73">
        <f>J50*H50</f>
        <v>126540</v>
      </c>
      <c r="L50" s="125">
        <f>J50*I50</f>
        <v>1120.971</v>
      </c>
      <c r="M50" s="125"/>
      <c r="N50" s="69"/>
      <c r="O50" s="34"/>
      <c r="P50" s="34"/>
      <c r="Q50" s="35"/>
      <c r="R50" s="35"/>
      <c r="S50" s="114"/>
      <c r="T50" s="116"/>
      <c r="U50" s="35"/>
      <c r="V50" s="114"/>
      <c r="W50" s="115"/>
      <c r="X50" s="26"/>
      <c r="Y50" s="26"/>
    </row>
    <row r="51" spans="1:25" x14ac:dyDescent="0.25">
      <c r="A51" s="26"/>
      <c r="B51" s="34"/>
      <c r="C51" s="152">
        <v>76926</v>
      </c>
      <c r="D51" s="68">
        <f>Rates!$C10+(5*Rates!$C11)+(40*Rates!$C12)+(((Forecast!C51-50000)/1000)*Rates!$C13)</f>
        <v>617.11997999999994</v>
      </c>
      <c r="E51" s="152">
        <v>1</v>
      </c>
      <c r="F51" s="72">
        <f>E51*C51</f>
        <v>76926</v>
      </c>
      <c r="G51" s="124">
        <f>E51*D51</f>
        <v>617.11997999999994</v>
      </c>
      <c r="H51" s="18">
        <v>83768</v>
      </c>
      <c r="I51" s="30">
        <f>Rates!$C$10+(5*Rates!$C$11)+(40*Rates!$C$12)+(((Forecast!H51-50000)/1000)*Rates!$C$13)</f>
        <v>666.58763999999996</v>
      </c>
      <c r="J51" s="18">
        <v>2</v>
      </c>
      <c r="K51" s="73">
        <f>J51*H51</f>
        <v>167536</v>
      </c>
      <c r="L51" s="125">
        <f>J51*I51</f>
        <v>1333.1752799999999</v>
      </c>
      <c r="M51" s="125"/>
      <c r="N51" s="69"/>
      <c r="O51" s="34"/>
      <c r="P51" s="34"/>
      <c r="Q51" s="35"/>
      <c r="R51" s="35"/>
      <c r="S51" s="114"/>
      <c r="T51" s="116"/>
      <c r="U51" s="35"/>
      <c r="V51" s="114"/>
      <c r="W51" s="115"/>
      <c r="X51" s="26"/>
      <c r="Y51" s="26"/>
    </row>
    <row r="52" spans="1:25" x14ac:dyDescent="0.25">
      <c r="A52" s="26"/>
      <c r="B52" s="34"/>
      <c r="C52" s="67"/>
      <c r="D52" s="68"/>
      <c r="E52" s="66"/>
      <c r="F52" s="72"/>
      <c r="G52" s="124"/>
      <c r="H52" s="18">
        <v>211418</v>
      </c>
      <c r="I52" s="30">
        <f>Rates!$C$10+(5*Rates!$C$11)+(40*Rates!$C$12)+(100*Rates!C13)+(((Forecast!H52-150000)/1000)*Rates!C14)</f>
        <v>1534.83512</v>
      </c>
      <c r="J52" s="18">
        <v>1</v>
      </c>
      <c r="K52" s="73">
        <f>J52*H52</f>
        <v>211418</v>
      </c>
      <c r="L52" s="125">
        <f>J52*I52</f>
        <v>1534.83512</v>
      </c>
      <c r="M52" s="125"/>
      <c r="N52" s="69"/>
      <c r="O52" s="34"/>
      <c r="P52" s="34"/>
      <c r="Q52" s="35"/>
      <c r="R52" s="35"/>
      <c r="S52" s="114"/>
      <c r="T52" s="116"/>
      <c r="U52" s="35"/>
      <c r="V52" s="114"/>
      <c r="W52" s="115"/>
      <c r="X52" s="26"/>
      <c r="Y52" s="26"/>
    </row>
    <row r="53" spans="1:25" x14ac:dyDescent="0.25">
      <c r="A53" s="26"/>
      <c r="B53" s="34"/>
      <c r="C53" s="67"/>
      <c r="D53" s="68"/>
      <c r="E53" s="66"/>
      <c r="F53" s="72"/>
      <c r="G53" s="124"/>
      <c r="H53" s="73"/>
      <c r="I53" s="30"/>
      <c r="J53" s="121"/>
      <c r="K53" s="73"/>
      <c r="L53" s="125"/>
      <c r="M53" s="125"/>
      <c r="N53" s="69"/>
      <c r="O53" s="34"/>
      <c r="P53" s="34"/>
      <c r="Q53" s="35"/>
      <c r="R53" s="35"/>
      <c r="S53" s="114"/>
      <c r="T53" s="116"/>
      <c r="U53" s="35"/>
      <c r="V53" s="114"/>
      <c r="W53" s="115"/>
      <c r="X53" s="26"/>
      <c r="Y53" s="26"/>
    </row>
    <row r="54" spans="1:25" x14ac:dyDescent="0.25">
      <c r="A54" s="26"/>
      <c r="B54" s="34"/>
      <c r="C54" s="66"/>
      <c r="D54" s="149"/>
      <c r="E54" s="149"/>
      <c r="F54" s="150"/>
      <c r="G54" s="151"/>
      <c r="H54" s="115"/>
      <c r="I54" s="115"/>
      <c r="J54" s="35"/>
      <c r="K54" s="114"/>
      <c r="L54" s="126"/>
      <c r="M54" s="126"/>
      <c r="N54" s="69"/>
      <c r="O54" s="34"/>
      <c r="P54" s="34"/>
      <c r="Q54" s="35"/>
      <c r="R54" s="35"/>
      <c r="S54" s="114"/>
      <c r="T54" s="116"/>
      <c r="U54" s="35"/>
      <c r="V54" s="114"/>
      <c r="W54" s="115"/>
      <c r="X54" s="26"/>
      <c r="Y54" s="26"/>
    </row>
    <row r="55" spans="1:25" x14ac:dyDescent="0.25">
      <c r="A55" t="s">
        <v>110</v>
      </c>
      <c r="B55" s="34"/>
      <c r="C55" s="66"/>
      <c r="D55" s="66"/>
      <c r="E55" s="66"/>
      <c r="F55" s="72"/>
      <c r="G55" s="68"/>
      <c r="H55" s="24">
        <v>96989</v>
      </c>
      <c r="I55" s="30">
        <f>Rates!C17+(40*Rates!C18)+(((Forecast!H55-50000)/1000)*Rates!C19)</f>
        <v>762.17547000000002</v>
      </c>
      <c r="J55" s="25">
        <f>56/12</f>
        <v>4.666666666666667</v>
      </c>
      <c r="K55" s="73">
        <f>J55*H55</f>
        <v>452615.33333333337</v>
      </c>
      <c r="L55" s="125">
        <f>J55*I55</f>
        <v>3556.8188600000003</v>
      </c>
      <c r="M55" s="125"/>
      <c r="N55" s="69"/>
      <c r="O55" s="34"/>
      <c r="P55" s="34"/>
      <c r="Q55" s="35"/>
      <c r="R55" s="35"/>
      <c r="S55" s="114"/>
      <c r="T55" s="116"/>
      <c r="U55" s="35"/>
      <c r="V55" s="114"/>
      <c r="W55" s="115"/>
      <c r="X55" s="26"/>
      <c r="Y55" s="26"/>
    </row>
    <row r="56" spans="1:25" x14ac:dyDescent="0.25">
      <c r="A56" s="26"/>
      <c r="B56" s="34"/>
      <c r="C56" s="66"/>
      <c r="D56" s="66"/>
      <c r="E56" s="66"/>
      <c r="F56" s="72"/>
      <c r="G56" s="68"/>
      <c r="H56" s="26"/>
      <c r="I56" s="30"/>
      <c r="J56" s="32"/>
      <c r="K56" s="73"/>
      <c r="L56" s="125"/>
      <c r="M56" s="125"/>
      <c r="N56" s="69"/>
      <c r="O56" s="34"/>
      <c r="P56" s="34"/>
      <c r="Q56" s="35"/>
      <c r="R56" s="35"/>
      <c r="S56" s="114"/>
      <c r="T56" s="116"/>
      <c r="U56" s="35"/>
      <c r="V56" s="114"/>
      <c r="W56" s="115"/>
      <c r="X56" s="26"/>
      <c r="Y56" s="26"/>
    </row>
    <row r="57" spans="1:25" x14ac:dyDescent="0.25">
      <c r="A57" t="s">
        <v>111</v>
      </c>
      <c r="B57" s="34"/>
      <c r="C57" s="66"/>
      <c r="D57" s="66"/>
      <c r="E57" s="66"/>
      <c r="F57" s="72"/>
      <c r="G57" s="68"/>
      <c r="H57" s="24">
        <v>2946</v>
      </c>
      <c r="I57" s="30">
        <f>Rates!C23</f>
        <v>145.345</v>
      </c>
      <c r="J57" s="32">
        <v>4</v>
      </c>
      <c r="K57" s="73">
        <f>J57*H57</f>
        <v>11784</v>
      </c>
      <c r="L57" s="125">
        <f>J57*I57</f>
        <v>581.38</v>
      </c>
      <c r="M57" s="125"/>
      <c r="N57" s="69"/>
      <c r="O57" s="34"/>
      <c r="P57" s="34"/>
      <c r="Q57" s="35"/>
      <c r="R57" s="35"/>
      <c r="S57" s="114"/>
      <c r="T57" s="116"/>
      <c r="U57" s="35"/>
      <c r="V57" s="114"/>
      <c r="W57" s="115"/>
      <c r="X57" s="26"/>
      <c r="Y57" s="26"/>
    </row>
    <row r="58" spans="1:25" x14ac:dyDescent="0.25">
      <c r="B58" s="34"/>
      <c r="C58" s="66"/>
      <c r="D58" s="66"/>
      <c r="E58" s="66"/>
      <c r="F58" s="72"/>
      <c r="G58" s="68"/>
      <c r="H58" s="24">
        <f>Users!G56</f>
        <v>39424</v>
      </c>
      <c r="I58" s="30">
        <f>Rates!C23+(((Forecast!H58-16000)/1000)*Rates!C24)</f>
        <v>336.25059999999996</v>
      </c>
      <c r="J58" s="32">
        <v>5</v>
      </c>
      <c r="K58" s="73">
        <f>J58*H58</f>
        <v>197120</v>
      </c>
      <c r="L58" s="125">
        <f>J58*I58</f>
        <v>1681.2529999999997</v>
      </c>
      <c r="M58" s="125"/>
      <c r="N58" s="69"/>
      <c r="O58" s="34"/>
      <c r="P58" s="34"/>
      <c r="Q58" s="35"/>
      <c r="R58" s="35"/>
      <c r="S58" s="114"/>
      <c r="T58" s="116"/>
      <c r="U58" s="35"/>
      <c r="V58" s="114"/>
      <c r="W58" s="115"/>
      <c r="X58" s="26"/>
      <c r="Y58" s="26"/>
    </row>
    <row r="59" spans="1:25" x14ac:dyDescent="0.25">
      <c r="A59" s="26"/>
      <c r="B59" s="34"/>
      <c r="C59" s="66"/>
      <c r="D59" s="66"/>
      <c r="E59" s="66"/>
      <c r="F59" s="72"/>
      <c r="G59" s="68"/>
      <c r="H59" s="24">
        <f>Users!G57</f>
        <v>417229</v>
      </c>
      <c r="I59" s="30">
        <f>Rates!C23+(34*Rates!C24)+(100*Rates!C25)+(((Forecast!H59-150000)/1000)*Rates!C26)</f>
        <v>2839.67686</v>
      </c>
      <c r="J59" s="32">
        <v>4</v>
      </c>
      <c r="K59" s="73">
        <f>J59*H59</f>
        <v>1668916</v>
      </c>
      <c r="L59" s="125">
        <f>J59*I59</f>
        <v>11358.70744</v>
      </c>
      <c r="M59" s="125"/>
      <c r="N59" s="69"/>
      <c r="O59" s="34"/>
      <c r="P59" s="34"/>
      <c r="Q59" s="35"/>
      <c r="R59" s="35"/>
      <c r="S59" s="114"/>
      <c r="T59" s="116"/>
      <c r="U59" s="35"/>
      <c r="V59" s="114"/>
      <c r="W59" s="115"/>
      <c r="X59" s="26"/>
      <c r="Y59" s="26"/>
    </row>
    <row r="60" spans="1:25" x14ac:dyDescent="0.25">
      <c r="A60" s="26"/>
      <c r="B60" s="34"/>
      <c r="C60" s="66"/>
      <c r="D60" s="66"/>
      <c r="E60" s="66"/>
      <c r="F60" s="72"/>
      <c r="G60" s="68"/>
      <c r="H60" s="24"/>
      <c r="I60" s="30"/>
      <c r="J60" s="32"/>
      <c r="K60" s="73"/>
      <c r="L60" s="125"/>
      <c r="M60" s="125"/>
      <c r="N60" s="69"/>
      <c r="O60" s="34"/>
      <c r="P60" s="34"/>
      <c r="Q60" s="35"/>
      <c r="R60" s="35"/>
      <c r="S60" s="114"/>
      <c r="T60" s="116"/>
      <c r="U60" s="35"/>
      <c r="V60" s="114"/>
      <c r="W60" s="115"/>
      <c r="X60" s="26"/>
      <c r="Y60" s="26"/>
    </row>
    <row r="61" spans="1:25" x14ac:dyDescent="0.25">
      <c r="A61" t="s">
        <v>112</v>
      </c>
      <c r="B61" s="34"/>
      <c r="C61" s="66"/>
      <c r="D61" s="66"/>
      <c r="E61" s="66"/>
      <c r="F61" s="72"/>
      <c r="G61" s="68"/>
      <c r="H61" s="18">
        <v>9869</v>
      </c>
      <c r="I61" s="30">
        <f>Rates!C29</f>
        <v>259.44499999999999</v>
      </c>
      <c r="J61" s="32">
        <v>1</v>
      </c>
      <c r="K61" s="73">
        <f>J61*H61</f>
        <v>9869</v>
      </c>
      <c r="L61" s="125">
        <f>J61*I61</f>
        <v>259.44499999999999</v>
      </c>
      <c r="M61" s="125"/>
      <c r="N61" s="69"/>
      <c r="O61" s="34"/>
      <c r="P61" s="34"/>
      <c r="Q61" s="35"/>
      <c r="R61" s="35"/>
      <c r="S61" s="114"/>
      <c r="T61" s="116"/>
      <c r="U61" s="35"/>
      <c r="V61" s="114"/>
      <c r="W61" s="115"/>
      <c r="X61" s="26"/>
      <c r="Y61" s="26"/>
    </row>
    <row r="62" spans="1:25" x14ac:dyDescent="0.25">
      <c r="B62" s="34"/>
      <c r="C62" s="66"/>
      <c r="D62" s="66"/>
      <c r="E62" s="66"/>
      <c r="F62" s="72"/>
      <c r="G62" s="68"/>
      <c r="H62" s="18">
        <v>80709</v>
      </c>
      <c r="I62" s="30">
        <f>Rates!C30+(20*Rates!C31)+(((Forecast!H62-50000)/1000)*Rates!C32)</f>
        <v>347.44506000000001</v>
      </c>
      <c r="J62" s="32">
        <v>1</v>
      </c>
      <c r="K62" s="73">
        <f>J62*H62</f>
        <v>80709</v>
      </c>
      <c r="L62" s="125">
        <f>J62*I62</f>
        <v>347.44506000000001</v>
      </c>
      <c r="M62" s="125"/>
      <c r="N62" s="69"/>
      <c r="O62" s="34"/>
      <c r="P62" s="34"/>
      <c r="Q62" s="35"/>
      <c r="R62" s="35"/>
      <c r="S62" s="114"/>
      <c r="T62" s="116"/>
      <c r="U62" s="35"/>
      <c r="V62" s="114"/>
      <c r="W62" s="115"/>
      <c r="X62" s="26"/>
      <c r="Y62" s="26"/>
    </row>
    <row r="63" spans="1:25" x14ac:dyDescent="0.25">
      <c r="B63" s="34"/>
      <c r="C63" s="66"/>
      <c r="D63" s="66"/>
      <c r="E63" s="66"/>
      <c r="F63" s="72"/>
      <c r="G63" s="68"/>
      <c r="H63" s="18">
        <v>1800000</v>
      </c>
      <c r="I63" s="30">
        <f>Rates!C29+(20*Rates!C30)+(100*Rates!C31)+(((Forecast!H63-150000)/1000)*Rates!C32)</f>
        <v>11606.445</v>
      </c>
      <c r="J63" s="32">
        <v>1</v>
      </c>
      <c r="K63" s="73">
        <f>J63*H63</f>
        <v>1800000</v>
      </c>
      <c r="L63" s="125">
        <f>J63*I63</f>
        <v>11606.445</v>
      </c>
      <c r="M63" s="125"/>
      <c r="N63" s="69"/>
      <c r="O63" s="34"/>
      <c r="P63" s="34"/>
      <c r="Q63" s="35"/>
      <c r="R63" s="35"/>
      <c r="S63" s="114"/>
      <c r="T63" s="116"/>
      <c r="U63" s="35"/>
      <c r="V63" s="114"/>
      <c r="W63" s="115"/>
      <c r="X63" s="26"/>
      <c r="Y63" s="26"/>
    </row>
    <row r="64" spans="1:25" x14ac:dyDescent="0.25">
      <c r="B64" s="34"/>
      <c r="C64" s="66"/>
      <c r="D64" s="66"/>
      <c r="E64" s="66"/>
      <c r="F64" s="72"/>
      <c r="G64" s="68"/>
      <c r="H64" s="24"/>
      <c r="I64" s="30"/>
      <c r="J64" s="32"/>
      <c r="K64" s="73"/>
      <c r="L64" s="125"/>
      <c r="M64" s="125"/>
      <c r="N64" s="69"/>
      <c r="O64" s="34"/>
      <c r="P64" s="34"/>
      <c r="Q64" s="35"/>
      <c r="R64" s="35"/>
      <c r="S64" s="114"/>
      <c r="T64" s="116"/>
      <c r="U64" s="35"/>
      <c r="V64" s="114"/>
      <c r="W64" s="115"/>
      <c r="X64" s="26"/>
      <c r="Y64" s="26"/>
    </row>
    <row r="65" spans="1:25" x14ac:dyDescent="0.25">
      <c r="A65" s="26"/>
      <c r="B65" s="34"/>
      <c r="C65" s="66"/>
      <c r="D65" s="66"/>
      <c r="E65" s="66"/>
      <c r="F65" s="72"/>
      <c r="G65" s="68"/>
      <c r="H65" s="24"/>
      <c r="I65" s="30"/>
      <c r="J65" s="32"/>
      <c r="K65" s="73"/>
      <c r="L65" s="125"/>
      <c r="M65" s="125"/>
      <c r="N65" s="69"/>
      <c r="O65" s="34"/>
      <c r="P65" s="34"/>
      <c r="Q65" s="35"/>
      <c r="R65" s="35"/>
      <c r="S65" s="114"/>
      <c r="T65" s="116"/>
      <c r="U65" s="35"/>
      <c r="V65" s="114"/>
      <c r="W65" s="115"/>
      <c r="X65" s="26"/>
      <c r="Y65" s="26"/>
    </row>
    <row r="66" spans="1:25" x14ac:dyDescent="0.25">
      <c r="A66" t="s">
        <v>113</v>
      </c>
      <c r="B66" s="34"/>
      <c r="C66" s="66"/>
      <c r="D66" s="66"/>
      <c r="E66" s="66"/>
      <c r="F66" s="72"/>
      <c r="G66" s="68"/>
      <c r="H66" s="24">
        <f>Users!G64</f>
        <v>4453</v>
      </c>
      <c r="I66" s="30">
        <f>Rates!C35</f>
        <v>422.44499999999999</v>
      </c>
      <c r="J66" s="32">
        <f>Users!H64</f>
        <v>4</v>
      </c>
      <c r="K66" s="73">
        <f>J66*H66</f>
        <v>17812</v>
      </c>
      <c r="L66" s="125">
        <f>J66*I66</f>
        <v>1689.78</v>
      </c>
      <c r="M66" s="125"/>
      <c r="N66" s="69"/>
      <c r="O66" s="34"/>
      <c r="P66" s="34"/>
      <c r="Q66" s="35"/>
      <c r="R66" s="35"/>
      <c r="S66" s="114"/>
      <c r="T66" s="116"/>
      <c r="U66" s="35"/>
      <c r="V66" s="114"/>
      <c r="W66" s="115"/>
      <c r="X66" s="26"/>
      <c r="Y66" s="26"/>
    </row>
    <row r="67" spans="1:25" x14ac:dyDescent="0.25">
      <c r="B67" s="34"/>
      <c r="C67" s="66"/>
      <c r="D67" s="66"/>
      <c r="E67" s="66"/>
      <c r="F67" s="72"/>
      <c r="G67" s="68"/>
      <c r="H67" s="24">
        <f>Users!G65</f>
        <v>156555</v>
      </c>
      <c r="I67" s="30">
        <f>Rates!C35+(100*Rates!C36)+(((Forecast!H67-150000)/1000)*Rates!C37)</f>
        <v>1187.0037</v>
      </c>
      <c r="J67" s="32">
        <f>Users!H65</f>
        <v>2</v>
      </c>
      <c r="K67" s="73">
        <f>J67*H67</f>
        <v>313110</v>
      </c>
      <c r="L67" s="125">
        <f>J67*I67</f>
        <v>2374.0074</v>
      </c>
      <c r="M67" s="125"/>
      <c r="N67" s="69"/>
      <c r="O67" s="34"/>
      <c r="P67" s="34"/>
      <c r="Q67" s="35"/>
      <c r="R67" s="35"/>
      <c r="S67" s="114"/>
      <c r="T67" s="116"/>
      <c r="U67" s="35"/>
      <c r="V67" s="114"/>
      <c r="W67" s="115"/>
      <c r="X67" s="26"/>
      <c r="Y67" s="26"/>
    </row>
    <row r="68" spans="1:25" x14ac:dyDescent="0.25">
      <c r="A68" s="26"/>
      <c r="B68" s="34"/>
      <c r="C68" s="66"/>
      <c r="D68" s="66"/>
      <c r="E68" s="66"/>
      <c r="F68" s="72"/>
      <c r="G68" s="68"/>
      <c r="H68" s="24"/>
      <c r="I68" s="30"/>
      <c r="J68" s="32"/>
      <c r="K68" s="73"/>
      <c r="L68" s="125"/>
      <c r="M68" s="125"/>
      <c r="N68" s="69"/>
      <c r="O68" s="34"/>
      <c r="P68" s="34"/>
      <c r="Q68" s="35"/>
      <c r="R68" s="35"/>
      <c r="S68" s="114"/>
      <c r="T68" s="116"/>
      <c r="U68" s="35"/>
      <c r="V68" s="114"/>
      <c r="W68" s="115"/>
      <c r="X68" s="26"/>
      <c r="Y68" s="26"/>
    </row>
    <row r="69" spans="1:25" x14ac:dyDescent="0.25">
      <c r="A69" s="26" t="s">
        <v>108</v>
      </c>
      <c r="B69" s="26"/>
      <c r="C69" s="67"/>
      <c r="D69" s="67"/>
      <c r="E69" s="67"/>
      <c r="F69" s="67"/>
      <c r="G69" s="67"/>
      <c r="H69" s="24">
        <v>3971000</v>
      </c>
      <c r="I69" s="30">
        <f>(H69/1000)*Rates!C52</f>
        <v>11003.641</v>
      </c>
      <c r="J69" s="32">
        <v>1</v>
      </c>
      <c r="K69" s="73">
        <f>J69*H69</f>
        <v>3971000</v>
      </c>
      <c r="L69" s="127">
        <f>J69*I69</f>
        <v>11003.641</v>
      </c>
      <c r="M69" s="127"/>
      <c r="N69" s="117"/>
      <c r="O69" s="26"/>
      <c r="P69" s="26"/>
      <c r="Q69" s="26"/>
      <c r="R69" s="26"/>
      <c r="S69" s="26"/>
      <c r="T69" s="101"/>
      <c r="U69" s="26"/>
      <c r="V69" s="26"/>
      <c r="W69" s="101"/>
      <c r="X69" s="26"/>
      <c r="Y69" s="26"/>
    </row>
    <row r="70" spans="1:25" x14ac:dyDescent="0.25">
      <c r="A70" s="26"/>
      <c r="B70" s="26"/>
      <c r="C70" s="67"/>
      <c r="D70" s="67"/>
      <c r="E70" s="67"/>
      <c r="F70" s="67"/>
      <c r="G70" s="67"/>
      <c r="H70" s="26"/>
      <c r="I70" s="30"/>
      <c r="J70" s="32"/>
      <c r="K70" s="23"/>
      <c r="L70" s="119"/>
      <c r="M70" s="119"/>
      <c r="N70" s="117"/>
      <c r="O70" s="26"/>
      <c r="P70" s="26"/>
      <c r="Q70" s="26"/>
      <c r="R70" s="26"/>
      <c r="S70" s="26"/>
      <c r="T70" s="101"/>
      <c r="U70" s="26"/>
      <c r="V70" s="26"/>
      <c r="W70" s="101"/>
      <c r="X70" s="26"/>
      <c r="Y70" s="26"/>
    </row>
    <row r="71" spans="1:25" x14ac:dyDescent="0.25">
      <c r="A71" s="131" t="s">
        <v>127</v>
      </c>
      <c r="B71" s="69"/>
      <c r="C71" s="153"/>
      <c r="D71" s="153"/>
      <c r="E71" s="154">
        <f>SUM(E46:E69)</f>
        <v>6513.5833333333321</v>
      </c>
      <c r="F71" s="154">
        <f>SUM(F46:F69)</f>
        <v>20739325</v>
      </c>
      <c r="G71" s="155">
        <f>SUM(G46:G69)</f>
        <v>243606.20708999998</v>
      </c>
      <c r="H71" s="133"/>
      <c r="I71" s="133"/>
      <c r="J71" s="132">
        <f>J46+SUM(J48:J69)</f>
        <v>381.41666666666663</v>
      </c>
      <c r="K71" s="132">
        <f>K46+SUM(K48:K69)</f>
        <v>10292303.666666668</v>
      </c>
      <c r="L71" s="134">
        <f>SUM(L46:L69)</f>
        <v>63783.768217499994</v>
      </c>
      <c r="M71" s="144"/>
      <c r="N71" s="35"/>
      <c r="O71" s="34"/>
      <c r="P71" s="34"/>
      <c r="Q71" s="34"/>
      <c r="R71" s="34"/>
      <c r="S71" s="34"/>
      <c r="T71" s="118">
        <f>T46*12</f>
        <v>0</v>
      </c>
      <c r="U71" s="34"/>
      <c r="V71" s="34"/>
      <c r="W71" s="118">
        <f>W46*12</f>
        <v>0</v>
      </c>
      <c r="X71" s="26"/>
      <c r="Y71" s="26"/>
    </row>
    <row r="72" spans="1:25" x14ac:dyDescent="0.25">
      <c r="A72" s="26"/>
      <c r="B72" s="26"/>
      <c r="C72" s="67"/>
      <c r="D72" s="67"/>
      <c r="E72" s="67"/>
      <c r="F72" s="67"/>
      <c r="G72" s="67"/>
      <c r="H72" s="23"/>
      <c r="I72" s="23"/>
      <c r="J72" s="23"/>
      <c r="K72" s="23"/>
      <c r="L72" s="23"/>
      <c r="M72" s="23"/>
      <c r="N72" s="23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5.75" thickBot="1" x14ac:dyDescent="0.3">
      <c r="A73" s="35" t="s">
        <v>20</v>
      </c>
      <c r="B73" s="26"/>
      <c r="C73" s="156"/>
      <c r="D73" s="156"/>
      <c r="E73" s="156"/>
      <c r="F73" s="156"/>
      <c r="G73" s="157">
        <f>G71*12</f>
        <v>2923274.48508</v>
      </c>
      <c r="H73" s="122"/>
      <c r="I73" s="122"/>
      <c r="J73" s="122"/>
      <c r="K73" s="122"/>
      <c r="L73" s="123">
        <f>L71*12</f>
        <v>765405.21860999987</v>
      </c>
      <c r="M73" s="145"/>
      <c r="N73" s="2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 thickTop="1" x14ac:dyDescent="0.25">
      <c r="A74" s="26"/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x14ac:dyDescent="0.25">
      <c r="A75" s="26"/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x14ac:dyDescent="0.25">
      <c r="A76" s="26"/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5">
      <c r="A77" s="26"/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5">
      <c r="A78" s="26"/>
      <c r="B78" s="26"/>
      <c r="C78" s="26"/>
      <c r="D78" s="26"/>
      <c r="E78" s="26"/>
      <c r="F78" s="169"/>
      <c r="G78" s="26"/>
      <c r="H78" s="26"/>
      <c r="I78" s="26"/>
      <c r="J78" s="26"/>
      <c r="K78" s="169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5">
      <c r="A80" s="26"/>
      <c r="B80" s="26"/>
      <c r="C80" s="26"/>
      <c r="D80" s="26"/>
      <c r="E80" s="26"/>
      <c r="F80" s="169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5">
      <c r="A81" s="26"/>
      <c r="B81" s="26"/>
      <c r="C81" s="26"/>
      <c r="D81" s="26"/>
      <c r="E81" s="26"/>
      <c r="F81" s="170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</sheetData>
  <mergeCells count="2">
    <mergeCell ref="C4:G4"/>
    <mergeCell ref="H4:L4"/>
  </mergeCells>
  <pageMargins left="0.25" right="0.25" top="0.75" bottom="0.75" header="0.3" footer="0.3"/>
  <pageSetup scale="90" firstPageNumber="13" orientation="landscape" useFirstPageNumber="1" r:id="rId1"/>
  <headerFooter>
    <oddHeader>&amp;R&amp;"-,Italic" REVISED 2/2020</oddHeader>
    <oddFooter>&amp;C&amp;PA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8FF2-546A-4D9A-97E1-950B287B08ED}">
  <dimension ref="A1:J48"/>
  <sheetViews>
    <sheetView workbookViewId="0">
      <selection activeCell="D29" sqref="D29"/>
    </sheetView>
  </sheetViews>
  <sheetFormatPr defaultRowHeight="15" x14ac:dyDescent="0.25"/>
  <sheetData>
    <row r="1" spans="1:10" x14ac:dyDescent="0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7"/>
      <c r="B2" s="38"/>
      <c r="C2" s="38"/>
      <c r="D2" s="38"/>
      <c r="E2" s="38"/>
      <c r="F2" s="38"/>
      <c r="G2" s="39"/>
      <c r="H2" s="38"/>
      <c r="I2" s="38"/>
      <c r="J2" s="38"/>
    </row>
    <row r="3" spans="1:10" x14ac:dyDescent="0.25">
      <c r="A3" s="34"/>
      <c r="B3" s="34"/>
      <c r="C3" s="34"/>
      <c r="D3" s="26"/>
      <c r="E3" s="34"/>
      <c r="F3" s="34"/>
      <c r="G3" s="34"/>
      <c r="H3" s="34"/>
      <c r="I3" s="34"/>
      <c r="J3" s="34"/>
    </row>
    <row r="4" spans="1:10" x14ac:dyDescent="0.25">
      <c r="A4" s="26"/>
      <c r="B4" s="40"/>
      <c r="C4" s="41"/>
      <c r="D4" s="42">
        <v>4.9000000000000004</v>
      </c>
      <c r="E4" s="43"/>
      <c r="F4" s="44" t="s">
        <v>1</v>
      </c>
      <c r="G4" s="45"/>
      <c r="H4" s="45"/>
      <c r="I4" s="44" t="s">
        <v>2</v>
      </c>
      <c r="J4" s="45"/>
    </row>
    <row r="5" spans="1:10" x14ac:dyDescent="0.25">
      <c r="A5" s="41" t="s">
        <v>16</v>
      </c>
      <c r="B5" s="34"/>
      <c r="C5" s="26"/>
      <c r="D5" s="50" t="s">
        <v>6</v>
      </c>
      <c r="E5" s="51" t="s">
        <v>4</v>
      </c>
      <c r="F5" s="48" t="s">
        <v>5</v>
      </c>
      <c r="G5" s="48" t="s">
        <v>17</v>
      </c>
      <c r="H5" s="52" t="s">
        <v>4</v>
      </c>
      <c r="I5" s="48" t="s">
        <v>5</v>
      </c>
      <c r="J5" s="49" t="s">
        <v>17</v>
      </c>
    </row>
    <row r="6" spans="1:10" x14ac:dyDescent="0.25">
      <c r="A6" s="53"/>
      <c r="B6" s="54"/>
      <c r="C6" s="53" t="s">
        <v>6</v>
      </c>
      <c r="D6" s="61" t="s">
        <v>18</v>
      </c>
      <c r="E6" s="62" t="s">
        <v>7</v>
      </c>
      <c r="F6" s="60" t="s">
        <v>8</v>
      </c>
      <c r="G6" s="63"/>
      <c r="H6" s="64" t="s">
        <v>7</v>
      </c>
      <c r="I6" s="60" t="s">
        <v>8</v>
      </c>
      <c r="J6" s="65"/>
    </row>
    <row r="7" spans="1:10" x14ac:dyDescent="0.25">
      <c r="A7" s="69" t="s">
        <v>9</v>
      </c>
      <c r="B7" s="34"/>
      <c r="C7" s="34"/>
      <c r="D7" s="70"/>
      <c r="E7" s="34"/>
      <c r="F7" s="34"/>
      <c r="G7" s="34"/>
      <c r="H7" s="34"/>
      <c r="I7" s="34"/>
      <c r="J7" s="34"/>
    </row>
    <row r="8" spans="1:10" x14ac:dyDescent="0.25">
      <c r="A8" s="71" t="s">
        <v>65</v>
      </c>
      <c r="B8" s="34"/>
      <c r="C8" s="74"/>
      <c r="D8" s="30">
        <f>Rates!C3</f>
        <v>19.350000000000001</v>
      </c>
      <c r="E8" s="34"/>
      <c r="F8" s="74"/>
      <c r="G8" s="76"/>
      <c r="H8" s="34"/>
      <c r="I8" s="74"/>
      <c r="J8" s="76"/>
    </row>
    <row r="9" spans="1:10" x14ac:dyDescent="0.25">
      <c r="A9" s="71" t="s">
        <v>66</v>
      </c>
      <c r="B9" s="34"/>
      <c r="C9" s="74">
        <v>1500</v>
      </c>
      <c r="D9" s="30">
        <v>23.75</v>
      </c>
      <c r="E9" s="34"/>
      <c r="F9" s="74">
        <f t="shared" ref="F9:F23" si="0">(E9*C9)/1000</f>
        <v>0</v>
      </c>
      <c r="G9" s="76">
        <f>D9*E9</f>
        <v>0</v>
      </c>
      <c r="H9" s="34"/>
      <c r="I9" s="74">
        <f t="shared" ref="I9:I23" si="1">(H9*C9)/1000</f>
        <v>0</v>
      </c>
      <c r="J9" s="76">
        <f>D9*H9</f>
        <v>0</v>
      </c>
    </row>
    <row r="10" spans="1:10" x14ac:dyDescent="0.25">
      <c r="A10" s="71" t="s">
        <v>67</v>
      </c>
      <c r="B10" s="34"/>
      <c r="C10" s="74">
        <v>2500</v>
      </c>
      <c r="D10" s="30">
        <v>32.56</v>
      </c>
      <c r="E10" s="34"/>
      <c r="F10" s="74">
        <f t="shared" si="0"/>
        <v>0</v>
      </c>
      <c r="G10" s="76">
        <f t="shared" ref="G10:G16" si="2">D9*E10</f>
        <v>0</v>
      </c>
      <c r="H10" s="34"/>
      <c r="I10" s="74">
        <f t="shared" si="1"/>
        <v>0</v>
      </c>
      <c r="J10" s="76">
        <f t="shared" ref="J10:J16" si="3">D9*H10</f>
        <v>0</v>
      </c>
    </row>
    <row r="11" spans="1:10" x14ac:dyDescent="0.25">
      <c r="A11" s="71" t="s">
        <v>68</v>
      </c>
      <c r="B11" s="34"/>
      <c r="C11" s="74">
        <v>3500</v>
      </c>
      <c r="D11" s="30">
        <v>41.56</v>
      </c>
      <c r="E11" s="34"/>
      <c r="F11" s="74">
        <f t="shared" si="0"/>
        <v>0</v>
      </c>
      <c r="G11" s="76">
        <f t="shared" si="2"/>
        <v>0</v>
      </c>
      <c r="H11" s="34"/>
      <c r="I11" s="74">
        <f t="shared" si="1"/>
        <v>0</v>
      </c>
      <c r="J11" s="76">
        <f t="shared" si="3"/>
        <v>0</v>
      </c>
    </row>
    <row r="12" spans="1:10" x14ac:dyDescent="0.25">
      <c r="A12" s="71" t="s">
        <v>69</v>
      </c>
      <c r="B12" s="34"/>
      <c r="C12" s="74">
        <v>4500</v>
      </c>
      <c r="D12" s="30">
        <v>50.56</v>
      </c>
      <c r="E12" s="34"/>
      <c r="F12" s="74">
        <f t="shared" si="0"/>
        <v>0</v>
      </c>
      <c r="G12" s="76">
        <f t="shared" si="2"/>
        <v>0</v>
      </c>
      <c r="H12" s="34"/>
      <c r="I12" s="74">
        <f t="shared" si="1"/>
        <v>0</v>
      </c>
      <c r="J12" s="76">
        <f t="shared" si="3"/>
        <v>0</v>
      </c>
    </row>
    <row r="13" spans="1:10" x14ac:dyDescent="0.25">
      <c r="A13" s="71" t="s">
        <v>70</v>
      </c>
      <c r="B13" s="34"/>
      <c r="C13" s="74">
        <v>5500</v>
      </c>
      <c r="D13" s="30">
        <v>59.56</v>
      </c>
      <c r="E13" s="34"/>
      <c r="F13" s="74">
        <f t="shared" si="0"/>
        <v>0</v>
      </c>
      <c r="G13" s="76">
        <f t="shared" si="2"/>
        <v>0</v>
      </c>
      <c r="H13" s="34"/>
      <c r="I13" s="74">
        <f t="shared" si="1"/>
        <v>0</v>
      </c>
      <c r="J13" s="76">
        <f t="shared" si="3"/>
        <v>0</v>
      </c>
    </row>
    <row r="14" spans="1:10" x14ac:dyDescent="0.25">
      <c r="A14" s="71" t="s">
        <v>71</v>
      </c>
      <c r="B14" s="34"/>
      <c r="C14" s="74">
        <v>6500</v>
      </c>
      <c r="D14" s="30">
        <v>68.599999999999994</v>
      </c>
      <c r="E14" s="34"/>
      <c r="F14" s="74">
        <f t="shared" si="0"/>
        <v>0</v>
      </c>
      <c r="G14" s="76">
        <f t="shared" si="2"/>
        <v>0</v>
      </c>
      <c r="H14" s="34"/>
      <c r="I14" s="74">
        <f t="shared" si="1"/>
        <v>0</v>
      </c>
      <c r="J14" s="76">
        <f t="shared" si="3"/>
        <v>0</v>
      </c>
    </row>
    <row r="15" spans="1:10" x14ac:dyDescent="0.25">
      <c r="A15" s="71" t="s">
        <v>72</v>
      </c>
      <c r="B15" s="34"/>
      <c r="C15" s="74">
        <v>7500</v>
      </c>
      <c r="D15" s="30">
        <v>77</v>
      </c>
      <c r="E15" s="34"/>
      <c r="F15" s="74">
        <f t="shared" si="0"/>
        <v>0</v>
      </c>
      <c r="G15" s="76">
        <f t="shared" si="2"/>
        <v>0</v>
      </c>
      <c r="H15" s="34"/>
      <c r="I15" s="74">
        <f t="shared" si="1"/>
        <v>0</v>
      </c>
      <c r="J15" s="76">
        <f t="shared" si="3"/>
        <v>0</v>
      </c>
    </row>
    <row r="16" spans="1:10" x14ac:dyDescent="0.25">
      <c r="A16" s="71" t="s">
        <v>73</v>
      </c>
      <c r="B16" s="34"/>
      <c r="C16" s="74">
        <v>8500</v>
      </c>
      <c r="D16" s="30">
        <v>86.92</v>
      </c>
      <c r="E16" s="34"/>
      <c r="F16" s="74">
        <f t="shared" si="0"/>
        <v>0</v>
      </c>
      <c r="G16" s="76">
        <f t="shared" si="2"/>
        <v>0</v>
      </c>
      <c r="H16" s="34"/>
      <c r="I16" s="74">
        <f t="shared" si="1"/>
        <v>0</v>
      </c>
      <c r="J16" s="76">
        <f t="shared" si="3"/>
        <v>0</v>
      </c>
    </row>
    <row r="17" spans="1:10" x14ac:dyDescent="0.25">
      <c r="A17" s="71" t="s">
        <v>74</v>
      </c>
      <c r="B17" s="34"/>
      <c r="C17" s="74">
        <v>9500</v>
      </c>
      <c r="D17" s="30">
        <v>95.74</v>
      </c>
      <c r="E17" s="34"/>
      <c r="F17" s="74">
        <f t="shared" si="0"/>
        <v>0</v>
      </c>
      <c r="G17" s="76">
        <f t="shared" ref="G17" si="4">D16*E17</f>
        <v>0</v>
      </c>
      <c r="H17" s="34"/>
      <c r="I17" s="74">
        <f t="shared" ref="I17" si="5">(H17*C17)/1000</f>
        <v>0</v>
      </c>
      <c r="J17" s="76">
        <f t="shared" ref="J17" si="6">D16*H17</f>
        <v>0</v>
      </c>
    </row>
    <row r="18" spans="1:10" x14ac:dyDescent="0.25">
      <c r="A18" s="71" t="s">
        <v>75</v>
      </c>
      <c r="B18" s="34"/>
      <c r="C18" s="74">
        <v>10500</v>
      </c>
      <c r="D18" s="30">
        <v>104.2</v>
      </c>
      <c r="E18" s="34"/>
      <c r="F18" s="74">
        <f t="shared" si="0"/>
        <v>0</v>
      </c>
      <c r="G18" s="76">
        <f t="shared" ref="G18:G27" si="7">D16*E18</f>
        <v>0</v>
      </c>
      <c r="H18" s="34"/>
      <c r="I18" s="74">
        <f t="shared" si="1"/>
        <v>0</v>
      </c>
      <c r="J18" s="76">
        <f t="shared" ref="J18:J27" si="8">D16*H18</f>
        <v>0</v>
      </c>
    </row>
    <row r="19" spans="1:10" x14ac:dyDescent="0.25">
      <c r="A19" s="71" t="s">
        <v>76</v>
      </c>
      <c r="B19" s="34"/>
      <c r="C19" s="74">
        <v>11500</v>
      </c>
      <c r="D19" s="30">
        <v>112.05</v>
      </c>
      <c r="E19" s="34"/>
      <c r="F19" s="74">
        <f t="shared" si="0"/>
        <v>0</v>
      </c>
      <c r="G19" s="76">
        <f t="shared" si="7"/>
        <v>0</v>
      </c>
      <c r="H19" s="34"/>
      <c r="I19" s="74">
        <f t="shared" si="1"/>
        <v>0</v>
      </c>
      <c r="J19" s="76">
        <f t="shared" si="8"/>
        <v>0</v>
      </c>
    </row>
    <row r="20" spans="1:10" x14ac:dyDescent="0.25">
      <c r="A20" s="71" t="s">
        <v>77</v>
      </c>
      <c r="B20" s="34"/>
      <c r="C20" s="74">
        <v>12500</v>
      </c>
      <c r="D20" s="30">
        <v>120.24</v>
      </c>
      <c r="E20" s="34"/>
      <c r="F20" s="74">
        <f t="shared" si="0"/>
        <v>0</v>
      </c>
      <c r="G20" s="76">
        <f t="shared" si="7"/>
        <v>0</v>
      </c>
      <c r="H20" s="34"/>
      <c r="I20" s="74">
        <f t="shared" si="1"/>
        <v>0</v>
      </c>
      <c r="J20" s="76">
        <f t="shared" si="8"/>
        <v>0</v>
      </c>
    </row>
    <row r="21" spans="1:10" x14ac:dyDescent="0.25">
      <c r="A21" s="71" t="s">
        <v>78</v>
      </c>
      <c r="B21" s="34"/>
      <c r="C21" s="74">
        <v>13500</v>
      </c>
      <c r="D21" s="30">
        <v>128.54</v>
      </c>
      <c r="E21" s="34"/>
      <c r="F21" s="74">
        <f t="shared" si="0"/>
        <v>0</v>
      </c>
      <c r="G21" s="76">
        <f t="shared" si="7"/>
        <v>0</v>
      </c>
      <c r="H21" s="34"/>
      <c r="I21" s="74">
        <f t="shared" si="1"/>
        <v>0</v>
      </c>
      <c r="J21" s="76">
        <f t="shared" si="8"/>
        <v>0</v>
      </c>
    </row>
    <row r="22" spans="1:10" x14ac:dyDescent="0.25">
      <c r="A22" s="71" t="s">
        <v>79</v>
      </c>
      <c r="B22" s="34"/>
      <c r="C22" s="74">
        <v>14500</v>
      </c>
      <c r="D22" s="30">
        <v>136.80000000000001</v>
      </c>
      <c r="E22" s="34"/>
      <c r="F22" s="74">
        <f t="shared" si="0"/>
        <v>0</v>
      </c>
      <c r="G22" s="76">
        <f t="shared" si="7"/>
        <v>0</v>
      </c>
      <c r="H22" s="34"/>
      <c r="I22" s="74">
        <f t="shared" si="1"/>
        <v>0</v>
      </c>
      <c r="J22" s="76">
        <f t="shared" si="8"/>
        <v>0</v>
      </c>
    </row>
    <row r="23" spans="1:10" x14ac:dyDescent="0.25">
      <c r="A23" s="71" t="s">
        <v>80</v>
      </c>
      <c r="B23" s="34"/>
      <c r="C23" s="74">
        <v>15500</v>
      </c>
      <c r="D23" s="30">
        <v>145.03</v>
      </c>
      <c r="E23" s="34"/>
      <c r="F23" s="74">
        <f t="shared" si="0"/>
        <v>0</v>
      </c>
      <c r="G23" s="76">
        <f t="shared" si="7"/>
        <v>0</v>
      </c>
      <c r="H23" s="34"/>
      <c r="I23" s="74">
        <f t="shared" si="1"/>
        <v>0</v>
      </c>
      <c r="J23" s="76">
        <f t="shared" si="8"/>
        <v>0</v>
      </c>
    </row>
    <row r="24" spans="1:10" x14ac:dyDescent="0.25">
      <c r="A24" s="71" t="s">
        <v>81</v>
      </c>
      <c r="B24" s="34"/>
      <c r="C24" s="74">
        <v>16500</v>
      </c>
      <c r="D24" s="30">
        <v>153.04</v>
      </c>
      <c r="E24" s="34"/>
      <c r="F24" s="74">
        <f>(E24*C24)/1000</f>
        <v>0</v>
      </c>
      <c r="G24" s="76">
        <f t="shared" si="7"/>
        <v>0</v>
      </c>
      <c r="H24" s="34"/>
      <c r="I24" s="74">
        <f>(H24*C24)/1000</f>
        <v>0</v>
      </c>
      <c r="J24" s="76">
        <f t="shared" si="8"/>
        <v>0</v>
      </c>
    </row>
    <row r="25" spans="1:10" x14ac:dyDescent="0.25">
      <c r="A25" s="71" t="s">
        <v>82</v>
      </c>
      <c r="B25" s="34"/>
      <c r="C25" s="74">
        <v>17500</v>
      </c>
      <c r="D25" s="30">
        <v>161.32</v>
      </c>
      <c r="E25" s="34"/>
      <c r="F25" s="74">
        <f>(E25*C25)/1000</f>
        <v>0</v>
      </c>
      <c r="G25" s="76">
        <f t="shared" si="7"/>
        <v>0</v>
      </c>
      <c r="H25" s="34"/>
      <c r="I25" s="74">
        <f>(H25*C25)/1000</f>
        <v>0</v>
      </c>
      <c r="J25" s="76">
        <f t="shared" si="8"/>
        <v>0</v>
      </c>
    </row>
    <row r="26" spans="1:10" x14ac:dyDescent="0.25">
      <c r="A26" s="71" t="s">
        <v>83</v>
      </c>
      <c r="B26" s="34"/>
      <c r="C26" s="74">
        <v>18500</v>
      </c>
      <c r="D26" s="30">
        <v>169.88</v>
      </c>
      <c r="E26" s="34"/>
      <c r="F26" s="74">
        <f>(E26*C26)/1000</f>
        <v>0</v>
      </c>
      <c r="G26" s="76">
        <f t="shared" si="7"/>
        <v>0</v>
      </c>
      <c r="H26" s="34"/>
      <c r="I26" s="74">
        <f>(H26*C26)/1000</f>
        <v>0</v>
      </c>
      <c r="J26" s="76">
        <f t="shared" si="8"/>
        <v>0</v>
      </c>
    </row>
    <row r="27" spans="1:10" x14ac:dyDescent="0.25">
      <c r="A27" s="71" t="s">
        <v>84</v>
      </c>
      <c r="B27" s="34"/>
      <c r="C27" s="74">
        <v>19500</v>
      </c>
      <c r="D27" s="30">
        <v>177.33</v>
      </c>
      <c r="E27" s="34"/>
      <c r="F27" s="74">
        <f>(E27*C27)/1000</f>
        <v>0</v>
      </c>
      <c r="G27" s="76">
        <f t="shared" si="7"/>
        <v>0</v>
      </c>
      <c r="H27" s="34"/>
      <c r="I27" s="74">
        <f>(H27*C27)/1000</f>
        <v>0</v>
      </c>
      <c r="J27" s="76">
        <f t="shared" si="8"/>
        <v>0</v>
      </c>
    </row>
    <row r="28" spans="1:10" x14ac:dyDescent="0.25">
      <c r="A28" s="71" t="s">
        <v>85</v>
      </c>
      <c r="B28" s="34"/>
      <c r="C28" s="74">
        <v>22150</v>
      </c>
      <c r="D28" s="30">
        <v>351.75</v>
      </c>
      <c r="E28" s="34"/>
      <c r="F28" s="74">
        <f>(E28*C28)/1000</f>
        <v>0</v>
      </c>
      <c r="G28" s="76"/>
      <c r="H28" s="34"/>
      <c r="I28" s="74">
        <f>(H28*C28)/1000</f>
        <v>0</v>
      </c>
      <c r="J28" s="76"/>
    </row>
    <row r="29" spans="1:10" x14ac:dyDescent="0.25">
      <c r="A29" s="26"/>
      <c r="B29" s="34"/>
      <c r="C29" s="26"/>
      <c r="D29" s="89" t="s">
        <v>10</v>
      </c>
      <c r="E29" s="90">
        <f t="shared" ref="E29:J29" si="9">SUM(E8:E28)</f>
        <v>0</v>
      </c>
      <c r="F29" s="87">
        <f t="shared" si="9"/>
        <v>0</v>
      </c>
      <c r="G29" s="85">
        <f t="shared" si="9"/>
        <v>0</v>
      </c>
      <c r="H29" s="90">
        <f t="shared" si="9"/>
        <v>0</v>
      </c>
      <c r="I29" s="87">
        <f t="shared" si="9"/>
        <v>0</v>
      </c>
      <c r="J29" s="85">
        <f t="shared" si="9"/>
        <v>0</v>
      </c>
    </row>
    <row r="30" spans="1:10" x14ac:dyDescent="0.25">
      <c r="A30" s="71" t="s">
        <v>19</v>
      </c>
      <c r="B30" s="34"/>
      <c r="C30" s="34"/>
      <c r="D30" s="93"/>
      <c r="E30" s="34"/>
      <c r="F30" s="34"/>
      <c r="G30" s="92"/>
      <c r="H30" s="34"/>
      <c r="I30" s="34"/>
      <c r="J30" s="94"/>
    </row>
    <row r="31" spans="1:10" ht="15.75" thickBot="1" x14ac:dyDescent="0.3">
      <c r="A31" s="71" t="s">
        <v>11</v>
      </c>
      <c r="B31" s="34"/>
      <c r="C31" s="34"/>
      <c r="D31" s="99"/>
      <c r="E31" s="99"/>
      <c r="F31" s="100"/>
      <c r="G31" s="98"/>
      <c r="H31" s="99"/>
      <c r="I31" s="100"/>
      <c r="J31" s="98"/>
    </row>
    <row r="32" spans="1:10" ht="15.75" thickTop="1" x14ac:dyDescent="0.25">
      <c r="A32" s="26"/>
      <c r="B32" s="26"/>
      <c r="C32" s="26"/>
      <c r="D32" s="26"/>
      <c r="E32" s="26"/>
      <c r="F32" s="26"/>
      <c r="G32" s="101"/>
      <c r="H32" s="26"/>
      <c r="I32" s="26"/>
      <c r="J32" s="101"/>
    </row>
    <row r="33" spans="1:10" x14ac:dyDescent="0.25">
      <c r="A33" s="69" t="s">
        <v>12</v>
      </c>
      <c r="B33" s="34"/>
      <c r="C33" s="34"/>
      <c r="D33" s="74"/>
      <c r="E33" s="34"/>
      <c r="F33" s="34"/>
      <c r="G33" s="102"/>
      <c r="H33" s="34"/>
      <c r="I33" s="34"/>
      <c r="J33" s="102"/>
    </row>
    <row r="34" spans="1:10" x14ac:dyDescent="0.25">
      <c r="A34" s="71"/>
      <c r="B34" s="34"/>
      <c r="C34" s="74"/>
      <c r="D34" s="93">
        <f>C$77+(((2*C$78)+(3*C$79))+(((C34-7000)/1000)*C$80))</f>
        <v>0</v>
      </c>
      <c r="E34" s="34">
        <v>0</v>
      </c>
      <c r="F34" s="74">
        <f>(E34*C34)/1000</f>
        <v>0</v>
      </c>
      <c r="G34" s="102">
        <f>D34*E34</f>
        <v>0</v>
      </c>
      <c r="H34" s="34">
        <v>0</v>
      </c>
      <c r="I34" s="74">
        <f>H34*(F34/1000)</f>
        <v>0</v>
      </c>
      <c r="J34" s="102">
        <f>D34*H34</f>
        <v>0</v>
      </c>
    </row>
    <row r="35" spans="1:10" x14ac:dyDescent="0.25">
      <c r="A35" s="71"/>
      <c r="B35" s="34"/>
      <c r="C35" s="74"/>
      <c r="D35" s="93">
        <f>C$77+((((2*C$78)+(3*C$79)+(3*C$80))+(((C35-10000)/1000)*C$89)))</f>
        <v>0</v>
      </c>
      <c r="E35" s="34">
        <v>0</v>
      </c>
      <c r="F35" s="74">
        <f>(E35*C35)/1000</f>
        <v>0</v>
      </c>
      <c r="G35" s="102">
        <f>D35*E35</f>
        <v>0</v>
      </c>
      <c r="H35" s="34">
        <v>0</v>
      </c>
      <c r="I35" s="74">
        <f>H35*(F35/1000)</f>
        <v>0</v>
      </c>
      <c r="J35" s="102">
        <f>D35*H35</f>
        <v>0</v>
      </c>
    </row>
    <row r="36" spans="1:10" x14ac:dyDescent="0.25">
      <c r="A36" s="71"/>
      <c r="B36" s="34"/>
      <c r="C36" s="74"/>
      <c r="D36" s="93">
        <f>C$77+((((2*C$78)+(3*C$79)+(3*C$80))+(((C36-10000)/1000)*C$89)))</f>
        <v>0</v>
      </c>
      <c r="E36" s="34">
        <v>0</v>
      </c>
      <c r="F36" s="74">
        <f>(E36*C36)/1000</f>
        <v>0</v>
      </c>
      <c r="G36" s="102">
        <f>D36*E36</f>
        <v>0</v>
      </c>
      <c r="H36" s="34">
        <v>0</v>
      </c>
      <c r="I36" s="74">
        <f>H36*(F36/1000)</f>
        <v>0</v>
      </c>
      <c r="J36" s="102">
        <f>D36*H36</f>
        <v>0</v>
      </c>
    </row>
    <row r="37" spans="1:10" ht="15.75" thickBot="1" x14ac:dyDescent="0.3">
      <c r="A37" s="23"/>
      <c r="B37" s="23"/>
      <c r="C37" s="23"/>
      <c r="D37" s="89" t="s">
        <v>10</v>
      </c>
      <c r="E37" s="103">
        <f t="shared" ref="E37:J37" si="10">SUM(E34:E36)</f>
        <v>0</v>
      </c>
      <c r="F37" s="104">
        <f t="shared" si="10"/>
        <v>0</v>
      </c>
      <c r="G37" s="105">
        <f t="shared" si="10"/>
        <v>0</v>
      </c>
      <c r="H37" s="103">
        <f t="shared" si="10"/>
        <v>0</v>
      </c>
      <c r="I37" s="104">
        <f t="shared" si="10"/>
        <v>0</v>
      </c>
      <c r="J37" s="29">
        <f t="shared" si="10"/>
        <v>0</v>
      </c>
    </row>
    <row r="38" spans="1:10" ht="15.75" thickTop="1" x14ac:dyDescent="0.25">
      <c r="A38" s="23"/>
      <c r="B38" s="34"/>
      <c r="C38" s="34"/>
      <c r="D38" s="34"/>
      <c r="E38" s="69"/>
      <c r="F38" s="69"/>
      <c r="G38" s="106"/>
      <c r="H38" s="69"/>
      <c r="I38" s="107"/>
      <c r="J38" s="31"/>
    </row>
    <row r="39" spans="1:10" x14ac:dyDescent="0.25">
      <c r="A39" s="69" t="s">
        <v>13</v>
      </c>
      <c r="B39" s="34"/>
      <c r="C39" s="34"/>
      <c r="D39" s="34"/>
      <c r="E39" s="34"/>
      <c r="F39" s="34"/>
      <c r="G39" s="102"/>
      <c r="H39" s="34"/>
      <c r="I39" s="34"/>
      <c r="J39" s="31"/>
    </row>
    <row r="40" spans="1:10" x14ac:dyDescent="0.25">
      <c r="A40" s="71"/>
      <c r="B40" s="34"/>
      <c r="C40" s="74"/>
      <c r="D40" s="93">
        <f>C$77+((((2*C$78)+(3*C$79)+(3*C$80))+(((C40-10000)/1000)*C$89)))</f>
        <v>0</v>
      </c>
      <c r="E40" s="34">
        <v>0</v>
      </c>
      <c r="F40" s="74">
        <f>(E40*C40)/1000</f>
        <v>0</v>
      </c>
      <c r="G40" s="102">
        <f>D40*E40</f>
        <v>0</v>
      </c>
      <c r="H40" s="34">
        <v>0</v>
      </c>
      <c r="I40" s="74">
        <f>(H40*F40)/1000</f>
        <v>0</v>
      </c>
      <c r="J40" s="102">
        <f>D40*H40</f>
        <v>0</v>
      </c>
    </row>
    <row r="41" spans="1:10" x14ac:dyDescent="0.25">
      <c r="A41" s="71"/>
      <c r="B41" s="34"/>
      <c r="C41" s="74"/>
      <c r="D41" s="93">
        <f>C$77+((((2*C$78)+(3*C$79)+(3*C$80))+(((C41-10000)/1000)*C$89)))</f>
        <v>0</v>
      </c>
      <c r="E41" s="34">
        <v>0</v>
      </c>
      <c r="F41" s="74">
        <f>(E41*C41)/1000</f>
        <v>0</v>
      </c>
      <c r="G41" s="102">
        <f>D41*E41</f>
        <v>0</v>
      </c>
      <c r="H41" s="34">
        <v>0</v>
      </c>
      <c r="I41" s="74">
        <f>(H41*F41)/1000</f>
        <v>0</v>
      </c>
      <c r="J41" s="102">
        <f>D41*H41</f>
        <v>0</v>
      </c>
    </row>
    <row r="42" spans="1:10" x14ac:dyDescent="0.25">
      <c r="A42" s="71"/>
      <c r="B42" s="34"/>
      <c r="C42" s="74"/>
      <c r="D42" s="93">
        <f>C$77+((((2*C$78)+(3*C$79)+(3*C$80))+(((C42-10000)/1000)*C$89)))</f>
        <v>0</v>
      </c>
      <c r="E42" s="34">
        <v>0</v>
      </c>
      <c r="F42" s="74">
        <f>(E42*C42)/1000</f>
        <v>0</v>
      </c>
      <c r="G42" s="102">
        <f>D42*E42</f>
        <v>0</v>
      </c>
      <c r="H42" s="34">
        <v>0</v>
      </c>
      <c r="I42" s="74">
        <f>(H42*F42)/1000</f>
        <v>0</v>
      </c>
      <c r="J42" s="102">
        <f>D42*H42</f>
        <v>0</v>
      </c>
    </row>
    <row r="43" spans="1:10" x14ac:dyDescent="0.25">
      <c r="A43" s="71"/>
      <c r="B43" s="34"/>
      <c r="C43" s="74"/>
      <c r="D43" s="31"/>
      <c r="E43" s="34"/>
      <c r="F43" s="74"/>
      <c r="G43" s="102"/>
      <c r="H43" s="34"/>
      <c r="I43" s="74"/>
      <c r="J43" s="102"/>
    </row>
    <row r="44" spans="1:10" ht="15.75" thickBot="1" x14ac:dyDescent="0.3">
      <c r="A44" s="23"/>
      <c r="B44" s="34"/>
      <c r="C44" s="34"/>
      <c r="D44" s="107" t="s">
        <v>10</v>
      </c>
      <c r="E44" s="108">
        <f t="shared" ref="E44:J44" si="11">SUM(E40:E43)</f>
        <v>0</v>
      </c>
      <c r="F44" s="104">
        <f t="shared" si="11"/>
        <v>0</v>
      </c>
      <c r="G44" s="109">
        <f t="shared" si="11"/>
        <v>0</v>
      </c>
      <c r="H44" s="108">
        <f t="shared" si="11"/>
        <v>0</v>
      </c>
      <c r="I44" s="104">
        <f t="shared" si="11"/>
        <v>0</v>
      </c>
      <c r="J44" s="29">
        <f t="shared" si="11"/>
        <v>0</v>
      </c>
    </row>
    <row r="45" spans="1:10" ht="15.75" thickTop="1" x14ac:dyDescent="0.25">
      <c r="A45" s="23"/>
      <c r="B45" s="23"/>
      <c r="C45" s="23"/>
      <c r="D45" s="23"/>
      <c r="E45" s="23"/>
      <c r="F45" s="23"/>
      <c r="G45" s="102"/>
      <c r="H45" s="23"/>
      <c r="I45" s="23"/>
      <c r="J45" s="31"/>
    </row>
    <row r="46" spans="1:10" ht="15.75" thickBot="1" x14ac:dyDescent="0.3">
      <c r="A46" s="69"/>
      <c r="B46" s="34"/>
      <c r="C46" s="34"/>
      <c r="D46" s="110" t="s">
        <v>14</v>
      </c>
      <c r="E46" s="110">
        <f>+E29+E37+E44</f>
        <v>0</v>
      </c>
      <c r="F46" s="111">
        <f>+F29+F37+F44</f>
        <v>0</v>
      </c>
      <c r="G46" s="113">
        <f>+G29+G37+G44</f>
        <v>0</v>
      </c>
      <c r="H46" s="110">
        <f>+H29+H37+H44</f>
        <v>0</v>
      </c>
      <c r="I46" s="111">
        <f>+J29+I37+I44</f>
        <v>0</v>
      </c>
      <c r="J46" s="112">
        <f>J29+J37+J44</f>
        <v>0</v>
      </c>
    </row>
    <row r="47" spans="1:10" ht="15.75" thickTop="1" x14ac:dyDescent="0.25">
      <c r="A47" s="69"/>
      <c r="B47" s="34"/>
      <c r="C47" s="34"/>
      <c r="D47" s="35"/>
      <c r="E47" s="35"/>
      <c r="F47" s="114"/>
      <c r="G47" s="116"/>
      <c r="H47" s="35"/>
      <c r="I47" s="114"/>
      <c r="J47" s="115"/>
    </row>
    <row r="48" spans="1:10" x14ac:dyDescent="0.25">
      <c r="A48" s="69"/>
      <c r="B48" s="34"/>
      <c r="C48" s="34"/>
      <c r="D48" s="35"/>
      <c r="E48" s="35"/>
      <c r="F48" s="114"/>
      <c r="G48" s="116"/>
      <c r="H48" s="35"/>
      <c r="I48" s="114"/>
      <c r="J48" s="115"/>
    </row>
  </sheetData>
  <pageMargins left="0.7" right="0.7" top="0.75" bottom="0.75" header="0.3" footer="0.3"/>
  <pageSetup scale="90" firstPageNumber="15" orientation="portrait" useFirstPageNumber="1" horizontalDpi="0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040D-8EF3-4977-BD19-96E864850BEB}">
  <dimension ref="A1:I53"/>
  <sheetViews>
    <sheetView topLeftCell="A27" workbookViewId="0">
      <selection activeCell="I56" sqref="I56"/>
    </sheetView>
  </sheetViews>
  <sheetFormatPr defaultRowHeight="15" x14ac:dyDescent="0.25"/>
  <cols>
    <col min="9" max="9" width="11.28515625" bestFit="1" customWidth="1"/>
  </cols>
  <sheetData>
    <row r="1" spans="1:9" x14ac:dyDescent="0.25">
      <c r="A1" s="1" t="s">
        <v>133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5"/>
      <c r="C2" s="2"/>
      <c r="D2" s="2"/>
      <c r="E2" s="2"/>
      <c r="F2" s="2"/>
      <c r="G2" s="5" t="s">
        <v>25</v>
      </c>
      <c r="H2" s="2"/>
      <c r="I2" s="2">
        <v>2019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5" t="s">
        <v>26</v>
      </c>
      <c r="C4" s="5" t="s">
        <v>27</v>
      </c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5" t="s">
        <v>28</v>
      </c>
      <c r="D6" s="2"/>
      <c r="E6" s="2"/>
      <c r="F6" s="2"/>
      <c r="G6" s="2"/>
      <c r="H6" s="2"/>
      <c r="I6" s="8">
        <v>3406566</v>
      </c>
    </row>
    <row r="7" spans="1:9" x14ac:dyDescent="0.25">
      <c r="A7" s="2"/>
      <c r="B7" s="2"/>
      <c r="C7" s="5" t="s">
        <v>29</v>
      </c>
      <c r="D7" s="2"/>
      <c r="E7" s="2"/>
      <c r="F7" s="2"/>
      <c r="G7" s="2"/>
      <c r="H7" s="2"/>
      <c r="I7" s="8"/>
    </row>
    <row r="8" spans="1:9" x14ac:dyDescent="0.25">
      <c r="A8" s="2"/>
      <c r="B8" s="2"/>
      <c r="C8" s="5" t="s">
        <v>30</v>
      </c>
      <c r="D8" s="2"/>
      <c r="E8" s="5" t="s">
        <v>134</v>
      </c>
      <c r="F8" s="2"/>
      <c r="G8" s="2"/>
      <c r="H8" s="2"/>
      <c r="I8" s="8">
        <f>49010+58676</f>
        <v>107686</v>
      </c>
    </row>
    <row r="9" spans="1:9" x14ac:dyDescent="0.25">
      <c r="A9" s="2"/>
      <c r="B9" s="2"/>
      <c r="C9" s="2"/>
      <c r="D9" s="2"/>
      <c r="E9" s="2"/>
      <c r="F9" s="2"/>
      <c r="G9" s="2"/>
      <c r="H9" s="2"/>
      <c r="I9" s="8"/>
    </row>
    <row r="10" spans="1:9" x14ac:dyDescent="0.25">
      <c r="A10" s="2"/>
      <c r="B10" s="2"/>
      <c r="C10" s="5" t="s">
        <v>31</v>
      </c>
      <c r="D10" s="5" t="s">
        <v>32</v>
      </c>
      <c r="E10" s="2"/>
      <c r="F10" s="2"/>
      <c r="G10" s="2"/>
      <c r="H10" s="2"/>
      <c r="I10" s="8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9"/>
    </row>
    <row r="12" spans="1:9" x14ac:dyDescent="0.25">
      <c r="A12" s="2"/>
      <c r="B12" s="2"/>
      <c r="C12" s="5" t="s">
        <v>33</v>
      </c>
      <c r="D12" s="2"/>
      <c r="E12" s="2"/>
      <c r="F12" s="2"/>
      <c r="G12" s="2"/>
      <c r="H12" s="2"/>
      <c r="I12" s="8">
        <f>SUM(I6:I8)</f>
        <v>3514252</v>
      </c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8"/>
    </row>
    <row r="14" spans="1:9" x14ac:dyDescent="0.25">
      <c r="A14" s="2"/>
      <c r="B14" s="5" t="s">
        <v>34</v>
      </c>
      <c r="C14" s="5" t="s">
        <v>35</v>
      </c>
      <c r="D14" s="2"/>
      <c r="E14" s="2"/>
      <c r="F14" s="2"/>
      <c r="G14" s="2"/>
      <c r="H14" s="2"/>
      <c r="I14" s="8"/>
    </row>
    <row r="15" spans="1:9" x14ac:dyDescent="0.25">
      <c r="A15" s="2"/>
      <c r="B15" s="2"/>
      <c r="C15" s="5" t="s">
        <v>36</v>
      </c>
      <c r="D15" s="2"/>
      <c r="E15" s="2"/>
      <c r="F15" s="2"/>
      <c r="G15" s="2"/>
      <c r="H15" s="2"/>
      <c r="I15" s="8"/>
    </row>
    <row r="16" spans="1:9" x14ac:dyDescent="0.25">
      <c r="A16" s="2"/>
      <c r="B16" s="2"/>
      <c r="C16" s="5" t="s">
        <v>37</v>
      </c>
      <c r="D16" s="2"/>
      <c r="E16" s="2"/>
      <c r="F16" s="2"/>
      <c r="G16" s="2"/>
      <c r="H16" s="2"/>
      <c r="I16" s="8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8"/>
    </row>
    <row r="18" spans="1:9" x14ac:dyDescent="0.25">
      <c r="A18" s="2"/>
      <c r="B18" s="2"/>
      <c r="C18" s="5" t="s">
        <v>38</v>
      </c>
      <c r="D18" s="2"/>
      <c r="E18" s="2"/>
      <c r="F18" s="2"/>
      <c r="G18" s="2"/>
      <c r="H18" s="2"/>
      <c r="I18" s="8">
        <v>412336</v>
      </c>
    </row>
    <row r="19" spans="1:9" x14ac:dyDescent="0.25">
      <c r="A19" s="2"/>
      <c r="B19" s="2"/>
      <c r="C19" s="5" t="s">
        <v>39</v>
      </c>
      <c r="D19" s="2"/>
      <c r="E19" s="2"/>
      <c r="F19" s="2"/>
      <c r="G19" s="2"/>
      <c r="H19" s="2"/>
      <c r="I19" s="8">
        <v>142287</v>
      </c>
    </row>
    <row r="20" spans="1:9" x14ac:dyDescent="0.25">
      <c r="A20" s="2"/>
      <c r="B20" s="2"/>
      <c r="C20" s="5" t="s">
        <v>40</v>
      </c>
      <c r="D20" s="2"/>
      <c r="E20" s="2"/>
      <c r="F20" s="2"/>
      <c r="G20" s="2"/>
      <c r="H20" s="2"/>
      <c r="I20" s="8">
        <v>540570</v>
      </c>
    </row>
    <row r="21" spans="1:9" x14ac:dyDescent="0.25">
      <c r="A21" s="2"/>
      <c r="B21" s="2"/>
      <c r="C21" s="5" t="s">
        <v>41</v>
      </c>
      <c r="D21" s="2"/>
      <c r="E21" s="2"/>
      <c r="F21" s="2"/>
      <c r="G21" s="2"/>
      <c r="H21" s="2"/>
      <c r="I21" s="8">
        <f>221447+160542</f>
        <v>381989</v>
      </c>
    </row>
    <row r="22" spans="1:9" x14ac:dyDescent="0.25">
      <c r="A22" s="2"/>
      <c r="B22" s="2"/>
      <c r="C22" s="5" t="s">
        <v>42</v>
      </c>
      <c r="D22" s="2"/>
      <c r="E22" s="2"/>
      <c r="F22" s="2"/>
      <c r="G22" s="2"/>
      <c r="H22" s="2"/>
      <c r="I22" s="8">
        <v>560088</v>
      </c>
    </row>
    <row r="23" spans="1:9" x14ac:dyDescent="0.25">
      <c r="A23" s="2"/>
      <c r="B23" s="2"/>
      <c r="C23" s="5" t="s">
        <v>43</v>
      </c>
      <c r="D23" s="2"/>
      <c r="E23" s="2"/>
      <c r="F23" s="2"/>
      <c r="G23" s="2"/>
      <c r="H23" s="2"/>
      <c r="I23" s="10">
        <v>474014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8"/>
    </row>
    <row r="25" spans="1:9" x14ac:dyDescent="0.25">
      <c r="A25" s="2"/>
      <c r="B25" s="2"/>
      <c r="C25" s="5" t="s">
        <v>44</v>
      </c>
      <c r="D25" s="2"/>
      <c r="E25" s="2"/>
      <c r="F25" s="2"/>
      <c r="G25" s="2"/>
      <c r="H25" s="2"/>
      <c r="I25" s="10">
        <f>SUM(I18:I24)</f>
        <v>2511284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8"/>
    </row>
    <row r="27" spans="1:9" x14ac:dyDescent="0.25">
      <c r="A27" s="2"/>
      <c r="B27" s="2"/>
      <c r="C27" s="5" t="s">
        <v>45</v>
      </c>
      <c r="D27" s="2"/>
      <c r="E27" s="2"/>
      <c r="F27" s="2"/>
      <c r="G27" s="2"/>
      <c r="H27" s="2"/>
      <c r="I27" s="8">
        <f>I12-I25</f>
        <v>1002968</v>
      </c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8"/>
    </row>
    <row r="29" spans="1:9" x14ac:dyDescent="0.25">
      <c r="A29" s="2"/>
      <c r="B29" s="5" t="s">
        <v>46</v>
      </c>
      <c r="C29" s="5" t="s">
        <v>47</v>
      </c>
      <c r="D29" s="2"/>
      <c r="E29" s="2"/>
      <c r="F29" s="2"/>
      <c r="G29" s="2"/>
      <c r="H29" s="2"/>
      <c r="I29" s="8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8"/>
    </row>
    <row r="31" spans="1:9" x14ac:dyDescent="0.25">
      <c r="A31" s="2"/>
      <c r="B31" s="2"/>
      <c r="C31" s="5" t="s">
        <v>48</v>
      </c>
      <c r="D31" s="2"/>
      <c r="E31" s="2"/>
      <c r="F31" s="2"/>
      <c r="G31" s="2"/>
      <c r="H31" s="2"/>
      <c r="I31" s="8">
        <v>32567</v>
      </c>
    </row>
    <row r="32" spans="1:9" x14ac:dyDescent="0.25">
      <c r="A32" s="2"/>
      <c r="B32" s="2"/>
      <c r="C32" s="5" t="s">
        <v>49</v>
      </c>
      <c r="D32" s="2"/>
      <c r="E32" s="7"/>
      <c r="F32" s="2"/>
      <c r="G32" s="2"/>
      <c r="H32" s="2"/>
      <c r="I32" s="8">
        <v>66435</v>
      </c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8"/>
    </row>
    <row r="34" spans="1:9" x14ac:dyDescent="0.25">
      <c r="A34" s="2"/>
      <c r="B34" s="2"/>
      <c r="C34" s="5" t="s">
        <v>50</v>
      </c>
      <c r="D34" s="2"/>
      <c r="E34" s="2"/>
      <c r="F34" s="2"/>
      <c r="G34" s="2"/>
      <c r="H34" s="2"/>
      <c r="I34" s="8">
        <f>SUM(I31:I32)</f>
        <v>99002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9"/>
    </row>
    <row r="36" spans="1:9" x14ac:dyDescent="0.25">
      <c r="A36" s="2"/>
      <c r="B36" s="5" t="s">
        <v>51</v>
      </c>
      <c r="C36" s="5" t="s">
        <v>52</v>
      </c>
      <c r="D36" s="2"/>
      <c r="E36" s="2"/>
      <c r="F36" s="2"/>
      <c r="G36" s="2"/>
      <c r="H36" s="2"/>
      <c r="I36" s="8">
        <f>I27+I34</f>
        <v>1101970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8"/>
    </row>
    <row r="38" spans="1:9" x14ac:dyDescent="0.25">
      <c r="A38" s="2"/>
      <c r="B38" s="5" t="s">
        <v>53</v>
      </c>
      <c r="C38" s="5" t="s">
        <v>54</v>
      </c>
      <c r="D38" s="2"/>
      <c r="E38" s="2"/>
      <c r="F38" s="2"/>
      <c r="G38" s="2"/>
      <c r="H38" s="2"/>
      <c r="I38" s="8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8"/>
    </row>
    <row r="40" spans="1:9" x14ac:dyDescent="0.25">
      <c r="A40" s="2"/>
      <c r="B40" s="2"/>
      <c r="C40" s="5" t="s">
        <v>55</v>
      </c>
      <c r="D40" s="2"/>
      <c r="E40" s="2"/>
      <c r="F40" s="2"/>
      <c r="G40" s="2"/>
      <c r="H40" s="2"/>
      <c r="I40" s="8">
        <f>23822+23248+5206+5105+8340+8165+8900+8763</f>
        <v>91549</v>
      </c>
    </row>
    <row r="41" spans="1:9" x14ac:dyDescent="0.25">
      <c r="A41" s="2"/>
      <c r="B41" s="2"/>
      <c r="C41" s="5" t="s">
        <v>56</v>
      </c>
      <c r="D41" s="2"/>
      <c r="E41" s="2"/>
      <c r="F41" s="2"/>
      <c r="G41" s="2"/>
      <c r="H41" s="2"/>
      <c r="I41" s="8">
        <f>23000+9500+17500+11000</f>
        <v>61000</v>
      </c>
    </row>
    <row r="42" spans="1:9" x14ac:dyDescent="0.25">
      <c r="A42" s="2"/>
      <c r="B42" s="2"/>
      <c r="C42" s="3" t="s">
        <v>57</v>
      </c>
      <c r="D42" s="2"/>
      <c r="E42" s="2"/>
      <c r="F42" s="2"/>
      <c r="G42" s="2"/>
      <c r="H42" s="2"/>
      <c r="I42" s="8">
        <v>49000</v>
      </c>
    </row>
    <row r="43" spans="1:9" x14ac:dyDescent="0.25">
      <c r="A43" s="2"/>
      <c r="B43" s="2"/>
      <c r="C43" s="5" t="s">
        <v>58</v>
      </c>
      <c r="D43" s="2"/>
      <c r="E43" s="2"/>
      <c r="F43" s="2"/>
      <c r="G43" s="2"/>
      <c r="H43" s="2"/>
      <c r="I43" s="8">
        <f>2146+2146+49732+47482+17483+15931+8124+7140</f>
        <v>150184</v>
      </c>
    </row>
    <row r="44" spans="1:9" x14ac:dyDescent="0.25">
      <c r="A44" s="2"/>
      <c r="B44" s="2"/>
      <c r="C44" s="5" t="s">
        <v>59</v>
      </c>
      <c r="D44" s="2"/>
      <c r="E44" s="2"/>
      <c r="F44" s="2"/>
      <c r="G44" s="2"/>
      <c r="H44" s="2"/>
      <c r="I44" s="10">
        <f>109332+110316+35000+150000+135000</f>
        <v>539648</v>
      </c>
    </row>
    <row r="45" spans="1:9" x14ac:dyDescent="0.25">
      <c r="A45" s="2"/>
      <c r="B45" s="2"/>
      <c r="C45" s="5"/>
      <c r="D45" s="2"/>
      <c r="E45" s="2"/>
      <c r="F45" s="2"/>
      <c r="G45" s="2"/>
      <c r="H45" s="2"/>
      <c r="I45" s="8"/>
    </row>
    <row r="46" spans="1:9" hidden="1" x14ac:dyDescent="0.25">
      <c r="A46" s="2"/>
      <c r="B46" s="2"/>
      <c r="C46" s="2"/>
      <c r="D46" s="2"/>
      <c r="E46" s="2"/>
      <c r="F46" s="2"/>
      <c r="G46" s="2"/>
      <c r="H46" s="2"/>
      <c r="I46" s="8"/>
    </row>
    <row r="47" spans="1:9" x14ac:dyDescent="0.25">
      <c r="A47" s="2"/>
      <c r="B47" s="2"/>
      <c r="C47" s="5" t="s">
        <v>60</v>
      </c>
      <c r="D47" s="2"/>
      <c r="E47" s="2"/>
      <c r="F47" s="2"/>
      <c r="G47" s="2"/>
      <c r="H47" s="2"/>
      <c r="I47" s="8">
        <f>SUM(I40:I45)</f>
        <v>891381</v>
      </c>
    </row>
    <row r="48" spans="1:9" x14ac:dyDescent="0.25">
      <c r="A48" s="2"/>
      <c r="B48" s="2"/>
      <c r="C48" s="5"/>
      <c r="D48" s="2"/>
      <c r="E48" s="2"/>
      <c r="F48" s="2"/>
      <c r="G48" s="2"/>
      <c r="H48" s="2"/>
      <c r="I48" s="8"/>
    </row>
    <row r="49" spans="1:9" hidden="1" x14ac:dyDescent="0.25">
      <c r="A49" s="2"/>
      <c r="B49" s="2"/>
      <c r="C49" s="5" t="s">
        <v>132</v>
      </c>
      <c r="D49" s="2"/>
      <c r="E49" s="2"/>
      <c r="F49" s="2"/>
      <c r="G49" s="2"/>
      <c r="H49" s="2"/>
      <c r="I49" s="8"/>
    </row>
    <row r="50" spans="1:9" hidden="1" x14ac:dyDescent="0.25">
      <c r="A50" s="2"/>
      <c r="B50" s="2"/>
      <c r="C50" s="2"/>
      <c r="D50" s="2"/>
      <c r="E50" s="2"/>
      <c r="F50" s="2"/>
      <c r="G50" s="2"/>
      <c r="H50" s="2"/>
      <c r="I50" s="8"/>
    </row>
    <row r="51" spans="1:9" x14ac:dyDescent="0.25">
      <c r="A51" s="2"/>
      <c r="B51" s="5" t="s">
        <v>61</v>
      </c>
      <c r="C51" s="5" t="s">
        <v>62</v>
      </c>
      <c r="D51" s="2"/>
      <c r="E51" s="2"/>
      <c r="F51" s="2"/>
      <c r="G51" s="2"/>
      <c r="H51" s="2"/>
      <c r="I51" s="8">
        <f>I36-(I47+I49)</f>
        <v>210589</v>
      </c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 t="s">
        <v>63</v>
      </c>
      <c r="D53" s="3"/>
      <c r="E53" s="3"/>
      <c r="F53" s="3"/>
      <c r="G53" s="3"/>
      <c r="H53" s="3"/>
      <c r="I53" s="12">
        <f>I36/I47</f>
        <v>1.2362502678428191</v>
      </c>
    </row>
  </sheetData>
  <pageMargins left="0.7" right="0.7" top="0.75" bottom="0.25" header="0.3" footer="0.3"/>
  <pageSetup scale="95" firstPageNumber="16" orientation="portrait" useFirstPageNumber="1" horizontalDpi="0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workbookViewId="0">
      <selection activeCell="I42" sqref="I42"/>
    </sheetView>
  </sheetViews>
  <sheetFormatPr defaultRowHeight="15" x14ac:dyDescent="0.25"/>
  <cols>
    <col min="1" max="1" width="4.5703125" customWidth="1"/>
    <col min="2" max="2" width="4.140625" customWidth="1"/>
    <col min="9" max="9" width="16" bestFit="1" customWidth="1"/>
    <col min="10" max="10" width="9.7109375" customWidth="1"/>
  </cols>
  <sheetData>
    <row r="1" spans="1:18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1" t="s">
        <v>23</v>
      </c>
      <c r="L1" s="2"/>
      <c r="M1" s="2"/>
      <c r="N1" s="2"/>
      <c r="O1" s="2"/>
      <c r="P1" s="2"/>
      <c r="Q1" s="3"/>
      <c r="R1" s="2"/>
    </row>
    <row r="2" spans="1:18" x14ac:dyDescent="0.25">
      <c r="A2" s="2"/>
      <c r="B2" s="5" t="s">
        <v>24</v>
      </c>
      <c r="C2" s="2"/>
      <c r="D2" s="2"/>
      <c r="E2" s="2"/>
      <c r="F2" s="2"/>
      <c r="G2" s="5" t="s">
        <v>25</v>
      </c>
      <c r="H2" s="2"/>
      <c r="I2" s="2">
        <v>2021</v>
      </c>
      <c r="J2" s="2"/>
      <c r="K2" s="5" t="s">
        <v>24</v>
      </c>
      <c r="L2" s="2"/>
      <c r="M2" s="2"/>
      <c r="N2" s="2"/>
      <c r="O2" s="2"/>
      <c r="P2" s="5" t="s">
        <v>25</v>
      </c>
      <c r="Q2" s="3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2"/>
      <c r="M3" s="2"/>
      <c r="N3" s="3"/>
      <c r="O3" s="2"/>
      <c r="P3" s="2"/>
      <c r="Q3" s="3"/>
      <c r="R3" s="3"/>
    </row>
    <row r="4" spans="1:18" x14ac:dyDescent="0.25">
      <c r="A4" s="2"/>
      <c r="B4" s="5" t="s">
        <v>26</v>
      </c>
      <c r="C4" s="5" t="s">
        <v>27</v>
      </c>
      <c r="D4" s="2"/>
      <c r="E4" s="2"/>
      <c r="F4" s="2"/>
      <c r="G4" s="2"/>
      <c r="H4" s="2"/>
      <c r="I4" s="2"/>
      <c r="J4" s="2"/>
      <c r="K4" s="5" t="s">
        <v>26</v>
      </c>
      <c r="L4" s="5" t="s">
        <v>27</v>
      </c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5" t="s">
        <v>28</v>
      </c>
      <c r="D6" s="2"/>
      <c r="E6" s="2"/>
      <c r="F6" s="2"/>
      <c r="G6" s="2"/>
      <c r="H6" s="2"/>
      <c r="I6" s="8">
        <f>Forecast!G73+Forecast!L73</f>
        <v>3688679.7036899999</v>
      </c>
      <c r="J6" s="8"/>
      <c r="K6" s="2"/>
      <c r="L6" s="5" t="s">
        <v>28</v>
      </c>
      <c r="M6" s="2"/>
      <c r="N6" s="2"/>
      <c r="O6" s="2"/>
      <c r="P6" s="2"/>
      <c r="Q6" s="2"/>
      <c r="R6" s="8">
        <v>0</v>
      </c>
    </row>
    <row r="7" spans="1:18" x14ac:dyDescent="0.25">
      <c r="A7" s="2"/>
      <c r="B7" s="2"/>
      <c r="C7" s="5" t="s">
        <v>29</v>
      </c>
      <c r="D7" s="2"/>
      <c r="E7" s="2"/>
      <c r="F7" s="2"/>
      <c r="G7" s="2"/>
      <c r="H7" s="2"/>
      <c r="I7" s="8">
        <v>168000</v>
      </c>
      <c r="J7" s="8"/>
      <c r="K7" s="2"/>
      <c r="L7" s="5" t="s">
        <v>29</v>
      </c>
      <c r="M7" s="2"/>
      <c r="N7" s="2"/>
      <c r="O7" s="2"/>
      <c r="P7" s="2"/>
      <c r="Q7" s="2"/>
      <c r="R7" s="8">
        <v>0</v>
      </c>
    </row>
    <row r="8" spans="1:18" x14ac:dyDescent="0.25">
      <c r="A8" s="2"/>
      <c r="B8" s="2"/>
      <c r="C8" s="5" t="s">
        <v>30</v>
      </c>
      <c r="D8" s="2"/>
      <c r="E8" s="5"/>
      <c r="F8" s="2"/>
      <c r="G8" s="2"/>
      <c r="H8" s="2"/>
      <c r="I8" s="8"/>
      <c r="J8" s="8"/>
      <c r="K8" s="2"/>
      <c r="L8" s="5" t="s">
        <v>30</v>
      </c>
      <c r="M8" s="2"/>
      <c r="N8" s="5"/>
      <c r="O8" s="2"/>
      <c r="P8" s="2"/>
      <c r="Q8" s="2"/>
      <c r="R8" s="8"/>
    </row>
    <row r="9" spans="1:18" x14ac:dyDescent="0.25">
      <c r="A9" s="2"/>
      <c r="B9" s="2"/>
      <c r="C9" s="2"/>
      <c r="D9" s="2"/>
      <c r="E9" s="2"/>
      <c r="F9" s="2"/>
      <c r="G9" s="2"/>
      <c r="H9" s="2"/>
      <c r="I9" s="8"/>
      <c r="J9" s="8"/>
      <c r="K9" s="2"/>
      <c r="L9" s="2"/>
      <c r="M9" s="2"/>
      <c r="N9" s="2"/>
      <c r="O9" s="2"/>
      <c r="P9" s="2"/>
      <c r="Q9" s="2"/>
      <c r="R9" s="8"/>
    </row>
    <row r="10" spans="1:18" x14ac:dyDescent="0.25">
      <c r="A10" s="2"/>
      <c r="B10" s="2"/>
      <c r="C10" s="5" t="s">
        <v>31</v>
      </c>
      <c r="D10" s="5" t="s">
        <v>32</v>
      </c>
      <c r="E10" s="2"/>
      <c r="F10" s="2"/>
      <c r="G10" s="2"/>
      <c r="H10" s="2"/>
      <c r="I10" s="8"/>
      <c r="J10" s="8"/>
      <c r="K10" s="2"/>
      <c r="L10" s="5" t="s">
        <v>31</v>
      </c>
      <c r="M10" s="5" t="s">
        <v>32</v>
      </c>
      <c r="N10" s="2"/>
      <c r="O10" s="2"/>
      <c r="P10" s="2"/>
      <c r="Q10" s="2"/>
      <c r="R10" s="8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162"/>
      <c r="J11" s="8"/>
      <c r="K11" s="2"/>
      <c r="L11" s="2"/>
      <c r="M11" s="2"/>
      <c r="N11" s="2"/>
      <c r="O11" s="2"/>
      <c r="P11" s="2"/>
      <c r="Q11" s="2"/>
      <c r="R11" s="9"/>
    </row>
    <row r="12" spans="1:18" x14ac:dyDescent="0.25">
      <c r="A12" s="2"/>
      <c r="B12" s="2"/>
      <c r="C12" s="5" t="s">
        <v>33</v>
      </c>
      <c r="D12" s="2"/>
      <c r="E12" s="2"/>
      <c r="F12" s="2"/>
      <c r="G12" s="2"/>
      <c r="H12" s="2"/>
      <c r="I12" s="161">
        <f>SUM(I6:I8)</f>
        <v>3856679.7036899999</v>
      </c>
      <c r="J12" s="8"/>
      <c r="K12" s="2"/>
      <c r="L12" s="5" t="s">
        <v>33</v>
      </c>
      <c r="M12" s="2"/>
      <c r="N12" s="2"/>
      <c r="O12" s="2"/>
      <c r="P12" s="2"/>
      <c r="Q12" s="2"/>
      <c r="R12" s="8">
        <f>SUM(R6:R8)</f>
        <v>0</v>
      </c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8"/>
      <c r="J13" s="8"/>
      <c r="K13" s="2"/>
      <c r="L13" s="2"/>
      <c r="M13" s="2"/>
      <c r="N13" s="2"/>
      <c r="O13" s="2"/>
      <c r="P13" s="2"/>
      <c r="Q13" s="2"/>
      <c r="R13" s="8"/>
    </row>
    <row r="14" spans="1:18" x14ac:dyDescent="0.25">
      <c r="A14" s="2"/>
      <c r="B14" s="5" t="s">
        <v>34</v>
      </c>
      <c r="C14" s="5" t="s">
        <v>35</v>
      </c>
      <c r="D14" s="2"/>
      <c r="E14" s="2"/>
      <c r="F14" s="2"/>
      <c r="G14" s="2"/>
      <c r="H14" s="2"/>
      <c r="I14" s="8"/>
      <c r="J14" s="8"/>
      <c r="K14" s="5" t="s">
        <v>34</v>
      </c>
      <c r="L14" s="5" t="s">
        <v>35</v>
      </c>
      <c r="M14" s="2"/>
      <c r="N14" s="2"/>
      <c r="O14" s="2"/>
      <c r="P14" s="2"/>
      <c r="Q14" s="2"/>
      <c r="R14" s="8"/>
    </row>
    <row r="15" spans="1:18" x14ac:dyDescent="0.25">
      <c r="A15" s="2"/>
      <c r="B15" s="2"/>
      <c r="C15" s="5" t="s">
        <v>36</v>
      </c>
      <c r="D15" s="2"/>
      <c r="E15" s="2"/>
      <c r="F15" s="2"/>
      <c r="G15" s="2"/>
      <c r="H15" s="2"/>
      <c r="I15" s="8"/>
      <c r="J15" s="8"/>
      <c r="K15" s="2"/>
      <c r="L15" s="5" t="s">
        <v>36</v>
      </c>
      <c r="M15" s="2"/>
      <c r="N15" s="2"/>
      <c r="O15" s="2"/>
      <c r="P15" s="2"/>
      <c r="Q15" s="2"/>
      <c r="R15" s="8"/>
    </row>
    <row r="16" spans="1:18" x14ac:dyDescent="0.25">
      <c r="A16" s="2"/>
      <c r="B16" s="2"/>
      <c r="C16" s="5" t="s">
        <v>37</v>
      </c>
      <c r="D16" s="2"/>
      <c r="E16" s="2"/>
      <c r="F16" s="2"/>
      <c r="G16" s="2"/>
      <c r="H16" s="2"/>
      <c r="I16" s="8"/>
      <c r="J16" s="8"/>
      <c r="K16" s="2"/>
      <c r="L16" s="5" t="s">
        <v>37</v>
      </c>
      <c r="M16" s="2"/>
      <c r="N16" s="2"/>
      <c r="O16" s="2"/>
      <c r="P16" s="2"/>
      <c r="Q16" s="2"/>
      <c r="R16" s="8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8"/>
      <c r="J17" s="8"/>
      <c r="K17" s="2"/>
      <c r="L17" s="2"/>
      <c r="M17" s="2"/>
      <c r="N17" s="2"/>
      <c r="O17" s="2"/>
      <c r="P17" s="2"/>
      <c r="Q17" s="2"/>
      <c r="R17" s="8"/>
    </row>
    <row r="18" spans="1:18" x14ac:dyDescent="0.25">
      <c r="A18" s="2"/>
      <c r="B18" s="2"/>
      <c r="C18" s="5" t="s">
        <v>38</v>
      </c>
      <c r="D18" s="2"/>
      <c r="E18" s="2"/>
      <c r="F18" s="2"/>
      <c r="G18" s="2"/>
      <c r="H18" s="2"/>
      <c r="I18" s="8">
        <v>400000</v>
      </c>
      <c r="J18" s="8"/>
      <c r="K18" s="2"/>
      <c r="L18" s="5" t="s">
        <v>38</v>
      </c>
      <c r="M18" s="2"/>
      <c r="N18" s="2"/>
      <c r="O18" s="2"/>
      <c r="P18" s="2"/>
      <c r="Q18" s="2"/>
      <c r="R18" s="8">
        <v>0</v>
      </c>
    </row>
    <row r="19" spans="1:18" x14ac:dyDescent="0.25">
      <c r="A19" s="2"/>
      <c r="B19" s="2"/>
      <c r="C19" s="5" t="s">
        <v>39</v>
      </c>
      <c r="D19" s="2"/>
      <c r="E19" s="2"/>
      <c r="F19" s="2"/>
      <c r="G19" s="2"/>
      <c r="H19" s="2"/>
      <c r="I19" s="8">
        <v>200000</v>
      </c>
      <c r="J19" s="8"/>
      <c r="K19" s="2"/>
      <c r="L19" s="5" t="s">
        <v>39</v>
      </c>
      <c r="M19" s="2"/>
      <c r="N19" s="2"/>
      <c r="O19" s="2"/>
      <c r="P19" s="2"/>
      <c r="Q19" s="2"/>
      <c r="R19" s="8">
        <v>0</v>
      </c>
    </row>
    <row r="20" spans="1:18" x14ac:dyDescent="0.25">
      <c r="A20" s="2"/>
      <c r="B20" s="2"/>
      <c r="C20" s="5" t="s">
        <v>40</v>
      </c>
      <c r="D20" s="2"/>
      <c r="E20" s="2"/>
      <c r="F20" s="2"/>
      <c r="G20" s="2"/>
      <c r="H20" s="2"/>
      <c r="I20" s="8">
        <v>665000</v>
      </c>
      <c r="J20" s="8"/>
      <c r="K20" s="2"/>
      <c r="L20" s="5" t="s">
        <v>40</v>
      </c>
      <c r="M20" s="2"/>
      <c r="N20" s="2"/>
      <c r="O20" s="2"/>
      <c r="P20" s="2"/>
      <c r="Q20" s="2"/>
      <c r="R20" s="8">
        <v>0</v>
      </c>
    </row>
    <row r="21" spans="1:18" x14ac:dyDescent="0.25">
      <c r="A21" s="2"/>
      <c r="B21" s="2"/>
      <c r="C21" s="5" t="s">
        <v>41</v>
      </c>
      <c r="D21" s="2"/>
      <c r="E21" s="2"/>
      <c r="F21" s="2"/>
      <c r="G21" s="2"/>
      <c r="H21" s="2"/>
      <c r="I21" s="8">
        <v>430000</v>
      </c>
      <c r="J21" s="8"/>
      <c r="K21" s="2"/>
      <c r="L21" s="5" t="s">
        <v>41</v>
      </c>
      <c r="M21" s="2"/>
      <c r="N21" s="2"/>
      <c r="O21" s="2"/>
      <c r="P21" s="2"/>
      <c r="Q21" s="2"/>
      <c r="R21" s="8">
        <v>0</v>
      </c>
    </row>
    <row r="22" spans="1:18" x14ac:dyDescent="0.25">
      <c r="A22" s="2"/>
      <c r="B22" s="2"/>
      <c r="C22" s="5" t="s">
        <v>42</v>
      </c>
      <c r="D22" s="2"/>
      <c r="E22" s="2"/>
      <c r="F22" s="2"/>
      <c r="G22" s="2"/>
      <c r="H22" s="2"/>
      <c r="I22" s="8">
        <v>480000</v>
      </c>
      <c r="J22" s="8"/>
      <c r="K22" s="2"/>
      <c r="L22" s="5" t="s">
        <v>42</v>
      </c>
      <c r="M22" s="2"/>
      <c r="N22" s="2"/>
      <c r="O22" s="2"/>
      <c r="P22" s="2"/>
      <c r="Q22" s="2"/>
      <c r="R22" s="8">
        <v>0</v>
      </c>
    </row>
    <row r="23" spans="1:18" x14ac:dyDescent="0.25">
      <c r="A23" s="2"/>
      <c r="B23" s="2"/>
      <c r="C23" s="5" t="s">
        <v>43</v>
      </c>
      <c r="D23" s="2"/>
      <c r="E23" s="2"/>
      <c r="F23" s="2"/>
      <c r="G23" s="2"/>
      <c r="H23" s="2"/>
      <c r="I23" s="10">
        <v>600000</v>
      </c>
      <c r="J23" s="8"/>
      <c r="K23" s="2"/>
      <c r="L23" s="5" t="s">
        <v>43</v>
      </c>
      <c r="M23" s="2"/>
      <c r="N23" s="2"/>
      <c r="O23" s="2"/>
      <c r="P23" s="2"/>
      <c r="Q23" s="2"/>
      <c r="R23" s="10">
        <v>0</v>
      </c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8"/>
      <c r="J24" s="8"/>
      <c r="K24" s="2"/>
      <c r="L24" s="2"/>
      <c r="M24" s="2"/>
      <c r="N24" s="2"/>
      <c r="O24" s="2"/>
      <c r="P24" s="2"/>
      <c r="Q24" s="2"/>
      <c r="R24" s="8"/>
    </row>
    <row r="25" spans="1:18" x14ac:dyDescent="0.25">
      <c r="A25" s="2"/>
      <c r="B25" s="2"/>
      <c r="C25" s="5" t="s">
        <v>44</v>
      </c>
      <c r="D25" s="2"/>
      <c r="E25" s="2"/>
      <c r="F25" s="2"/>
      <c r="G25" s="2"/>
      <c r="H25" s="2"/>
      <c r="I25" s="161">
        <f>SUM(I18:I23)</f>
        <v>2775000</v>
      </c>
      <c r="J25" s="8"/>
      <c r="K25" s="2"/>
      <c r="L25" s="5" t="s">
        <v>44</v>
      </c>
      <c r="M25" s="2"/>
      <c r="N25" s="2"/>
      <c r="O25" s="2"/>
      <c r="P25" s="2"/>
      <c r="Q25" s="2"/>
      <c r="R25" s="10">
        <f>SUM(R18:R23)</f>
        <v>0</v>
      </c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8"/>
      <c r="J26" s="8"/>
      <c r="K26" s="2"/>
      <c r="L26" s="2"/>
      <c r="M26" s="2"/>
      <c r="N26" s="2"/>
      <c r="O26" s="2"/>
      <c r="P26" s="2"/>
      <c r="Q26" s="2"/>
      <c r="R26" s="8"/>
    </row>
    <row r="27" spans="1:18" x14ac:dyDescent="0.25">
      <c r="A27" s="2"/>
      <c r="B27" s="2"/>
      <c r="C27" s="5" t="s">
        <v>45</v>
      </c>
      <c r="D27" s="2"/>
      <c r="E27" s="2"/>
      <c r="F27" s="2"/>
      <c r="G27" s="2"/>
      <c r="H27" s="2"/>
      <c r="I27" s="8">
        <f>I12-I25</f>
        <v>1081679.7036899999</v>
      </c>
      <c r="J27" s="8"/>
      <c r="K27" s="2"/>
      <c r="L27" s="5" t="s">
        <v>45</v>
      </c>
      <c r="M27" s="2"/>
      <c r="N27" s="2"/>
      <c r="O27" s="2"/>
      <c r="P27" s="2"/>
      <c r="Q27" s="2"/>
      <c r="R27" s="8">
        <f>R12-R25</f>
        <v>0</v>
      </c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8"/>
      <c r="J28" s="8"/>
      <c r="K28" s="2"/>
      <c r="L28" s="2"/>
      <c r="M28" s="2"/>
      <c r="N28" s="2"/>
      <c r="O28" s="2"/>
      <c r="P28" s="2"/>
      <c r="Q28" s="2"/>
      <c r="R28" s="8"/>
    </row>
    <row r="29" spans="1:18" x14ac:dyDescent="0.25">
      <c r="A29" s="2"/>
      <c r="B29" s="5" t="s">
        <v>46</v>
      </c>
      <c r="C29" s="5" t="s">
        <v>47</v>
      </c>
      <c r="D29" s="2"/>
      <c r="E29" s="2"/>
      <c r="F29" s="2"/>
      <c r="G29" s="2"/>
      <c r="H29" s="2"/>
      <c r="I29" s="8"/>
      <c r="J29" s="8"/>
      <c r="K29" s="5" t="s">
        <v>46</v>
      </c>
      <c r="L29" s="5" t="s">
        <v>47</v>
      </c>
      <c r="M29" s="2"/>
      <c r="N29" s="2"/>
      <c r="O29" s="2"/>
      <c r="P29" s="2"/>
      <c r="Q29" s="2"/>
      <c r="R29" s="8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8"/>
      <c r="J30" s="8"/>
      <c r="K30" s="2"/>
      <c r="L30" s="2"/>
      <c r="M30" s="2"/>
      <c r="N30" s="2"/>
      <c r="O30" s="2"/>
      <c r="P30" s="2"/>
      <c r="Q30" s="2"/>
      <c r="R30" s="8"/>
    </row>
    <row r="31" spans="1:18" x14ac:dyDescent="0.25">
      <c r="A31" s="2"/>
      <c r="B31" s="2"/>
      <c r="C31" s="160" t="s">
        <v>48</v>
      </c>
      <c r="D31" s="2"/>
      <c r="E31" s="4" t="s">
        <v>150</v>
      </c>
      <c r="F31" s="2"/>
      <c r="G31" s="2"/>
      <c r="H31" s="2"/>
      <c r="I31" s="8">
        <v>64000</v>
      </c>
      <c r="J31" s="8"/>
      <c r="K31" s="2"/>
      <c r="L31" s="5" t="s">
        <v>48</v>
      </c>
      <c r="M31" s="2"/>
      <c r="N31" s="2"/>
      <c r="O31" s="2"/>
      <c r="P31" s="2"/>
      <c r="Q31" s="2"/>
      <c r="R31" s="8"/>
    </row>
    <row r="32" spans="1:18" x14ac:dyDescent="0.25">
      <c r="A32" s="2"/>
      <c r="B32" s="2"/>
      <c r="C32" s="5" t="s">
        <v>49</v>
      </c>
      <c r="D32" s="2"/>
      <c r="E32" s="7" t="s">
        <v>149</v>
      </c>
      <c r="F32" s="2"/>
      <c r="G32" s="2"/>
      <c r="H32" s="2"/>
      <c r="I32" s="8">
        <v>27000</v>
      </c>
      <c r="J32" s="8"/>
      <c r="K32" s="2"/>
      <c r="L32" s="5" t="s">
        <v>49</v>
      </c>
      <c r="M32" s="2"/>
      <c r="N32" s="2"/>
      <c r="O32" s="2"/>
      <c r="P32" s="2"/>
      <c r="Q32" s="2"/>
      <c r="R32" s="8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8"/>
      <c r="J33" s="8"/>
      <c r="K33" s="2"/>
      <c r="L33" s="2"/>
      <c r="M33" s="2"/>
      <c r="N33" s="2"/>
      <c r="O33" s="2"/>
      <c r="P33" s="2"/>
      <c r="Q33" s="2"/>
      <c r="R33" s="8"/>
    </row>
    <row r="34" spans="1:18" x14ac:dyDescent="0.25">
      <c r="A34" s="2"/>
      <c r="B34" s="2"/>
      <c r="C34" s="5" t="s">
        <v>50</v>
      </c>
      <c r="D34" s="2"/>
      <c r="E34" s="2"/>
      <c r="F34" s="2"/>
      <c r="G34" s="2"/>
      <c r="H34" s="2"/>
      <c r="I34" s="8">
        <f>SUM(I31:I32)</f>
        <v>91000</v>
      </c>
      <c r="J34" s="8"/>
      <c r="K34" s="2"/>
      <c r="L34" s="5" t="s">
        <v>50</v>
      </c>
      <c r="M34" s="2"/>
      <c r="N34" s="2"/>
      <c r="O34" s="2"/>
      <c r="P34" s="2"/>
      <c r="Q34" s="2"/>
      <c r="R34" s="8">
        <f>SUM(R31:R32)</f>
        <v>0</v>
      </c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162"/>
      <c r="J35" s="8"/>
      <c r="K35" s="2"/>
      <c r="L35" s="2"/>
      <c r="M35" s="2"/>
      <c r="N35" s="2"/>
      <c r="O35" s="2"/>
      <c r="P35" s="2"/>
      <c r="Q35" s="2"/>
      <c r="R35" s="9"/>
    </row>
    <row r="36" spans="1:18" x14ac:dyDescent="0.25">
      <c r="A36" s="2"/>
      <c r="B36" s="5" t="s">
        <v>51</v>
      </c>
      <c r="C36" s="5" t="s">
        <v>52</v>
      </c>
      <c r="D36" s="2"/>
      <c r="E36" s="2"/>
      <c r="F36" s="2"/>
      <c r="G36" s="2"/>
      <c r="H36" s="2"/>
      <c r="I36" s="161">
        <f>I27+I34</f>
        <v>1172679.7036899999</v>
      </c>
      <c r="J36" s="8"/>
      <c r="K36" s="5" t="s">
        <v>51</v>
      </c>
      <c r="L36" s="5" t="s">
        <v>52</v>
      </c>
      <c r="M36" s="2"/>
      <c r="N36" s="2"/>
      <c r="O36" s="2"/>
      <c r="P36" s="2"/>
      <c r="Q36" s="2"/>
      <c r="R36" s="8">
        <f>R27+R34</f>
        <v>0</v>
      </c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8"/>
      <c r="J37" s="8"/>
      <c r="K37" s="2"/>
      <c r="L37" s="2"/>
      <c r="M37" s="2"/>
      <c r="N37" s="2"/>
      <c r="O37" s="2"/>
      <c r="P37" s="2"/>
      <c r="Q37" s="2"/>
      <c r="R37" s="8"/>
    </row>
    <row r="38" spans="1:18" x14ac:dyDescent="0.25">
      <c r="A38" s="2"/>
      <c r="B38" s="5" t="s">
        <v>53</v>
      </c>
      <c r="C38" s="5" t="s">
        <v>54</v>
      </c>
      <c r="D38" s="2"/>
      <c r="E38" s="2"/>
      <c r="F38" s="2"/>
      <c r="G38" s="2"/>
      <c r="H38" s="2"/>
      <c r="I38" s="8"/>
      <c r="J38" s="8"/>
      <c r="K38" s="5" t="s">
        <v>53</v>
      </c>
      <c r="L38" s="5" t="s">
        <v>54</v>
      </c>
      <c r="M38" s="2"/>
      <c r="N38" s="2"/>
      <c r="O38" s="2"/>
      <c r="P38" s="2"/>
      <c r="Q38" s="2"/>
      <c r="R38" s="8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8"/>
      <c r="J39" s="8"/>
      <c r="K39" s="2"/>
      <c r="L39" s="2"/>
      <c r="M39" s="2"/>
      <c r="N39" s="2"/>
      <c r="O39" s="2"/>
      <c r="P39" s="2"/>
      <c r="Q39" s="2"/>
      <c r="R39" s="8"/>
    </row>
    <row r="40" spans="1:18" x14ac:dyDescent="0.25">
      <c r="A40" s="2"/>
      <c r="B40" s="2"/>
      <c r="C40" s="5" t="s">
        <v>55</v>
      </c>
      <c r="D40" s="2"/>
      <c r="E40" s="2"/>
      <c r="F40" s="2"/>
      <c r="G40" s="2"/>
      <c r="H40" s="2"/>
      <c r="I40" s="8">
        <f>22853+22337+5004+4898+7990+7810+8619+8475+20400+4770</f>
        <v>113156</v>
      </c>
      <c r="J40" s="8"/>
      <c r="K40" s="2"/>
      <c r="L40" s="5" t="s">
        <v>55</v>
      </c>
      <c r="M40" s="2"/>
      <c r="N40" s="2"/>
      <c r="O40" s="2"/>
      <c r="P40" s="2"/>
      <c r="Q40" s="2"/>
      <c r="R40" s="8">
        <v>0</v>
      </c>
    </row>
    <row r="41" spans="1:18" x14ac:dyDescent="0.25">
      <c r="A41" s="2"/>
      <c r="B41" s="2"/>
      <c r="C41" s="5" t="s">
        <v>56</v>
      </c>
      <c r="D41" s="2"/>
      <c r="E41" s="2"/>
      <c r="F41" s="2"/>
      <c r="G41" s="2"/>
      <c r="H41" s="2"/>
      <c r="I41" s="8">
        <f>25000+10000+18000+11500+7310+4345</f>
        <v>76155</v>
      </c>
      <c r="J41" s="8"/>
      <c r="K41" s="2"/>
      <c r="L41" s="5" t="s">
        <v>56</v>
      </c>
      <c r="M41" s="2"/>
      <c r="N41" s="2"/>
      <c r="O41" s="2"/>
      <c r="P41" s="2"/>
      <c r="Q41" s="2"/>
      <c r="R41" s="8">
        <v>0</v>
      </c>
    </row>
    <row r="42" spans="1:18" x14ac:dyDescent="0.25">
      <c r="A42" s="2"/>
      <c r="B42" s="2"/>
      <c r="C42" s="3" t="s">
        <v>57</v>
      </c>
      <c r="D42" s="2"/>
      <c r="E42" s="2"/>
      <c r="F42" s="2"/>
      <c r="G42" s="2"/>
      <c r="H42" s="2"/>
      <c r="I42" s="8">
        <v>55000</v>
      </c>
      <c r="J42" s="8"/>
      <c r="K42" s="2"/>
      <c r="L42" s="3" t="s">
        <v>57</v>
      </c>
      <c r="M42" s="2"/>
      <c r="N42" s="2"/>
      <c r="O42" s="2"/>
      <c r="P42" s="2"/>
      <c r="Q42" s="2"/>
      <c r="R42" s="8"/>
    </row>
    <row r="43" spans="1:18" x14ac:dyDescent="0.25">
      <c r="A43" s="2"/>
      <c r="B43" s="2"/>
      <c r="C43" s="5" t="s">
        <v>58</v>
      </c>
      <c r="D43" s="2"/>
      <c r="E43" s="2"/>
      <c r="F43" s="2"/>
      <c r="G43" s="2"/>
      <c r="H43" s="2"/>
      <c r="I43" s="8">
        <f>820+820+45232+43101+14321+12291+4135+3115</f>
        <v>123835</v>
      </c>
      <c r="J43" s="8"/>
      <c r="K43" s="2"/>
      <c r="L43" s="5" t="s">
        <v>58</v>
      </c>
      <c r="M43" s="2"/>
      <c r="N43" s="2"/>
      <c r="O43" s="2"/>
      <c r="P43" s="2"/>
      <c r="Q43" s="2"/>
      <c r="R43" s="8"/>
    </row>
    <row r="44" spans="1:18" x14ac:dyDescent="0.25">
      <c r="A44" s="2"/>
      <c r="B44" s="2"/>
      <c r="C44" s="5" t="s">
        <v>59</v>
      </c>
      <c r="D44" s="2"/>
      <c r="E44" s="2"/>
      <c r="F44" s="2"/>
      <c r="G44" s="2"/>
      <c r="H44" s="2"/>
      <c r="I44" s="10">
        <f>113321+114341+40000+155000+145000</f>
        <v>567662</v>
      </c>
      <c r="J44" s="8"/>
      <c r="K44" s="2"/>
      <c r="L44" s="5" t="s">
        <v>59</v>
      </c>
      <c r="M44" s="2"/>
      <c r="N44" s="2"/>
      <c r="O44" s="2"/>
      <c r="P44" s="2"/>
      <c r="Q44" s="2"/>
      <c r="R44" s="10"/>
    </row>
    <row r="45" spans="1:18" x14ac:dyDescent="0.25">
      <c r="A45" s="2"/>
      <c r="B45" s="2"/>
      <c r="C45" s="5"/>
      <c r="D45" s="2"/>
      <c r="E45" s="2"/>
      <c r="F45" s="2"/>
      <c r="G45" s="2"/>
      <c r="H45" s="2"/>
      <c r="I45" s="8"/>
      <c r="J45" s="8"/>
      <c r="K45" s="2"/>
      <c r="L45" s="5"/>
      <c r="M45" s="2"/>
      <c r="N45" s="2"/>
      <c r="O45" s="2"/>
      <c r="P45" s="2"/>
      <c r="Q45" s="2"/>
      <c r="R45" s="8"/>
    </row>
    <row r="46" spans="1:18" hidden="1" x14ac:dyDescent="0.25">
      <c r="A46" s="2"/>
      <c r="B46" s="2"/>
      <c r="C46" s="2"/>
      <c r="D46" s="2"/>
      <c r="E46" s="2"/>
      <c r="F46" s="2"/>
      <c r="G46" s="2"/>
      <c r="H46" s="2"/>
      <c r="I46" s="8"/>
      <c r="J46" s="8"/>
      <c r="K46" s="2"/>
      <c r="L46" s="2"/>
      <c r="M46" s="2"/>
      <c r="N46" s="2"/>
      <c r="O46" s="2"/>
      <c r="P46" s="2"/>
      <c r="Q46" s="2"/>
      <c r="R46" s="8"/>
    </row>
    <row r="47" spans="1:18" x14ac:dyDescent="0.25">
      <c r="A47" s="2"/>
      <c r="B47" s="2"/>
      <c r="C47" s="5" t="s">
        <v>60</v>
      </c>
      <c r="D47" s="2"/>
      <c r="E47" s="2"/>
      <c r="F47" s="2"/>
      <c r="G47" s="2"/>
      <c r="H47" s="2"/>
      <c r="I47" s="161">
        <f>SUM(I40:I45)</f>
        <v>935808</v>
      </c>
      <c r="J47" s="8"/>
      <c r="K47" s="2"/>
      <c r="L47" s="5" t="s">
        <v>60</v>
      </c>
      <c r="M47" s="2"/>
      <c r="N47" s="2"/>
      <c r="O47" s="2"/>
      <c r="P47" s="2"/>
      <c r="Q47" s="2"/>
      <c r="R47" s="8">
        <f>SUM(R40:R43)</f>
        <v>0</v>
      </c>
    </row>
    <row r="48" spans="1:18" hidden="1" x14ac:dyDescent="0.25">
      <c r="A48" s="2"/>
      <c r="B48" s="2"/>
      <c r="C48" s="5"/>
      <c r="D48" s="2"/>
      <c r="E48" s="2"/>
      <c r="F48" s="2"/>
      <c r="G48" s="2"/>
      <c r="H48" s="2"/>
      <c r="I48" s="8"/>
      <c r="J48" s="8"/>
      <c r="K48" s="2"/>
      <c r="L48" s="5"/>
      <c r="M48" s="2"/>
      <c r="N48" s="2"/>
      <c r="O48" s="2"/>
      <c r="P48" s="2"/>
      <c r="Q48" s="2"/>
      <c r="R48" s="8"/>
    </row>
    <row r="49" spans="1:18" hidden="1" x14ac:dyDescent="0.25">
      <c r="A49" s="2"/>
      <c r="B49" s="2"/>
      <c r="J49" s="8"/>
      <c r="K49" s="2"/>
      <c r="L49" s="5"/>
      <c r="M49" s="2"/>
      <c r="N49" s="2"/>
      <c r="O49" s="2"/>
      <c r="P49" s="2"/>
      <c r="Q49" s="2"/>
      <c r="R49" s="8"/>
    </row>
    <row r="50" spans="1:18" x14ac:dyDescent="0.25">
      <c r="A50" s="2"/>
      <c r="B50" s="2"/>
      <c r="J50" s="8"/>
      <c r="K50" s="2"/>
      <c r="L50" s="5"/>
      <c r="M50" s="2"/>
      <c r="N50" s="2"/>
      <c r="O50" s="2"/>
      <c r="P50" s="2"/>
      <c r="Q50" s="2"/>
      <c r="R50" s="8"/>
    </row>
    <row r="51" spans="1:18" x14ac:dyDescent="0.25">
      <c r="A51" s="2"/>
      <c r="B51" s="2"/>
      <c r="C51" s="5" t="s">
        <v>132</v>
      </c>
      <c r="D51" s="2"/>
      <c r="E51" s="2"/>
      <c r="F51" s="2"/>
      <c r="G51" s="2"/>
      <c r="H51" s="2"/>
      <c r="I51" s="8">
        <v>230600</v>
      </c>
      <c r="J51" s="8"/>
      <c r="K51" s="2"/>
      <c r="L51" s="2"/>
      <c r="M51" s="2"/>
      <c r="N51" s="2"/>
      <c r="O51" s="2"/>
      <c r="P51" s="2"/>
      <c r="Q51" s="2"/>
      <c r="R51" s="8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8"/>
      <c r="J52" s="8"/>
      <c r="K52" s="2"/>
      <c r="L52" s="2"/>
      <c r="M52" s="2"/>
      <c r="N52" s="2"/>
      <c r="O52" s="2"/>
      <c r="P52" s="2"/>
      <c r="Q52" s="2"/>
      <c r="R52" s="8"/>
    </row>
    <row r="53" spans="1:18" x14ac:dyDescent="0.25">
      <c r="A53" s="2"/>
      <c r="B53" s="5" t="s">
        <v>61</v>
      </c>
      <c r="C53" s="5" t="s">
        <v>62</v>
      </c>
      <c r="D53" s="2"/>
      <c r="E53" s="2"/>
      <c r="F53" s="2"/>
      <c r="G53" s="2"/>
      <c r="H53" s="2"/>
      <c r="I53" s="8">
        <f>I36-(I47+I51)</f>
        <v>6271.7036899998784</v>
      </c>
      <c r="J53" s="11"/>
      <c r="K53" s="5" t="s">
        <v>61</v>
      </c>
      <c r="L53" s="5" t="s">
        <v>62</v>
      </c>
      <c r="M53" s="2"/>
      <c r="N53" s="2"/>
      <c r="O53" s="2"/>
      <c r="P53" s="2"/>
      <c r="Q53" s="2"/>
      <c r="R53" s="8">
        <f>R36-R47</f>
        <v>0</v>
      </c>
    </row>
    <row r="54" spans="1:18" x14ac:dyDescent="0.25">
      <c r="A54" s="2"/>
      <c r="B54" s="5"/>
      <c r="C54" s="5"/>
      <c r="D54" s="2"/>
      <c r="E54" s="2"/>
      <c r="F54" s="2"/>
      <c r="G54" s="2"/>
      <c r="H54" s="2"/>
      <c r="I54" s="8"/>
      <c r="J54" s="11"/>
      <c r="K54" s="5"/>
      <c r="L54" s="5"/>
      <c r="M54" s="2"/>
      <c r="N54" s="2"/>
      <c r="O54" s="2"/>
      <c r="P54" s="2"/>
      <c r="Q54" s="2"/>
      <c r="R54" s="8"/>
    </row>
    <row r="55" spans="1:18" x14ac:dyDescent="0.25">
      <c r="A55" s="2"/>
      <c r="B55" s="5"/>
      <c r="C55" s="3" t="s">
        <v>63</v>
      </c>
      <c r="D55" s="3"/>
      <c r="E55" s="163" t="s">
        <v>151</v>
      </c>
      <c r="F55" s="3"/>
      <c r="G55" s="3"/>
      <c r="H55" s="3"/>
      <c r="I55" s="12">
        <f>I36/I47</f>
        <v>1.2531199815453595</v>
      </c>
      <c r="J55" s="11"/>
      <c r="K55" s="5"/>
      <c r="L55" s="5"/>
      <c r="M55" s="2"/>
      <c r="N55" s="2"/>
      <c r="O55" s="2"/>
      <c r="P55" s="2"/>
      <c r="Q55" s="2"/>
      <c r="R55" s="8"/>
    </row>
    <row r="56" spans="1:1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3"/>
      <c r="B57" s="3"/>
      <c r="I57" s="164"/>
      <c r="J57" s="12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3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2"/>
      <c r="B59" s="5"/>
      <c r="J59" s="11"/>
      <c r="K59" s="5"/>
      <c r="L59" s="5"/>
      <c r="M59" s="2"/>
      <c r="N59" s="2"/>
      <c r="O59" s="2"/>
      <c r="P59" s="2"/>
      <c r="Q59" s="2"/>
      <c r="R59" s="8"/>
    </row>
  </sheetData>
  <pageMargins left="0.7" right="0.7" top="0.75" bottom="0.75" header="0.3" footer="0.3"/>
  <pageSetup scale="85" firstPageNumber="17" orientation="portrait" useFirstPageNumber="1" r:id="rId1"/>
  <headerFooter>
    <oddHeader>&amp;R&amp;"-,Italic"REVISED 4/2020</oddHeader>
    <oddFooter>&amp;C&amp;P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topLeftCell="A37" workbookViewId="0">
      <selection activeCell="C53" sqref="C53"/>
    </sheetView>
  </sheetViews>
  <sheetFormatPr defaultRowHeight="15" x14ac:dyDescent="0.25"/>
  <cols>
    <col min="3" max="4" width="10.5703125" bestFit="1" customWidth="1"/>
  </cols>
  <sheetData>
    <row r="1" spans="1:5" x14ac:dyDescent="0.25">
      <c r="E1" s="14"/>
    </row>
    <row r="2" spans="1:5" x14ac:dyDescent="0.25">
      <c r="A2" s="4" t="s">
        <v>9</v>
      </c>
      <c r="B2" s="2"/>
      <c r="C2" s="2"/>
      <c r="D2" s="13"/>
      <c r="E2" s="15"/>
    </row>
    <row r="3" spans="1:5" x14ac:dyDescent="0.25">
      <c r="A3" s="5" t="s">
        <v>91</v>
      </c>
      <c r="B3" s="2"/>
      <c r="C3" s="13">
        <f>19.18+0.17</f>
        <v>19.350000000000001</v>
      </c>
      <c r="D3" s="13"/>
      <c r="E3" s="15"/>
    </row>
    <row r="4" spans="1:5" x14ac:dyDescent="0.25">
      <c r="A4" s="5" t="s">
        <v>92</v>
      </c>
      <c r="B4" s="2"/>
      <c r="C4" s="13">
        <v>9.07</v>
      </c>
      <c r="D4" s="13"/>
      <c r="E4" s="15"/>
    </row>
    <row r="5" spans="1:5" x14ac:dyDescent="0.25">
      <c r="A5" s="5" t="s">
        <v>93</v>
      </c>
      <c r="B5" s="2"/>
      <c r="C5" s="13">
        <v>8.15</v>
      </c>
      <c r="D5" s="13"/>
      <c r="E5" s="15"/>
    </row>
    <row r="6" spans="1:5" x14ac:dyDescent="0.25">
      <c r="A6" s="5" t="s">
        <v>94</v>
      </c>
      <c r="B6" s="2"/>
      <c r="C6" s="13">
        <v>7.23</v>
      </c>
      <c r="D6" s="13"/>
      <c r="E6" s="15"/>
    </row>
    <row r="7" spans="1:5" x14ac:dyDescent="0.25">
      <c r="A7" s="5" t="s">
        <v>95</v>
      </c>
      <c r="B7" s="2"/>
      <c r="C7" s="13">
        <v>6.34</v>
      </c>
      <c r="D7" s="13"/>
      <c r="E7" s="15"/>
    </row>
    <row r="9" spans="1:5" x14ac:dyDescent="0.25">
      <c r="A9" s="5" t="s">
        <v>64</v>
      </c>
    </row>
    <row r="10" spans="1:5" x14ac:dyDescent="0.25">
      <c r="A10" s="5" t="s">
        <v>96</v>
      </c>
      <c r="C10" s="22">
        <f>D10</f>
        <v>51.094999999999999</v>
      </c>
      <c r="D10" s="15">
        <f>C3+(3.5*C4)</f>
        <v>51.094999999999999</v>
      </c>
    </row>
    <row r="11" spans="1:5" x14ac:dyDescent="0.25">
      <c r="A11" s="5" t="s">
        <v>97</v>
      </c>
      <c r="C11" s="22">
        <f>C4</f>
        <v>9.07</v>
      </c>
    </row>
    <row r="12" spans="1:5" x14ac:dyDescent="0.25">
      <c r="A12" s="5" t="s">
        <v>93</v>
      </c>
      <c r="C12" s="22">
        <f>C5</f>
        <v>8.15</v>
      </c>
    </row>
    <row r="13" spans="1:5" x14ac:dyDescent="0.25">
      <c r="A13" s="5" t="s">
        <v>94</v>
      </c>
      <c r="C13" s="22">
        <f>C6</f>
        <v>7.23</v>
      </c>
    </row>
    <row r="14" spans="1:5" x14ac:dyDescent="0.25">
      <c r="A14" s="5" t="s">
        <v>95</v>
      </c>
      <c r="C14" s="22">
        <f>C7</f>
        <v>6.34</v>
      </c>
    </row>
    <row r="16" spans="1:5" x14ac:dyDescent="0.25">
      <c r="A16" s="5" t="s">
        <v>98</v>
      </c>
    </row>
    <row r="17" spans="1:4" x14ac:dyDescent="0.25">
      <c r="A17" s="5" t="s">
        <v>99</v>
      </c>
      <c r="C17" s="22">
        <f>D17</f>
        <v>96.444999999999993</v>
      </c>
      <c r="D17" s="15">
        <f>C3+(8.5*C4)</f>
        <v>96.444999999999993</v>
      </c>
    </row>
    <row r="18" spans="1:4" x14ac:dyDescent="0.25">
      <c r="A18" s="5" t="s">
        <v>93</v>
      </c>
      <c r="C18" s="22">
        <f>C5</f>
        <v>8.15</v>
      </c>
    </row>
    <row r="19" spans="1:4" x14ac:dyDescent="0.25">
      <c r="A19" s="5" t="s">
        <v>94</v>
      </c>
      <c r="C19" s="22">
        <f>C6</f>
        <v>7.23</v>
      </c>
    </row>
    <row r="20" spans="1:4" x14ac:dyDescent="0.25">
      <c r="A20" s="5" t="s">
        <v>95</v>
      </c>
      <c r="C20" s="22">
        <f>C7</f>
        <v>6.34</v>
      </c>
    </row>
    <row r="22" spans="1:4" x14ac:dyDescent="0.25">
      <c r="A22" s="5" t="s">
        <v>100</v>
      </c>
    </row>
    <row r="23" spans="1:4" x14ac:dyDescent="0.25">
      <c r="A23" s="5" t="s">
        <v>101</v>
      </c>
      <c r="C23" s="22">
        <f>D23</f>
        <v>145.345</v>
      </c>
      <c r="D23" s="15">
        <f>C3+(8.5*C4)+(6*C5)</f>
        <v>145.345</v>
      </c>
    </row>
    <row r="24" spans="1:4" x14ac:dyDescent="0.25">
      <c r="A24" s="5" t="s">
        <v>102</v>
      </c>
      <c r="C24" s="22">
        <f>C5</f>
        <v>8.15</v>
      </c>
    </row>
    <row r="25" spans="1:4" x14ac:dyDescent="0.25">
      <c r="A25" s="5" t="s">
        <v>94</v>
      </c>
      <c r="C25" s="22">
        <f>C6</f>
        <v>7.23</v>
      </c>
    </row>
    <row r="26" spans="1:4" x14ac:dyDescent="0.25">
      <c r="A26" s="5" t="s">
        <v>95</v>
      </c>
      <c r="C26" s="22">
        <f>C7</f>
        <v>6.34</v>
      </c>
    </row>
    <row r="28" spans="1:4" x14ac:dyDescent="0.25">
      <c r="A28" s="5" t="s">
        <v>103</v>
      </c>
    </row>
    <row r="29" spans="1:4" x14ac:dyDescent="0.25">
      <c r="A29" s="5" t="s">
        <v>104</v>
      </c>
      <c r="C29" s="22">
        <f>D29</f>
        <v>259.44499999999999</v>
      </c>
      <c r="D29" s="15">
        <f>C3+(8.5*C4)+(20*C5)</f>
        <v>259.44499999999999</v>
      </c>
    </row>
    <row r="30" spans="1:4" x14ac:dyDescent="0.25">
      <c r="A30" s="5" t="s">
        <v>105</v>
      </c>
      <c r="C30" s="22">
        <f>C5</f>
        <v>8.15</v>
      </c>
    </row>
    <row r="31" spans="1:4" x14ac:dyDescent="0.25">
      <c r="A31" s="5" t="s">
        <v>94</v>
      </c>
      <c r="C31" s="22">
        <f>C6</f>
        <v>7.23</v>
      </c>
    </row>
    <row r="32" spans="1:4" x14ac:dyDescent="0.25">
      <c r="A32" s="5" t="s">
        <v>95</v>
      </c>
      <c r="C32" s="22">
        <f>C7</f>
        <v>6.34</v>
      </c>
    </row>
    <row r="34" spans="1:4" x14ac:dyDescent="0.25">
      <c r="A34" s="5" t="s">
        <v>106</v>
      </c>
    </row>
    <row r="35" spans="1:4" x14ac:dyDescent="0.25">
      <c r="A35" s="5" t="s">
        <v>107</v>
      </c>
      <c r="C35" s="22">
        <f>D35</f>
        <v>422.44499999999999</v>
      </c>
      <c r="D35" s="15">
        <f>C3+(8.5*C4)+(40*C5)</f>
        <v>422.44499999999999</v>
      </c>
    </row>
    <row r="36" spans="1:4" x14ac:dyDescent="0.25">
      <c r="A36" s="5" t="s">
        <v>94</v>
      </c>
      <c r="C36" s="22">
        <f>C6</f>
        <v>7.23</v>
      </c>
    </row>
    <row r="37" spans="1:4" x14ac:dyDescent="0.25">
      <c r="A37" s="5" t="s">
        <v>95</v>
      </c>
      <c r="C37" s="22">
        <f>C7</f>
        <v>6.34</v>
      </c>
    </row>
    <row r="39" spans="1:4" x14ac:dyDescent="0.25">
      <c r="A39" s="165" t="s">
        <v>152</v>
      </c>
    </row>
    <row r="40" spans="1:4" x14ac:dyDescent="0.25">
      <c r="A40" s="5" t="s">
        <v>153</v>
      </c>
      <c r="C40" s="15">
        <f>D40</f>
        <v>783.94499999999994</v>
      </c>
      <c r="D40" s="15">
        <f>C3+(8.5*C4)+(40*C5)+(50*C6)</f>
        <v>783.94499999999994</v>
      </c>
    </row>
    <row r="41" spans="1:4" x14ac:dyDescent="0.25">
      <c r="A41" s="5" t="s">
        <v>154</v>
      </c>
      <c r="C41" s="15">
        <f>C6</f>
        <v>7.23</v>
      </c>
    </row>
    <row r="42" spans="1:4" x14ac:dyDescent="0.25">
      <c r="A42" s="5" t="s">
        <v>95</v>
      </c>
      <c r="C42" s="15">
        <f>C7</f>
        <v>6.34</v>
      </c>
    </row>
    <row r="44" spans="1:4" x14ac:dyDescent="0.25">
      <c r="A44" s="165" t="s">
        <v>155</v>
      </c>
    </row>
    <row r="45" spans="1:4" x14ac:dyDescent="0.25">
      <c r="A45" s="165" t="s">
        <v>156</v>
      </c>
      <c r="C45" s="15">
        <f>D45</f>
        <v>1145.4449999999999</v>
      </c>
      <c r="D45" s="15">
        <f>C3+(8.5*C4)+(40*C5)+(100*C6)</f>
        <v>1145.4449999999999</v>
      </c>
    </row>
    <row r="46" spans="1:4" x14ac:dyDescent="0.25">
      <c r="A46" s="165" t="s">
        <v>95</v>
      </c>
      <c r="C46" s="15">
        <f>C42</f>
        <v>6.34</v>
      </c>
    </row>
    <row r="48" spans="1:4" x14ac:dyDescent="0.25">
      <c r="A48" s="165" t="s">
        <v>157</v>
      </c>
    </row>
    <row r="49" spans="1:4" x14ac:dyDescent="0.25">
      <c r="A49" s="165" t="s">
        <v>158</v>
      </c>
      <c r="C49" s="15">
        <f>D49</f>
        <v>1779.4449999999999</v>
      </c>
      <c r="D49" s="15">
        <f>C3+(8.5*C4)+(40*C5)+(100*C6)+(100*C7)</f>
        <v>1779.4449999999999</v>
      </c>
    </row>
    <row r="50" spans="1:4" x14ac:dyDescent="0.25">
      <c r="A50" s="165" t="s">
        <v>159</v>
      </c>
      <c r="C50" s="15">
        <f>C46</f>
        <v>6.34</v>
      </c>
    </row>
    <row r="52" spans="1:4" x14ac:dyDescent="0.25">
      <c r="A52" s="5" t="s">
        <v>109</v>
      </c>
      <c r="C52" s="129">
        <v>2.7709999999999999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A82A-101E-40FA-A507-AECFD6AC9847}">
  <dimension ref="A1:AJ93"/>
  <sheetViews>
    <sheetView topLeftCell="S1" workbookViewId="0">
      <selection activeCell="Y3" sqref="Y3"/>
    </sheetView>
  </sheetViews>
  <sheetFormatPr defaultRowHeight="15" x14ac:dyDescent="0.25"/>
  <cols>
    <col min="2" max="2" width="11.5703125" hidden="1" customWidth="1"/>
    <col min="3" max="3" width="0" hidden="1" customWidth="1"/>
    <col min="4" max="4" width="14.28515625" hidden="1" customWidth="1"/>
    <col min="5" max="5" width="14.28515625" bestFit="1" customWidth="1"/>
    <col min="9" max="9" width="14.28515625" bestFit="1" customWidth="1"/>
    <col min="19" max="19" width="13.85546875" customWidth="1"/>
  </cols>
  <sheetData>
    <row r="1" spans="1:36" x14ac:dyDescent="0.25">
      <c r="A1">
        <v>55</v>
      </c>
      <c r="B1">
        <v>20946</v>
      </c>
      <c r="D1">
        <f>A1*B1</f>
        <v>1152030</v>
      </c>
      <c r="E1">
        <v>1152040</v>
      </c>
      <c r="I1">
        <v>245505618</v>
      </c>
      <c r="K1">
        <v>4</v>
      </c>
      <c r="L1">
        <v>83430</v>
      </c>
      <c r="N1">
        <v>5</v>
      </c>
      <c r="O1">
        <v>104750</v>
      </c>
      <c r="Q1">
        <f>Users!I29</f>
        <v>1202544.3333333333</v>
      </c>
      <c r="T1" t="s">
        <v>114</v>
      </c>
      <c r="V1" t="s">
        <v>114</v>
      </c>
      <c r="AA1" t="s">
        <v>122</v>
      </c>
      <c r="AI1">
        <f>101620+763550</f>
        <v>865170</v>
      </c>
      <c r="AJ1">
        <f>267+2060</f>
        <v>2327</v>
      </c>
    </row>
    <row r="2" spans="1:36" x14ac:dyDescent="0.25">
      <c r="A2">
        <v>30</v>
      </c>
      <c r="B2">
        <v>22054</v>
      </c>
      <c r="D2">
        <f t="shared" ref="D2:D65" si="0">A2*B2</f>
        <v>661620</v>
      </c>
      <c r="E2">
        <v>661630</v>
      </c>
      <c r="I2" s="16">
        <f>I1/12</f>
        <v>20458801.5</v>
      </c>
      <c r="K2">
        <v>1</v>
      </c>
      <c r="L2">
        <v>21790</v>
      </c>
      <c r="N2">
        <v>6</v>
      </c>
      <c r="O2">
        <v>131980</v>
      </c>
      <c r="Q2">
        <f>(4768800+10014020)/12</f>
        <v>1231901.6666666667</v>
      </c>
      <c r="T2" t="s">
        <v>115</v>
      </c>
      <c r="V2" t="s">
        <v>116</v>
      </c>
      <c r="AA2" t="s">
        <v>115</v>
      </c>
      <c r="AC2" t="s">
        <v>116</v>
      </c>
      <c r="AI2">
        <v>726120</v>
      </c>
      <c r="AJ2">
        <f>65+304</f>
        <v>369</v>
      </c>
    </row>
    <row r="3" spans="1:36" x14ac:dyDescent="0.25">
      <c r="A3">
        <v>38</v>
      </c>
      <c r="B3">
        <v>22914</v>
      </c>
      <c r="D3">
        <f t="shared" si="0"/>
        <v>870732</v>
      </c>
      <c r="E3">
        <v>870740</v>
      </c>
      <c r="K3">
        <v>1</v>
      </c>
      <c r="L3">
        <v>23660</v>
      </c>
      <c r="N3">
        <v>4</v>
      </c>
      <c r="O3">
        <v>92010</v>
      </c>
      <c r="S3" t="s">
        <v>117</v>
      </c>
      <c r="T3">
        <v>23030</v>
      </c>
      <c r="U3">
        <v>11</v>
      </c>
      <c r="V3">
        <v>185250</v>
      </c>
      <c r="W3">
        <v>112</v>
      </c>
      <c r="X3">
        <f>T3+V3</f>
        <v>208280</v>
      </c>
      <c r="Y3">
        <f>X3/(U3+W3)</f>
        <v>1693.3333333333333</v>
      </c>
      <c r="Z3">
        <v>1500</v>
      </c>
      <c r="AA3">
        <v>101620</v>
      </c>
      <c r="AB3">
        <v>267</v>
      </c>
      <c r="AC3">
        <v>763550</v>
      </c>
      <c r="AD3">
        <v>2060</v>
      </c>
      <c r="AF3">
        <f t="shared" ref="AF3:AG7" si="1">AA3+AC3</f>
        <v>865170</v>
      </c>
      <c r="AG3">
        <f t="shared" si="1"/>
        <v>2327</v>
      </c>
      <c r="AI3">
        <v>842400</v>
      </c>
      <c r="AJ3">
        <f>66+218</f>
        <v>284</v>
      </c>
    </row>
    <row r="4" spans="1:36" x14ac:dyDescent="0.25">
      <c r="A4">
        <v>32</v>
      </c>
      <c r="B4">
        <v>23963</v>
      </c>
      <c r="D4">
        <f t="shared" si="0"/>
        <v>766816</v>
      </c>
      <c r="E4">
        <v>766830</v>
      </c>
      <c r="I4">
        <f>Users!F29</f>
        <v>20626960</v>
      </c>
      <c r="K4">
        <v>4</v>
      </c>
      <c r="L4">
        <v>100750</v>
      </c>
      <c r="N4">
        <v>4</v>
      </c>
      <c r="O4">
        <v>96270</v>
      </c>
      <c r="Q4" s="21">
        <f>(Q2-Q1)/Q2</f>
        <v>2.3830906417043694E-2</v>
      </c>
      <c r="R4" s="21"/>
      <c r="S4" t="s">
        <v>118</v>
      </c>
      <c r="T4">
        <f>27110+14850+25330+18800</f>
        <v>86090</v>
      </c>
      <c r="U4">
        <f>5+2+3+2</f>
        <v>12</v>
      </c>
      <c r="V4">
        <f>62500+76550+90820+76910+95510</f>
        <v>402290</v>
      </c>
      <c r="W4">
        <f>11+12+12+9+10</f>
        <v>54</v>
      </c>
      <c r="X4">
        <f>T4+V4</f>
        <v>488380</v>
      </c>
      <c r="Y4">
        <f>X4/(U4+W4)</f>
        <v>7399.69696969697</v>
      </c>
      <c r="Z4">
        <v>8500</v>
      </c>
      <c r="AA4">
        <f>130840+191820+140650+139860+142000+133910+33120+73170+19600</f>
        <v>1004970</v>
      </c>
      <c r="AB4">
        <f>65+66+35+28+24+19+4+8+2</f>
        <v>251</v>
      </c>
      <c r="AC4">
        <f>595280+650580+625940+586800+574410+426210+454620+384470+289050</f>
        <v>4587360</v>
      </c>
      <c r="AD4">
        <f>304+218+157+118+96+61+57+43+29</f>
        <v>1083</v>
      </c>
      <c r="AF4">
        <f t="shared" si="1"/>
        <v>5592330</v>
      </c>
      <c r="AG4">
        <f t="shared" si="1"/>
        <v>1334</v>
      </c>
      <c r="AI4">
        <v>766590</v>
      </c>
      <c r="AJ4">
        <f>157+35</f>
        <v>192</v>
      </c>
    </row>
    <row r="5" spans="1:36" x14ac:dyDescent="0.25">
      <c r="A5">
        <v>24</v>
      </c>
      <c r="B5">
        <v>24929</v>
      </c>
      <c r="D5">
        <f t="shared" si="0"/>
        <v>598296</v>
      </c>
      <c r="E5">
        <v>598310</v>
      </c>
      <c r="K5">
        <v>3</v>
      </c>
      <c r="L5">
        <v>78010</v>
      </c>
      <c r="N5">
        <v>7</v>
      </c>
      <c r="O5">
        <v>175410</v>
      </c>
      <c r="S5" t="s">
        <v>119</v>
      </c>
      <c r="T5">
        <f>14000+15750+16950+19880+22560+48840+56950+32750+66910+34120+36390+127030+44960</f>
        <v>537090</v>
      </c>
      <c r="U5">
        <f>1+1+1+1+1+2+2+1+2+1+1+3+1</f>
        <v>18</v>
      </c>
      <c r="V5">
        <f>63170+34200+37610+95470+131940+15560+65550+70540+92870+38850+20430+67430+25650+40560+89050+45320+47190</f>
        <v>981390</v>
      </c>
      <c r="W5">
        <f>6+3+3+7+9+1+4+4+5+2+1+3+1+1+2+1+1</f>
        <v>54</v>
      </c>
      <c r="X5">
        <f>T5+V5</f>
        <v>1518480</v>
      </c>
      <c r="Y5">
        <f>X5/(U5+W5)</f>
        <v>21090</v>
      </c>
      <c r="Z5">
        <v>40000</v>
      </c>
      <c r="AA5">
        <f>21970+23920+65660+56400+29510+31970+33510+36510+56370+81070+83430+21790+23660+100750+78010+108450+83780+86240+30420+125210+64050+66130+105280+77310+40170</f>
        <v>1531570</v>
      </c>
      <c r="AB5">
        <f>2+2+5+4+2+2+2+2+3+4+4+1+1+4+3+4+3+3+1+4+2+2+3+2+1</f>
        <v>66</v>
      </c>
      <c r="AC5">
        <f>254010+261380+195550+239330+179360+129680+68800+144300+76330+220730+104750+131980+92010+96270+175410+103830+135220+168150+58350+60010+63110+33600+69840+72470+36920+113110+38980</f>
        <v>3323480</v>
      </c>
      <c r="AD5">
        <f>23+22+15+17+12+8+4+8+4+11+5+6+4+4+7+4+5+6+2+2+2+1+2+2+1+3+1</f>
        <v>181</v>
      </c>
      <c r="AF5">
        <f t="shared" si="1"/>
        <v>4855050</v>
      </c>
      <c r="AG5">
        <f t="shared" si="1"/>
        <v>247</v>
      </c>
      <c r="AI5">
        <v>726660</v>
      </c>
      <c r="AJ5">
        <v>146</v>
      </c>
    </row>
    <row r="6" spans="1:36" x14ac:dyDescent="0.25">
      <c r="A6">
        <v>31</v>
      </c>
      <c r="B6">
        <v>26020</v>
      </c>
      <c r="D6">
        <f t="shared" si="0"/>
        <v>806620</v>
      </c>
      <c r="E6">
        <v>806620</v>
      </c>
      <c r="I6" s="19">
        <f>I2-I4</f>
        <v>-168158.5</v>
      </c>
      <c r="K6">
        <v>4</v>
      </c>
      <c r="L6">
        <v>108450</v>
      </c>
      <c r="N6">
        <v>4</v>
      </c>
      <c r="O6">
        <v>103830</v>
      </c>
      <c r="S6" t="s">
        <v>120</v>
      </c>
      <c r="T6">
        <f>52030+54180+55000+116980+60440+63240+64150+67530+69650+84490+85090+95660+101380+102380+104150+113310+115040+119690+125590+129340+131870+138970+142390</f>
        <v>2192550</v>
      </c>
      <c r="U6">
        <f>1+1+1+2+1+1+1+1+1+1+1+1+1+1+1+1+1+1+5</f>
        <v>24</v>
      </c>
      <c r="V6">
        <f>54030+115480+60020+122860+63330+72310</f>
        <v>488030</v>
      </c>
      <c r="W6">
        <f>1+2+1+2+1+1</f>
        <v>8</v>
      </c>
      <c r="X6">
        <f>T6+V6</f>
        <v>2680580</v>
      </c>
      <c r="Y6">
        <f>X6/(U6+W6)</f>
        <v>83768.125</v>
      </c>
      <c r="Z6">
        <v>100000</v>
      </c>
      <c r="AA6">
        <f>41470+41940+86010+87770+46590+47570+48970+49980+69560+73530+75450+153600+78990+81530+83490+87910+88830+90030+91250+91840+101680+107010+129190+131750+144700</f>
        <v>2130640</v>
      </c>
      <c r="AB6">
        <v>28</v>
      </c>
      <c r="AC6">
        <f>42620+45620+47130+98280+50230+50860+53180+54310+109600+59200+85180+100430+124570</f>
        <v>921210</v>
      </c>
      <c r="AD6">
        <v>15</v>
      </c>
      <c r="AF6">
        <f t="shared" si="1"/>
        <v>3051850</v>
      </c>
      <c r="AG6">
        <f t="shared" si="1"/>
        <v>43</v>
      </c>
      <c r="AI6">
        <v>716410</v>
      </c>
      <c r="AJ6">
        <v>120</v>
      </c>
    </row>
    <row r="7" spans="1:36" x14ac:dyDescent="0.25">
      <c r="A7">
        <v>18</v>
      </c>
      <c r="B7">
        <v>27011</v>
      </c>
      <c r="D7">
        <f t="shared" si="0"/>
        <v>486198</v>
      </c>
      <c r="E7">
        <v>486210</v>
      </c>
      <c r="K7">
        <v>3</v>
      </c>
      <c r="L7">
        <v>83780</v>
      </c>
      <c r="N7">
        <v>5</v>
      </c>
      <c r="O7">
        <v>135220</v>
      </c>
      <c r="S7" t="s">
        <v>121</v>
      </c>
      <c r="T7">
        <f>159920+187410+195850+210260+216700+222580+234870+263760</f>
        <v>1691350</v>
      </c>
      <c r="U7">
        <v>8</v>
      </c>
      <c r="X7">
        <f>T7+V7</f>
        <v>1691350</v>
      </c>
      <c r="Y7">
        <f>X7/(U7+W7)</f>
        <v>211418.75</v>
      </c>
      <c r="Z7">
        <v>150000</v>
      </c>
      <c r="AC7">
        <f>162270+256150</f>
        <v>418420</v>
      </c>
      <c r="AD7">
        <v>2</v>
      </c>
      <c r="AF7">
        <f t="shared" si="1"/>
        <v>418420</v>
      </c>
      <c r="AG7">
        <f t="shared" si="1"/>
        <v>2</v>
      </c>
      <c r="AI7">
        <v>560120</v>
      </c>
      <c r="AJ7">
        <v>80</v>
      </c>
    </row>
    <row r="8" spans="1:36" x14ac:dyDescent="0.25">
      <c r="A8">
        <v>17</v>
      </c>
      <c r="B8">
        <v>27931</v>
      </c>
      <c r="D8">
        <f t="shared" si="0"/>
        <v>474827</v>
      </c>
      <c r="E8">
        <v>474830</v>
      </c>
      <c r="I8" s="20">
        <f>I6/I4</f>
        <v>-8.1523646722541764E-3</v>
      </c>
      <c r="K8">
        <v>3</v>
      </c>
      <c r="L8">
        <v>86240</v>
      </c>
      <c r="N8">
        <v>6</v>
      </c>
      <c r="O8">
        <v>168150</v>
      </c>
      <c r="AI8">
        <v>487740</v>
      </c>
      <c r="AJ8">
        <v>61</v>
      </c>
    </row>
    <row r="9" spans="1:36" x14ac:dyDescent="0.25">
      <c r="A9">
        <v>12</v>
      </c>
      <c r="B9">
        <v>29034</v>
      </c>
      <c r="D9">
        <f t="shared" si="0"/>
        <v>348408</v>
      </c>
      <c r="E9">
        <v>348410</v>
      </c>
      <c r="K9">
        <v>1</v>
      </c>
      <c r="L9">
        <v>30420</v>
      </c>
      <c r="N9">
        <v>2</v>
      </c>
      <c r="O9">
        <v>58350</v>
      </c>
      <c r="T9">
        <f>SUM(T3:T7)</f>
        <v>4530110</v>
      </c>
      <c r="U9">
        <f>SUM(U3:U7)</f>
        <v>73</v>
      </c>
      <c r="V9">
        <f>SUM(V3:V6)</f>
        <v>2056960</v>
      </c>
      <c r="W9">
        <f>SUM(W3:W6)</f>
        <v>228</v>
      </c>
      <c r="AA9">
        <f>SUM(AA3:AA7)</f>
        <v>4768800</v>
      </c>
      <c r="AB9">
        <f>SUM(AB3:AB7)</f>
        <v>612</v>
      </c>
      <c r="AC9">
        <f>SUM(AC3:AC7)</f>
        <v>10014020</v>
      </c>
      <c r="AD9">
        <f>SUM(AD3:AD7)</f>
        <v>3341</v>
      </c>
      <c r="AF9">
        <f>SUM(AF3:AF7)</f>
        <v>14782820</v>
      </c>
      <c r="AG9">
        <f>SUM(AG3:AG7)</f>
        <v>3953</v>
      </c>
      <c r="AI9">
        <v>457640</v>
      </c>
      <c r="AJ9">
        <v>51</v>
      </c>
    </row>
    <row r="10" spans="1:36" x14ac:dyDescent="0.25">
      <c r="A10">
        <v>10</v>
      </c>
      <c r="B10">
        <v>29869</v>
      </c>
      <c r="D10">
        <f t="shared" si="0"/>
        <v>298690</v>
      </c>
      <c r="E10">
        <v>298690</v>
      </c>
      <c r="K10">
        <v>4</v>
      </c>
      <c r="L10">
        <v>125210</v>
      </c>
      <c r="N10">
        <v>2</v>
      </c>
      <c r="O10">
        <v>60010</v>
      </c>
      <c r="T10">
        <f>T9/12</f>
        <v>377509.16666666669</v>
      </c>
      <c r="U10">
        <f>U9/12</f>
        <v>6.083333333333333</v>
      </c>
      <c r="V10">
        <f>V9/12</f>
        <v>171413.33333333334</v>
      </c>
      <c r="W10">
        <f>W9/12</f>
        <v>19</v>
      </c>
      <c r="AF10">
        <f>AF9/12</f>
        <v>1231901.6666666667</v>
      </c>
      <c r="AG10">
        <f>AG9/12</f>
        <v>329.41666666666669</v>
      </c>
      <c r="AI10">
        <v>308650</v>
      </c>
      <c r="AJ10">
        <v>31</v>
      </c>
    </row>
    <row r="11" spans="1:36" x14ac:dyDescent="0.25">
      <c r="A11">
        <v>14</v>
      </c>
      <c r="B11">
        <v>30937</v>
      </c>
      <c r="D11">
        <f t="shared" si="0"/>
        <v>433118</v>
      </c>
      <c r="E11">
        <v>433130</v>
      </c>
      <c r="K11">
        <v>2</v>
      </c>
      <c r="L11">
        <v>64050</v>
      </c>
      <c r="N11">
        <v>2</v>
      </c>
      <c r="O11">
        <v>63110</v>
      </c>
      <c r="T11">
        <f>T10/U10</f>
        <v>62056.301369863017</v>
      </c>
      <c r="V11">
        <f>V10/W10</f>
        <v>9021.7543859649122</v>
      </c>
      <c r="AF11">
        <f>AF10/AG10</f>
        <v>3739.6458386035924</v>
      </c>
      <c r="AI11">
        <v>275980</v>
      </c>
      <c r="AJ11">
        <v>25</v>
      </c>
    </row>
    <row r="12" spans="1:36" x14ac:dyDescent="0.25">
      <c r="A12">
        <v>12</v>
      </c>
      <c r="B12">
        <v>31911</v>
      </c>
      <c r="D12">
        <f t="shared" si="0"/>
        <v>382932</v>
      </c>
      <c r="E12">
        <v>382940</v>
      </c>
      <c r="K12">
        <v>2</v>
      </c>
      <c r="L12">
        <v>66130</v>
      </c>
      <c r="N12">
        <v>1</v>
      </c>
      <c r="O12">
        <v>3360</v>
      </c>
      <c r="AI12">
        <v>285300</v>
      </c>
      <c r="AJ12">
        <v>24</v>
      </c>
    </row>
    <row r="13" spans="1:36" x14ac:dyDescent="0.25">
      <c r="A13">
        <v>10</v>
      </c>
      <c r="B13">
        <v>32907</v>
      </c>
      <c r="D13">
        <f t="shared" si="0"/>
        <v>329070</v>
      </c>
      <c r="E13">
        <v>329070</v>
      </c>
      <c r="K13">
        <v>3</v>
      </c>
      <c r="L13">
        <v>105280</v>
      </c>
      <c r="N13">
        <v>2</v>
      </c>
      <c r="O13">
        <v>69840</v>
      </c>
      <c r="AI13">
        <v>261210</v>
      </c>
      <c r="AJ13">
        <v>20</v>
      </c>
    </row>
    <row r="14" spans="1:36" x14ac:dyDescent="0.25">
      <c r="A14">
        <v>11</v>
      </c>
      <c r="B14">
        <v>34011</v>
      </c>
      <c r="D14">
        <f t="shared" si="0"/>
        <v>374121</v>
      </c>
      <c r="E14">
        <v>374130</v>
      </c>
      <c r="K14">
        <v>2</v>
      </c>
      <c r="L14">
        <v>77310</v>
      </c>
      <c r="N14">
        <v>2</v>
      </c>
      <c r="O14">
        <v>72470</v>
      </c>
      <c r="T14">
        <f>T9+V9</f>
        <v>6587070</v>
      </c>
      <c r="U14">
        <f>U9+W9</f>
        <v>301</v>
      </c>
      <c r="AI14">
        <v>295730</v>
      </c>
      <c r="AJ14">
        <v>21</v>
      </c>
    </row>
    <row r="15" spans="1:36" x14ac:dyDescent="0.25">
      <c r="A15">
        <v>11</v>
      </c>
      <c r="B15">
        <v>34942</v>
      </c>
      <c r="D15">
        <f t="shared" si="0"/>
        <v>384362</v>
      </c>
      <c r="E15">
        <v>384370</v>
      </c>
      <c r="K15">
        <v>1</v>
      </c>
      <c r="L15">
        <v>40170</v>
      </c>
      <c r="N15">
        <v>1</v>
      </c>
      <c r="O15">
        <v>36920</v>
      </c>
      <c r="T15">
        <f>T14/12</f>
        <v>548922.5</v>
      </c>
      <c r="U15">
        <f>U14/12</f>
        <v>25.083333333333332</v>
      </c>
      <c r="AI15">
        <v>208870</v>
      </c>
      <c r="AJ15">
        <v>14</v>
      </c>
    </row>
    <row r="16" spans="1:36" x14ac:dyDescent="0.25">
      <c r="A16">
        <v>5</v>
      </c>
      <c r="B16">
        <v>35964</v>
      </c>
      <c r="D16">
        <f t="shared" si="0"/>
        <v>179820</v>
      </c>
      <c r="E16">
        <v>179820</v>
      </c>
      <c r="K16">
        <v>1</v>
      </c>
      <c r="L16">
        <v>41470</v>
      </c>
      <c r="N16">
        <v>3</v>
      </c>
      <c r="O16">
        <v>113110</v>
      </c>
      <c r="T16">
        <f>T15/U15</f>
        <v>21883.953488372095</v>
      </c>
      <c r="AI16">
        <v>161650</v>
      </c>
      <c r="AJ16">
        <v>10</v>
      </c>
    </row>
    <row r="17" spans="1:36" x14ac:dyDescent="0.25">
      <c r="A17">
        <v>7</v>
      </c>
      <c r="B17">
        <v>37108</v>
      </c>
      <c r="D17">
        <f t="shared" si="0"/>
        <v>259756</v>
      </c>
      <c r="E17">
        <v>259760</v>
      </c>
      <c r="K17">
        <v>1</v>
      </c>
      <c r="L17">
        <v>41940</v>
      </c>
      <c r="N17">
        <v>1</v>
      </c>
      <c r="O17">
        <v>38980</v>
      </c>
      <c r="AI17">
        <v>102310</v>
      </c>
      <c r="AJ17">
        <v>6</v>
      </c>
    </row>
    <row r="18" spans="1:36" x14ac:dyDescent="0.25">
      <c r="A18">
        <v>4</v>
      </c>
      <c r="B18">
        <v>37912</v>
      </c>
      <c r="D18">
        <f t="shared" si="0"/>
        <v>151648</v>
      </c>
      <c r="E18">
        <v>151650</v>
      </c>
      <c r="K18">
        <v>2</v>
      </c>
      <c r="L18">
        <v>86010</v>
      </c>
      <c r="N18">
        <v>1</v>
      </c>
      <c r="O18">
        <v>42620</v>
      </c>
      <c r="AI18">
        <v>180810</v>
      </c>
      <c r="AJ18">
        <v>10</v>
      </c>
    </row>
    <row r="19" spans="1:36" x14ac:dyDescent="0.25">
      <c r="A19">
        <v>5</v>
      </c>
      <c r="B19">
        <v>38974</v>
      </c>
      <c r="D19">
        <f t="shared" si="0"/>
        <v>194870</v>
      </c>
      <c r="E19">
        <v>194870</v>
      </c>
      <c r="K19">
        <v>2</v>
      </c>
      <c r="L19">
        <v>87770</v>
      </c>
      <c r="N19">
        <v>1</v>
      </c>
      <c r="O19">
        <v>45620</v>
      </c>
      <c r="AI19">
        <v>132700</v>
      </c>
      <c r="AJ19">
        <v>7</v>
      </c>
    </row>
    <row r="20" spans="1:36" x14ac:dyDescent="0.25">
      <c r="A20">
        <v>9</v>
      </c>
      <c r="B20">
        <v>40058</v>
      </c>
      <c r="D20">
        <f t="shared" si="0"/>
        <v>360522</v>
      </c>
      <c r="E20">
        <v>360530</v>
      </c>
      <c r="K20">
        <v>1</v>
      </c>
      <c r="L20">
        <v>46590</v>
      </c>
      <c r="N20">
        <v>1</v>
      </c>
      <c r="O20">
        <v>47130</v>
      </c>
      <c r="AI20">
        <v>301800</v>
      </c>
      <c r="AJ20">
        <v>15</v>
      </c>
    </row>
    <row r="21" spans="1:36" x14ac:dyDescent="0.25">
      <c r="A21">
        <v>3</v>
      </c>
      <c r="B21">
        <v>41290</v>
      </c>
      <c r="D21">
        <f t="shared" si="0"/>
        <v>123870</v>
      </c>
      <c r="E21">
        <v>123870</v>
      </c>
      <c r="K21">
        <v>1</v>
      </c>
      <c r="L21">
        <v>47570</v>
      </c>
      <c r="N21">
        <v>2</v>
      </c>
      <c r="O21">
        <v>98280</v>
      </c>
    </row>
    <row r="22" spans="1:36" x14ac:dyDescent="0.25">
      <c r="A22">
        <v>3</v>
      </c>
      <c r="B22">
        <v>42060</v>
      </c>
      <c r="D22">
        <f t="shared" si="0"/>
        <v>126180</v>
      </c>
      <c r="E22">
        <v>126180</v>
      </c>
      <c r="K22">
        <v>1</v>
      </c>
      <c r="L22">
        <v>48970</v>
      </c>
      <c r="N22">
        <v>1</v>
      </c>
      <c r="O22">
        <v>50230</v>
      </c>
      <c r="AI22">
        <f>SUM(AI1:AI21)</f>
        <v>8663860</v>
      </c>
      <c r="AJ22">
        <f>SUM(AJ1:AJ21)</f>
        <v>3813</v>
      </c>
    </row>
    <row r="23" spans="1:36" x14ac:dyDescent="0.25">
      <c r="A23">
        <v>5</v>
      </c>
      <c r="B23">
        <v>43018</v>
      </c>
      <c r="D23">
        <f t="shared" si="0"/>
        <v>215090</v>
      </c>
      <c r="E23">
        <v>215090</v>
      </c>
      <c r="K23">
        <v>1</v>
      </c>
      <c r="L23">
        <v>49980</v>
      </c>
      <c r="N23">
        <v>1</v>
      </c>
      <c r="O23">
        <v>50860</v>
      </c>
      <c r="AI23">
        <f>AF9-AI22</f>
        <v>6118960</v>
      </c>
      <c r="AJ23">
        <f>AG9-AJ22</f>
        <v>140</v>
      </c>
    </row>
    <row r="24" spans="1:36" x14ac:dyDescent="0.25">
      <c r="A24">
        <v>6</v>
      </c>
      <c r="B24">
        <v>44046</v>
      </c>
      <c r="D24">
        <f t="shared" si="0"/>
        <v>264276</v>
      </c>
      <c r="E24">
        <v>264280</v>
      </c>
      <c r="K24">
        <v>1</v>
      </c>
      <c r="L24">
        <v>69560</v>
      </c>
      <c r="N24">
        <v>1</v>
      </c>
      <c r="O24">
        <v>53180</v>
      </c>
      <c r="AI24">
        <f>AI23/12</f>
        <v>509913.33333333331</v>
      </c>
      <c r="AJ24">
        <f>AJ23/12</f>
        <v>11.666666666666666</v>
      </c>
    </row>
    <row r="25" spans="1:36" x14ac:dyDescent="0.25">
      <c r="A25">
        <v>4</v>
      </c>
      <c r="B25">
        <v>45065</v>
      </c>
      <c r="D25">
        <f t="shared" si="0"/>
        <v>180260</v>
      </c>
      <c r="E25">
        <v>180260</v>
      </c>
      <c r="K25">
        <v>1</v>
      </c>
      <c r="L25">
        <v>73530</v>
      </c>
      <c r="N25">
        <v>1</v>
      </c>
      <c r="O25">
        <v>54310</v>
      </c>
      <c r="AI25">
        <f>AI24/AJ24</f>
        <v>43706.857142857145</v>
      </c>
    </row>
    <row r="26" spans="1:36" x14ac:dyDescent="0.25">
      <c r="A26">
        <v>3</v>
      </c>
      <c r="B26">
        <v>46146</v>
      </c>
      <c r="D26">
        <f t="shared" si="0"/>
        <v>138438</v>
      </c>
      <c r="E26">
        <v>138440</v>
      </c>
      <c r="K26">
        <v>1</v>
      </c>
      <c r="L26">
        <v>75450</v>
      </c>
      <c r="N26">
        <v>2</v>
      </c>
      <c r="O26">
        <v>109600</v>
      </c>
    </row>
    <row r="27" spans="1:36" x14ac:dyDescent="0.25">
      <c r="A27">
        <v>3</v>
      </c>
      <c r="B27">
        <v>47180</v>
      </c>
      <c r="D27">
        <f t="shared" si="0"/>
        <v>141540</v>
      </c>
      <c r="E27">
        <v>141540</v>
      </c>
      <c r="K27">
        <v>2</v>
      </c>
      <c r="L27">
        <v>153600</v>
      </c>
      <c r="N27">
        <v>1</v>
      </c>
      <c r="O27">
        <v>59200</v>
      </c>
    </row>
    <row r="28" spans="1:36" x14ac:dyDescent="0.25">
      <c r="A28">
        <v>7</v>
      </c>
      <c r="B28">
        <v>48041</v>
      </c>
      <c r="D28">
        <f t="shared" si="0"/>
        <v>336287</v>
      </c>
      <c r="E28">
        <v>336290</v>
      </c>
      <c r="K28">
        <v>1</v>
      </c>
      <c r="L28">
        <v>78990</v>
      </c>
      <c r="N28">
        <v>1</v>
      </c>
      <c r="O28">
        <v>85180</v>
      </c>
    </row>
    <row r="29" spans="1:36" x14ac:dyDescent="0.25">
      <c r="A29">
        <v>2</v>
      </c>
      <c r="B29">
        <v>48965</v>
      </c>
      <c r="D29">
        <f t="shared" si="0"/>
        <v>97930</v>
      </c>
      <c r="E29">
        <v>97930</v>
      </c>
      <c r="K29">
        <v>1</v>
      </c>
      <c r="L29">
        <v>81530</v>
      </c>
      <c r="N29">
        <v>1</v>
      </c>
      <c r="O29">
        <v>100430</v>
      </c>
    </row>
    <row r="30" spans="1:36" x14ac:dyDescent="0.25">
      <c r="A30">
        <v>1</v>
      </c>
      <c r="B30">
        <v>49910</v>
      </c>
      <c r="D30">
        <f t="shared" si="0"/>
        <v>49910</v>
      </c>
      <c r="E30">
        <v>49910</v>
      </c>
      <c r="K30">
        <v>1</v>
      </c>
      <c r="L30">
        <v>83490</v>
      </c>
      <c r="N30">
        <v>1</v>
      </c>
      <c r="O30">
        <v>124570</v>
      </c>
    </row>
    <row r="31" spans="1:36" x14ac:dyDescent="0.25">
      <c r="A31">
        <v>3</v>
      </c>
      <c r="B31">
        <v>51133</v>
      </c>
      <c r="D31">
        <f t="shared" si="0"/>
        <v>153399</v>
      </c>
      <c r="E31">
        <v>153400</v>
      </c>
      <c r="K31">
        <v>1</v>
      </c>
      <c r="L31">
        <v>87910</v>
      </c>
      <c r="N31">
        <v>1</v>
      </c>
      <c r="O31">
        <v>162270</v>
      </c>
    </row>
    <row r="32" spans="1:36" x14ac:dyDescent="0.25">
      <c r="A32">
        <v>2</v>
      </c>
      <c r="B32">
        <v>51605</v>
      </c>
      <c r="D32">
        <f t="shared" si="0"/>
        <v>103210</v>
      </c>
      <c r="E32">
        <v>103210</v>
      </c>
      <c r="K32">
        <v>1</v>
      </c>
      <c r="L32">
        <v>88830</v>
      </c>
      <c r="N32">
        <v>1</v>
      </c>
      <c r="O32">
        <v>256150</v>
      </c>
    </row>
    <row r="33" spans="1:15" x14ac:dyDescent="0.25">
      <c r="A33">
        <v>3</v>
      </c>
      <c r="B33">
        <v>52856</v>
      </c>
      <c r="D33">
        <f t="shared" si="0"/>
        <v>158568</v>
      </c>
      <c r="E33">
        <v>158570</v>
      </c>
      <c r="K33">
        <v>1</v>
      </c>
      <c r="L33">
        <v>90030</v>
      </c>
    </row>
    <row r="34" spans="1:15" x14ac:dyDescent="0.25">
      <c r="A34">
        <v>4</v>
      </c>
      <c r="B34">
        <v>54107</v>
      </c>
      <c r="D34">
        <f t="shared" si="0"/>
        <v>216428</v>
      </c>
      <c r="E34">
        <v>216430</v>
      </c>
      <c r="K34">
        <v>1</v>
      </c>
      <c r="L34">
        <v>91250</v>
      </c>
      <c r="N34">
        <f>SUM(N1:N33)</f>
        <v>74</v>
      </c>
      <c r="O34">
        <f>SUM(O1:O33)</f>
        <v>2863400</v>
      </c>
    </row>
    <row r="35" spans="1:15" x14ac:dyDescent="0.25">
      <c r="A35">
        <v>4</v>
      </c>
      <c r="B35">
        <v>54692</v>
      </c>
      <c r="D35">
        <f t="shared" si="0"/>
        <v>218768</v>
      </c>
      <c r="E35">
        <v>218770</v>
      </c>
      <c r="K35">
        <v>1</v>
      </c>
      <c r="L35">
        <v>91840</v>
      </c>
      <c r="N35">
        <f>N34/12</f>
        <v>6.166666666666667</v>
      </c>
      <c r="O35">
        <f>O34/12</f>
        <v>238616.66666666666</v>
      </c>
    </row>
    <row r="36" spans="1:15" x14ac:dyDescent="0.25">
      <c r="A36">
        <v>2</v>
      </c>
      <c r="B36">
        <v>55665</v>
      </c>
      <c r="D36">
        <f t="shared" si="0"/>
        <v>111330</v>
      </c>
      <c r="E36">
        <v>111330</v>
      </c>
      <c r="K36">
        <v>1</v>
      </c>
      <c r="L36">
        <v>101680</v>
      </c>
      <c r="O36">
        <f>O35/N35</f>
        <v>38694.594594594593</v>
      </c>
    </row>
    <row r="37" spans="1:15" x14ac:dyDescent="0.25">
      <c r="A37">
        <v>2</v>
      </c>
      <c r="B37">
        <v>57010</v>
      </c>
      <c r="D37">
        <f t="shared" si="0"/>
        <v>114020</v>
      </c>
      <c r="E37">
        <v>114020</v>
      </c>
      <c r="K37">
        <v>1</v>
      </c>
      <c r="L37">
        <v>107010</v>
      </c>
    </row>
    <row r="38" spans="1:15" x14ac:dyDescent="0.25">
      <c r="A38">
        <v>3</v>
      </c>
      <c r="B38">
        <v>57876</v>
      </c>
      <c r="D38">
        <f t="shared" si="0"/>
        <v>173628</v>
      </c>
      <c r="E38">
        <v>173630</v>
      </c>
      <c r="K38">
        <v>1</v>
      </c>
      <c r="L38">
        <v>129190</v>
      </c>
    </row>
    <row r="39" spans="1:15" x14ac:dyDescent="0.25">
      <c r="A39">
        <v>2</v>
      </c>
      <c r="B39">
        <v>58930</v>
      </c>
      <c r="D39">
        <f t="shared" si="0"/>
        <v>117860</v>
      </c>
      <c r="E39">
        <v>117860</v>
      </c>
      <c r="K39">
        <v>1</v>
      </c>
      <c r="L39">
        <v>131750</v>
      </c>
    </row>
    <row r="40" spans="1:15" x14ac:dyDescent="0.25">
      <c r="A40">
        <v>3</v>
      </c>
      <c r="B40">
        <v>59980</v>
      </c>
      <c r="D40">
        <f t="shared" si="0"/>
        <v>179940</v>
      </c>
      <c r="E40">
        <v>179940</v>
      </c>
      <c r="K40">
        <v>1</v>
      </c>
      <c r="L40">
        <v>144700</v>
      </c>
    </row>
    <row r="41" spans="1:15" x14ac:dyDescent="0.25">
      <c r="A41">
        <v>1</v>
      </c>
      <c r="B41">
        <v>60700</v>
      </c>
      <c r="D41">
        <f t="shared" si="0"/>
        <v>60700</v>
      </c>
      <c r="E41">
        <v>60700</v>
      </c>
    </row>
    <row r="42" spans="1:15" x14ac:dyDescent="0.25">
      <c r="A42">
        <v>4</v>
      </c>
      <c r="B42">
        <v>62260</v>
      </c>
      <c r="D42">
        <f t="shared" si="0"/>
        <v>249040</v>
      </c>
      <c r="E42">
        <v>249040</v>
      </c>
      <c r="K42">
        <f>SUM(K1:K41)</f>
        <v>66</v>
      </c>
      <c r="L42">
        <f>SUM(L1:L41)</f>
        <v>3225320</v>
      </c>
      <c r="N42">
        <f>N34+K42</f>
        <v>140</v>
      </c>
      <c r="O42">
        <f>O34+L42</f>
        <v>6088720</v>
      </c>
    </row>
    <row r="43" spans="1:15" x14ac:dyDescent="0.25">
      <c r="A43">
        <v>1</v>
      </c>
      <c r="B43">
        <v>62570</v>
      </c>
      <c r="D43">
        <f t="shared" si="0"/>
        <v>62570</v>
      </c>
      <c r="E43">
        <v>62570</v>
      </c>
      <c r="K43">
        <f>K42/12</f>
        <v>5.5</v>
      </c>
      <c r="L43">
        <f>L42/12</f>
        <v>268776.66666666669</v>
      </c>
      <c r="N43">
        <f>N42/12</f>
        <v>11.666666666666666</v>
      </c>
      <c r="O43">
        <f>O42/12</f>
        <v>507393.33333333331</v>
      </c>
    </row>
    <row r="44" spans="1:15" x14ac:dyDescent="0.25">
      <c r="A44">
        <v>2</v>
      </c>
      <c r="B44">
        <v>63925</v>
      </c>
      <c r="D44">
        <f t="shared" si="0"/>
        <v>127850</v>
      </c>
      <c r="E44">
        <v>127850</v>
      </c>
      <c r="L44">
        <f>L43/K43</f>
        <v>48868.484848484855</v>
      </c>
      <c r="O44">
        <f>O43/N43</f>
        <v>43490.857142857145</v>
      </c>
    </row>
    <row r="45" spans="1:15" x14ac:dyDescent="0.25">
      <c r="A45">
        <v>1</v>
      </c>
      <c r="B45">
        <v>65070</v>
      </c>
      <c r="D45">
        <f t="shared" si="0"/>
        <v>65070</v>
      </c>
      <c r="E45">
        <v>65070</v>
      </c>
    </row>
    <row r="46" spans="1:15" x14ac:dyDescent="0.25">
      <c r="A46">
        <v>4</v>
      </c>
      <c r="B46">
        <v>65922</v>
      </c>
      <c r="D46">
        <f t="shared" si="0"/>
        <v>263688</v>
      </c>
      <c r="E46">
        <v>263690</v>
      </c>
    </row>
    <row r="47" spans="1:15" x14ac:dyDescent="0.25">
      <c r="A47">
        <v>1</v>
      </c>
      <c r="B47">
        <v>68010</v>
      </c>
      <c r="D47">
        <f t="shared" si="0"/>
        <v>68010</v>
      </c>
      <c r="E47">
        <v>68010</v>
      </c>
    </row>
    <row r="48" spans="1:15" x14ac:dyDescent="0.25">
      <c r="A48">
        <v>1</v>
      </c>
      <c r="B48">
        <v>69420</v>
      </c>
      <c r="D48">
        <f t="shared" si="0"/>
        <v>69420</v>
      </c>
      <c r="E48">
        <v>69420</v>
      </c>
    </row>
    <row r="49" spans="1:5" x14ac:dyDescent="0.25">
      <c r="A49">
        <v>3</v>
      </c>
      <c r="B49">
        <v>71066</v>
      </c>
      <c r="D49">
        <f t="shared" si="0"/>
        <v>213198</v>
      </c>
      <c r="E49">
        <v>213200</v>
      </c>
    </row>
    <row r="50" spans="1:5" x14ac:dyDescent="0.25">
      <c r="A50">
        <v>5</v>
      </c>
      <c r="B50">
        <v>72028</v>
      </c>
      <c r="D50">
        <f t="shared" si="0"/>
        <v>360140</v>
      </c>
      <c r="E50">
        <v>360140</v>
      </c>
    </row>
    <row r="51" spans="1:5" x14ac:dyDescent="0.25">
      <c r="A51">
        <v>2</v>
      </c>
      <c r="B51">
        <v>75010</v>
      </c>
      <c r="D51">
        <f t="shared" si="0"/>
        <v>150020</v>
      </c>
      <c r="E51">
        <v>150020</v>
      </c>
    </row>
    <row r="52" spans="1:5" x14ac:dyDescent="0.25">
      <c r="A52">
        <v>2</v>
      </c>
      <c r="B52">
        <v>75855</v>
      </c>
      <c r="D52">
        <f t="shared" si="0"/>
        <v>151710</v>
      </c>
      <c r="E52">
        <v>151710</v>
      </c>
    </row>
    <row r="53" spans="1:5" x14ac:dyDescent="0.25">
      <c r="A53">
        <v>1</v>
      </c>
      <c r="B53">
        <v>76650</v>
      </c>
      <c r="D53">
        <f t="shared" si="0"/>
        <v>76650</v>
      </c>
      <c r="E53">
        <v>76650</v>
      </c>
    </row>
    <row r="54" spans="1:5" x14ac:dyDescent="0.25">
      <c r="A54">
        <v>1</v>
      </c>
      <c r="B54">
        <v>77840</v>
      </c>
      <c r="D54">
        <f t="shared" si="0"/>
        <v>77840</v>
      </c>
      <c r="E54">
        <v>77840</v>
      </c>
    </row>
    <row r="55" spans="1:5" x14ac:dyDescent="0.25">
      <c r="A55">
        <v>1</v>
      </c>
      <c r="B55">
        <v>78870</v>
      </c>
      <c r="D55">
        <f t="shared" si="0"/>
        <v>78870</v>
      </c>
      <c r="E55">
        <v>78870</v>
      </c>
    </row>
    <row r="56" spans="1:5" x14ac:dyDescent="0.25">
      <c r="A56">
        <v>1</v>
      </c>
      <c r="B56">
        <v>79660</v>
      </c>
      <c r="D56">
        <f t="shared" si="0"/>
        <v>79660</v>
      </c>
      <c r="E56">
        <v>79660</v>
      </c>
    </row>
    <row r="57" spans="1:5" x14ac:dyDescent="0.25">
      <c r="A57">
        <v>1</v>
      </c>
      <c r="B57">
        <v>80550</v>
      </c>
      <c r="D57">
        <f t="shared" si="0"/>
        <v>80550</v>
      </c>
      <c r="E57">
        <v>80550</v>
      </c>
    </row>
    <row r="58" spans="1:5" x14ac:dyDescent="0.25">
      <c r="A58">
        <v>1</v>
      </c>
      <c r="B58">
        <v>81510</v>
      </c>
      <c r="D58">
        <f t="shared" si="0"/>
        <v>81510</v>
      </c>
      <c r="E58">
        <v>81510</v>
      </c>
    </row>
    <row r="59" spans="1:5" x14ac:dyDescent="0.25">
      <c r="A59">
        <v>3</v>
      </c>
      <c r="B59">
        <v>83320</v>
      </c>
      <c r="D59">
        <f t="shared" si="0"/>
        <v>249960</v>
      </c>
      <c r="E59">
        <v>249960</v>
      </c>
    </row>
    <row r="60" spans="1:5" x14ac:dyDescent="0.25">
      <c r="A60">
        <v>1</v>
      </c>
      <c r="B60">
        <v>86620</v>
      </c>
      <c r="D60">
        <f t="shared" si="0"/>
        <v>86620</v>
      </c>
      <c r="E60">
        <v>86620</v>
      </c>
    </row>
    <row r="61" spans="1:5" x14ac:dyDescent="0.25">
      <c r="A61">
        <v>1</v>
      </c>
      <c r="B61">
        <v>89040</v>
      </c>
      <c r="D61">
        <f t="shared" si="0"/>
        <v>89040</v>
      </c>
      <c r="E61">
        <v>89040</v>
      </c>
    </row>
    <row r="62" spans="1:5" x14ac:dyDescent="0.25">
      <c r="A62">
        <v>1</v>
      </c>
      <c r="B62">
        <v>91190</v>
      </c>
      <c r="D62">
        <f t="shared" si="0"/>
        <v>91190</v>
      </c>
      <c r="E62">
        <v>91190</v>
      </c>
    </row>
    <row r="63" spans="1:5" x14ac:dyDescent="0.25">
      <c r="A63">
        <v>1</v>
      </c>
      <c r="B63">
        <v>94660</v>
      </c>
      <c r="D63">
        <f t="shared" si="0"/>
        <v>94660</v>
      </c>
      <c r="E63">
        <v>94660</v>
      </c>
    </row>
    <row r="64" spans="1:5" x14ac:dyDescent="0.25">
      <c r="A64">
        <v>1</v>
      </c>
      <c r="B64">
        <v>97430</v>
      </c>
      <c r="D64">
        <f t="shared" si="0"/>
        <v>97430</v>
      </c>
      <c r="E64">
        <v>97430</v>
      </c>
    </row>
    <row r="65" spans="1:5" x14ac:dyDescent="0.25">
      <c r="A65">
        <v>1</v>
      </c>
      <c r="B65">
        <v>98330</v>
      </c>
      <c r="D65">
        <f t="shared" si="0"/>
        <v>98330</v>
      </c>
      <c r="E65">
        <v>98330</v>
      </c>
    </row>
    <row r="66" spans="1:5" x14ac:dyDescent="0.25">
      <c r="A66">
        <v>1</v>
      </c>
      <c r="B66">
        <v>105050</v>
      </c>
      <c r="D66">
        <f t="shared" ref="D66:D89" si="2">A66*B66</f>
        <v>105050</v>
      </c>
      <c r="E66">
        <v>105050</v>
      </c>
    </row>
    <row r="67" spans="1:5" x14ac:dyDescent="0.25">
      <c r="A67">
        <v>2</v>
      </c>
      <c r="B67">
        <v>106300</v>
      </c>
      <c r="D67">
        <f t="shared" si="2"/>
        <v>212600</v>
      </c>
      <c r="E67">
        <v>212600</v>
      </c>
    </row>
    <row r="68" spans="1:5" x14ac:dyDescent="0.25">
      <c r="A68">
        <v>1</v>
      </c>
      <c r="B68">
        <v>110330</v>
      </c>
      <c r="D68">
        <f t="shared" si="2"/>
        <v>110330</v>
      </c>
      <c r="E68">
        <v>110330</v>
      </c>
    </row>
    <row r="69" spans="1:5" x14ac:dyDescent="0.25">
      <c r="A69">
        <v>1</v>
      </c>
      <c r="B69">
        <v>110960</v>
      </c>
      <c r="D69">
        <f t="shared" si="2"/>
        <v>110960</v>
      </c>
      <c r="E69">
        <v>110960</v>
      </c>
    </row>
    <row r="70" spans="1:5" x14ac:dyDescent="0.25">
      <c r="A70">
        <v>1</v>
      </c>
      <c r="B70">
        <v>112140</v>
      </c>
      <c r="D70">
        <f t="shared" si="2"/>
        <v>112140</v>
      </c>
      <c r="E70">
        <v>112140</v>
      </c>
    </row>
    <row r="71" spans="1:5" x14ac:dyDescent="0.25">
      <c r="A71">
        <v>1</v>
      </c>
      <c r="B71">
        <v>114030</v>
      </c>
      <c r="D71">
        <f t="shared" si="2"/>
        <v>114030</v>
      </c>
      <c r="E71">
        <v>114030</v>
      </c>
    </row>
    <row r="72" spans="1:5" x14ac:dyDescent="0.25">
      <c r="A72">
        <v>1</v>
      </c>
      <c r="B72">
        <v>116280</v>
      </c>
      <c r="D72">
        <f t="shared" si="2"/>
        <v>116280</v>
      </c>
      <c r="E72">
        <v>116280</v>
      </c>
    </row>
    <row r="73" spans="1:5" x14ac:dyDescent="0.25">
      <c r="A73">
        <v>1</v>
      </c>
      <c r="B73">
        <v>118380</v>
      </c>
      <c r="D73">
        <f t="shared" si="2"/>
        <v>118380</v>
      </c>
      <c r="E73">
        <v>118380</v>
      </c>
    </row>
    <row r="74" spans="1:5" x14ac:dyDescent="0.25">
      <c r="A74">
        <v>1</v>
      </c>
      <c r="B74">
        <v>118905</v>
      </c>
      <c r="D74">
        <f t="shared" si="2"/>
        <v>118905</v>
      </c>
      <c r="E74">
        <v>118905</v>
      </c>
    </row>
    <row r="75" spans="1:5" x14ac:dyDescent="0.25">
      <c r="A75">
        <v>1</v>
      </c>
      <c r="B75">
        <v>125110</v>
      </c>
      <c r="D75">
        <f t="shared" si="2"/>
        <v>125110</v>
      </c>
      <c r="E75">
        <v>125110</v>
      </c>
    </row>
    <row r="76" spans="1:5" x14ac:dyDescent="0.25">
      <c r="A76">
        <v>1</v>
      </c>
      <c r="B76">
        <v>126380</v>
      </c>
      <c r="D76">
        <f t="shared" si="2"/>
        <v>126380</v>
      </c>
      <c r="E76">
        <v>126380</v>
      </c>
    </row>
    <row r="77" spans="1:5" x14ac:dyDescent="0.25">
      <c r="A77">
        <v>1</v>
      </c>
      <c r="B77">
        <v>129560</v>
      </c>
      <c r="D77">
        <f t="shared" si="2"/>
        <v>129560</v>
      </c>
      <c r="E77">
        <v>129560</v>
      </c>
    </row>
    <row r="78" spans="1:5" x14ac:dyDescent="0.25">
      <c r="A78">
        <v>2</v>
      </c>
      <c r="B78">
        <v>141910</v>
      </c>
      <c r="D78">
        <f t="shared" si="2"/>
        <v>283820</v>
      </c>
      <c r="E78">
        <v>283820</v>
      </c>
    </row>
    <row r="79" spans="1:5" x14ac:dyDescent="0.25">
      <c r="A79">
        <v>1</v>
      </c>
      <c r="B79">
        <v>146045</v>
      </c>
      <c r="D79">
        <f t="shared" si="2"/>
        <v>146045</v>
      </c>
      <c r="E79">
        <v>146045</v>
      </c>
    </row>
    <row r="80" spans="1:5" x14ac:dyDescent="0.25">
      <c r="A80">
        <v>1</v>
      </c>
      <c r="B80">
        <v>153600</v>
      </c>
      <c r="D80">
        <f t="shared" si="2"/>
        <v>153600</v>
      </c>
      <c r="E80">
        <v>153600</v>
      </c>
    </row>
    <row r="81" spans="1:5" x14ac:dyDescent="0.25">
      <c r="A81">
        <v>1</v>
      </c>
      <c r="B81">
        <v>171620</v>
      </c>
      <c r="D81">
        <f t="shared" si="2"/>
        <v>171620</v>
      </c>
      <c r="E81">
        <v>171620</v>
      </c>
    </row>
    <row r="82" spans="1:5" x14ac:dyDescent="0.25">
      <c r="A82">
        <v>1</v>
      </c>
      <c r="B82">
        <v>177540</v>
      </c>
      <c r="D82">
        <f t="shared" si="2"/>
        <v>177540</v>
      </c>
      <c r="E82">
        <v>177540</v>
      </c>
    </row>
    <row r="83" spans="1:5" x14ac:dyDescent="0.25">
      <c r="A83">
        <v>1</v>
      </c>
      <c r="B83">
        <v>178790</v>
      </c>
      <c r="D83">
        <f t="shared" si="2"/>
        <v>178790</v>
      </c>
      <c r="E83">
        <v>178790</v>
      </c>
    </row>
    <row r="84" spans="1:5" x14ac:dyDescent="0.25">
      <c r="A84">
        <v>1</v>
      </c>
      <c r="B84">
        <v>179730</v>
      </c>
      <c r="D84">
        <f t="shared" si="2"/>
        <v>179730</v>
      </c>
      <c r="E84">
        <v>179730</v>
      </c>
    </row>
    <row r="85" spans="1:5" x14ac:dyDescent="0.25">
      <c r="A85">
        <v>1</v>
      </c>
      <c r="B85">
        <v>186100</v>
      </c>
      <c r="D85">
        <f t="shared" si="2"/>
        <v>186100</v>
      </c>
      <c r="E85">
        <v>186100</v>
      </c>
    </row>
    <row r="86" spans="1:5" x14ac:dyDescent="0.25">
      <c r="A86">
        <v>1</v>
      </c>
      <c r="B86">
        <v>227250</v>
      </c>
      <c r="D86">
        <f t="shared" si="2"/>
        <v>227250</v>
      </c>
      <c r="E86">
        <v>227250</v>
      </c>
    </row>
    <row r="87" spans="1:5" x14ac:dyDescent="0.25">
      <c r="A87">
        <v>1</v>
      </c>
      <c r="B87">
        <v>240250</v>
      </c>
      <c r="D87">
        <f t="shared" si="2"/>
        <v>240250</v>
      </c>
      <c r="E87">
        <v>240250</v>
      </c>
    </row>
    <row r="88" spans="1:5" x14ac:dyDescent="0.25">
      <c r="A88">
        <v>1</v>
      </c>
      <c r="B88">
        <v>356250</v>
      </c>
      <c r="D88">
        <f t="shared" si="2"/>
        <v>356250</v>
      </c>
      <c r="E88">
        <v>356250</v>
      </c>
    </row>
    <row r="89" spans="1:5" x14ac:dyDescent="0.25">
      <c r="A89">
        <v>1</v>
      </c>
      <c r="B89">
        <v>517450</v>
      </c>
      <c r="D89">
        <f t="shared" si="2"/>
        <v>517450</v>
      </c>
      <c r="E89">
        <v>517450</v>
      </c>
    </row>
    <row r="91" spans="1:5" x14ac:dyDescent="0.25">
      <c r="A91">
        <f>SUM(A1:A90)</f>
        <v>488</v>
      </c>
      <c r="B91">
        <f>SUM(B1:B90)</f>
        <v>7616436</v>
      </c>
      <c r="D91">
        <f>SUM(D1:D90)</f>
        <v>20177284</v>
      </c>
      <c r="E91" s="18">
        <f>SUM(E1:E90)</f>
        <v>20177430</v>
      </c>
    </row>
    <row r="92" spans="1:5" x14ac:dyDescent="0.25">
      <c r="A92" s="17">
        <f>A91/12</f>
        <v>40.666666666666664</v>
      </c>
      <c r="B92" s="18"/>
      <c r="D92" s="19">
        <f>D91/A91</f>
        <v>41346.893442622953</v>
      </c>
      <c r="E92" s="19">
        <f>E91/12</f>
        <v>1681452.5</v>
      </c>
    </row>
    <row r="93" spans="1:5" x14ac:dyDescent="0.25">
      <c r="B93" s="19"/>
      <c r="E93" s="19">
        <f>E92/A92</f>
        <v>41347.192622950824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9DFE-D352-4515-9F51-A392AB59DB07}">
  <dimension ref="A1:O17"/>
  <sheetViews>
    <sheetView workbookViewId="0">
      <selection activeCell="H6" sqref="H6:H7"/>
    </sheetView>
  </sheetViews>
  <sheetFormatPr defaultRowHeight="15" x14ac:dyDescent="0.25"/>
  <cols>
    <col min="3" max="3" width="21.140625" customWidth="1"/>
    <col min="4" max="4" width="9.140625" customWidth="1"/>
    <col min="5" max="5" width="9" customWidth="1"/>
  </cols>
  <sheetData>
    <row r="1" spans="1:15" x14ac:dyDescent="0.25">
      <c r="J1" s="178" t="s">
        <v>142</v>
      </c>
      <c r="K1" s="178"/>
      <c r="L1" s="178"/>
      <c r="M1" s="178"/>
    </row>
    <row r="2" spans="1:15" x14ac:dyDescent="0.25">
      <c r="A2">
        <v>2990680.65</v>
      </c>
      <c r="D2">
        <v>2015</v>
      </c>
      <c r="E2">
        <v>2016</v>
      </c>
      <c r="F2">
        <v>2017</v>
      </c>
      <c r="G2">
        <v>2018</v>
      </c>
      <c r="H2">
        <v>2019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</row>
    <row r="3" spans="1:15" x14ac:dyDescent="0.25">
      <c r="A3">
        <v>43476.95</v>
      </c>
      <c r="C3" t="s">
        <v>135</v>
      </c>
      <c r="D3">
        <v>365621</v>
      </c>
      <c r="E3">
        <v>372054</v>
      </c>
      <c r="F3">
        <v>395268</v>
      </c>
      <c r="G3">
        <v>403656</v>
      </c>
      <c r="H3">
        <v>420909</v>
      </c>
      <c r="J3" s="21">
        <f>(E3-D3)/D3</f>
        <v>1.7594722403800656E-2</v>
      </c>
      <c r="K3" s="21">
        <f>(F3-E3)/E3</f>
        <v>6.2394168588430714E-2</v>
      </c>
      <c r="L3" s="21">
        <f>(G3-F3)/F3</f>
        <v>2.122104496189927E-2</v>
      </c>
      <c r="M3" s="21">
        <f>(H3-G3)/G3</f>
        <v>4.2741839586182294E-2</v>
      </c>
      <c r="N3" s="21">
        <f>(H3-D3)/D3</f>
        <v>0.15121669707155772</v>
      </c>
      <c r="O3" s="21">
        <f>N3/5</f>
        <v>3.0243339414311544E-2</v>
      </c>
    </row>
    <row r="4" spans="1:15" x14ac:dyDescent="0.25">
      <c r="A4">
        <v>120167.77</v>
      </c>
      <c r="C4" t="s">
        <v>136</v>
      </c>
      <c r="D4">
        <v>94223</v>
      </c>
      <c r="E4">
        <v>150821</v>
      </c>
      <c r="F4">
        <v>124490</v>
      </c>
      <c r="G4">
        <v>114314</v>
      </c>
      <c r="H4">
        <v>173936</v>
      </c>
      <c r="J4" s="21">
        <f t="shared" ref="J4:J9" si="0">(E4-D4)/D4</f>
        <v>0.60068136230007541</v>
      </c>
      <c r="K4" s="21">
        <f t="shared" ref="K4:K9" si="1">(F4-E4)/E4</f>
        <v>-0.17458444115872457</v>
      </c>
      <c r="L4" s="21">
        <f t="shared" ref="L4:L9" si="2">(G4-F4)/F4</f>
        <v>-8.1741505341794515E-2</v>
      </c>
      <c r="M4" s="21">
        <f t="shared" ref="M4:M9" si="3">(H4-G4)/G4</f>
        <v>0.52156341305526888</v>
      </c>
      <c r="N4" s="21">
        <f t="shared" ref="N4:N9" si="4">(H4-D4)/D4</f>
        <v>0.84600362968701914</v>
      </c>
      <c r="O4" s="21">
        <f t="shared" ref="O4:O11" si="5">N4/5</f>
        <v>0.16920072593740382</v>
      </c>
    </row>
    <row r="5" spans="1:15" x14ac:dyDescent="0.25">
      <c r="A5">
        <v>9697.5400000000009</v>
      </c>
      <c r="C5" t="s">
        <v>137</v>
      </c>
      <c r="D5">
        <v>567497</v>
      </c>
      <c r="E5">
        <v>554755</v>
      </c>
      <c r="F5">
        <v>568364</v>
      </c>
      <c r="G5">
        <v>565531</v>
      </c>
      <c r="H5">
        <v>592993</v>
      </c>
      <c r="J5" s="21">
        <f t="shared" si="0"/>
        <v>-2.2452982130302012E-2</v>
      </c>
      <c r="K5" s="21">
        <f t="shared" si="1"/>
        <v>2.45315499634974E-2</v>
      </c>
      <c r="L5" s="21">
        <f t="shared" si="2"/>
        <v>-4.9844817757634195E-3</v>
      </c>
      <c r="M5" s="21">
        <f t="shared" si="3"/>
        <v>4.8559672237242522E-2</v>
      </c>
      <c r="N5" s="21">
        <f t="shared" si="4"/>
        <v>4.4927109746835669E-2</v>
      </c>
      <c r="O5" s="21">
        <f t="shared" si="5"/>
        <v>8.9854219493671339E-3</v>
      </c>
    </row>
    <row r="6" spans="1:15" x14ac:dyDescent="0.25">
      <c r="A6">
        <v>33561.160000000003</v>
      </c>
      <c r="C6" t="s">
        <v>138</v>
      </c>
      <c r="D6">
        <v>271070</v>
      </c>
      <c r="E6">
        <v>329613</v>
      </c>
      <c r="F6">
        <v>260017</v>
      </c>
      <c r="G6">
        <v>235925</v>
      </c>
      <c r="H6">
        <v>253164</v>
      </c>
      <c r="J6" s="21">
        <f t="shared" si="0"/>
        <v>0.21597004463791641</v>
      </c>
      <c r="K6" s="21">
        <f t="shared" si="1"/>
        <v>-0.21114458470994774</v>
      </c>
      <c r="L6" s="21">
        <f t="shared" si="2"/>
        <v>-9.2655480218601094E-2</v>
      </c>
      <c r="M6" s="21">
        <f t="shared" si="3"/>
        <v>7.3069831514252406E-2</v>
      </c>
      <c r="N6" s="21">
        <f t="shared" si="4"/>
        <v>-6.6056738111926805E-2</v>
      </c>
      <c r="O6" s="21">
        <f t="shared" si="5"/>
        <v>-1.321134762238536E-2</v>
      </c>
    </row>
    <row r="7" spans="1:15" x14ac:dyDescent="0.25">
      <c r="A7">
        <v>21193.66</v>
      </c>
      <c r="C7" t="s">
        <v>139</v>
      </c>
      <c r="D7">
        <v>154722</v>
      </c>
      <c r="E7">
        <v>98273</v>
      </c>
      <c r="F7">
        <v>144034</v>
      </c>
      <c r="G7">
        <v>167465</v>
      </c>
      <c r="H7">
        <v>169593</v>
      </c>
      <c r="J7" s="21">
        <f t="shared" si="0"/>
        <v>-0.36484145758198577</v>
      </c>
      <c r="K7" s="21">
        <f t="shared" si="1"/>
        <v>0.46565180670173906</v>
      </c>
      <c r="L7" s="21">
        <f t="shared" si="2"/>
        <v>0.16267686796173125</v>
      </c>
      <c r="M7" s="21">
        <f t="shared" si="3"/>
        <v>1.270713283372645E-2</v>
      </c>
      <c r="N7" s="21">
        <f t="shared" si="4"/>
        <v>9.6114321169581574E-2</v>
      </c>
      <c r="O7" s="21">
        <f t="shared" si="5"/>
        <v>1.9222864233916316E-2</v>
      </c>
    </row>
    <row r="8" spans="1:15" x14ac:dyDescent="0.25">
      <c r="A8">
        <v>39966.26</v>
      </c>
      <c r="C8" t="s">
        <v>140</v>
      </c>
      <c r="D8">
        <v>296952</v>
      </c>
      <c r="E8">
        <v>235328</v>
      </c>
      <c r="F8">
        <v>442228</v>
      </c>
      <c r="G8">
        <v>515738</v>
      </c>
      <c r="H8">
        <v>415081</v>
      </c>
      <c r="J8" s="21">
        <f t="shared" si="0"/>
        <v>-0.20752175435760661</v>
      </c>
      <c r="K8" s="21">
        <f t="shared" si="1"/>
        <v>0.87919839543105793</v>
      </c>
      <c r="L8" s="21">
        <f t="shared" si="2"/>
        <v>0.16622647141293631</v>
      </c>
      <c r="M8" s="21">
        <f t="shared" si="3"/>
        <v>-0.19517080378021398</v>
      </c>
      <c r="N8" s="21">
        <f t="shared" si="4"/>
        <v>0.39780503246315901</v>
      </c>
      <c r="O8" s="21">
        <f t="shared" si="5"/>
        <v>7.95610064926318E-2</v>
      </c>
    </row>
    <row r="9" spans="1:15" x14ac:dyDescent="0.25">
      <c r="A9">
        <v>154682.63</v>
      </c>
      <c r="C9" t="s">
        <v>141</v>
      </c>
      <c r="D9">
        <v>292314</v>
      </c>
      <c r="E9">
        <v>397795</v>
      </c>
      <c r="F9">
        <v>447183</v>
      </c>
      <c r="G9">
        <v>485477</v>
      </c>
      <c r="H9">
        <v>524687</v>
      </c>
      <c r="J9" s="21">
        <f t="shared" si="0"/>
        <v>0.36084826590584096</v>
      </c>
      <c r="K9" s="21">
        <f t="shared" si="1"/>
        <v>0.12415440113626365</v>
      </c>
      <c r="L9" s="21">
        <f t="shared" si="2"/>
        <v>8.5633845651556517E-2</v>
      </c>
      <c r="M9" s="21">
        <f t="shared" si="3"/>
        <v>8.0765927119101424E-2</v>
      </c>
      <c r="N9" s="21">
        <f t="shared" si="4"/>
        <v>0.79494310912238209</v>
      </c>
      <c r="O9" s="21">
        <f t="shared" si="5"/>
        <v>0.15898862182447643</v>
      </c>
    </row>
    <row r="10" spans="1:15" x14ac:dyDescent="0.25">
      <c r="A10">
        <v>110403.53</v>
      </c>
    </row>
    <row r="11" spans="1:15" x14ac:dyDescent="0.25">
      <c r="A11">
        <v>47608.98</v>
      </c>
      <c r="D11">
        <f>SUM(D3:D10)</f>
        <v>2042399</v>
      </c>
      <c r="E11">
        <f>SUM(E3:E10)</f>
        <v>2138639</v>
      </c>
      <c r="F11">
        <f>SUM(F3:F10)</f>
        <v>2381584</v>
      </c>
      <c r="G11">
        <f>SUM(G3:G10)</f>
        <v>2488106</v>
      </c>
      <c r="H11">
        <f>SUM(H3:H9)</f>
        <v>2550363</v>
      </c>
      <c r="J11" s="21">
        <f>(E11-D11)/D11</f>
        <v>4.7121057148970399E-2</v>
      </c>
      <c r="K11" s="21">
        <f>(F11-E11)/E11</f>
        <v>0.1135979471056125</v>
      </c>
      <c r="L11" s="21">
        <f>(G11-F11)/F11</f>
        <v>4.4727374722033739E-2</v>
      </c>
      <c r="M11" s="21">
        <f>(H11-G11)/G11</f>
        <v>2.5021843924655944E-2</v>
      </c>
      <c r="N11" s="21">
        <f>(H11-D11)/D11</f>
        <v>0.24870948330859935</v>
      </c>
      <c r="O11" s="21">
        <f t="shared" si="5"/>
        <v>4.9741896661719867E-2</v>
      </c>
    </row>
    <row r="13" spans="1:15" x14ac:dyDescent="0.25">
      <c r="A13">
        <f>SUM(A2:A12)</f>
        <v>3571439.13</v>
      </c>
    </row>
    <row r="15" spans="1:15" x14ac:dyDescent="0.25">
      <c r="A15">
        <v>125522</v>
      </c>
    </row>
    <row r="17" spans="1:1" x14ac:dyDescent="0.25">
      <c r="A17">
        <f>A13+A15</f>
        <v>3696961.13</v>
      </c>
    </row>
  </sheetData>
  <mergeCells count="1"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Users</vt:lpstr>
      <vt:lpstr>Forecast</vt:lpstr>
      <vt:lpstr>Sheet2</vt:lpstr>
      <vt:lpstr>Current Budget</vt:lpstr>
      <vt:lpstr>Proposed Budgets</vt:lpstr>
      <vt:lpstr>Rates</vt:lpstr>
      <vt:lpstr>Over 25,000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 Nicholas</dc:creator>
  <cp:lastModifiedBy>HLN</cp:lastModifiedBy>
  <cp:lastPrinted>2020-05-12T14:19:10Z</cp:lastPrinted>
  <dcterms:created xsi:type="dcterms:W3CDTF">2010-05-20T14:31:34Z</dcterms:created>
  <dcterms:modified xsi:type="dcterms:W3CDTF">2020-05-13T20:36:49Z</dcterms:modified>
</cp:coreProperties>
</file>