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team.duke-energy.com/sites/OHKYRegDiscovery/KY/202000142  ESM Proceeding  Environmental Tracker R/Discovery/STAFF 2nd SET/"/>
    </mc:Choice>
  </mc:AlternateContent>
  <xr:revisionPtr revIDLastSave="0" documentId="13_ncr:1_{91377B2B-7255-459B-8540-BE377949F0CC}" xr6:coauthVersionLast="44" xr6:coauthVersionMax="44" xr10:uidLastSave="{00000000-0000-0000-0000-000000000000}"/>
  <bookViews>
    <workbookView xWindow="-108" yWindow="-108" windowWidth="23256" windowHeight="12576" firstSheet="6" activeTab="8" xr2:uid="{FEA7AB98-7878-4116-B0AB-6F5C34466615}"/>
  </bookViews>
  <sheets>
    <sheet name="A. DR-02-002" sheetId="1" r:id="rId1"/>
    <sheet name="B. Response to A&amp;B &gt;&gt;" sheetId="11" r:id="rId2"/>
    <sheet name="C. ESM RECOVERY TEMPLATE" sheetId="2" r:id="rId3"/>
    <sheet name="D. 1 (calc - amort actuals)" sheetId="3" r:id="rId4"/>
    <sheet name="E. WACC" sheetId="5" r:id="rId5"/>
    <sheet name="F. Return Calculation - 2018" sheetId="7" r:id="rId6"/>
    <sheet name="G. Return Calculation - 2017" sheetId="8" r:id="rId7"/>
    <sheet name="H. Return Calculation - 2016" sheetId="9" r:id="rId8"/>
    <sheet name="I. Return Calculation - 2015"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WIT4">[1]LOGO!$G$9</definedName>
    <definedName name="_WIT7">'[2]SCH B-2'!$F$12</definedName>
    <definedName name="AROamortization">'C. ESM RECOVERY TEMPLATE'!$B$9:$G$149</definedName>
    <definedName name="cap_page" localSheetId="5">#REF!</definedName>
    <definedName name="cap_page" localSheetId="6">#REF!</definedName>
    <definedName name="cap_page" localSheetId="7">#REF!</definedName>
    <definedName name="cap_page">#REF!</definedName>
    <definedName name="CASE">'[2]SCH B-2'!$A$2</definedName>
    <definedName name="cbr_ratios" localSheetId="5">#REF!</definedName>
    <definedName name="cbr_ratios" localSheetId="6">#REF!</definedName>
    <definedName name="cbr_ratios" localSheetId="7">#REF!</definedName>
    <definedName name="cbr_ratios">#REF!</definedName>
    <definedName name="check" localSheetId="5">#REF!</definedName>
    <definedName name="check" localSheetId="6">#REF!</definedName>
    <definedName name="check" localSheetId="7">#REF!</definedName>
    <definedName name="check">#REF!</definedName>
    <definedName name="COMPANY">'[2]SCH B-2'!$A$1</definedName>
    <definedName name="composition" localSheetId="5">#REF!</definedName>
    <definedName name="composition" localSheetId="6">#REF!</definedName>
    <definedName name="composition" localSheetId="7">#REF!</definedName>
    <definedName name="composition">#REF!</definedName>
    <definedName name="cp_jun_jun" localSheetId="5">#REF!</definedName>
    <definedName name="cp_jun_jun" localSheetId="6">#REF!</definedName>
    <definedName name="cp_jun_jun" localSheetId="7">#REF!</definedName>
    <definedName name="cp_jun_jun">#REF!</definedName>
    <definedName name="curmonth" localSheetId="5">#REF!</definedName>
    <definedName name="curmonth" localSheetId="6">#REF!</definedName>
    <definedName name="curmonth" localSheetId="7">#REF!</definedName>
    <definedName name="curmonth">#REF!</definedName>
    <definedName name="Data">'[2]SCH B-2'!$A$9</definedName>
    <definedName name="DataF">[1]LOGO!$B$13</definedName>
    <definedName name="DataTypes">'[3]Sheet 1'!$A$2:$A$5</definedName>
    <definedName name="EssSamplingValue">100</definedName>
    <definedName name="ExpMonth">'[4]FORM 1.00'!$K$3</definedName>
    <definedName name="facilities" localSheetId="5">#REF!</definedName>
    <definedName name="facilities" localSheetId="6">#REF!</definedName>
    <definedName name="facilities" localSheetId="7">#REF!</definedName>
    <definedName name="facilities">#REF!</definedName>
    <definedName name="GRCF">[5]SCH_H!$I$34</definedName>
    <definedName name="import" localSheetId="5">#REF!</definedName>
    <definedName name="import" localSheetId="6">#REF!</definedName>
    <definedName name="import" localSheetId="7">#REF!</definedName>
    <definedName name="import">#REF!</definedName>
    <definedName name="importarea" localSheetId="5">#REF!</definedName>
    <definedName name="importarea" localSheetId="6">#REF!</definedName>
    <definedName name="importarea" localSheetId="7">#REF!</definedName>
    <definedName name="importarea">#REF!</definedName>
    <definedName name="importprint" localSheetId="5">#REF!</definedName>
    <definedName name="importprint" localSheetId="6">#REF!</definedName>
    <definedName name="importprint" localSheetId="7">#REF!</definedName>
    <definedName name="importprint">#REF!</definedName>
    <definedName name="input" localSheetId="5">#REF!</definedName>
    <definedName name="input" localSheetId="6">#REF!</definedName>
    <definedName name="input" localSheetId="7">#REF!</definedName>
    <definedName name="input">#REF!</definedName>
    <definedName name="InputColumns">'[3]Sheet 1'!$B$2:$B$41</definedName>
    <definedName name="Interim_macro" localSheetId="5">#REF!</definedName>
    <definedName name="Interim_macro" localSheetId="6">#REF!</definedName>
    <definedName name="Interim_macro" localSheetId="7">#REF!</definedName>
    <definedName name="Interim_macro">#REF!</definedName>
    <definedName name="interimprint" localSheetId="5">#REF!</definedName>
    <definedName name="interimprint" localSheetId="6">#REF!</definedName>
    <definedName name="interimprint" localSheetId="7">#REF!</definedName>
    <definedName name="interimprint">#REF!</definedName>
    <definedName name="openPeriod">[6]Selections!$J$2</definedName>
    <definedName name="page1.8check" localSheetId="5">#REF!</definedName>
    <definedName name="page1.8check" localSheetId="6">#REF!</definedName>
    <definedName name="page1.8check" localSheetId="7">#REF!</definedName>
    <definedName name="page1.8check">#REF!</definedName>
    <definedName name="page1.8print" localSheetId="5">#REF!</definedName>
    <definedName name="page1.8print" localSheetId="6">#REF!</definedName>
    <definedName name="page1.8print" localSheetId="7">#REF!</definedName>
    <definedName name="page1.8print">#REF!</definedName>
    <definedName name="page1.9check" localSheetId="5">#REF!</definedName>
    <definedName name="page1.9check" localSheetId="6">#REF!</definedName>
    <definedName name="page1.9check" localSheetId="7">#REF!</definedName>
    <definedName name="page1.9check">#REF!</definedName>
    <definedName name="page1.9print" localSheetId="5">#REF!</definedName>
    <definedName name="page1.9print" localSheetId="6">#REF!</definedName>
    <definedName name="page1.9print" localSheetId="7">#REF!</definedName>
    <definedName name="page1.9print">#REF!</definedName>
    <definedName name="preferred" localSheetId="5">#REF!</definedName>
    <definedName name="preferred" localSheetId="6">#REF!</definedName>
    <definedName name="preferred" localSheetId="7">#REF!</definedName>
    <definedName name="preferred">#REF!</definedName>
    <definedName name="print" localSheetId="5">#REF!</definedName>
    <definedName name="print" localSheetId="6">#REF!</definedName>
    <definedName name="print" localSheetId="7">#REF!</definedName>
    <definedName name="print">#REF!</definedName>
    <definedName name="_xlnm.Print_Area" localSheetId="4">'E. WACC'!$A$1:$H$65</definedName>
    <definedName name="q_data_cap" localSheetId="5">#REF!</definedName>
    <definedName name="q_data_cap" localSheetId="6">#REF!</definedName>
    <definedName name="q_data_cap" localSheetId="7">#REF!</definedName>
    <definedName name="q_data_cap">#REF!</definedName>
    <definedName name="qreport" localSheetId="5">#REF!</definedName>
    <definedName name="qreport" localSheetId="6">#REF!</definedName>
    <definedName name="qreport" localSheetId="7">#REF!</definedName>
    <definedName name="qreport">#REF!</definedName>
    <definedName name="RATIOS" localSheetId="5">#REF!</definedName>
    <definedName name="RATIOS" localSheetId="6">#REF!</definedName>
    <definedName name="RATIOS" localSheetId="7">#REF!</definedName>
    <definedName name="RATIOS">#REF!</definedName>
    <definedName name="RFSelection">[6]Selections!$I$2</definedName>
    <definedName name="RofR">#REF!</definedName>
    <definedName name="SegSelection">[6]Selections!$B$2</definedName>
    <definedName name="StDebt_print" localSheetId="5">#REF!</definedName>
    <definedName name="StDebt_print" localSheetId="6">#REF!</definedName>
    <definedName name="StDebt_print" localSheetId="7">#REF!</definedName>
    <definedName name="StDebt_print">#REF!</definedName>
    <definedName name="Testyear">[7]LOGO!$B$17</definedName>
    <definedName name="TESTYR">'[2]SCH B-2'!$A$4</definedName>
    <definedName name="Title">'[4]FORM 1.00'!$A$4</definedName>
    <definedName name="TYPE">'[2]SCH B-2'!$A$10</definedName>
    <definedName name="UST_10y">#REF!</definedName>
    <definedName name="UST_2y">#REF!</definedName>
    <definedName name="UST_30y">#REF!</definedName>
    <definedName name="UST_3y">#REF!</definedName>
    <definedName name="UST_5y">#REF!</definedName>
    <definedName name="UST_7y">#REF!</definedName>
    <definedName name="WCD">#REF!</definedName>
    <definedName name="YEARCUR" localSheetId="5">#REF!</definedName>
    <definedName name="YEARCUR" localSheetId="6">#REF!</definedName>
    <definedName name="YEARCUR" localSheetId="7">#REF!</definedName>
    <definedName name="YEARC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9" i="3" l="1"/>
  <c r="E44" i="10" l="1"/>
  <c r="E43" i="10"/>
  <c r="E42" i="10"/>
  <c r="E41" i="10"/>
  <c r="E40" i="10"/>
  <c r="E39" i="10"/>
  <c r="E38" i="10"/>
  <c r="E37" i="10"/>
  <c r="K33" i="10"/>
  <c r="E38" i="9"/>
  <c r="E37" i="9"/>
  <c r="E36" i="9"/>
  <c r="E35" i="9"/>
  <c r="E34" i="9"/>
  <c r="E33" i="9"/>
  <c r="E32" i="9"/>
  <c r="E31" i="9"/>
  <c r="E30" i="9"/>
  <c r="E29" i="9"/>
  <c r="E28" i="9"/>
  <c r="E27" i="9"/>
  <c r="E37" i="8"/>
  <c r="E36" i="8"/>
  <c r="E35" i="8"/>
  <c r="E34" i="8"/>
  <c r="E33" i="8"/>
  <c r="E32" i="8"/>
  <c r="E31" i="8"/>
  <c r="E30" i="8"/>
  <c r="E29" i="8"/>
  <c r="E28" i="8"/>
  <c r="E27" i="8"/>
  <c r="E26" i="8"/>
  <c r="C26" i="8"/>
  <c r="K26" i="8" s="1"/>
  <c r="E22" i="7"/>
  <c r="E21" i="7"/>
  <c r="E20" i="7"/>
  <c r="C20" i="7"/>
  <c r="C36" i="5"/>
  <c r="E35" i="5"/>
  <c r="G35" i="5" s="1"/>
  <c r="E34" i="5"/>
  <c r="G34" i="5" s="1"/>
  <c r="A34" i="5"/>
  <c r="A35" i="5" s="1"/>
  <c r="A36" i="5" s="1"/>
  <c r="E33" i="5"/>
  <c r="A24" i="5"/>
  <c r="A23" i="5"/>
  <c r="G145" i="2"/>
  <c r="N145" i="2" s="1"/>
  <c r="G142" i="2"/>
  <c r="N142" i="2" s="1"/>
  <c r="G137" i="2"/>
  <c r="N137" i="2" s="1"/>
  <c r="G135" i="2"/>
  <c r="N135" i="2" s="1"/>
  <c r="G134" i="2"/>
  <c r="N134" i="2" s="1"/>
  <c r="G129" i="2"/>
  <c r="N129" i="2" s="1"/>
  <c r="G127" i="2"/>
  <c r="N127" i="2" s="1"/>
  <c r="G126" i="2"/>
  <c r="N126" i="2" s="1"/>
  <c r="G121" i="2"/>
  <c r="N121" i="2" s="1"/>
  <c r="G119" i="2"/>
  <c r="N119" i="2" s="1"/>
  <c r="G118" i="2"/>
  <c r="N118" i="2" s="1"/>
  <c r="G113" i="2"/>
  <c r="N113" i="2" s="1"/>
  <c r="G111" i="2"/>
  <c r="N111" i="2" s="1"/>
  <c r="G110" i="2"/>
  <c r="N110" i="2" s="1"/>
  <c r="G105" i="2"/>
  <c r="N105" i="2" s="1"/>
  <c r="G103" i="2"/>
  <c r="N103" i="2" s="1"/>
  <c r="G102" i="2"/>
  <c r="N102" i="2" s="1"/>
  <c r="G97" i="2"/>
  <c r="N97" i="2" s="1"/>
  <c r="G95" i="2"/>
  <c r="N95" i="2" s="1"/>
  <c r="G94" i="2"/>
  <c r="N94" i="2" s="1"/>
  <c r="G89" i="2"/>
  <c r="N89" i="2" s="1"/>
  <c r="G87" i="2"/>
  <c r="N87" i="2" s="1"/>
  <c r="G86" i="2"/>
  <c r="N86" i="2" s="1"/>
  <c r="G81" i="2"/>
  <c r="N81" i="2" s="1"/>
  <c r="G79" i="2"/>
  <c r="N79" i="2" s="1"/>
  <c r="G78" i="2"/>
  <c r="N78" i="2" s="1"/>
  <c r="G71" i="2"/>
  <c r="N71" i="2" s="1"/>
  <c r="G70" i="2"/>
  <c r="N70" i="2" s="1"/>
  <c r="G65" i="2"/>
  <c r="N65" i="2" s="1"/>
  <c r="G62" i="2"/>
  <c r="N62" i="2" s="1"/>
  <c r="G55" i="2"/>
  <c r="N55" i="2" s="1"/>
  <c r="G54" i="2"/>
  <c r="N54" i="2" s="1"/>
  <c r="G49" i="2"/>
  <c r="N49" i="2" s="1"/>
  <c r="G46" i="2"/>
  <c r="N46" i="2" s="1"/>
  <c r="G41" i="2"/>
  <c r="N41" i="2" s="1"/>
  <c r="G39" i="2"/>
  <c r="N39" i="2" s="1"/>
  <c r="G38" i="2"/>
  <c r="N38" i="2" s="1"/>
  <c r="G33" i="2"/>
  <c r="N33" i="2" s="1"/>
  <c r="G31" i="2"/>
  <c r="N31" i="2" s="1"/>
  <c r="E153" i="2"/>
  <c r="E154" i="2" s="1"/>
  <c r="K150" i="2"/>
  <c r="J150" i="2"/>
  <c r="E150" i="2"/>
  <c r="D150" i="2"/>
  <c r="G149" i="2"/>
  <c r="N149" i="2" s="1"/>
  <c r="G148" i="2"/>
  <c r="N148" i="2" s="1"/>
  <c r="G147" i="2"/>
  <c r="N147" i="2" s="1"/>
  <c r="G146" i="2"/>
  <c r="N146" i="2" s="1"/>
  <c r="G144" i="2"/>
  <c r="N144" i="2" s="1"/>
  <c r="G143" i="2"/>
  <c r="N143" i="2" s="1"/>
  <c r="G141" i="2"/>
  <c r="N141" i="2" s="1"/>
  <c r="G140" i="2"/>
  <c r="N140" i="2" s="1"/>
  <c r="G139" i="2"/>
  <c r="N139" i="2" s="1"/>
  <c r="G138" i="2"/>
  <c r="N138" i="2" s="1"/>
  <c r="G136" i="2"/>
  <c r="N136" i="2" s="1"/>
  <c r="G133" i="2"/>
  <c r="N133" i="2" s="1"/>
  <c r="G132" i="2"/>
  <c r="N132" i="2" s="1"/>
  <c r="G131" i="2"/>
  <c r="N131" i="2" s="1"/>
  <c r="G130" i="2"/>
  <c r="N130" i="2" s="1"/>
  <c r="G128" i="2"/>
  <c r="N128" i="2" s="1"/>
  <c r="G125" i="2"/>
  <c r="N125" i="2" s="1"/>
  <c r="G124" i="2"/>
  <c r="N124" i="2" s="1"/>
  <c r="G123" i="2"/>
  <c r="N123" i="2" s="1"/>
  <c r="G122" i="2"/>
  <c r="N122" i="2" s="1"/>
  <c r="G120" i="2"/>
  <c r="N120" i="2" s="1"/>
  <c r="G117" i="2"/>
  <c r="N117" i="2" s="1"/>
  <c r="G116" i="2"/>
  <c r="N116" i="2" s="1"/>
  <c r="G115" i="2"/>
  <c r="N115" i="2" s="1"/>
  <c r="G114" i="2"/>
  <c r="N114" i="2" s="1"/>
  <c r="G112" i="2"/>
  <c r="N112" i="2" s="1"/>
  <c r="G109" i="2"/>
  <c r="N109" i="2" s="1"/>
  <c r="G108" i="2"/>
  <c r="N108" i="2" s="1"/>
  <c r="G107" i="2"/>
  <c r="N107" i="2" s="1"/>
  <c r="G106" i="2"/>
  <c r="N106" i="2" s="1"/>
  <c r="G104" i="2"/>
  <c r="N104" i="2" s="1"/>
  <c r="G101" i="2"/>
  <c r="N101" i="2" s="1"/>
  <c r="G100" i="2"/>
  <c r="N100" i="2" s="1"/>
  <c r="G99" i="2"/>
  <c r="N99" i="2" s="1"/>
  <c r="G98" i="2"/>
  <c r="N98" i="2" s="1"/>
  <c r="G96" i="2"/>
  <c r="N96" i="2" s="1"/>
  <c r="G93" i="2"/>
  <c r="N93" i="2" s="1"/>
  <c r="G92" i="2"/>
  <c r="N92" i="2" s="1"/>
  <c r="G91" i="2"/>
  <c r="N91" i="2" s="1"/>
  <c r="G90" i="2"/>
  <c r="N90" i="2" s="1"/>
  <c r="G88" i="2"/>
  <c r="N88" i="2" s="1"/>
  <c r="G85" i="2"/>
  <c r="N85" i="2" s="1"/>
  <c r="G84" i="2"/>
  <c r="N84" i="2" s="1"/>
  <c r="G83" i="2"/>
  <c r="N83" i="2" s="1"/>
  <c r="G82" i="2"/>
  <c r="N82" i="2" s="1"/>
  <c r="G80" i="2"/>
  <c r="N80" i="2" s="1"/>
  <c r="G77" i="2"/>
  <c r="N77" i="2" s="1"/>
  <c r="G76" i="2"/>
  <c r="N76" i="2" s="1"/>
  <c r="G75" i="2"/>
  <c r="N75" i="2" s="1"/>
  <c r="G74" i="2"/>
  <c r="N74" i="2" s="1"/>
  <c r="G73" i="2"/>
  <c r="N73" i="2" s="1"/>
  <c r="G72" i="2"/>
  <c r="N72" i="2" s="1"/>
  <c r="G69" i="2"/>
  <c r="N69" i="2" s="1"/>
  <c r="G68" i="2"/>
  <c r="N68" i="2" s="1"/>
  <c r="G67" i="2"/>
  <c r="N67" i="2" s="1"/>
  <c r="G66" i="2"/>
  <c r="N66" i="2" s="1"/>
  <c r="G64" i="2"/>
  <c r="N64" i="2" s="1"/>
  <c r="G63" i="2"/>
  <c r="N63" i="2" s="1"/>
  <c r="G61" i="2"/>
  <c r="N61" i="2" s="1"/>
  <c r="G60" i="2"/>
  <c r="N60" i="2" s="1"/>
  <c r="G59" i="2"/>
  <c r="N59" i="2" s="1"/>
  <c r="G58" i="2"/>
  <c r="N58" i="2" s="1"/>
  <c r="G57" i="2"/>
  <c r="N57" i="2" s="1"/>
  <c r="G56" i="2"/>
  <c r="N56" i="2" s="1"/>
  <c r="G53" i="2"/>
  <c r="N53" i="2" s="1"/>
  <c r="G52" i="2"/>
  <c r="N52" i="2" s="1"/>
  <c r="G51" i="2"/>
  <c r="N51" i="2" s="1"/>
  <c r="G50" i="2"/>
  <c r="N50" i="2" s="1"/>
  <c r="G48" i="2"/>
  <c r="N48" i="2" s="1"/>
  <c r="G47" i="2"/>
  <c r="N47" i="2" s="1"/>
  <c r="G45" i="2"/>
  <c r="N45" i="2" s="1"/>
  <c r="G44" i="2"/>
  <c r="N44" i="2" s="1"/>
  <c r="G43" i="2"/>
  <c r="N43" i="2" s="1"/>
  <c r="G42" i="2"/>
  <c r="N42" i="2" s="1"/>
  <c r="G40" i="2"/>
  <c r="N40" i="2" s="1"/>
  <c r="G37" i="2"/>
  <c r="N37" i="2" s="1"/>
  <c r="G36" i="2"/>
  <c r="N36" i="2" s="1"/>
  <c r="G35" i="2"/>
  <c r="N35" i="2" s="1"/>
  <c r="G34" i="2"/>
  <c r="N34" i="2" s="1"/>
  <c r="G32" i="2"/>
  <c r="N32" i="2" s="1"/>
  <c r="G30" i="2"/>
  <c r="L29" i="2"/>
  <c r="L30" i="2" s="1"/>
  <c r="L31" i="2" s="1"/>
  <c r="L32" i="2" s="1"/>
  <c r="L33" i="2" s="1"/>
  <c r="L34" i="2" s="1"/>
  <c r="L35" i="2" s="1"/>
  <c r="L36" i="2" s="1"/>
  <c r="L37" i="2" s="1"/>
  <c r="L38" i="2" s="1"/>
  <c r="L39" i="2" s="1"/>
  <c r="L40" i="2" s="1"/>
  <c r="L41" i="2" s="1"/>
  <c r="L42" i="2" s="1"/>
  <c r="L43" i="2" s="1"/>
  <c r="L44" i="2" s="1"/>
  <c r="L45" i="2" s="1"/>
  <c r="L46" i="2" s="1"/>
  <c r="L47" i="2" s="1"/>
  <c r="L48" i="2" s="1"/>
  <c r="L49" i="2" s="1"/>
  <c r="L50" i="2" s="1"/>
  <c r="L51" i="2" s="1"/>
  <c r="L52" i="2" s="1"/>
  <c r="L53" i="2" s="1"/>
  <c r="L54" i="2" s="1"/>
  <c r="L55" i="2" s="1"/>
  <c r="L56" i="2" s="1"/>
  <c r="L57" i="2" s="1"/>
  <c r="L58" i="2" s="1"/>
  <c r="L59" i="2" s="1"/>
  <c r="L60" i="2" s="1"/>
  <c r="L61" i="2" s="1"/>
  <c r="L62" i="2" s="1"/>
  <c r="L63" i="2" s="1"/>
  <c r="L64" i="2" s="1"/>
  <c r="L65" i="2" s="1"/>
  <c r="L66" i="2" s="1"/>
  <c r="L67" i="2" s="1"/>
  <c r="L68" i="2" s="1"/>
  <c r="L69" i="2" s="1"/>
  <c r="L70" i="2" s="1"/>
  <c r="L71" i="2" s="1"/>
  <c r="L72" i="2" s="1"/>
  <c r="L73" i="2" s="1"/>
  <c r="L74" i="2" s="1"/>
  <c r="L75" i="2" s="1"/>
  <c r="L76" i="2" s="1"/>
  <c r="L77" i="2" s="1"/>
  <c r="L78" i="2" s="1"/>
  <c r="L79" i="2" s="1"/>
  <c r="L80" i="2" s="1"/>
  <c r="L81" i="2" s="1"/>
  <c r="L82" i="2" s="1"/>
  <c r="L83" i="2" s="1"/>
  <c r="L84" i="2" s="1"/>
  <c r="L85" i="2" s="1"/>
  <c r="L86" i="2" s="1"/>
  <c r="L87" i="2" s="1"/>
  <c r="L88" i="2" s="1"/>
  <c r="L89" i="2" s="1"/>
  <c r="L90" i="2" s="1"/>
  <c r="L91" i="2" s="1"/>
  <c r="L92" i="2" s="1"/>
  <c r="L93" i="2" s="1"/>
  <c r="L94" i="2" s="1"/>
  <c r="L95" i="2" s="1"/>
  <c r="L96" i="2" s="1"/>
  <c r="L97" i="2" s="1"/>
  <c r="L98" i="2" s="1"/>
  <c r="L99" i="2" s="1"/>
  <c r="L100" i="2" s="1"/>
  <c r="L101" i="2" s="1"/>
  <c r="L102" i="2" s="1"/>
  <c r="L103" i="2" s="1"/>
  <c r="L104" i="2" s="1"/>
  <c r="L105" i="2" s="1"/>
  <c r="L106" i="2" s="1"/>
  <c r="L107" i="2" s="1"/>
  <c r="L108" i="2" s="1"/>
  <c r="L109" i="2" s="1"/>
  <c r="L110" i="2" s="1"/>
  <c r="L111" i="2" s="1"/>
  <c r="L112" i="2" s="1"/>
  <c r="L113" i="2" s="1"/>
  <c r="L114" i="2" s="1"/>
  <c r="L115" i="2" s="1"/>
  <c r="L116" i="2" s="1"/>
  <c r="L117" i="2" s="1"/>
  <c r="L118" i="2" s="1"/>
  <c r="L119" i="2" s="1"/>
  <c r="L120" i="2" s="1"/>
  <c r="L121" i="2" s="1"/>
  <c r="L122" i="2" s="1"/>
  <c r="L123" i="2" s="1"/>
  <c r="L124" i="2" s="1"/>
  <c r="L125" i="2" s="1"/>
  <c r="L126" i="2" s="1"/>
  <c r="L127" i="2" s="1"/>
  <c r="L128" i="2" s="1"/>
  <c r="L129" i="2" s="1"/>
  <c r="L130" i="2" s="1"/>
  <c r="L131" i="2" s="1"/>
  <c r="L132" i="2" s="1"/>
  <c r="L133" i="2" s="1"/>
  <c r="L134" i="2" s="1"/>
  <c r="L135" i="2" s="1"/>
  <c r="L136" i="2" s="1"/>
  <c r="L137" i="2" s="1"/>
  <c r="L138" i="2" s="1"/>
  <c r="L139" i="2" s="1"/>
  <c r="L140" i="2" s="1"/>
  <c r="L141" i="2" s="1"/>
  <c r="L142" i="2" s="1"/>
  <c r="L143" i="2" s="1"/>
  <c r="L144" i="2" s="1"/>
  <c r="L145" i="2" s="1"/>
  <c r="L146" i="2" s="1"/>
  <c r="L147" i="2" s="1"/>
  <c r="L148" i="2" s="1"/>
  <c r="L149" i="2" s="1"/>
  <c r="L28" i="2"/>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4" i="2"/>
  <c r="A3" i="2"/>
  <c r="E36" i="5" l="1"/>
  <c r="G150" i="2"/>
  <c r="N30" i="2"/>
  <c r="K20" i="7"/>
  <c r="N150" i="2"/>
  <c r="O20" i="7"/>
  <c r="I40" i="3" s="1"/>
  <c r="M20" i="7"/>
  <c r="G40" i="3" s="1"/>
  <c r="O26" i="8"/>
  <c r="I28" i="3" s="1"/>
  <c r="M26" i="8"/>
  <c r="G28" i="3" s="1"/>
  <c r="K28" i="3" s="1"/>
  <c r="F13" i="2" s="1"/>
  <c r="M33" i="10"/>
  <c r="O33" i="10"/>
  <c r="G33" i="5"/>
  <c r="Q33" i="10" l="1"/>
  <c r="C34" i="10" s="1"/>
  <c r="K34" i="10" s="1"/>
  <c r="O34" i="10" s="1"/>
  <c r="K40" i="3"/>
  <c r="F25" i="2" s="1"/>
  <c r="Q26" i="8"/>
  <c r="C27" i="8" s="1"/>
  <c r="K27" i="8" s="1"/>
  <c r="Q20" i="7"/>
  <c r="C21" i="7" s="1"/>
  <c r="K21" i="7" s="1"/>
  <c r="G36" i="5"/>
  <c r="M34" i="10" l="1"/>
  <c r="Q34" i="10"/>
  <c r="C35" i="10" s="1"/>
  <c r="K35" i="10" s="1"/>
  <c r="O35" i="10" s="1"/>
  <c r="A11" i="5"/>
  <c r="B11" i="5" s="1"/>
  <c r="C11" i="5" s="1"/>
  <c r="F11" i="5"/>
  <c r="O21" i="7"/>
  <c r="I41" i="3" s="1"/>
  <c r="M21" i="7"/>
  <c r="G41" i="3" s="1"/>
  <c r="D11" i="5"/>
  <c r="O27" i="8"/>
  <c r="I29" i="3" s="1"/>
  <c r="M27" i="8"/>
  <c r="G29" i="3" s="1"/>
  <c r="M35" i="10" l="1"/>
  <c r="Q35" i="10"/>
  <c r="C36" i="10" s="1"/>
  <c r="K36" i="10" s="1"/>
  <c r="O36" i="10" s="1"/>
  <c r="K29" i="3"/>
  <c r="F14" i="2" s="1"/>
  <c r="K41" i="3"/>
  <c r="F26" i="2" s="1"/>
  <c r="Q21" i="7"/>
  <c r="C22" i="7" s="1"/>
  <c r="K22" i="7" s="1"/>
  <c r="Q27" i="8"/>
  <c r="C28" i="8" s="1"/>
  <c r="K28" i="8" s="1"/>
  <c r="E11" i="5"/>
  <c r="R11" i="3" s="1"/>
  <c r="M36" i="10" l="1"/>
  <c r="Q36" i="10" s="1"/>
  <c r="C37" i="10" s="1"/>
  <c r="K37" i="10" s="1"/>
  <c r="O37" i="10" s="1"/>
  <c r="I8" i="3" s="1"/>
  <c r="M28" i="8"/>
  <c r="G30" i="3" s="1"/>
  <c r="O28" i="8"/>
  <c r="I30" i="3" s="1"/>
  <c r="G11" i="5"/>
  <c r="S11" i="3" s="1"/>
  <c r="T11" i="3" s="1"/>
  <c r="O22" i="7"/>
  <c r="M22" i="7"/>
  <c r="M37" i="10" l="1"/>
  <c r="G8" i="3" s="1"/>
  <c r="K8" i="3" s="1"/>
  <c r="O8" i="3" s="1"/>
  <c r="K30" i="3"/>
  <c r="F15" i="2" s="1"/>
  <c r="Q28" i="8"/>
  <c r="C29" i="8" s="1"/>
  <c r="K29" i="8" s="1"/>
  <c r="G42" i="3"/>
  <c r="I42" i="3"/>
  <c r="Q22" i="7"/>
  <c r="Q37" i="10"/>
  <c r="C38" i="10" s="1"/>
  <c r="K38" i="10" s="1"/>
  <c r="K42" i="3" l="1"/>
  <c r="F27" i="2" s="1"/>
  <c r="M38" i="10"/>
  <c r="G9" i="3" s="1"/>
  <c r="O38" i="10"/>
  <c r="I9" i="3" s="1"/>
  <c r="O29" i="8"/>
  <c r="I31" i="3" s="1"/>
  <c r="M29" i="8"/>
  <c r="G31" i="3" s="1"/>
  <c r="K31" i="3" s="1"/>
  <c r="F16" i="2" s="1"/>
  <c r="Q29" i="8" l="1"/>
  <c r="C30" i="8" s="1"/>
  <c r="K30" i="8" s="1"/>
  <c r="Q38" i="10"/>
  <c r="C39" i="10" s="1"/>
  <c r="K39" i="10" s="1"/>
  <c r="K9" i="3"/>
  <c r="O9" i="3" l="1"/>
  <c r="O39" i="10"/>
  <c r="I10" i="3" s="1"/>
  <c r="M39" i="10"/>
  <c r="G10" i="3" s="1"/>
  <c r="K10" i="3" s="1"/>
  <c r="O30" i="8"/>
  <c r="I32" i="3" s="1"/>
  <c r="M30" i="8"/>
  <c r="G32" i="3" s="1"/>
  <c r="Q39" i="10" l="1"/>
  <c r="C40" i="10" s="1"/>
  <c r="K40" i="10" s="1"/>
  <c r="O10" i="3"/>
  <c r="K32" i="3"/>
  <c r="F17" i="2" s="1"/>
  <c r="Q30" i="8"/>
  <c r="C31" i="8" s="1"/>
  <c r="K31" i="8" s="1"/>
  <c r="O31" i="8" l="1"/>
  <c r="I33" i="3" s="1"/>
  <c r="M31" i="8"/>
  <c r="G33" i="3" s="1"/>
  <c r="K33" i="3" s="1"/>
  <c r="F18" i="2" s="1"/>
  <c r="O40" i="10"/>
  <c r="I11" i="3" s="1"/>
  <c r="M40" i="10"/>
  <c r="G11" i="3" s="1"/>
  <c r="Q31" i="8" l="1"/>
  <c r="C32" i="8" s="1"/>
  <c r="K32" i="8" s="1"/>
  <c r="Q40" i="10"/>
  <c r="C41" i="10" s="1"/>
  <c r="K41" i="10" s="1"/>
  <c r="K11" i="3"/>
  <c r="O11" i="3" l="1"/>
  <c r="O41" i="10"/>
  <c r="I12" i="3" s="1"/>
  <c r="M41" i="10"/>
  <c r="G12" i="3" s="1"/>
  <c r="K12" i="3" s="1"/>
  <c r="M32" i="8"/>
  <c r="G34" i="3" s="1"/>
  <c r="O32" i="8"/>
  <c r="I34" i="3" s="1"/>
  <c r="K34" i="3" l="1"/>
  <c r="F19" i="2" s="1"/>
  <c r="Q41" i="10"/>
  <c r="C42" i="10" s="1"/>
  <c r="K42" i="10" s="1"/>
  <c r="Q32" i="8"/>
  <c r="C33" i="8" s="1"/>
  <c r="K33" i="8" s="1"/>
  <c r="O12" i="3"/>
  <c r="O33" i="8" l="1"/>
  <c r="I35" i="3" s="1"/>
  <c r="M33" i="8"/>
  <c r="G35" i="3" s="1"/>
  <c r="M42" i="10"/>
  <c r="G13" i="3" s="1"/>
  <c r="O42" i="10"/>
  <c r="I13" i="3" s="1"/>
  <c r="K13" i="3" l="1"/>
  <c r="O13" i="3" s="1"/>
  <c r="K35" i="3"/>
  <c r="F20" i="2" s="1"/>
  <c r="Q33" i="8"/>
  <c r="C34" i="8" s="1"/>
  <c r="K34" i="8" s="1"/>
  <c r="Q42" i="10"/>
  <c r="C43" i="10" s="1"/>
  <c r="K43" i="10" s="1"/>
  <c r="O34" i="8" l="1"/>
  <c r="I36" i="3" s="1"/>
  <c r="M34" i="8"/>
  <c r="G36" i="3" s="1"/>
  <c r="O43" i="10"/>
  <c r="I14" i="3" s="1"/>
  <c r="M43" i="10"/>
  <c r="G14" i="3" s="1"/>
  <c r="K14" i="3" s="1"/>
  <c r="O14" i="3" s="1"/>
  <c r="K36" i="3" l="1"/>
  <c r="F21" i="2" s="1"/>
  <c r="Q43" i="10"/>
  <c r="C44" i="10" s="1"/>
  <c r="K44" i="10" s="1"/>
  <c r="Q34" i="8"/>
  <c r="C35" i="8" s="1"/>
  <c r="K35" i="8" s="1"/>
  <c r="O35" i="8" l="1"/>
  <c r="I37" i="3" s="1"/>
  <c r="M35" i="8"/>
  <c r="G37" i="3" s="1"/>
  <c r="O44" i="10"/>
  <c r="M44" i="10"/>
  <c r="Q44" i="10" s="1"/>
  <c r="C27" i="9" s="1"/>
  <c r="K27" i="9" s="1"/>
  <c r="O27" i="9" l="1"/>
  <c r="I16" i="3" s="1"/>
  <c r="M27" i="9"/>
  <c r="G16" i="3" s="1"/>
  <c r="K16" i="3" s="1"/>
  <c r="G15" i="3"/>
  <c r="I15" i="3"/>
  <c r="K37" i="3"/>
  <c r="F22" i="2" s="1"/>
  <c r="Q35" i="8"/>
  <c r="C36" i="8" s="1"/>
  <c r="K36" i="8" s="1"/>
  <c r="K15" i="3" l="1"/>
  <c r="M36" i="8"/>
  <c r="G38" i="3" s="1"/>
  <c r="O36" i="8"/>
  <c r="I38" i="3" s="1"/>
  <c r="Q27" i="9"/>
  <c r="C28" i="9" s="1"/>
  <c r="K28" i="9" s="1"/>
  <c r="O28" i="9" l="1"/>
  <c r="I17" i="3" s="1"/>
  <c r="M28" i="9"/>
  <c r="G17" i="3" s="1"/>
  <c r="Q36" i="8"/>
  <c r="C37" i="8" s="1"/>
  <c r="K37" i="8" s="1"/>
  <c r="K38" i="3"/>
  <c r="F23" i="2" s="1"/>
  <c r="F11" i="2"/>
  <c r="O15" i="3"/>
  <c r="O16" i="3" s="1"/>
  <c r="K17" i="3" l="1"/>
  <c r="O17" i="3"/>
  <c r="H11" i="2"/>
  <c r="O37" i="8"/>
  <c r="M37" i="8"/>
  <c r="Q28" i="9"/>
  <c r="C29" i="9" s="1"/>
  <c r="K29" i="9" s="1"/>
  <c r="G39" i="3" l="1"/>
  <c r="M29" i="9"/>
  <c r="G18" i="3" s="1"/>
  <c r="O29" i="9"/>
  <c r="I18" i="3" s="1"/>
  <c r="I39" i="3"/>
  <c r="Q37" i="8"/>
  <c r="K39" i="3" l="1"/>
  <c r="F24" i="2" s="1"/>
  <c r="Q29" i="9"/>
  <c r="C30" i="9" s="1"/>
  <c r="K30" i="9" s="1"/>
  <c r="K18" i="3"/>
  <c r="O18" i="3" l="1"/>
  <c r="O30" i="9"/>
  <c r="I19" i="3" s="1"/>
  <c r="M30" i="9"/>
  <c r="G19" i="3" s="1"/>
  <c r="K19" i="3" l="1"/>
  <c r="Q30" i="9"/>
  <c r="C31" i="9" s="1"/>
  <c r="K31" i="9" s="1"/>
  <c r="O19" i="3"/>
  <c r="O31" i="9" l="1"/>
  <c r="I20" i="3" s="1"/>
  <c r="M31" i="9"/>
  <c r="G20" i="3" s="1"/>
  <c r="K20" i="3" l="1"/>
  <c r="O20" i="3" s="1"/>
  <c r="Q31" i="9"/>
  <c r="C32" i="9" s="1"/>
  <c r="K32" i="9" s="1"/>
  <c r="O32" i="9" l="1"/>
  <c r="I21" i="3" s="1"/>
  <c r="M32" i="9"/>
  <c r="G21" i="3" s="1"/>
  <c r="K21" i="3" s="1"/>
  <c r="O21" i="3" s="1"/>
  <c r="Q32" i="9" l="1"/>
  <c r="C33" i="9" s="1"/>
  <c r="K33" i="9" s="1"/>
  <c r="M33" i="9" l="1"/>
  <c r="G22" i="3" s="1"/>
  <c r="O33" i="9"/>
  <c r="I22" i="3" s="1"/>
  <c r="Q33" i="9" l="1"/>
  <c r="C34" i="9" s="1"/>
  <c r="K34" i="9" s="1"/>
  <c r="K22" i="3"/>
  <c r="O22" i="3" s="1"/>
  <c r="O34" i="9" l="1"/>
  <c r="I23" i="3" s="1"/>
  <c r="M34" i="9"/>
  <c r="G23" i="3" s="1"/>
  <c r="K23" i="3" s="1"/>
  <c r="O23" i="3" s="1"/>
  <c r="Q34" i="9" l="1"/>
  <c r="C35" i="9" s="1"/>
  <c r="K35" i="9" s="1"/>
  <c r="O35" i="9" l="1"/>
  <c r="I24" i="3" s="1"/>
  <c r="M35" i="9"/>
  <c r="G24" i="3" s="1"/>
  <c r="K24" i="3" l="1"/>
  <c r="O24" i="3" s="1"/>
  <c r="Q35" i="9"/>
  <c r="C36" i="9" s="1"/>
  <c r="K36" i="9" s="1"/>
  <c r="O36" i="9" l="1"/>
  <c r="I25" i="3" s="1"/>
  <c r="M36" i="9"/>
  <c r="G25" i="3" s="1"/>
  <c r="K25" i="3" s="1"/>
  <c r="O25" i="3" s="1"/>
  <c r="Q36" i="9" l="1"/>
  <c r="C37" i="9" s="1"/>
  <c r="K37" i="9" s="1"/>
  <c r="M37" i="9" l="1"/>
  <c r="G26" i="3" s="1"/>
  <c r="O37" i="9"/>
  <c r="I26" i="3" s="1"/>
  <c r="Q37" i="9" l="1"/>
  <c r="C38" i="9" s="1"/>
  <c r="K38" i="9" s="1"/>
  <c r="K26" i="3"/>
  <c r="O26" i="3" s="1"/>
  <c r="O38" i="9" l="1"/>
  <c r="M38" i="9"/>
  <c r="G27" i="3" l="1"/>
  <c r="Q38" i="9"/>
  <c r="I27" i="3"/>
  <c r="K27" i="3" l="1"/>
  <c r="F12" i="2"/>
  <c r="O27" i="3"/>
  <c r="O28" i="3" s="1"/>
  <c r="O29" i="3" s="1"/>
  <c r="O30" i="3" s="1"/>
  <c r="O31" i="3" s="1"/>
  <c r="O32" i="3" s="1"/>
  <c r="O33" i="3" s="1"/>
  <c r="O34" i="3" s="1"/>
  <c r="O35" i="3" s="1"/>
  <c r="O36" i="3" s="1"/>
  <c r="O37" i="3" s="1"/>
  <c r="O38" i="3" s="1"/>
  <c r="O39" i="3" s="1"/>
  <c r="O40" i="3" s="1"/>
  <c r="O41" i="3" s="1"/>
  <c r="O42" i="3" s="1"/>
  <c r="I43" i="3" l="1"/>
  <c r="G43" i="3"/>
  <c r="K43" i="3"/>
  <c r="F28" i="2" s="1"/>
  <c r="H12" i="2"/>
  <c r="H13" i="2" s="1"/>
  <c r="H14" i="2" s="1"/>
  <c r="H15" i="2" s="1"/>
  <c r="H16" i="2" s="1"/>
  <c r="H17" i="2" s="1"/>
  <c r="H18" i="2" s="1"/>
  <c r="H19" i="2" s="1"/>
  <c r="H20" i="2" s="1"/>
  <c r="H21" i="2" s="1"/>
  <c r="H22" i="2" s="1"/>
  <c r="H23" i="2" s="1"/>
  <c r="H24" i="2" s="1"/>
  <c r="H25" i="2" s="1"/>
  <c r="H26" i="2" s="1"/>
  <c r="H27" i="2" s="1"/>
  <c r="H28" i="2" l="1"/>
  <c r="O43" i="3"/>
  <c r="K44" i="3" l="1"/>
  <c r="F29" i="2" s="1"/>
  <c r="I44" i="3"/>
  <c r="G44" i="3"/>
  <c r="H29" i="2" l="1"/>
  <c r="O44" i="3"/>
  <c r="I45" i="3" l="1"/>
  <c r="G45" i="3"/>
  <c r="K45" i="3"/>
  <c r="F30" i="2" s="1"/>
  <c r="H30" i="2" s="1"/>
  <c r="O45" i="3" l="1"/>
  <c r="K46" i="3" l="1"/>
  <c r="F31" i="2" s="1"/>
  <c r="H31" i="2" s="1"/>
  <c r="I46" i="3"/>
  <c r="G46" i="3"/>
  <c r="O46" i="3" l="1"/>
  <c r="K47" i="3" l="1"/>
  <c r="F32" i="2" s="1"/>
  <c r="H32" i="2" s="1"/>
  <c r="I47" i="3"/>
  <c r="G47" i="3"/>
  <c r="O47" i="3" l="1"/>
  <c r="K48" i="3" l="1"/>
  <c r="F33" i="2" s="1"/>
  <c r="H33" i="2" s="1"/>
  <c r="I48" i="3"/>
  <c r="G48" i="3"/>
  <c r="O48" i="3"/>
  <c r="K49" i="3" l="1"/>
  <c r="F34" i="2" s="1"/>
  <c r="H34" i="2" s="1"/>
  <c r="I49" i="3"/>
  <c r="G49" i="3"/>
  <c r="O49" i="3" l="1"/>
  <c r="G50" i="3" l="1"/>
  <c r="K50" i="3"/>
  <c r="F35" i="2" s="1"/>
  <c r="H35" i="2" s="1"/>
  <c r="I50" i="3"/>
  <c r="O50" i="3" l="1"/>
  <c r="K51" i="3" l="1"/>
  <c r="F36" i="2" s="1"/>
  <c r="H36" i="2" s="1"/>
  <c r="I51" i="3"/>
  <c r="G51" i="3"/>
  <c r="O51" i="3"/>
  <c r="K52" i="3" l="1"/>
  <c r="F37" i="2" s="1"/>
  <c r="H37" i="2" s="1"/>
  <c r="I52" i="3"/>
  <c r="G52" i="3"/>
  <c r="O52" i="3" l="1"/>
  <c r="I53" i="3" l="1"/>
  <c r="G53" i="3"/>
  <c r="K53" i="3"/>
  <c r="F38" i="2" s="1"/>
  <c r="H38" i="2" s="1"/>
  <c r="O53" i="3" l="1"/>
  <c r="K54" i="3" l="1"/>
  <c r="F39" i="2" s="1"/>
  <c r="H39" i="2" s="1"/>
  <c r="I54" i="3"/>
  <c r="G54" i="3"/>
  <c r="O54" i="3" l="1"/>
  <c r="K55" i="3" l="1"/>
  <c r="F40" i="2" s="1"/>
  <c r="H40" i="2" s="1"/>
  <c r="I55" i="3"/>
  <c r="G55" i="3"/>
  <c r="O55" i="3" l="1"/>
  <c r="K56" i="3" l="1"/>
  <c r="F41" i="2" s="1"/>
  <c r="H41" i="2" s="1"/>
  <c r="I56" i="3"/>
  <c r="G56" i="3"/>
  <c r="O56" i="3" l="1"/>
  <c r="K57" i="3" s="1"/>
  <c r="F42" i="2" s="1"/>
  <c r="H42" i="2" s="1"/>
  <c r="G57" i="3" l="1"/>
  <c r="I57" i="3"/>
  <c r="O57" i="3"/>
  <c r="G58" i="3" l="1"/>
  <c r="K58" i="3"/>
  <c r="F43" i="2" s="1"/>
  <c r="H43" i="2" s="1"/>
  <c r="I58" i="3"/>
  <c r="O58" i="3" l="1"/>
  <c r="K59" i="3" l="1"/>
  <c r="F44" i="2" s="1"/>
  <c r="H44" i="2" s="1"/>
  <c r="I59" i="3"/>
  <c r="G59" i="3"/>
  <c r="O59" i="3"/>
  <c r="K60" i="3" l="1"/>
  <c r="F45" i="2" s="1"/>
  <c r="H45" i="2" s="1"/>
  <c r="I60" i="3"/>
  <c r="G60" i="3"/>
  <c r="O60" i="3" l="1"/>
  <c r="I61" i="3" l="1"/>
  <c r="G61" i="3"/>
  <c r="K61" i="3"/>
  <c r="F46" i="2" s="1"/>
  <c r="H46" i="2" s="1"/>
  <c r="O61" i="3" l="1"/>
  <c r="K62" i="3" l="1"/>
  <c r="F47" i="2" s="1"/>
  <c r="H47" i="2" s="1"/>
  <c r="I62" i="3"/>
  <c r="G62" i="3"/>
  <c r="O62" i="3" l="1"/>
  <c r="K63" i="3" l="1"/>
  <c r="F48" i="2" s="1"/>
  <c r="H48" i="2" s="1"/>
  <c r="I63" i="3"/>
  <c r="G63" i="3"/>
  <c r="O63" i="3" l="1"/>
  <c r="K64" i="3" l="1"/>
  <c r="F49" i="2" s="1"/>
  <c r="H49" i="2" s="1"/>
  <c r="I64" i="3"/>
  <c r="G64" i="3"/>
  <c r="O64" i="3"/>
  <c r="K65" i="3" l="1"/>
  <c r="F50" i="2" s="1"/>
  <c r="H50" i="2" s="1"/>
  <c r="I65" i="3"/>
  <c r="G65" i="3"/>
  <c r="O65" i="3" l="1"/>
  <c r="G66" i="3" l="1"/>
  <c r="K66" i="3"/>
  <c r="F51" i="2" s="1"/>
  <c r="H51" i="2" s="1"/>
  <c r="I66" i="3"/>
  <c r="O66" i="3" l="1"/>
  <c r="K67" i="3" l="1"/>
  <c r="F52" i="2" s="1"/>
  <c r="H52" i="2" s="1"/>
  <c r="I67" i="3"/>
  <c r="G67" i="3"/>
  <c r="O67" i="3"/>
  <c r="K68" i="3" l="1"/>
  <c r="F53" i="2" s="1"/>
  <c r="H53" i="2" s="1"/>
  <c r="I68" i="3"/>
  <c r="G68" i="3"/>
  <c r="O68" i="3" l="1"/>
  <c r="I69" i="3" l="1"/>
  <c r="G69" i="3"/>
  <c r="K69" i="3"/>
  <c r="F54" i="2" s="1"/>
  <c r="H54" i="2" s="1"/>
  <c r="O69" i="3" l="1"/>
  <c r="K70" i="3" l="1"/>
  <c r="F55" i="2" s="1"/>
  <c r="H55" i="2" s="1"/>
  <c r="I70" i="3"/>
  <c r="G70" i="3"/>
  <c r="O70" i="3" l="1"/>
  <c r="K71" i="3" l="1"/>
  <c r="F56" i="2" s="1"/>
  <c r="H56" i="2" s="1"/>
  <c r="I71" i="3"/>
  <c r="G71" i="3"/>
  <c r="O71" i="3" l="1"/>
  <c r="K72" i="3" l="1"/>
  <c r="F57" i="2" s="1"/>
  <c r="H57" i="2" s="1"/>
  <c r="I72" i="3"/>
  <c r="G72" i="3"/>
  <c r="O72" i="3"/>
  <c r="K73" i="3" l="1"/>
  <c r="F58" i="2" s="1"/>
  <c r="H58" i="2" s="1"/>
  <c r="I73" i="3"/>
  <c r="G73" i="3"/>
  <c r="O73" i="3" l="1"/>
  <c r="G74" i="3" l="1"/>
  <c r="K74" i="3"/>
  <c r="F59" i="2" s="1"/>
  <c r="H59" i="2" s="1"/>
  <c r="I74" i="3"/>
  <c r="O74" i="3" l="1"/>
  <c r="K75" i="3" l="1"/>
  <c r="F60" i="2" s="1"/>
  <c r="H60" i="2" s="1"/>
  <c r="I75" i="3"/>
  <c r="G75" i="3"/>
  <c r="O75" i="3" l="1"/>
  <c r="K76" i="3" l="1"/>
  <c r="F61" i="2" s="1"/>
  <c r="H61" i="2" s="1"/>
  <c r="I76" i="3"/>
  <c r="G76" i="3"/>
  <c r="O76" i="3" l="1"/>
  <c r="I77" i="3" l="1"/>
  <c r="G77" i="3"/>
  <c r="K77" i="3"/>
  <c r="F62" i="2" s="1"/>
  <c r="H62" i="2" s="1"/>
  <c r="O77" i="3" l="1"/>
  <c r="K78" i="3" l="1"/>
  <c r="F63" i="2" s="1"/>
  <c r="H63" i="2" s="1"/>
  <c r="I78" i="3"/>
  <c r="G78" i="3"/>
  <c r="O78" i="3" l="1"/>
  <c r="G79" i="3" l="1"/>
  <c r="K79" i="3"/>
  <c r="F64" i="2" s="1"/>
  <c r="H64" i="2" s="1"/>
  <c r="I79" i="3"/>
  <c r="O79" i="3" l="1"/>
  <c r="K80" i="3" s="1"/>
  <c r="F65" i="2" s="1"/>
  <c r="H65" i="2" s="1"/>
  <c r="I80" i="3"/>
  <c r="G80" i="3"/>
  <c r="O80" i="3" l="1"/>
  <c r="I81" i="3" l="1"/>
  <c r="G81" i="3"/>
  <c r="K81" i="3"/>
  <c r="F66" i="2" s="1"/>
  <c r="H66" i="2" s="1"/>
  <c r="O81" i="3" l="1"/>
  <c r="I82" i="3" l="1"/>
  <c r="G82" i="3"/>
  <c r="K82" i="3"/>
  <c r="F67" i="2" s="1"/>
  <c r="H67" i="2" s="1"/>
  <c r="O82" i="3" l="1"/>
  <c r="K83" i="3" l="1"/>
  <c r="F68" i="2" s="1"/>
  <c r="H68" i="2" s="1"/>
  <c r="G83" i="3"/>
  <c r="I83" i="3"/>
  <c r="O83" i="3" l="1"/>
  <c r="K84" i="3" l="1"/>
  <c r="F69" i="2" s="1"/>
  <c r="H69" i="2" s="1"/>
  <c r="I84" i="3"/>
  <c r="G84" i="3"/>
  <c r="O84" i="3"/>
  <c r="K85" i="3" l="1"/>
  <c r="F70" i="2" s="1"/>
  <c r="H70" i="2" s="1"/>
  <c r="I85" i="3"/>
  <c r="G85" i="3"/>
  <c r="O85" i="3"/>
  <c r="G86" i="3" l="1"/>
  <c r="K86" i="3"/>
  <c r="F71" i="2" s="1"/>
  <c r="H71" i="2" s="1"/>
  <c r="I86" i="3"/>
  <c r="O86" i="3" l="1"/>
  <c r="G87" i="3" l="1"/>
  <c r="K87" i="3"/>
  <c r="F72" i="2" s="1"/>
  <c r="H72" i="2" s="1"/>
  <c r="I87" i="3"/>
  <c r="O87" i="3" l="1"/>
  <c r="K88" i="3" l="1"/>
  <c r="F73" i="2" s="1"/>
  <c r="H73" i="2" s="1"/>
  <c r="I88" i="3"/>
  <c r="O88" i="3"/>
  <c r="G88" i="3"/>
  <c r="I89" i="3" l="1"/>
  <c r="G89" i="3"/>
  <c r="K89" i="3"/>
  <c r="F74" i="2" s="1"/>
  <c r="H74" i="2" s="1"/>
  <c r="O89" i="3" l="1"/>
  <c r="I90" i="3" l="1"/>
  <c r="G90" i="3"/>
  <c r="K90" i="3"/>
  <c r="F75" i="2" s="1"/>
  <c r="H75" i="2" s="1"/>
  <c r="O90" i="3" l="1"/>
  <c r="K91" i="3" l="1"/>
  <c r="F76" i="2" s="1"/>
  <c r="H76" i="2" s="1"/>
  <c r="I91" i="3"/>
  <c r="G91" i="3"/>
  <c r="O91" i="3" l="1"/>
  <c r="K92" i="3" l="1"/>
  <c r="F77" i="2" s="1"/>
  <c r="H77" i="2" s="1"/>
  <c r="I92" i="3"/>
  <c r="G92" i="3"/>
  <c r="O92" i="3" l="1"/>
  <c r="K93" i="3" l="1"/>
  <c r="F78" i="2" s="1"/>
  <c r="H78" i="2" s="1"/>
  <c r="I93" i="3"/>
  <c r="G93" i="3"/>
  <c r="O93" i="3"/>
  <c r="K94" i="3" l="1"/>
  <c r="F79" i="2" s="1"/>
  <c r="H79" i="2" s="1"/>
  <c r="G94" i="3"/>
  <c r="I94" i="3"/>
  <c r="O94" i="3" l="1"/>
  <c r="G95" i="3" l="1"/>
  <c r="K95" i="3"/>
  <c r="F80" i="2" s="1"/>
  <c r="H80" i="2" s="1"/>
  <c r="I95" i="3"/>
  <c r="O95" i="3" l="1"/>
  <c r="K96" i="3" l="1"/>
  <c r="F81" i="2" s="1"/>
  <c r="H81" i="2" s="1"/>
  <c r="I96" i="3"/>
  <c r="G96" i="3"/>
  <c r="O96" i="3" l="1"/>
  <c r="I97" i="3" l="1"/>
  <c r="G97" i="3"/>
  <c r="K97" i="3"/>
  <c r="F82" i="2" s="1"/>
  <c r="H82" i="2" s="1"/>
  <c r="O97" i="3" l="1"/>
  <c r="I98" i="3" l="1"/>
  <c r="G98" i="3"/>
  <c r="K98" i="3"/>
  <c r="F83" i="2" s="1"/>
  <c r="H83" i="2" s="1"/>
  <c r="O98" i="3" l="1"/>
  <c r="K99" i="3" l="1"/>
  <c r="F84" i="2" s="1"/>
  <c r="H84" i="2" s="1"/>
  <c r="I99" i="3"/>
  <c r="G99" i="3"/>
  <c r="O99" i="3" l="1"/>
  <c r="K100" i="3" l="1"/>
  <c r="F85" i="2" s="1"/>
  <c r="H85" i="2" s="1"/>
  <c r="I100" i="3"/>
  <c r="G100" i="3"/>
  <c r="O100" i="3" l="1"/>
  <c r="K101" i="3" l="1"/>
  <c r="F86" i="2" s="1"/>
  <c r="H86" i="2" s="1"/>
  <c r="I101" i="3"/>
  <c r="G101" i="3"/>
  <c r="O101" i="3"/>
  <c r="K102" i="3" l="1"/>
  <c r="F87" i="2" s="1"/>
  <c r="H87" i="2" s="1"/>
  <c r="G102" i="3"/>
  <c r="I102" i="3"/>
  <c r="O102" i="3" l="1"/>
  <c r="G103" i="3" l="1"/>
  <c r="K103" i="3"/>
  <c r="F88" i="2" s="1"/>
  <c r="H88" i="2" s="1"/>
  <c r="I103" i="3"/>
  <c r="O103" i="3" l="1"/>
  <c r="K104" i="3" l="1"/>
  <c r="F89" i="2" s="1"/>
  <c r="H89" i="2" s="1"/>
  <c r="I104" i="3"/>
  <c r="G104" i="3"/>
  <c r="O104" i="3" l="1"/>
  <c r="K105" i="3" s="1"/>
  <c r="F90" i="2" s="1"/>
  <c r="H90" i="2" s="1"/>
  <c r="G105" i="3" l="1"/>
  <c r="I105" i="3"/>
  <c r="O105" i="3"/>
  <c r="I106" i="3" l="1"/>
  <c r="G106" i="3"/>
  <c r="K106" i="3"/>
  <c r="F91" i="2" s="1"/>
  <c r="H91" i="2" s="1"/>
  <c r="O106" i="3" l="1"/>
  <c r="K107" i="3" l="1"/>
  <c r="F92" i="2" s="1"/>
  <c r="H92" i="2" s="1"/>
  <c r="I107" i="3"/>
  <c r="G107" i="3"/>
  <c r="O107" i="3" l="1"/>
  <c r="K108" i="3" l="1"/>
  <c r="F93" i="2" s="1"/>
  <c r="H93" i="2" s="1"/>
  <c r="I108" i="3"/>
  <c r="G108" i="3"/>
  <c r="O108" i="3" l="1"/>
  <c r="K109" i="3" l="1"/>
  <c r="F94" i="2" s="1"/>
  <c r="H94" i="2" s="1"/>
  <c r="I109" i="3"/>
  <c r="G109" i="3"/>
  <c r="O109" i="3"/>
  <c r="K110" i="3" l="1"/>
  <c r="F95" i="2" s="1"/>
  <c r="H95" i="2" s="1"/>
  <c r="I110" i="3"/>
  <c r="G110" i="3"/>
  <c r="O110" i="3" l="1"/>
  <c r="G111" i="3" l="1"/>
  <c r="K111" i="3"/>
  <c r="F96" i="2" s="1"/>
  <c r="H96" i="2" s="1"/>
  <c r="I111" i="3"/>
  <c r="O111" i="3" l="1"/>
  <c r="K112" i="3" l="1"/>
  <c r="F97" i="2" s="1"/>
  <c r="H97" i="2" s="1"/>
  <c r="I112" i="3"/>
  <c r="G112" i="3"/>
  <c r="O112" i="3" l="1"/>
  <c r="K113" i="3" s="1"/>
  <c r="F98" i="2" s="1"/>
  <c r="H98" i="2" s="1"/>
  <c r="G113" i="3"/>
  <c r="I113" i="3" l="1"/>
  <c r="O113" i="3"/>
  <c r="I114" i="3" l="1"/>
  <c r="G114" i="3"/>
  <c r="K114" i="3"/>
  <c r="F99" i="2" s="1"/>
  <c r="H99" i="2" s="1"/>
  <c r="O114" i="3" l="1"/>
  <c r="K115" i="3" l="1"/>
  <c r="F100" i="2" s="1"/>
  <c r="H100" i="2" s="1"/>
  <c r="I115" i="3"/>
  <c r="G115" i="3"/>
  <c r="O115" i="3" l="1"/>
  <c r="K116" i="3" l="1"/>
  <c r="F101" i="2" s="1"/>
  <c r="H101" i="2" s="1"/>
  <c r="I116" i="3"/>
  <c r="G116" i="3"/>
  <c r="O116" i="3" l="1"/>
  <c r="K117" i="3" l="1"/>
  <c r="F102" i="2" s="1"/>
  <c r="H102" i="2" s="1"/>
  <c r="I117" i="3"/>
  <c r="G117" i="3"/>
  <c r="O117" i="3"/>
  <c r="K118" i="3" l="1"/>
  <c r="F103" i="2" s="1"/>
  <c r="H103" i="2" s="1"/>
  <c r="I118" i="3"/>
  <c r="G118" i="3"/>
  <c r="O118" i="3" l="1"/>
  <c r="G119" i="3" l="1"/>
  <c r="K119" i="3"/>
  <c r="F104" i="2" s="1"/>
  <c r="H104" i="2" s="1"/>
  <c r="I119" i="3"/>
  <c r="O119" i="3" l="1"/>
  <c r="K120" i="3" l="1"/>
  <c r="F105" i="2" s="1"/>
  <c r="H105" i="2" s="1"/>
  <c r="I120" i="3"/>
  <c r="G120" i="3"/>
  <c r="O120" i="3"/>
  <c r="K121" i="3" l="1"/>
  <c r="F106" i="2" s="1"/>
  <c r="H106" i="2" s="1"/>
  <c r="I121" i="3"/>
  <c r="G121" i="3"/>
  <c r="O121" i="3" l="1"/>
  <c r="I122" i="3" l="1"/>
  <c r="G122" i="3"/>
  <c r="K122" i="3"/>
  <c r="F107" i="2" s="1"/>
  <c r="H107" i="2" s="1"/>
  <c r="O122" i="3" l="1"/>
  <c r="K123" i="3" l="1"/>
  <c r="F108" i="2" s="1"/>
  <c r="H108" i="2" s="1"/>
  <c r="I123" i="3"/>
  <c r="G123" i="3"/>
  <c r="O123" i="3" l="1"/>
  <c r="K124" i="3" l="1"/>
  <c r="F109" i="2" s="1"/>
  <c r="H109" i="2" s="1"/>
  <c r="I124" i="3"/>
  <c r="G124" i="3"/>
  <c r="O124" i="3" l="1"/>
  <c r="K125" i="3" l="1"/>
  <c r="F110" i="2" s="1"/>
  <c r="H110" i="2" s="1"/>
  <c r="I125" i="3"/>
  <c r="G125" i="3"/>
  <c r="O125" i="3" l="1"/>
  <c r="K126" i="3" l="1"/>
  <c r="F111" i="2" s="1"/>
  <c r="H111" i="2" s="1"/>
  <c r="I126" i="3"/>
  <c r="G126" i="3"/>
  <c r="O126" i="3" l="1"/>
  <c r="G127" i="3" l="1"/>
  <c r="K127" i="3"/>
  <c r="F112" i="2" s="1"/>
  <c r="H112" i="2" s="1"/>
  <c r="I127" i="3"/>
  <c r="O127" i="3" l="1"/>
  <c r="K128" i="3" l="1"/>
  <c r="F113" i="2" s="1"/>
  <c r="H113" i="2" s="1"/>
  <c r="I128" i="3"/>
  <c r="G128" i="3"/>
  <c r="O128" i="3"/>
  <c r="K129" i="3" l="1"/>
  <c r="F114" i="2" s="1"/>
  <c r="H114" i="2" s="1"/>
  <c r="I129" i="3"/>
  <c r="G129" i="3"/>
  <c r="O129" i="3" l="1"/>
  <c r="I130" i="3" l="1"/>
  <c r="G130" i="3"/>
  <c r="K130" i="3"/>
  <c r="F115" i="2" s="1"/>
  <c r="H115" i="2" s="1"/>
  <c r="O130" i="3" l="1"/>
  <c r="K131" i="3" l="1"/>
  <c r="F116" i="2" s="1"/>
  <c r="H116" i="2" s="1"/>
  <c r="I131" i="3"/>
  <c r="G131" i="3"/>
  <c r="O131" i="3" l="1"/>
  <c r="K132" i="3" l="1"/>
  <c r="F117" i="2" s="1"/>
  <c r="H117" i="2" s="1"/>
  <c r="I132" i="3"/>
  <c r="G132" i="3"/>
  <c r="O132" i="3" l="1"/>
  <c r="K133" i="3" l="1"/>
  <c r="F118" i="2" s="1"/>
  <c r="H118" i="2" s="1"/>
  <c r="I133" i="3"/>
  <c r="G133" i="3"/>
  <c r="O133" i="3"/>
  <c r="K134" i="3" l="1"/>
  <c r="F119" i="2" s="1"/>
  <c r="H119" i="2" s="1"/>
  <c r="I134" i="3"/>
  <c r="G134" i="3"/>
  <c r="O134" i="3" l="1"/>
  <c r="G135" i="3" l="1"/>
  <c r="K135" i="3"/>
  <c r="F120" i="2" s="1"/>
  <c r="H120" i="2" s="1"/>
  <c r="I135" i="3"/>
  <c r="O135" i="3" l="1"/>
  <c r="K136" i="3" l="1"/>
  <c r="F121" i="2" s="1"/>
  <c r="H121" i="2" s="1"/>
  <c r="I136" i="3"/>
  <c r="G136" i="3"/>
  <c r="O136" i="3" l="1"/>
  <c r="K137" i="3" s="1"/>
  <c r="F122" i="2" s="1"/>
  <c r="H122" i="2" s="1"/>
  <c r="G137" i="3" l="1"/>
  <c r="I137" i="3"/>
  <c r="O137" i="3"/>
  <c r="I138" i="3" l="1"/>
  <c r="G138" i="3"/>
  <c r="K138" i="3"/>
  <c r="F123" i="2" s="1"/>
  <c r="H123" i="2" s="1"/>
  <c r="O138" i="3" l="1"/>
  <c r="K139" i="3" l="1"/>
  <c r="F124" i="2" s="1"/>
  <c r="H124" i="2" s="1"/>
  <c r="I139" i="3"/>
  <c r="G139" i="3"/>
  <c r="O139" i="3" l="1"/>
  <c r="K140" i="3" l="1"/>
  <c r="F125" i="2" s="1"/>
  <c r="H125" i="2" s="1"/>
  <c r="I140" i="3"/>
  <c r="G140" i="3"/>
  <c r="O140" i="3" l="1"/>
  <c r="K141" i="3" l="1"/>
  <c r="F126" i="2" s="1"/>
  <c r="H126" i="2" s="1"/>
  <c r="I141" i="3"/>
  <c r="G141" i="3"/>
  <c r="O141" i="3" l="1"/>
  <c r="K142" i="3" l="1"/>
  <c r="F127" i="2" s="1"/>
  <c r="H127" i="2" s="1"/>
  <c r="I142" i="3"/>
  <c r="G142" i="3"/>
  <c r="O142" i="3" l="1"/>
  <c r="G143" i="3" l="1"/>
  <c r="K143" i="3"/>
  <c r="F128" i="2" s="1"/>
  <c r="H128" i="2" s="1"/>
  <c r="I143" i="3"/>
  <c r="O143" i="3" l="1"/>
  <c r="K144" i="3" l="1"/>
  <c r="F129" i="2" s="1"/>
  <c r="H129" i="2" s="1"/>
  <c r="I144" i="3"/>
  <c r="G144" i="3"/>
  <c r="O144" i="3"/>
  <c r="K145" i="3" l="1"/>
  <c r="F130" i="2" s="1"/>
  <c r="H130" i="2" s="1"/>
  <c r="I145" i="3"/>
  <c r="G145" i="3"/>
  <c r="O145" i="3" l="1"/>
  <c r="I146" i="3" s="1"/>
  <c r="G146" i="3"/>
  <c r="K146" i="3"/>
  <c r="F131" i="2" s="1"/>
  <c r="H131" i="2" s="1"/>
  <c r="O146" i="3" l="1"/>
  <c r="K147" i="3" l="1"/>
  <c r="F132" i="2" s="1"/>
  <c r="H132" i="2" s="1"/>
  <c r="I147" i="3"/>
  <c r="G147" i="3"/>
  <c r="O147" i="3" l="1"/>
  <c r="K148" i="3" l="1"/>
  <c r="F133" i="2" s="1"/>
  <c r="H133" i="2" s="1"/>
  <c r="I148" i="3"/>
  <c r="G148" i="3"/>
  <c r="O148" i="3" l="1"/>
  <c r="K149" i="3" l="1"/>
  <c r="F134" i="2" s="1"/>
  <c r="H134" i="2" s="1"/>
  <c r="I149" i="3"/>
  <c r="G149" i="3"/>
  <c r="O149" i="3"/>
  <c r="K150" i="3" l="1"/>
  <c r="F135" i="2" s="1"/>
  <c r="H135" i="2" s="1"/>
  <c r="I150" i="3"/>
  <c r="G150" i="3"/>
  <c r="O150" i="3" l="1"/>
  <c r="G151" i="3" l="1"/>
  <c r="K151" i="3"/>
  <c r="F136" i="2" s="1"/>
  <c r="H136" i="2" s="1"/>
  <c r="I151" i="3"/>
  <c r="O151" i="3" l="1"/>
  <c r="K152" i="3" l="1"/>
  <c r="F137" i="2" s="1"/>
  <c r="H137" i="2" s="1"/>
  <c r="I152" i="3"/>
  <c r="G152" i="3"/>
  <c r="O152" i="3" l="1"/>
  <c r="K153" i="3" l="1"/>
  <c r="F138" i="2" s="1"/>
  <c r="H138" i="2" s="1"/>
  <c r="I153" i="3"/>
  <c r="G153" i="3"/>
  <c r="O153" i="3" l="1"/>
  <c r="I154" i="3" l="1"/>
  <c r="G154" i="3"/>
  <c r="K154" i="3"/>
  <c r="F139" i="2" s="1"/>
  <c r="H139" i="2" s="1"/>
  <c r="O154" i="3" l="1"/>
  <c r="K155" i="3" l="1"/>
  <c r="F140" i="2" s="1"/>
  <c r="H140" i="2" s="1"/>
  <c r="I155" i="3"/>
  <c r="G155" i="3"/>
  <c r="O155" i="3" l="1"/>
  <c r="K156" i="3" l="1"/>
  <c r="F141" i="2" s="1"/>
  <c r="H141" i="2" s="1"/>
  <c r="I156" i="3"/>
  <c r="G156" i="3"/>
  <c r="O156" i="3" l="1"/>
  <c r="K157" i="3" l="1"/>
  <c r="F142" i="2" s="1"/>
  <c r="H142" i="2" s="1"/>
  <c r="I157" i="3"/>
  <c r="G157" i="3"/>
  <c r="O157" i="3" l="1"/>
  <c r="K158" i="3" s="1"/>
  <c r="F143" i="2" s="1"/>
  <c r="H143" i="2" s="1"/>
  <c r="G158" i="3" l="1"/>
  <c r="I158" i="3"/>
  <c r="O158" i="3"/>
  <c r="G159" i="3" l="1"/>
  <c r="K159" i="3"/>
  <c r="F144" i="2" s="1"/>
  <c r="H144" i="2" s="1"/>
  <c r="I159" i="3"/>
  <c r="O159" i="3" l="1"/>
  <c r="K160" i="3" l="1"/>
  <c r="F145" i="2" s="1"/>
  <c r="H145" i="2" s="1"/>
  <c r="I160" i="3"/>
  <c r="G160" i="3"/>
  <c r="O160" i="3"/>
  <c r="K161" i="3" l="1"/>
  <c r="F146" i="2" s="1"/>
  <c r="H146" i="2" s="1"/>
  <c r="I161" i="3"/>
  <c r="G161" i="3"/>
  <c r="O161" i="3" l="1"/>
  <c r="I162" i="3" l="1"/>
  <c r="G162" i="3"/>
  <c r="K162" i="3"/>
  <c r="F147" i="2" s="1"/>
  <c r="H147" i="2" s="1"/>
  <c r="O162" i="3" l="1"/>
  <c r="K163" i="3" l="1"/>
  <c r="F148" i="2" s="1"/>
  <c r="H148" i="2" s="1"/>
  <c r="I163" i="3"/>
  <c r="G163" i="3"/>
  <c r="O163" i="3" l="1"/>
  <c r="K164" i="3" l="1"/>
  <c r="F149" i="2" s="1"/>
  <c r="I164" i="3"/>
  <c r="G164" i="3"/>
  <c r="F150" i="2" l="1"/>
  <c r="H149" i="2"/>
  <c r="O16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Carter, Kate Louise</author>
  </authors>
  <commentList>
    <comment ref="E34" authorId="0" shapeId="0" xr:uid="{AD126C3B-7D94-4E50-9C0E-CF1E4E392514}">
      <text>
        <r>
          <rPr>
            <b/>
            <sz val="9"/>
            <color indexed="81"/>
            <rFont val="Tahoma"/>
            <family val="2"/>
          </rPr>
          <t>Carter, Kate Louise:</t>
        </r>
        <r>
          <rPr>
            <sz val="9"/>
            <color indexed="81"/>
            <rFont val="Tahoma"/>
            <family val="2"/>
          </rPr>
          <t xml:space="preserve">
Note - this is a reduction due to accrual revesals and reclasses to capital</t>
        </r>
      </text>
    </comment>
  </commentList>
</comments>
</file>

<file path=xl/sharedStrings.xml><?xml version="1.0" encoding="utf-8"?>
<sst xmlns="http://schemas.openxmlformats.org/spreadsheetml/2006/main" count="475" uniqueCount="285">
  <si>
    <t>A)</t>
  </si>
  <si>
    <t>B)</t>
  </si>
  <si>
    <t>C)</t>
  </si>
  <si>
    <t>D)</t>
  </si>
  <si>
    <t>Duke Energy Kentucky, Inc.</t>
  </si>
  <si>
    <t>Case No. 2020-00142</t>
  </si>
  <si>
    <t>Commission Staff's Second Request for Information Question #2</t>
  </si>
  <si>
    <t>ES FORM 2.20</t>
  </si>
  <si>
    <t>Amortization Calculation for Coal Ash ARO</t>
  </si>
  <si>
    <t>(5) + (8)</t>
  </si>
  <si>
    <t>Line</t>
  </si>
  <si>
    <t>Period</t>
  </si>
  <si>
    <r>
      <t>Cash Spend</t>
    </r>
    <r>
      <rPr>
        <i/>
        <sz val="10"/>
        <color theme="1"/>
        <rFont val="Arial"/>
        <family val="2"/>
      </rPr>
      <t xml:space="preserve"> (April 13, 2018 and prior)</t>
    </r>
  </si>
  <si>
    <t>COR Credit</t>
  </si>
  <si>
    <t>Carrying Cost</t>
  </si>
  <si>
    <t>Recovery: 10-yr Amortization</t>
  </si>
  <si>
    <t>Ending Balance (10-yr Amortization)</t>
  </si>
  <si>
    <r>
      <t>Cash Spend</t>
    </r>
    <r>
      <rPr>
        <i/>
        <sz val="10"/>
        <color theme="1"/>
        <rFont val="Arial"/>
        <family val="2"/>
      </rPr>
      <t xml:space="preserve"> (after April 13, 2018)</t>
    </r>
  </si>
  <si>
    <t>Recovery: 2-month Cycle</t>
  </si>
  <si>
    <t>Ending Balance (2-month cycle)</t>
  </si>
  <si>
    <t>Total Recovery</t>
  </si>
  <si>
    <t>No.</t>
  </si>
  <si>
    <t>(1)</t>
  </si>
  <si>
    <t>(2)</t>
  </si>
  <si>
    <t>(3)</t>
  </si>
  <si>
    <t>(4)</t>
  </si>
  <si>
    <t>(5)</t>
  </si>
  <si>
    <t>(6)</t>
  </si>
  <si>
    <t>(7)</t>
  </si>
  <si>
    <t>(8)</t>
  </si>
  <si>
    <t>(9)</t>
  </si>
  <si>
    <t>(10)</t>
  </si>
  <si>
    <t>2015 Total</t>
  </si>
  <si>
    <t>Actual</t>
  </si>
  <si>
    <t>2016 Total</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</si>
  <si>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</si>
  <si>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</si>
  <si>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</si>
  <si>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</si>
  <si>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</si>
  <si>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</si>
  <si>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</si>
  <si>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</si>
  <si>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</si>
  <si>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</si>
  <si>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</si>
  <si>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</si>
  <si>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</si>
  <si>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</si>
  <si>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</si>
  <si>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</si>
  <si>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</si>
  <si>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</si>
  <si>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</si>
  <si>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</si>
  <si>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</si>
  <si>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</si>
  <si>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</si>
  <si>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</si>
  <si>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</si>
  <si>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</si>
  <si>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</si>
  <si>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</si>
  <si>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</si>
  <si>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</si>
  <si>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</si>
  <si>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</si>
  <si>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</si>
  <si>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</si>
  <si>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</si>
  <si>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</si>
  <si>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</si>
  <si>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</si>
  <si>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</si>
  <si>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</si>
  <si>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</si>
  <si>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</si>
  <si>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</si>
  <si>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</si>
  <si>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</si>
  <si>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</si>
  <si>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</si>
  <si>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</si>
  <si>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</si>
  <si>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</si>
  <si>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</si>
  <si>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</si>
  <si>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</si>
  <si>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</si>
  <si>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</si>
  <si>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</si>
  <si>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</si>
  <si>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</si>
  <si>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</si>
  <si>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</si>
  <si>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</si>
  <si>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</si>
  <si>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</si>
  <si>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</si>
  <si>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</si>
  <si>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</si>
  <si>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</si>
  <si>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</si>
  <si>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</si>
  <si>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</si>
  <si>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</si>
  <si>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</si>
  <si>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</si>
  <si>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</si>
  <si>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</si>
  <si>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</si>
  <si>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</si>
  <si>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</si>
  <si>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</si>
  <si>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</si>
  <si>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</si>
  <si>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</si>
  <si>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</si>
  <si>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</si>
  <si>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</si>
  <si>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</si>
  <si>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Mar-24</t>
  </si>
  <si>
    <t>Apr-24</t>
  </si>
  <si>
    <t>May-24</t>
  </si>
  <si>
    <t>Jun-24</t>
  </si>
  <si>
    <t>Jul-24</t>
  </si>
  <si>
    <t>Aug-24</t>
  </si>
  <si>
    <t>Sep-24</t>
  </si>
  <si>
    <t>Oct-24</t>
  </si>
  <si>
    <t>Nov-24</t>
  </si>
  <si>
    <t>Dec-24</t>
  </si>
  <si>
    <t>Jan-25</t>
  </si>
  <si>
    <t>Feb-25</t>
  </si>
  <si>
    <t>Mar-25</t>
  </si>
  <si>
    <t>Apr-25</t>
  </si>
  <si>
    <t>May-25</t>
  </si>
  <si>
    <t>Jun-25</t>
  </si>
  <si>
    <t>Jul-25</t>
  </si>
  <si>
    <t>Aug-25</t>
  </si>
  <si>
    <t>Sep-25</t>
  </si>
  <si>
    <t>Oct-25</t>
  </si>
  <si>
    <t>Nov-25</t>
  </si>
  <si>
    <t>Dec-25</t>
  </si>
  <si>
    <t>Jan-26</t>
  </si>
  <si>
    <t>Feb-26</t>
  </si>
  <si>
    <t>Mar-26</t>
  </si>
  <si>
    <t>Apr-26</t>
  </si>
  <si>
    <t>May-26</t>
  </si>
  <si>
    <t>Jun-26</t>
  </si>
  <si>
    <t>Jul-26</t>
  </si>
  <si>
    <t>Aug-26</t>
  </si>
  <si>
    <t>Sep-26</t>
  </si>
  <si>
    <t>Oct-26</t>
  </si>
  <si>
    <t>Nov-26</t>
  </si>
  <si>
    <t>Dec-26</t>
  </si>
  <si>
    <t>Jan-27</t>
  </si>
  <si>
    <t>Feb-27</t>
  </si>
  <si>
    <t>Mar-27</t>
  </si>
  <si>
    <t>Apr-27</t>
  </si>
  <si>
    <t>May-27</t>
  </si>
  <si>
    <t>Jun-27</t>
  </si>
  <si>
    <t>Jul-27</t>
  </si>
  <si>
    <t>Aug-27</t>
  </si>
  <si>
    <t>Sep-27</t>
  </si>
  <si>
    <t>Oct-27</t>
  </si>
  <si>
    <t>Nov-27</t>
  </si>
  <si>
    <t>Dec-27</t>
  </si>
  <si>
    <t>Jan-28</t>
  </si>
  <si>
    <t>Feb-28</t>
  </si>
  <si>
    <t>Mar-28</t>
  </si>
  <si>
    <t>Apr-28</t>
  </si>
  <si>
    <t>May-28</t>
  </si>
  <si>
    <t>Amortization Period (yrs)</t>
  </si>
  <si>
    <t>Monthly Amortization Amount</t>
  </si>
  <si>
    <t>Annualized Amortization Amount</t>
  </si>
  <si>
    <t>Duke Energy Kentucky</t>
  </si>
  <si>
    <t>Amortization Calculation for Coal Ash ARO - Actual spend through April 13, 2018</t>
  </si>
  <si>
    <t>a</t>
  </si>
  <si>
    <t>b</t>
  </si>
  <si>
    <t>a+b</t>
  </si>
  <si>
    <t>enter as negative</t>
  </si>
  <si>
    <t>Cash Spend</t>
  </si>
  <si>
    <t>Debt Carrying Cost on Spend Balance</t>
  </si>
  <si>
    <t>Equity Carrying Cost on Spend Balance</t>
  </si>
  <si>
    <t>Total Carrying Cost on Spend Balance</t>
  </si>
  <si>
    <t>Recovery</t>
  </si>
  <si>
    <t>Ending Balance</t>
  </si>
  <si>
    <t>Based on Final Rate Order WACC</t>
  </si>
  <si>
    <t>Debt</t>
  </si>
  <si>
    <t>Equity</t>
  </si>
  <si>
    <t>Sum</t>
  </si>
  <si>
    <t>Start April 18</t>
  </si>
  <si>
    <t>(6/18 - 5/28)</t>
  </si>
  <si>
    <r>
      <t xml:space="preserve">Monthly Amortization Amount </t>
    </r>
    <r>
      <rPr>
        <i/>
        <sz val="11"/>
        <color theme="1"/>
        <rFont val="Calibri"/>
        <family val="2"/>
        <scheme val="minor"/>
      </rPr>
      <t>(Goal Seek</t>
    </r>
    <r>
      <rPr>
        <sz val="11"/>
        <color theme="1"/>
        <rFont val="Calibri"/>
        <family val="2"/>
        <scheme val="minor"/>
      </rPr>
      <t>)</t>
    </r>
  </si>
  <si>
    <t>WACC to use for Carrying Charge on Unrecovered Coal Ash ARO Spend</t>
  </si>
  <si>
    <t>Rate Order Case 2017-00321</t>
  </si>
  <si>
    <r>
      <t xml:space="preserve">Per Order, WACC to be used in the monthly ESM filings (which includes the coal ash ARO recovery) is </t>
    </r>
    <r>
      <rPr>
        <b/>
        <sz val="11"/>
        <rFont val="Times New Roman"/>
        <family val="1"/>
      </rPr>
      <t>6.830%</t>
    </r>
    <r>
      <rPr>
        <sz val="11"/>
        <rFont val="Times New Roman"/>
        <family val="1"/>
      </rPr>
      <t>.</t>
    </r>
  </si>
  <si>
    <r>
      <t xml:space="preserve">After gross up for tax rate, this rate of return is </t>
    </r>
    <r>
      <rPr>
        <b/>
        <sz val="11"/>
        <rFont val="Times New Roman"/>
        <family val="1"/>
      </rPr>
      <t>8.446%.  See below.</t>
    </r>
  </si>
  <si>
    <t>This annual rate is broken down into monthly debt and equity rates as follows:</t>
  </si>
  <si>
    <t>Effective Annual Rate</t>
  </si>
  <si>
    <t>Nominal Annual Rate</t>
  </si>
  <si>
    <t>Monthly Rate</t>
  </si>
  <si>
    <t>Debt %</t>
  </si>
  <si>
    <t>Debt Monthly Rate</t>
  </si>
  <si>
    <t>Equity %</t>
  </si>
  <si>
    <t>Equity Monthly Rate</t>
  </si>
  <si>
    <t>Sources:</t>
  </si>
  <si>
    <t>Annual Rate</t>
  </si>
  <si>
    <t>Final Order Case 2017-00321, page 76</t>
  </si>
  <si>
    <t>Debt / Equity %</t>
  </si>
  <si>
    <t>Per WACC filed by DEK and included in SEL-Rebuttal-2b that was referenced</t>
  </si>
  <si>
    <t>ES FORM 1.20</t>
  </si>
  <si>
    <t>Cost of Capital</t>
  </si>
  <si>
    <t xml:space="preserve">Weighted </t>
  </si>
  <si>
    <t>Gross up for</t>
  </si>
  <si>
    <t xml:space="preserve">Pre-Tax </t>
  </si>
  <si>
    <t>Capital Structure</t>
  </si>
  <si>
    <t>Ratio</t>
  </si>
  <si>
    <t>Cost</t>
  </si>
  <si>
    <t>Tax Rate</t>
  </si>
  <si>
    <t>Rate of Return</t>
  </si>
  <si>
    <t>(A)</t>
  </si>
  <si>
    <t>(B)</t>
  </si>
  <si>
    <t>(A)x(B)</t>
  </si>
  <si>
    <t>Short-term Debt</t>
  </si>
  <si>
    <t>Long-term Debt</t>
  </si>
  <si>
    <t>Common Equity</t>
  </si>
  <si>
    <t xml:space="preserve">  Total</t>
  </si>
  <si>
    <t xml:space="preserve">DE Kentucky </t>
  </si>
  <si>
    <t>Return on Debt and Equity - Coal Ash Spend</t>
  </si>
  <si>
    <t>Rate Inputs</t>
  </si>
  <si>
    <t>Retail Rates: (Monthly - Compounded)</t>
  </si>
  <si>
    <t>Debt Rate</t>
  </si>
  <si>
    <t>Equity Rate</t>
  </si>
  <si>
    <t>January</t>
  </si>
  <si>
    <t>February</t>
  </si>
  <si>
    <t>March</t>
  </si>
  <si>
    <t>April</t>
  </si>
  <si>
    <t xml:space="preserve">May </t>
  </si>
  <si>
    <t xml:space="preserve">June </t>
  </si>
  <si>
    <t>July</t>
  </si>
  <si>
    <t>August</t>
  </si>
  <si>
    <t>September</t>
  </si>
  <si>
    <t>October</t>
  </si>
  <si>
    <t>November</t>
  </si>
  <si>
    <t>December</t>
  </si>
  <si>
    <t>Retail Rates - For Initial Recognition</t>
  </si>
  <si>
    <t>Monthly (Compounded)</t>
  </si>
  <si>
    <t>DE Kentucky Retail</t>
  </si>
  <si>
    <t>c</t>
  </si>
  <si>
    <t>d</t>
  </si>
  <si>
    <t>e=a+b+c+d</t>
  </si>
  <si>
    <t>g = e*f</t>
  </si>
  <si>
    <t>h=e*f</t>
  </si>
  <si>
    <t>i=e+g+h</t>
  </si>
  <si>
    <t>Beginning</t>
  </si>
  <si>
    <t>Additions</t>
  </si>
  <si>
    <t>Deduction</t>
  </si>
  <si>
    <t>Beneficial</t>
  </si>
  <si>
    <t>Balance</t>
  </si>
  <si>
    <t>Ending</t>
  </si>
  <si>
    <t>(Settlements)</t>
  </si>
  <si>
    <t>(COR)</t>
  </si>
  <si>
    <t>Reuse</t>
  </si>
  <si>
    <t>(After Adj)</t>
  </si>
  <si>
    <t>Return</t>
  </si>
  <si>
    <t>Excludes Landfill</t>
  </si>
  <si>
    <t>(PM Settlements)</t>
  </si>
  <si>
    <t xml:space="preserve">January </t>
  </si>
  <si>
    <t>Feb</t>
  </si>
  <si>
    <t>May</t>
  </si>
  <si>
    <t>June</t>
  </si>
  <si>
    <t>Aug</t>
  </si>
  <si>
    <t>Sept</t>
  </si>
  <si>
    <t>Oct</t>
  </si>
  <si>
    <t>Nov</t>
  </si>
  <si>
    <t>Dec</t>
  </si>
  <si>
    <t>Please refer to the subsequent tabs in response to questions DR-02-002(a) and DR-02-002(b).</t>
  </si>
  <si>
    <t xml:space="preserve">on page 76 of the Final Order.  </t>
  </si>
  <si>
    <t>{1}</t>
  </si>
  <si>
    <t>Prior to April 2018 the debt and equity rates utilized to calculate the carrying costs were based on the AFUDC (capitalized interest) rates each month.  The balance upon which the rates of return (AFUDC rates) were applied to included the actual settlement spend, less COR reclasses.  Please refer Tabs B-I within this spreadsheet which includes all historical return calculations for the periods prior to April 2018.</t>
  </si>
  <si>
    <t>Beginning in April 2018 the rates utilized to calculate the carrying charges were done so using Kentucky's approved weighted average cost of capital. Please refer Tabs B-I within this spreadsheet which includes all historical return calculations for the periods after April 2018.</t>
  </si>
  <si>
    <t>The monthly debt and equity rates utilized within these calculations were derived from the monthly AFUDC/Capitalization interest rates received each month.</t>
  </si>
  <si>
    <t>As noted in the response to DR-02-002(C) all month's carry charge calculations were done so in a method approved in Case No. 2015-00187.  As such this question is not applicable.</t>
  </si>
  <si>
    <t>Based upon the responses above, all carrying charge calculations during this time comply with the calculation approved in Case No. 2015-00187.  Per the aforementioned Order, "the carrying costs will be based on Duke Kentucky's average cost of capital ("WACC"), calculated in a manner similar to its allowance for funds used during construction calculation ("AFUDC")."  As such, given that the calculation prior to April 2018 was based on the AFUDC calculation, and beginning in April 2018 the calculation utilized the WACC, the calculation was in compliance with the order during each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</si>
</sst>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1" formatCode="_(* #,##0_);_(* \(#,##0\);_(* &quot;-&quot;_);_(@_)"/>
    <numFmt numFmtId="43" formatCode="_(* #,##0.00_);_(* \(#,##0.00\);_(* &quot;-&quot;??_);_(@_)"/>
    <numFmt numFmtId="164" formatCode="_(* #,##0_);_(* \(#,##0\);_(* &quot;-&quot;??_);_(@_)"/>
    <numFmt numFmtId="165" formatCode="0.0000000%"/>
    <numFmt numFmtId="166" formatCode="0.0000000"/>
    <numFmt numFmtId="167" formatCode="_(* #,##0.0000_);_(* \(#,##0.0000\);_(* &quot;-&quot;??_);_(@_)"/>
    <numFmt numFmtId="168" formatCode="0.000%"/>
    <numFmt numFmtId="169" formatCode="0.000000%"/>
    <numFmt numFmtId="170" formatCode="0.0000000E+00"/>
    <numFmt numFmtId="171" formatCode="0.000000000000E+00"/>
  </numFmts>
  <fonts count="28" x14ac:knownFonts="1">
    <font>
      <sz val="11"/>
      <color theme="1"/>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sz val="10"/>
      <color rgb="FFFF0000"/>
      <name val="Arial"/>
      <family val="2"/>
    </font>
    <font>
      <sz val="10"/>
      <name val="Arial"/>
      <family val="2"/>
    </font>
    <font>
      <i/>
      <sz val="10"/>
      <color theme="1"/>
      <name val="Arial"/>
      <family val="2"/>
    </font>
    <font>
      <sz val="14"/>
      <color rgb="FFFF0000"/>
      <name val="Calibri"/>
      <family val="2"/>
      <scheme val="minor"/>
    </font>
    <font>
      <u/>
      <sz val="11"/>
      <color theme="1"/>
      <name val="Calibri"/>
      <family val="2"/>
      <scheme val="minor"/>
    </font>
    <font>
      <i/>
      <sz val="11"/>
      <color theme="1"/>
      <name val="Calibri"/>
      <family val="2"/>
      <scheme val="minor"/>
    </font>
    <font>
      <i/>
      <sz val="10"/>
      <color theme="1"/>
      <name val="Calibri"/>
      <family val="2"/>
      <scheme val="minor"/>
    </font>
    <font>
      <sz val="11"/>
      <name val="Calibri"/>
      <family val="2"/>
      <scheme val="minor"/>
    </font>
    <font>
      <u/>
      <sz val="11"/>
      <name val="Calibri"/>
      <family val="2"/>
      <scheme val="minor"/>
    </font>
    <font>
      <b/>
      <sz val="9"/>
      <color indexed="81"/>
      <name val="Tahoma"/>
      <family val="2"/>
    </font>
    <font>
      <sz val="9"/>
      <color indexed="81"/>
      <name val="Tahoma"/>
      <family val="2"/>
    </font>
    <font>
      <b/>
      <sz val="11"/>
      <name val="Times New Roman"/>
      <family val="1"/>
    </font>
    <font>
      <sz val="11"/>
      <name val="Times New Roman"/>
      <family val="1"/>
    </font>
    <font>
      <b/>
      <sz val="11"/>
      <color rgb="FFFF0000"/>
      <name val="Times New Roman"/>
      <family val="1"/>
    </font>
    <font>
      <u/>
      <sz val="11"/>
      <name val="Times New Roman"/>
      <family val="1"/>
    </font>
    <font>
      <sz val="11"/>
      <color rgb="FF0000FF"/>
      <name val="Calibri"/>
      <family val="2"/>
      <scheme val="minor"/>
    </font>
    <font>
      <sz val="10"/>
      <color rgb="FF0000FF"/>
      <name val="Arial"/>
      <family val="2"/>
    </font>
    <font>
      <b/>
      <sz val="24"/>
      <color theme="1"/>
      <name val="Calibri"/>
      <family val="2"/>
      <scheme val="minor"/>
    </font>
    <font>
      <b/>
      <sz val="16"/>
      <color rgb="FFFF0000"/>
      <name val="Calibri"/>
      <family val="2"/>
      <scheme val="minor"/>
    </font>
    <font>
      <b/>
      <u/>
      <sz val="11"/>
      <color theme="1"/>
      <name val="Calibri"/>
      <family val="2"/>
      <scheme val="minor"/>
    </font>
    <font>
      <b/>
      <sz val="18"/>
      <color theme="1"/>
      <name val="Calibri"/>
      <family val="2"/>
      <scheme val="minor"/>
    </font>
    <font>
      <b/>
      <i/>
      <sz val="2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dotted">
        <color auto="1"/>
      </top>
      <bottom/>
      <diagonal/>
    </border>
    <border>
      <left/>
      <right/>
      <top style="thin">
        <color indexed="64"/>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61">
    <xf numFmtId="0" fontId="0" fillId="0" borderId="0" xfId="0"/>
    <xf numFmtId="0" fontId="1" fillId="0" borderId="0" xfId="0" applyFont="1" applyAlignment="1">
      <alignment horizontal="right"/>
    </xf>
    <xf numFmtId="0" fontId="0" fillId="0" borderId="0" xfId="0" applyAlignment="1">
      <alignment horizontal="left" wrapText="1"/>
    </xf>
    <xf numFmtId="0" fontId="5" fillId="0" borderId="0" xfId="0" quotePrefix="1" applyFont="1" applyAlignment="1">
      <alignment horizontal="right"/>
    </xf>
    <xf numFmtId="0" fontId="5"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0" xfId="0" applyAlignment="1">
      <alignment horizontal="left"/>
    </xf>
    <xf numFmtId="0" fontId="6" fillId="0" borderId="0" xfId="0" applyFont="1" applyAlignment="1">
      <alignment horizontal="centerContinuous"/>
    </xf>
    <xf numFmtId="0" fontId="6" fillId="0" borderId="0" xfId="0" applyFont="1"/>
    <xf numFmtId="0" fontId="7" fillId="0" borderId="0" xfId="0" quotePrefix="1" applyFont="1" applyAlignment="1">
      <alignment horizontal="centerContinuous"/>
    </xf>
    <xf numFmtId="0" fontId="5" fillId="0" borderId="1" xfId="0" quotePrefix="1" applyFont="1" applyBorder="1" applyAlignment="1">
      <alignment horizontal="center"/>
    </xf>
    <xf numFmtId="0" fontId="5" fillId="0" borderId="1" xfId="0" quotePrefix="1" applyFont="1" applyBorder="1" applyAlignment="1">
      <alignment horizontal="center" wrapText="1"/>
    </xf>
    <xf numFmtId="164" fontId="5" fillId="0" borderId="1" xfId="0" quotePrefix="1" applyNumberFormat="1" applyFont="1" applyBorder="1" applyAlignment="1">
      <alignment horizontal="center" wrapText="1"/>
    </xf>
    <xf numFmtId="0" fontId="0" fillId="0" borderId="0" xfId="0" quotePrefix="1" applyAlignment="1">
      <alignment horizontal="center"/>
    </xf>
    <xf numFmtId="0" fontId="5" fillId="0" borderId="4" xfId="0" quotePrefix="1" applyFont="1" applyBorder="1" applyAlignment="1">
      <alignment horizontal="center"/>
    </xf>
    <xf numFmtId="0" fontId="0" fillId="0" borderId="4" xfId="0" quotePrefix="1" applyBorder="1" applyAlignment="1">
      <alignment horizontal="center" vertical="top"/>
    </xf>
    <xf numFmtId="0" fontId="0" fillId="0" borderId="1" xfId="0" applyBorder="1" applyAlignment="1">
      <alignment horizontal="center"/>
    </xf>
    <xf numFmtId="17" fontId="0" fillId="0" borderId="5" xfId="0" quotePrefix="1" applyNumberFormat="1" applyBorder="1" applyAlignment="1">
      <alignment horizontal="left" indent="1"/>
    </xf>
    <xf numFmtId="17" fontId="8" fillId="0" borderId="6" xfId="0" applyNumberFormat="1" applyFont="1" applyBorder="1" applyAlignment="1">
      <alignment horizontal="left"/>
    </xf>
    <xf numFmtId="5" fontId="0" fillId="0" borderId="7" xfId="0" applyNumberFormat="1" applyBorder="1"/>
    <xf numFmtId="164" fontId="0" fillId="0" borderId="7" xfId="0" applyNumberFormat="1" applyBorder="1"/>
    <xf numFmtId="5" fontId="0" fillId="0" borderId="1" xfId="0" applyNumberFormat="1" applyBorder="1"/>
    <xf numFmtId="0" fontId="0" fillId="0" borderId="7" xfId="0" applyBorder="1" applyAlignment="1">
      <alignment horizontal="center"/>
    </xf>
    <xf numFmtId="17" fontId="0" fillId="0" borderId="5" xfId="0" applyNumberFormat="1" applyBorder="1" applyAlignment="1">
      <alignment horizontal="left" indent="1"/>
    </xf>
    <xf numFmtId="164" fontId="0" fillId="0" borderId="7" xfId="0" quotePrefix="1" applyNumberFormat="1" applyBorder="1"/>
    <xf numFmtId="0" fontId="0" fillId="0" borderId="4" xfId="0" applyBorder="1" applyAlignment="1">
      <alignment horizontal="center"/>
    </xf>
    <xf numFmtId="17" fontId="0" fillId="0" borderId="8" xfId="0" applyNumberFormat="1" applyBorder="1" applyAlignment="1">
      <alignment horizontal="left" indent="1"/>
    </xf>
    <xf numFmtId="17" fontId="8" fillId="0" borderId="9" xfId="0" applyNumberFormat="1" applyFont="1" applyBorder="1" applyAlignment="1">
      <alignment horizontal="left"/>
    </xf>
    <xf numFmtId="164" fontId="0" fillId="0" borderId="4" xfId="0" applyNumberFormat="1" applyBorder="1"/>
    <xf numFmtId="164" fontId="0" fillId="0" borderId="4" xfId="0" quotePrefix="1"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164" fontId="0" fillId="0" borderId="0" xfId="0" applyNumberFormat="1"/>
    <xf numFmtId="164" fontId="0" fillId="0" borderId="13" xfId="0" applyNumberFormat="1" applyBorder="1"/>
    <xf numFmtId="0" fontId="0" fillId="0" borderId="0" xfId="0" quotePrefix="1" applyAlignment="1">
      <alignment horizontal="left"/>
    </xf>
    <xf numFmtId="41" fontId="0" fillId="0" borderId="0" xfId="0" applyNumberFormat="1"/>
    <xf numFmtId="0" fontId="4" fillId="0" borderId="0" xfId="0" applyFont="1"/>
    <xf numFmtId="0" fontId="9" fillId="0" borderId="0" xfId="0" applyFont="1"/>
    <xf numFmtId="0" fontId="10" fillId="0" borderId="0" xfId="0" applyFont="1"/>
    <xf numFmtId="0" fontId="4" fillId="0" borderId="0" xfId="0" quotePrefix="1" applyFont="1" applyAlignment="1">
      <alignment horizontal="left"/>
    </xf>
    <xf numFmtId="0" fontId="11" fillId="0" borderId="0" xfId="0" applyFont="1" applyAlignment="1">
      <alignment horizontal="center" vertical="center"/>
    </xf>
    <xf numFmtId="0" fontId="11" fillId="0" borderId="0" xfId="0" quotePrefix="1" applyFont="1" applyAlignment="1">
      <alignment horizontal="center" vertical="center" wrapText="1"/>
    </xf>
    <xf numFmtId="0" fontId="0" fillId="0" borderId="14" xfId="0" applyBorder="1"/>
    <xf numFmtId="0" fontId="11" fillId="0" borderId="14" xfId="0" applyFont="1" applyBorder="1" applyAlignment="1">
      <alignment horizontal="center"/>
    </xf>
    <xf numFmtId="164" fontId="0" fillId="0" borderId="14" xfId="0" applyNumberFormat="1" applyBorder="1"/>
    <xf numFmtId="0" fontId="11" fillId="0" borderId="0" xfId="0" applyFont="1" applyAlignment="1">
      <alignment horizontal="center"/>
    </xf>
    <xf numFmtId="164" fontId="12" fillId="0" borderId="0" xfId="0" applyNumberFormat="1" applyFont="1" applyAlignment="1">
      <alignment horizontal="center"/>
    </xf>
    <xf numFmtId="0" fontId="4" fillId="0" borderId="13" xfId="0" quotePrefix="1" applyFont="1" applyBorder="1" applyAlignment="1">
      <alignment horizontal="center"/>
    </xf>
    <xf numFmtId="0" fontId="4" fillId="0" borderId="13" xfId="0" quotePrefix="1" applyFont="1" applyBorder="1" applyAlignment="1">
      <alignment horizontal="center" wrapText="1"/>
    </xf>
    <xf numFmtId="0" fontId="4" fillId="0" borderId="0" xfId="0" quotePrefix="1" applyFont="1" applyAlignment="1">
      <alignment horizontal="center"/>
    </xf>
    <xf numFmtId="164" fontId="4" fillId="0" borderId="13" xfId="0" quotePrefix="1" applyNumberFormat="1" applyFont="1" applyBorder="1" applyAlignment="1">
      <alignment horizontal="center"/>
    </xf>
    <xf numFmtId="17" fontId="0" fillId="0" borderId="0" xfId="0" applyNumberFormat="1"/>
    <xf numFmtId="164" fontId="0" fillId="0" borderId="0" xfId="1" applyNumberFormat="1" applyFont="1"/>
    <xf numFmtId="0" fontId="0" fillId="0" borderId="15" xfId="0" applyBorder="1" applyAlignment="1">
      <alignment horizontal="center"/>
    </xf>
    <xf numFmtId="0" fontId="13" fillId="0" borderId="0" xfId="0" applyFont="1"/>
    <xf numFmtId="0" fontId="14" fillId="0" borderId="0" xfId="0" applyFont="1"/>
    <xf numFmtId="0" fontId="13" fillId="0" borderId="0" xfId="0" applyFont="1" applyAlignment="1">
      <alignment horizontal="center"/>
    </xf>
    <xf numFmtId="0" fontId="11" fillId="0" borderId="0" xfId="0" applyFont="1" applyAlignment="1">
      <alignment horizontal="right"/>
    </xf>
    <xf numFmtId="0" fontId="1" fillId="0" borderId="0" xfId="0" applyFont="1" applyAlignment="1">
      <alignment horizontal="center"/>
    </xf>
    <xf numFmtId="165" fontId="0" fillId="0" borderId="0" xfId="2" applyNumberFormat="1" applyFont="1" applyAlignment="1">
      <alignment horizontal="center"/>
    </xf>
    <xf numFmtId="0" fontId="0" fillId="0" borderId="0" xfId="0" quotePrefix="1"/>
    <xf numFmtId="166" fontId="13" fillId="0" borderId="0" xfId="0" applyNumberFormat="1" applyFont="1"/>
    <xf numFmtId="16" fontId="0" fillId="0" borderId="0" xfId="0" quotePrefix="1" applyNumberFormat="1"/>
    <xf numFmtId="164" fontId="13" fillId="0" borderId="0" xfId="1" applyNumberFormat="1" applyFont="1"/>
    <xf numFmtId="43" fontId="0" fillId="0" borderId="0" xfId="0" applyNumberFormat="1"/>
    <xf numFmtId="164" fontId="0" fillId="3" borderId="0" xfId="1" applyNumberFormat="1" applyFont="1" applyFill="1"/>
    <xf numFmtId="0" fontId="11" fillId="0" borderId="0" xfId="0" applyFont="1"/>
    <xf numFmtId="17" fontId="0" fillId="3" borderId="0" xfId="0" applyNumberFormat="1" applyFill="1"/>
    <xf numFmtId="0" fontId="0" fillId="3" borderId="0" xfId="0" applyFill="1"/>
    <xf numFmtId="0" fontId="3" fillId="0" borderId="0" xfId="0" applyFont="1"/>
    <xf numFmtId="164" fontId="2" fillId="3" borderId="0" xfId="1" applyNumberFormat="1" applyFill="1"/>
    <xf numFmtId="164" fontId="4" fillId="0" borderId="0" xfId="0" applyNumberFormat="1" applyFont="1"/>
    <xf numFmtId="17" fontId="4" fillId="3" borderId="0" xfId="0" applyNumberFormat="1" applyFont="1" applyFill="1"/>
    <xf numFmtId="0" fontId="4" fillId="3" borderId="0" xfId="0" applyFont="1" applyFill="1"/>
    <xf numFmtId="164" fontId="4" fillId="3" borderId="0" xfId="1" applyNumberFormat="1" applyFont="1" applyFill="1"/>
    <xf numFmtId="2" fontId="17" fillId="0" borderId="0" xfId="0" applyNumberFormat="1" applyFont="1"/>
    <xf numFmtId="2" fontId="18" fillId="0" borderId="0" xfId="0" applyNumberFormat="1" applyFont="1"/>
    <xf numFmtId="2" fontId="18" fillId="0" borderId="15" xfId="0" applyNumberFormat="1" applyFont="1" applyBorder="1" applyAlignment="1">
      <alignment horizontal="center" wrapText="1"/>
    </xf>
    <xf numFmtId="2" fontId="18" fillId="0" borderId="0" xfId="0" applyNumberFormat="1" applyFont="1" applyAlignment="1">
      <alignment horizontal="center" wrapText="1"/>
    </xf>
    <xf numFmtId="166" fontId="19" fillId="0" borderId="0" xfId="0" applyNumberFormat="1" applyFont="1" applyAlignment="1">
      <alignment horizontal="center"/>
    </xf>
    <xf numFmtId="167" fontId="18" fillId="0" borderId="0" xfId="1" applyNumberFormat="1" applyFont="1"/>
    <xf numFmtId="2" fontId="20" fillId="0" borderId="0" xfId="0" applyNumberFormat="1" applyFont="1"/>
    <xf numFmtId="0" fontId="5" fillId="0" borderId="0" xfId="0" applyFont="1" applyAlignment="1">
      <alignment horizontal="righ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168" fontId="21" fillId="0" borderId="0" xfId="2" applyNumberFormat="1" applyFont="1" applyAlignment="1">
      <alignment horizontal="right" indent="1"/>
    </xf>
    <xf numFmtId="168" fontId="13" fillId="0" borderId="0" xfId="2" applyNumberFormat="1" applyFont="1" applyAlignment="1">
      <alignment horizontal="right" indent="1"/>
    </xf>
    <xf numFmtId="168" fontId="21" fillId="0" borderId="15" xfId="2" applyNumberFormat="1" applyFont="1" applyBorder="1" applyAlignment="1">
      <alignment horizontal="right" indent="1"/>
    </xf>
    <xf numFmtId="168" fontId="13" fillId="0" borderId="15" xfId="2" applyNumberFormat="1" applyFont="1" applyBorder="1" applyAlignment="1">
      <alignment horizontal="right" indent="1"/>
    </xf>
    <xf numFmtId="0" fontId="22" fillId="0" borderId="15" xfId="0" applyFont="1" applyBorder="1"/>
    <xf numFmtId="168" fontId="0" fillId="0" borderId="0" xfId="0" applyNumberFormat="1" applyAlignment="1">
      <alignment horizontal="right" indent="1"/>
    </xf>
    <xf numFmtId="0" fontId="0" fillId="0" borderId="0" xfId="0" applyAlignment="1">
      <alignment horizontal="right" indent="1"/>
    </xf>
    <xf numFmtId="168" fontId="0" fillId="2" borderId="0" xfId="0" applyNumberFormat="1" applyFill="1" applyAlignment="1">
      <alignment horizontal="right" indent="1"/>
    </xf>
    <xf numFmtId="0" fontId="0" fillId="0" borderId="16" xfId="0" applyBorder="1"/>
    <xf numFmtId="0" fontId="24" fillId="0" borderId="13" xfId="0" applyFont="1" applyBorder="1"/>
    <xf numFmtId="0" fontId="25" fillId="0" borderId="0" xfId="0" applyFont="1"/>
    <xf numFmtId="0" fontId="26" fillId="0" borderId="0" xfId="0" applyFont="1"/>
    <xf numFmtId="0" fontId="11" fillId="0" borderId="11" xfId="0" applyFont="1" applyBorder="1" applyAlignment="1">
      <alignment horizontal="center"/>
    </xf>
    <xf numFmtId="165" fontId="0" fillId="5" borderId="17" xfId="2" applyNumberFormat="1" applyFont="1" applyFill="1" applyBorder="1" applyAlignment="1">
      <alignment horizontal="center"/>
    </xf>
    <xf numFmtId="165" fontId="0" fillId="5" borderId="0" xfId="2" applyNumberFormat="1" applyFont="1" applyFill="1" applyAlignment="1">
      <alignment horizontal="center"/>
    </xf>
    <xf numFmtId="0" fontId="0" fillId="6" borderId="5" xfId="0" applyFill="1" applyBorder="1" applyAlignment="1">
      <alignment horizontal="center"/>
    </xf>
    <xf numFmtId="0" fontId="0" fillId="6" borderId="0" xfId="0" applyFill="1" applyAlignment="1">
      <alignment horizontal="center"/>
    </xf>
    <xf numFmtId="0" fontId="1" fillId="6" borderId="6" xfId="0" applyFont="1" applyFill="1" applyBorder="1" applyAlignment="1">
      <alignment horizontal="center"/>
    </xf>
    <xf numFmtId="0" fontId="0" fillId="6" borderId="5" xfId="0" applyFill="1" applyBorder="1"/>
    <xf numFmtId="0" fontId="4" fillId="6" borderId="0" xfId="0" applyFont="1" applyFill="1" applyAlignment="1">
      <alignment horizontal="center" vertical="center" wrapText="1"/>
    </xf>
    <xf numFmtId="0" fontId="4" fillId="6" borderId="6" xfId="0" applyFont="1" applyFill="1" applyBorder="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0" fillId="0" borderId="5" xfId="0" applyBorder="1" applyAlignment="1">
      <alignment horizontal="right"/>
    </xf>
    <xf numFmtId="10" fontId="1" fillId="0" borderId="0" xfId="2" applyNumberFormat="1" applyFont="1" applyAlignment="1">
      <alignment horizontal="center"/>
    </xf>
    <xf numFmtId="165" fontId="0" fillId="5" borderId="6" xfId="2" applyNumberFormat="1" applyFont="1" applyFill="1" applyBorder="1" applyAlignment="1">
      <alignment horizontal="center"/>
    </xf>
    <xf numFmtId="165" fontId="0" fillId="0" borderId="0" xfId="2" applyNumberFormat="1" applyFont="1"/>
    <xf numFmtId="0" fontId="0" fillId="0" borderId="0" xfId="0" applyAlignment="1">
      <alignment horizontal="right"/>
    </xf>
    <xf numFmtId="10" fontId="0" fillId="0" borderId="0" xfId="2" applyNumberFormat="1" applyFont="1"/>
    <xf numFmtId="169" fontId="0" fillId="0" borderId="0" xfId="2" applyNumberFormat="1" applyFont="1"/>
    <xf numFmtId="4" fontId="0" fillId="0" borderId="0" xfId="0" applyNumberFormat="1"/>
    <xf numFmtId="170" fontId="0" fillId="0" borderId="0" xfId="0" applyNumberFormat="1"/>
    <xf numFmtId="0" fontId="0" fillId="0" borderId="8" xfId="0" applyBorder="1" applyAlignment="1">
      <alignment horizontal="right"/>
    </xf>
    <xf numFmtId="10" fontId="1" fillId="0" borderId="15" xfId="2" applyNumberFormat="1" applyFont="1" applyBorder="1" applyAlignment="1">
      <alignment horizontal="center"/>
    </xf>
    <xf numFmtId="165" fontId="0" fillId="5" borderId="9" xfId="2" applyNumberFormat="1" applyFont="1" applyFill="1" applyBorder="1" applyAlignment="1">
      <alignment horizontal="center"/>
    </xf>
    <xf numFmtId="171" fontId="0" fillId="0" borderId="0" xfId="0" applyNumberFormat="1"/>
    <xf numFmtId="0" fontId="26" fillId="0" borderId="0" xfId="0" applyFont="1" applyAlignment="1">
      <alignment horizontal="center"/>
    </xf>
    <xf numFmtId="0" fontId="0" fillId="0" borderId="15" xfId="0" applyBorder="1"/>
    <xf numFmtId="0" fontId="4" fillId="0" borderId="15" xfId="0" applyFont="1" applyBorder="1"/>
    <xf numFmtId="43" fontId="0" fillId="8" borderId="0" xfId="1" applyFont="1" applyFill="1"/>
    <xf numFmtId="43" fontId="0" fillId="0" borderId="0" xfId="1" applyFont="1"/>
    <xf numFmtId="0" fontId="0" fillId="0" borderId="0" xfId="0" applyAlignment="1">
      <alignment vertical="top"/>
    </xf>
    <xf numFmtId="0" fontId="0" fillId="8" borderId="0" xfId="0" applyFill="1" applyAlignment="1">
      <alignment vertical="top"/>
    </xf>
    <xf numFmtId="4" fontId="0" fillId="0" borderId="0" xfId="1" applyNumberFormat="1" applyFont="1" applyAlignment="1">
      <alignment horizontal="left"/>
    </xf>
    <xf numFmtId="43" fontId="0" fillId="0" borderId="0" xfId="0" applyNumberFormat="1" applyFill="1"/>
    <xf numFmtId="0" fontId="0" fillId="0" borderId="0" xfId="0" applyFill="1"/>
    <xf numFmtId="0" fontId="4" fillId="0" borderId="0" xfId="0" applyFont="1" applyFill="1"/>
    <xf numFmtId="43" fontId="4" fillId="0" borderId="0" xfId="0" applyNumberFormat="1" applyFont="1" applyFill="1"/>
    <xf numFmtId="0" fontId="0" fillId="0" borderId="7" xfId="0" applyFill="1" applyBorder="1" applyAlignment="1">
      <alignment horizontal="center"/>
    </xf>
    <xf numFmtId="17" fontId="0" fillId="0" borderId="5" xfId="0" applyNumberFormat="1" applyFill="1" applyBorder="1" applyAlignment="1">
      <alignment horizontal="left" indent="1"/>
    </xf>
    <xf numFmtId="17" fontId="8" fillId="0" borderId="6" xfId="0" applyNumberFormat="1" applyFont="1" applyFill="1" applyBorder="1" applyAlignment="1">
      <alignment horizontal="left"/>
    </xf>
    <xf numFmtId="164" fontId="0" fillId="0" borderId="7" xfId="0" applyNumberFormat="1" applyFill="1" applyBorder="1"/>
    <xf numFmtId="164" fontId="0" fillId="0" borderId="7" xfId="0" quotePrefix="1" applyNumberFormat="1" applyFill="1" applyBorder="1"/>
    <xf numFmtId="0" fontId="0" fillId="0" borderId="0" xfId="0" applyAlignment="1">
      <alignment horizontal="left" vertical="top" wrapText="1"/>
    </xf>
    <xf numFmtId="0" fontId="0" fillId="0" borderId="0" xfId="0" applyAlignment="1">
      <alignment horizontal="left" wrapText="1"/>
    </xf>
    <xf numFmtId="0" fontId="5" fillId="0" borderId="2" xfId="0" quotePrefix="1" applyFont="1" applyBorder="1" applyAlignment="1">
      <alignment horizontal="center"/>
    </xf>
    <xf numFmtId="0" fontId="5" fillId="0" borderId="3" xfId="0" quotePrefix="1" applyFont="1" applyBorder="1" applyAlignment="1">
      <alignment horizontal="center"/>
    </xf>
    <xf numFmtId="0" fontId="0" fillId="0" borderId="4" xfId="0" quotePrefix="1" applyBorder="1" applyAlignment="1">
      <alignment horizontal="center" vertical="top"/>
    </xf>
    <xf numFmtId="0" fontId="5" fillId="0" borderId="0" xfId="0" applyFont="1" applyAlignment="1">
      <alignment horizontal="center"/>
    </xf>
    <xf numFmtId="0" fontId="0" fillId="0" borderId="0" xfId="0" applyAlignment="1">
      <alignment horizontal="center"/>
    </xf>
    <xf numFmtId="0" fontId="26" fillId="3" borderId="5" xfId="0" applyFont="1" applyFill="1" applyBorder="1" applyAlignment="1">
      <alignment horizontal="center"/>
    </xf>
    <xf numFmtId="0" fontId="26" fillId="3" borderId="0" xfId="0" applyFont="1" applyFill="1" applyAlignment="1">
      <alignment horizontal="center"/>
    </xf>
    <xf numFmtId="0" fontId="27" fillId="7" borderId="0" xfId="0" applyFont="1" applyFill="1" applyAlignment="1">
      <alignment horizontal="center"/>
    </xf>
    <xf numFmtId="0" fontId="23" fillId="0" borderId="0" xfId="0" applyFont="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4" borderId="12" xfId="0" applyFont="1"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10</xdr:col>
      <xdr:colOff>202489</xdr:colOff>
      <xdr:row>26</xdr:row>
      <xdr:rowOff>126460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190500"/>
          <a:ext cx="5685714" cy="4314286"/>
        </a:xfrm>
        <a:prstGeom prst="rect">
          <a:avLst/>
        </a:prstGeom>
      </xdr:spPr>
    </xdr:pic>
    <xdr:clientData/>
  </xdr:twoCellAnchor>
  <xdr:twoCellAnchor editAs="oneCell">
    <xdr:from>
      <xdr:col>10</xdr:col>
      <xdr:colOff>416717</xdr:colOff>
      <xdr:row>4</xdr:row>
      <xdr:rowOff>0</xdr:rowOff>
    </xdr:from>
    <xdr:to>
      <xdr:col>19</xdr:col>
      <xdr:colOff>570797</xdr:colOff>
      <xdr:row>34</xdr:row>
      <xdr:rowOff>44522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512717" y="178594"/>
          <a:ext cx="5640480" cy="5771429"/>
        </a:xfrm>
        <a:prstGeom prst="rect">
          <a:avLst/>
        </a:prstGeom>
      </xdr:spPr>
    </xdr:pic>
    <xdr:clientData/>
  </xdr:twoCellAnchor>
  <xdr:twoCellAnchor>
    <xdr:from>
      <xdr:col>2</xdr:col>
      <xdr:colOff>95249</xdr:colOff>
      <xdr:row>47</xdr:row>
      <xdr:rowOff>142876</xdr:rowOff>
    </xdr:from>
    <xdr:to>
      <xdr:col>11</xdr:col>
      <xdr:colOff>59531</xdr:colOff>
      <xdr:row>56</xdr:row>
      <xdr:rowOff>57151</xdr:rowOff>
    </xdr:to>
    <xdr:pic>
      <xdr:nvPicPr>
        <xdr:cNvPr id="4" name="Picture 4" descr="image00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49" y="10620376"/>
          <a:ext cx="5450682"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396240</xdr:colOff>
          <xdr:row>49</xdr:row>
          <xdr:rowOff>137160</xdr:rowOff>
        </xdr:from>
        <xdr:to>
          <xdr:col>13</xdr:col>
          <xdr:colOff>99060</xdr:colOff>
          <xdr:row>53</xdr:row>
          <xdr:rowOff>99060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202406</xdr:colOff>
      <xdr:row>9</xdr:row>
      <xdr:rowOff>0</xdr:rowOff>
    </xdr:from>
    <xdr:to>
      <xdr:col>3</xdr:col>
      <xdr:colOff>202406</xdr:colOff>
      <xdr:row>11</xdr:row>
      <xdr:rowOff>83344</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a:off x="2893219" y="2238375"/>
          <a:ext cx="0" cy="46434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178594</xdr:colOff>
      <xdr:row>8</xdr:row>
      <xdr:rowOff>166688</xdr:rowOff>
    </xdr:from>
    <xdr:to>
      <xdr:col>5</xdr:col>
      <xdr:colOff>178594</xdr:colOff>
      <xdr:row>11</xdr:row>
      <xdr:rowOff>59532</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a:off x="4357688" y="2214563"/>
          <a:ext cx="0" cy="46434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202406</xdr:colOff>
      <xdr:row>8</xdr:row>
      <xdr:rowOff>47625</xdr:rowOff>
    </xdr:from>
    <xdr:to>
      <xdr:col>3</xdr:col>
      <xdr:colOff>202406</xdr:colOff>
      <xdr:row>18</xdr:row>
      <xdr:rowOff>130969</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a:off x="2893219" y="2095500"/>
          <a:ext cx="0" cy="198834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8</xdr:row>
      <xdr:rowOff>0</xdr:rowOff>
    </xdr:from>
    <xdr:to>
      <xdr:col>5</xdr:col>
      <xdr:colOff>190500</xdr:colOff>
      <xdr:row>18</xdr:row>
      <xdr:rowOff>83344</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a:off x="4369594" y="2047875"/>
          <a:ext cx="0" cy="198834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202406</xdr:colOff>
      <xdr:row>8</xdr:row>
      <xdr:rowOff>83343</xdr:rowOff>
    </xdr:from>
    <xdr:to>
      <xdr:col>3</xdr:col>
      <xdr:colOff>202406</xdr:colOff>
      <xdr:row>18</xdr:row>
      <xdr:rowOff>166687</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a:off x="2893219" y="2131218"/>
          <a:ext cx="0" cy="198834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202406</xdr:colOff>
      <xdr:row>8</xdr:row>
      <xdr:rowOff>35719</xdr:rowOff>
    </xdr:from>
    <xdr:to>
      <xdr:col>5</xdr:col>
      <xdr:colOff>202406</xdr:colOff>
      <xdr:row>18</xdr:row>
      <xdr:rowOff>119063</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a:off x="4381500" y="2083594"/>
          <a:ext cx="0" cy="198834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carte\AppData\Local\Microsoft\Windows\Temporary%20Internet%20Files\Content.Outlook\NOLU08RE\KPSC%20Electric%20SFRs-2017%20-%20Foreca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lcarte\AppData\Local\Microsoft\Windows\Temporary%20Internet%20Files\Content.Outlook\NOLU08RE\B%20Schedules%20-%20Capital%20Assets%20-%20As%20of%20May%202017_updated%206.21.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NAM\zaspink\Desktop\Test_Script_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sset\DARO\Reporting\Regulatory\KY\ESM%20Filing\May%20filing%20(April%20spend)\Attachment%20SEL-R-2(b)%20ESM%20Template%20-%20Clean%20Copy%2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te%20Case%20Filings\DEK%20Electric%20Case%202017-00321\SFR%20Model\KPSC%20Electric%20SFRs-2017%20-%20Forecas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ashFlow%20Rollforward%20Template\RF_Generation_Model_Duk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Rate%20Case%20Filings\DEK%20Electric%20Case%202017-00321\Order\KPSC%20Electric%20SFRs-2017%20-%20Forecasted%20-%20Commission%20Order.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sset\DARO\Journal%20Entries\DEK\2018\04%20-%20April\ARO\Return%20on%20Spend%20(CASPENDRET)\B.%20DEK%20Coal%20Ash%20Return%20Calculat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sset\DARO\Journal%20Entries\DEK\2018\1%20-%20Jan\ARO\Return%20on%20Spend%20(CASPENDRET)\B.%20DEK%20Coal%20Ash%20Return%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Tracking"/>
      <sheetName val="LOGO"/>
      <sheetName val="GOTO"/>
      <sheetName val="PRINT"/>
      <sheetName val="BASE PERIOD"/>
      <sheetName val="BP Actual Exp"/>
      <sheetName val="BP Rev by Product"/>
      <sheetName val="BP Actual Rev"/>
      <sheetName val="FORECASTED PERIOD"/>
      <sheetName val="FP Rev by Product"/>
      <sheetName val="BP vs FP by Acct"/>
      <sheetName val="ALLOCTABLE"/>
      <sheetName val="Rate Case Drivers"/>
      <sheetName val="SCH_A"/>
      <sheetName val="Rate Base Ratios"/>
      <sheetName val="SCH_B1"/>
      <sheetName val="SCH B-2"/>
      <sheetName val="SCH B-2.1"/>
      <sheetName val="SCH B-2.2"/>
      <sheetName val="SCH B-2.3"/>
      <sheetName val="SCH B-2.4"/>
      <sheetName val="SCH B-2.5"/>
      <sheetName val="SCH B-2.6"/>
      <sheetName val="SCH B-2.7"/>
      <sheetName val="SCH B-3"/>
      <sheetName val="SCH B-3.1"/>
      <sheetName val="SCH B-3.2 - Proposed"/>
      <sheetName val="SCH B-4"/>
      <sheetName val="SCH B-4.1"/>
      <sheetName val="SCH_B5s"/>
      <sheetName val="WPB-5's"/>
      <sheetName val="SCH_B6"/>
      <sheetName val="WPB-6's"/>
      <sheetName val="SCH_B7s"/>
      <sheetName val="SCH_B8"/>
      <sheetName val="SCH_C1"/>
      <sheetName val="SCH_C2"/>
      <sheetName val="WPC_2"/>
      <sheetName val="WPC-2e - Adj Summary"/>
      <sheetName val="SCH_C2.1 - Base Period"/>
      <sheetName val="STAFF-DR-01-029b"/>
      <sheetName val="SCH_C2.1 - Forecasted Period"/>
      <sheetName val="SCH_D1"/>
      <sheetName val="SCH_D2.1"/>
      <sheetName val="SCH_D2.2"/>
      <sheetName val="SCH_D2.3"/>
      <sheetName val="SCH_D2.4"/>
      <sheetName val="SCH_D2.5"/>
      <sheetName val="SCH_D2.6"/>
      <sheetName val="SCH_D2.7"/>
      <sheetName val="SCH_D2.8"/>
      <sheetName val="SCH_D2.9"/>
      <sheetName val="SCH_D2.10"/>
      <sheetName val="SCH_D2.11"/>
      <sheetName val="SCH_D2.12"/>
      <sheetName val="SCH_D2.13"/>
      <sheetName val="SCH_D2.14"/>
      <sheetName val="SCH_D2.15"/>
      <sheetName val="SCH_D2.16"/>
      <sheetName val="SCH_D2.17"/>
      <sheetName val="SCH_D2.18"/>
      <sheetName val="SCH_D2.19"/>
      <sheetName val="SCH_D2.20"/>
      <sheetName val="SCH_D2.21"/>
      <sheetName val="SCH_D2.22"/>
      <sheetName val="SCH_D2.23"/>
      <sheetName val="SCH_D2.24"/>
      <sheetName val="SCH_D2.25"/>
      <sheetName val="SCH_D2.26"/>
      <sheetName val="SCH_D2.27"/>
      <sheetName val="SCH_D2.28"/>
      <sheetName val="SCH_D2.29"/>
      <sheetName val="SCH_D2.30"/>
      <sheetName val="SCH_D2.31"/>
      <sheetName val="SCH_D2.32"/>
      <sheetName val="SCH_D2.33"/>
      <sheetName val="SCH_D2.34"/>
      <sheetName val="SCH_D2.35"/>
      <sheetName val="SCH_D2.36"/>
      <sheetName val="SCH_D2.37"/>
      <sheetName val="SCH_D2.38"/>
      <sheetName val="SCH_D3"/>
      <sheetName val="SCH_D4"/>
      <sheetName val="SCH_D5"/>
      <sheetName val="SCH_E1"/>
      <sheetName val="SCH_E2"/>
      <sheetName val="SCH_F1"/>
      <sheetName val="SCH_F2.1"/>
      <sheetName val="SCH_F2.2"/>
      <sheetName val="SCH_F2.3"/>
      <sheetName val="SCH_F3"/>
      <sheetName val="SCH_F4"/>
      <sheetName val="SCH_F5"/>
      <sheetName val="SCH_F6"/>
      <sheetName val="SCH_F7"/>
      <sheetName val="SCH_G1"/>
      <sheetName val="SCH_G2"/>
      <sheetName val="SCH_G3"/>
      <sheetName val="SCH_H"/>
      <sheetName val="SCH_I1 - Total Co"/>
      <sheetName val="SCH_I1 - Elec Only"/>
      <sheetName val="Staff-DR-01-007"/>
      <sheetName val="Staff-DR-01-031"/>
      <sheetName val="SCH_I2.1"/>
      <sheetName val="Base Period Cust"/>
      <sheetName val="KWH Sales"/>
      <sheetName val="SCH_I3"/>
      <sheetName val="SCH_I4"/>
      <sheetName val="SCH_I5"/>
      <sheetName val="SCH_J1 - Base"/>
      <sheetName val="SCH_J1 - Forecast"/>
      <sheetName val="SCH_J1.1"/>
      <sheetName val="SCH_J1.2"/>
      <sheetName val="SCH_J2 - Base"/>
      <sheetName val="SCH_J2 - Forecast"/>
      <sheetName val="SCH_J3 - Base"/>
      <sheetName val="SCH_J3 - Forecast"/>
      <sheetName val="SCH_J4"/>
      <sheetName val="SCH K"/>
      <sheetName val="RB vs Cap FP 16(6)(f)"/>
      <sheetName val="Sheet1"/>
      <sheetName val="RB vs Cap FP 16(6)(f) (2)"/>
      <sheetName val="RB vs Cap BP Staff-DR-01-015"/>
    </sheetNames>
    <sheetDataSet>
      <sheetData sheetId="0"/>
      <sheetData sheetId="1">
        <row r="9">
          <cell r="G9" t="str">
            <v>J. L. SULLIVAN</v>
          </cell>
        </row>
        <row r="13">
          <cell r="B13" t="str">
            <v>DATA:  BASE PERIOD  "X" FORECASTED PERIOD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87">
          <cell r="T87">
            <v>-7442</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6">
          <cell r="G16">
            <v>483244560</v>
          </cell>
        </row>
      </sheetData>
      <sheetData sheetId="110"/>
      <sheetData sheetId="111"/>
      <sheetData sheetId="112"/>
      <sheetData sheetId="113"/>
      <sheetData sheetId="114">
        <row r="36">
          <cell r="D36">
            <v>100282399</v>
          </cell>
        </row>
      </sheetData>
      <sheetData sheetId="115"/>
      <sheetData sheetId="116">
        <row r="54">
          <cell r="L54">
            <v>434934967</v>
          </cell>
        </row>
      </sheetData>
      <sheetData sheetId="117"/>
      <sheetData sheetId="118"/>
      <sheetData sheetId="119"/>
      <sheetData sheetId="120"/>
      <sheetData sheetId="121"/>
      <sheetData sheetId="1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SCH B-2"/>
      <sheetName val="SCH B-2.1"/>
      <sheetName val="SCH B-2.2"/>
      <sheetName val="SCH B-2.3"/>
      <sheetName val="SCH B-2.4"/>
      <sheetName val="SCH B-2.5"/>
      <sheetName val="SCH B-2.6"/>
      <sheetName val="SCH B-2.7"/>
      <sheetName val="SCH B-3"/>
      <sheetName val="SCH B-3.1"/>
      <sheetName val="SCH B-3.2 - Proposed"/>
      <sheetName val="SCH B-4"/>
      <sheetName val="Asset 1042 - Pivot"/>
      <sheetName val="DEK Rate Case - Asset 1042"/>
      <sheetName val="Depr 1033 - Pivot"/>
      <sheetName val="DEK Rate Case - Depr 1033"/>
      <sheetName val="Environmental Pivot"/>
      <sheetName val="DEK CWIP"/>
      <sheetName val="Instr. Trans. 3700"/>
      <sheetName val="Instr. Trans. 3701"/>
      <sheetName val="Instr. Trans. Activity"/>
      <sheetName val="Common Allocation"/>
      <sheetName val="ARO COR Credit"/>
      <sheetName val="Signoff Page"/>
    </sheetNames>
    <sheetDataSet>
      <sheetData sheetId="0" refreshError="1"/>
      <sheetData sheetId="1" refreshError="1">
        <row r="1">
          <cell r="A1" t="str">
            <v>DUKE ENERGY KENTUCKY, INC.</v>
          </cell>
        </row>
        <row r="2">
          <cell r="A2" t="str">
            <v>CASE NO. 2017-00XXX</v>
          </cell>
        </row>
        <row r="4">
          <cell r="A4" t="str">
            <v>AS OF MAY 31, 2017</v>
          </cell>
        </row>
        <row r="9">
          <cell r="A9" t="str">
            <v>DATA: "X" BASE PERIOD   FORECASTED PERIOD</v>
          </cell>
        </row>
        <row r="10">
          <cell r="A10" t="str">
            <v xml:space="preserve">TYPE OF FILING:  "X" ORIGINAL   UPDATED    REVISED  </v>
          </cell>
        </row>
        <row r="12">
          <cell r="F12" t="str">
            <v>C. S. Lee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Test_Script_Template"/>
      <sheetName val="Lookups"/>
    </sheetNames>
    <sheetDataSet>
      <sheetData sheetId="0">
        <row r="2">
          <cell r="A2" t="str">
            <v>Repleace WORKSTREAM and CYCLE below in red with your workstream and the test's correct cycle EX: Cycle 1</v>
          </cell>
        </row>
        <row r="3">
          <cell r="A3" t="str">
            <v>Subject (Uploaded to folder Structure - ex: Folder\SubFolder\etc.)</v>
          </cell>
          <cell r="B3" t="str">
            <v>Test Name</v>
          </cell>
        </row>
        <row r="4">
          <cell r="A4" t="str">
            <v>PS FIHUB Integ\Release 1\System Test\Pass 1\WORKSTREAM\CYCLE</v>
          </cell>
          <cell r="B4">
            <v>0</v>
          </cell>
        </row>
        <row r="5">
          <cell r="A5">
            <v>0</v>
          </cell>
          <cell r="B5">
            <v>0</v>
          </cell>
        </row>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00"/>
      <sheetName val="FORM 1.10"/>
      <sheetName val="FORM 1.20"/>
      <sheetName val="FORM 2.00"/>
      <sheetName val="FORM 2.10"/>
      <sheetName val="FORM 2.20"/>
      <sheetName val="FORM 2.30"/>
      <sheetName val="FORM 2.50"/>
      <sheetName val="FORM 3.00"/>
    </sheetNames>
    <sheetDataSet>
      <sheetData sheetId="0">
        <row r="3">
          <cell r="K3">
            <v>43040</v>
          </cell>
        </row>
        <row r="4">
          <cell r="A4" t="str">
            <v>ENVIRONMENTAL SURCHARGE REPORT</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Tracking"/>
      <sheetName val="LOGO"/>
      <sheetName val="GOTO"/>
      <sheetName val="PRINT"/>
      <sheetName val="BASE PERIOD"/>
      <sheetName val="BP Actual Exp"/>
      <sheetName val="BP Rev by Product"/>
      <sheetName val="BP Actual Rev"/>
      <sheetName val="FORECASTED PERIOD"/>
      <sheetName val="FP Rev by Product"/>
      <sheetName val="BP vs FP by Acct"/>
      <sheetName val="ALLOCTABLE"/>
      <sheetName val="Rate Case Drivers"/>
      <sheetName val="SCH_A"/>
      <sheetName val="Rate Base Ratios"/>
      <sheetName val="SCH_B1"/>
      <sheetName val="SCH B-2"/>
      <sheetName val="SCH B-2.1"/>
      <sheetName val="SCH B-2.2"/>
      <sheetName val="SCH B-2.3"/>
      <sheetName val="SCH B-2.4"/>
      <sheetName val="SCH B-2.5"/>
      <sheetName val="SCH B-2.6"/>
      <sheetName val="SCH B-2.7"/>
      <sheetName val="SCH B-3"/>
      <sheetName val="SCH B-3.1"/>
      <sheetName val="SCH B-3.2 - Proposed"/>
      <sheetName val="SCH B-4"/>
      <sheetName val="SCH_B5s"/>
      <sheetName val="WPB-5's"/>
      <sheetName val="SCH_B6"/>
      <sheetName val="WPB-6's"/>
      <sheetName val="SCH_B7s"/>
      <sheetName val="SCH_B8"/>
      <sheetName val="SCH_C1"/>
      <sheetName val="SCH_C2"/>
      <sheetName val="WPC_2"/>
      <sheetName val="WPC-2e - Adj Summary"/>
      <sheetName val="SCH_C2.1 - Base Period"/>
      <sheetName val="STAFF-DR-01-029b"/>
      <sheetName val="SCH_C2.1 - Forecasted Period"/>
      <sheetName val="SCH_D1"/>
      <sheetName val="SCH_D2.1"/>
      <sheetName val="SCH_D2.2"/>
      <sheetName val="SCH_D2.3"/>
      <sheetName val="SCH_D2.4"/>
      <sheetName val="SCH_D2.5"/>
      <sheetName val="SCH_D2.6"/>
      <sheetName val="SCH_D2.7"/>
      <sheetName val="SCH_D2.8"/>
      <sheetName val="SCH_D2.9"/>
      <sheetName val="SCH_D2.10"/>
      <sheetName val="SCH_D2.11"/>
      <sheetName val="SCH_D2.12"/>
      <sheetName val="SCH_D2.13"/>
      <sheetName val="SCH_D2.14"/>
      <sheetName val="SCH_D2.15"/>
      <sheetName val="SCH_D2.16"/>
      <sheetName val="SCH_D2.17"/>
      <sheetName val="SCH_D2.18"/>
      <sheetName val="SCH_D2.19"/>
      <sheetName val="SCH_D2.20"/>
      <sheetName val="SCH_D2.21"/>
      <sheetName val="SCH_D2.22"/>
      <sheetName val="SCH_D2.23"/>
      <sheetName val="SCH_D2.24"/>
      <sheetName val="SCH_D2.25"/>
      <sheetName val="SCH_D2.26"/>
      <sheetName val="SCH_D2.27"/>
      <sheetName val="SCH_D2.28"/>
      <sheetName val="SCH_D2.29"/>
      <sheetName val="SCH_D2.30"/>
      <sheetName val="SCH_D2.31"/>
      <sheetName val="SCH_D2.32"/>
      <sheetName val="SCH_D2.33"/>
      <sheetName val="SCH_D2.34"/>
      <sheetName val="SCH_D2.35"/>
      <sheetName val="SCH_D2.36"/>
      <sheetName val="SCH_D2.37"/>
      <sheetName val="SCH_D2.38"/>
      <sheetName val="SCH_D3"/>
      <sheetName val="SCH_D4"/>
      <sheetName val="SCH_D5"/>
      <sheetName val="SCH_E1"/>
      <sheetName val="SCH_E2"/>
      <sheetName val="SCH_F1"/>
      <sheetName val="SCH_F2.1"/>
      <sheetName val="SCH_F2.2"/>
      <sheetName val="SCH_F2.3"/>
      <sheetName val="SCH_F3"/>
      <sheetName val="SCH_F4"/>
      <sheetName val="SCH_F5"/>
      <sheetName val="SCH_F6"/>
      <sheetName val="SCH_F7"/>
      <sheetName val="SCH_G1"/>
      <sheetName val="SCH_G2"/>
      <sheetName val="SCH_G3"/>
      <sheetName val="SCH_H"/>
      <sheetName val="SCH_I1 - Total Co"/>
      <sheetName val="SCH_I1 - Elec Only"/>
      <sheetName val="Staff-DR-01-007"/>
      <sheetName val="Staff-DR-01-031"/>
      <sheetName val="SCH_I2.1"/>
      <sheetName val="Base Period Cust"/>
      <sheetName val="KWH Sales"/>
      <sheetName val="SCH_I3"/>
      <sheetName val="SCH_I4"/>
      <sheetName val="SCH_I5"/>
      <sheetName val="SCH_J1 - Base"/>
      <sheetName val="SCH_J1 - Forecast"/>
      <sheetName val="SCH_J2 - Base"/>
      <sheetName val="SCH_J2 - Forecast"/>
      <sheetName val="SCH_J3 - Base"/>
      <sheetName val="SCH_J3 - Forecast"/>
      <sheetName val="SCH_J4"/>
      <sheetName val="SCH K"/>
      <sheetName val="RB vs Cap FP 16(6)(f)"/>
      <sheetName val="RB vs Cap BP Staff D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row r="34">
          <cell r="I34">
            <v>1.6298147000000001</v>
          </cell>
        </row>
      </sheetData>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RF_Copy"/>
      <sheetName val="build_trans"/>
      <sheetName val="build"/>
      <sheetName val="Selections"/>
      <sheetName val="Non_Cash_Transaction"/>
      <sheetName val="Transfer_Report"/>
      <sheetName val="Acquisition"/>
      <sheetName val="Disposition"/>
      <sheetName val="Assets Held for Sale (AHFS) -C"/>
      <sheetName val="Assets Held for Sale (AHFS) -NC"/>
      <sheetName val="Deferred Debt Expense (DDE)"/>
      <sheetName val="Deferred Income Taxes (DIT)"/>
      <sheetName val="Goodwill (GW)"/>
      <sheetName val="Investments in Real Estate (IR)"/>
      <sheetName val="Investment Tax Credit (ITC)"/>
      <sheetName val="Investment in Affiliates (IA)"/>
      <sheetName val="Liabilities - AHFS Current"/>
      <sheetName val="Liabilities - AHFS Noncurrent"/>
      <sheetName val="Long-term Debt (LTD)"/>
      <sheetName val="Minority Interest (MI)"/>
      <sheetName val="Nuclear Decommissioning TF"/>
      <sheetName val="Notes Payable - CP"/>
      <sheetName val="Notes Receivable (NR)"/>
      <sheetName val="Other Noncurrent Assets (ONCA)"/>
      <sheetName val="Net PP&amp;E"/>
      <sheetName val="Short Term Investments (STI)"/>
      <sheetName val="Stockholder's Equity (SE)"/>
      <sheetName val="BU Stockholder's Equity (BU SE)"/>
    </sheetNames>
    <sheetDataSet>
      <sheetData sheetId="0" refreshError="1"/>
      <sheetData sheetId="1" refreshError="1"/>
      <sheetData sheetId="2" refreshError="1"/>
      <sheetData sheetId="3" refreshError="1"/>
      <sheetData sheetId="4" refreshError="1">
        <row r="2">
          <cell r="B2" t="str">
            <v>FRANCHISED_ELEC_CASH</v>
          </cell>
          <cell r="I2" t="str">
            <v>Long-term Debt (LTD)</v>
          </cell>
          <cell r="J2" t="str">
            <v>Jun</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Tracking"/>
      <sheetName val="LOGO"/>
      <sheetName val="GOTO"/>
      <sheetName val="PRINT"/>
      <sheetName val="BASE PERIOD"/>
      <sheetName val="BP Actual Exp"/>
      <sheetName val="BP Rev by Product"/>
      <sheetName val="BP Actual Rev"/>
      <sheetName val="FORECASTED PERIOD"/>
      <sheetName val="FP Rev by Product"/>
      <sheetName val="BP vs FP by Acct"/>
      <sheetName val="ALLOCTABLE"/>
      <sheetName val="Rate Case Drivers"/>
      <sheetName val="SCH_A"/>
      <sheetName val="Rate Base Ratios"/>
      <sheetName val="SCH_B1"/>
      <sheetName val="SCH B-2"/>
      <sheetName val="SCH B-2.1"/>
      <sheetName val="SCH B-2.2"/>
      <sheetName val="SCH B-2.3"/>
      <sheetName val="SCH B-2.4"/>
      <sheetName val="SCH B-2.5"/>
      <sheetName val="SCH B-2.6"/>
      <sheetName val="SCH B-2.7"/>
      <sheetName val="SCH B-3"/>
      <sheetName val="SCH B-3.1"/>
      <sheetName val="SCH B-3.2 - Proposed"/>
      <sheetName val="SCH B-4"/>
      <sheetName val="SCH_B5s"/>
      <sheetName val="WPB-5's"/>
      <sheetName val="SCH_B6"/>
      <sheetName val="WPB-6's"/>
      <sheetName val="SCH_B7s"/>
      <sheetName val="SCH_B8"/>
      <sheetName val="SCH_C1"/>
      <sheetName val="SCH_C2"/>
      <sheetName val="WPC_2"/>
      <sheetName val="WPC-2e - Adj Summary"/>
      <sheetName val="SCH_C2.1 - Base Period"/>
      <sheetName val="STAFF-DR-01-029b"/>
      <sheetName val="SCH_C2.1 - Forecasted Period"/>
      <sheetName val="SCH_D1"/>
      <sheetName val="SCH_D2.1"/>
      <sheetName val="SCH_D2.2"/>
      <sheetName val="SCH_D2.3"/>
      <sheetName val="SCH_D2.4"/>
      <sheetName val="SCH_D2.5"/>
      <sheetName val="SCH_D2.6"/>
      <sheetName val="SCH_D2.7"/>
      <sheetName val="SCH_D2.8"/>
      <sheetName val="SCH_D2.9"/>
      <sheetName val="SCH_D2.10"/>
      <sheetName val="SCH_D2.11"/>
      <sheetName val="SCH_D2.12"/>
      <sheetName val="SCH_D2.13"/>
      <sheetName val="SCH_D2.14"/>
      <sheetName val="SCH_D2.15"/>
      <sheetName val="SCH_D2.16"/>
      <sheetName val="SCH_D2.17"/>
      <sheetName val="SCH_D2.18"/>
      <sheetName val="SCH_D2.19"/>
      <sheetName val="SCH_D2.20"/>
      <sheetName val="SCH_D2.21"/>
      <sheetName val="SCH_D2.22"/>
      <sheetName val="SCH_D2.23"/>
      <sheetName val="SCH_D2.24"/>
      <sheetName val="SCH_D2.25"/>
      <sheetName val="SCH_D2.26"/>
      <sheetName val="SCH_D2.27"/>
      <sheetName val="SCH_D2.28"/>
      <sheetName val="SCH_D2.29"/>
      <sheetName val="SCH_D2.30"/>
      <sheetName val="SCH_D2.31"/>
      <sheetName val="SCH_D2.32"/>
      <sheetName val="SCH_D2.33"/>
      <sheetName val="SCH_D2.34"/>
      <sheetName val="SCH_D2.35"/>
      <sheetName val="SCH_D2.36"/>
      <sheetName val="SCH_D2.37"/>
      <sheetName val="SCH_D2.38"/>
      <sheetName val="SCH_D3"/>
      <sheetName val="SCH_D4"/>
      <sheetName val="SCH_D5"/>
      <sheetName val="SCH_E1"/>
      <sheetName val="SCH_E2"/>
      <sheetName val="SCH_F1"/>
      <sheetName val="SCH_F2.1"/>
      <sheetName val="SCH_F2.2"/>
      <sheetName val="SCH_F2.3"/>
      <sheetName val="SCH_F3"/>
      <sheetName val="SCH_F4"/>
      <sheetName val="SCH_F5"/>
      <sheetName val="SCH_F6"/>
      <sheetName val="SCH_F7"/>
      <sheetName val="SCH_G1"/>
      <sheetName val="SCH_G2"/>
      <sheetName val="SCH_G3"/>
      <sheetName val="SCH_H"/>
      <sheetName val="SCH_I1 - Total Co"/>
      <sheetName val="SCH_I1 - Elec Only"/>
      <sheetName val="Staff-DR-01-007"/>
      <sheetName val="Staff-DR-01-031"/>
      <sheetName val="SCH_I2.1"/>
      <sheetName val="Base Period Cust"/>
      <sheetName val="KWH Sales"/>
      <sheetName val="SCH_I3"/>
      <sheetName val="SCH_I4"/>
      <sheetName val="SCH_I5"/>
      <sheetName val="SCH_J1 - Base"/>
      <sheetName val="SCH_J1 - Forecast"/>
      <sheetName val="SCH_J2 - Base"/>
      <sheetName val="SCH_J2 - Forecast"/>
      <sheetName val="SCH_J3 - Base"/>
      <sheetName val="SCH_J3 - Forecast"/>
      <sheetName val="SCH_J4"/>
      <sheetName val="SCH K"/>
      <sheetName val="RB vs Cap FP 16(6)(f)"/>
      <sheetName val="RB vs Cap BP Staff DR"/>
    </sheetNames>
    <sheetDataSet>
      <sheetData sheetId="0" refreshError="1"/>
      <sheetData sheetId="1" refreshError="1">
        <row r="5">
          <cell r="B5" t="str">
            <v>DUKE ENERGY KENTUCKY, INC.</v>
          </cell>
        </row>
        <row r="17">
          <cell r="B17" t="str">
            <v>MARCH 31, 2019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Return Calculation - 2018"/>
      <sheetName val="B. Return Calculation - 2017"/>
      <sheetName val="B. Return Calculation - 2016"/>
      <sheetName val="B. Return Calculation - 2015"/>
      <sheetName val="D. AFUDC Rates Letter"/>
    </sheetNames>
    <sheetDataSet>
      <sheetData sheetId="0"/>
      <sheetData sheetId="1">
        <row r="53">
          <cell r="Q53">
            <v>15736746.338422898</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Return Calculation - 2017"/>
      <sheetName val="B. Return Calculation - 2016"/>
      <sheetName val="B. Return Calculation - 2015"/>
      <sheetName val="D. AFUDC Rates Letter"/>
    </sheetNames>
    <sheetDataSet>
      <sheetData sheetId="0"/>
      <sheetData sheetId="1">
        <row r="53">
          <cell r="Q53">
            <v>8078724.0030629328</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D9B0-A9BC-47E0-882F-63C911C037EF}">
  <dimension ref="A1:U59"/>
  <sheetViews>
    <sheetView topLeftCell="A34" zoomScale="80" zoomScaleNormal="80" workbookViewId="0">
      <selection activeCell="AF4" sqref="AF4"/>
    </sheetView>
  </sheetViews>
  <sheetFormatPr defaultRowHeight="14.4" x14ac:dyDescent="0.3"/>
  <cols>
    <col min="21" max="21" width="11.21875" customWidth="1"/>
  </cols>
  <sheetData>
    <row r="1" spans="1:1" x14ac:dyDescent="0.3">
      <c r="A1" t="s">
        <v>4</v>
      </c>
    </row>
    <row r="2" spans="1:1" x14ac:dyDescent="0.3">
      <c r="A2" t="s">
        <v>5</v>
      </c>
    </row>
    <row r="3" spans="1:1" x14ac:dyDescent="0.3">
      <c r="A3" t="s">
        <v>6</v>
      </c>
    </row>
    <row r="37" spans="2:21" x14ac:dyDescent="0.3">
      <c r="B37" s="1" t="s">
        <v>0</v>
      </c>
      <c r="C37" s="144" t="s">
        <v>280</v>
      </c>
      <c r="D37" s="144"/>
      <c r="E37" s="144"/>
      <c r="F37" s="144"/>
      <c r="G37" s="144"/>
      <c r="H37" s="144"/>
      <c r="I37" s="144"/>
      <c r="J37" s="144"/>
      <c r="K37" s="144"/>
      <c r="L37" s="144"/>
      <c r="M37" s="144"/>
      <c r="N37" s="144"/>
      <c r="O37" s="144"/>
      <c r="P37" s="144"/>
      <c r="Q37" s="144"/>
      <c r="R37" s="144"/>
      <c r="S37" s="144"/>
      <c r="T37" s="144"/>
      <c r="U37" s="144"/>
    </row>
    <row r="38" spans="2:21" x14ac:dyDescent="0.3">
      <c r="B38" s="1"/>
      <c r="C38" s="144"/>
      <c r="D38" s="144"/>
      <c r="E38" s="144"/>
      <c r="F38" s="144"/>
      <c r="G38" s="144"/>
      <c r="H38" s="144"/>
      <c r="I38" s="144"/>
      <c r="J38" s="144"/>
      <c r="K38" s="144"/>
      <c r="L38" s="144"/>
      <c r="M38" s="144"/>
      <c r="N38" s="144"/>
      <c r="O38" s="144"/>
      <c r="P38" s="144"/>
      <c r="Q38" s="144"/>
      <c r="R38" s="144"/>
      <c r="S38" s="144"/>
      <c r="T38" s="144"/>
      <c r="U38" s="144"/>
    </row>
    <row r="39" spans="2:21" x14ac:dyDescent="0.3">
      <c r="B39" s="1"/>
      <c r="C39" s="144"/>
      <c r="D39" s="144"/>
      <c r="E39" s="144"/>
      <c r="F39" s="144"/>
      <c r="G39" s="144"/>
      <c r="H39" s="144"/>
      <c r="I39" s="144"/>
      <c r="J39" s="144"/>
      <c r="K39" s="144"/>
      <c r="L39" s="144"/>
      <c r="M39" s="144"/>
      <c r="N39" s="144"/>
      <c r="O39" s="144"/>
      <c r="P39" s="144"/>
      <c r="Q39" s="144"/>
      <c r="R39" s="144"/>
      <c r="S39" s="144"/>
      <c r="T39" s="144"/>
      <c r="U39" s="144"/>
    </row>
    <row r="40" spans="2:21" x14ac:dyDescent="0.3">
      <c r="B40" s="1"/>
      <c r="C40" s="2"/>
      <c r="D40" s="2"/>
      <c r="E40" s="2"/>
      <c r="F40" s="2"/>
      <c r="G40" s="2"/>
      <c r="H40" s="2"/>
      <c r="I40" s="2"/>
      <c r="J40" s="2"/>
      <c r="K40" s="2"/>
      <c r="L40" s="2"/>
      <c r="M40" s="2"/>
      <c r="N40" s="2"/>
      <c r="O40" s="2"/>
      <c r="P40" s="2"/>
      <c r="Q40" s="2"/>
      <c r="R40" s="2"/>
      <c r="S40" s="2"/>
      <c r="T40" s="2"/>
      <c r="U40" s="2"/>
    </row>
    <row r="41" spans="2:21" x14ac:dyDescent="0.3">
      <c r="B41" s="1" t="s">
        <v>1</v>
      </c>
      <c r="C41" s="144" t="s">
        <v>281</v>
      </c>
      <c r="D41" s="144"/>
      <c r="E41" s="144"/>
      <c r="F41" s="144"/>
      <c r="G41" s="144"/>
      <c r="H41" s="144"/>
      <c r="I41" s="144"/>
      <c r="J41" s="144"/>
      <c r="K41" s="144"/>
      <c r="L41" s="144"/>
      <c r="M41" s="144"/>
      <c r="N41" s="144"/>
      <c r="O41" s="144"/>
      <c r="P41" s="144"/>
      <c r="Q41" s="144"/>
      <c r="R41" s="144"/>
      <c r="S41" s="144"/>
      <c r="T41" s="144"/>
      <c r="U41" s="144"/>
    </row>
    <row r="42" spans="2:21" x14ac:dyDescent="0.3">
      <c r="B42" s="1"/>
      <c r="C42" s="144"/>
      <c r="D42" s="144"/>
      <c r="E42" s="144"/>
      <c r="F42" s="144"/>
      <c r="G42" s="144"/>
      <c r="H42" s="144"/>
      <c r="I42" s="144"/>
      <c r="J42" s="144"/>
      <c r="K42" s="144"/>
      <c r="L42" s="144"/>
      <c r="M42" s="144"/>
      <c r="N42" s="144"/>
      <c r="O42" s="144"/>
      <c r="P42" s="144"/>
      <c r="Q42" s="144"/>
      <c r="R42" s="144"/>
      <c r="S42" s="144"/>
      <c r="T42" s="144"/>
      <c r="U42" s="144"/>
    </row>
    <row r="43" spans="2:21" x14ac:dyDescent="0.3">
      <c r="B43" s="1"/>
    </row>
    <row r="44" spans="2:21" x14ac:dyDescent="0.3">
      <c r="B44" s="1" t="s">
        <v>2</v>
      </c>
      <c r="C44" s="145" t="s">
        <v>284</v>
      </c>
      <c r="D44" s="145"/>
      <c r="E44" s="145"/>
      <c r="F44" s="145"/>
      <c r="G44" s="145"/>
      <c r="H44" s="145"/>
      <c r="I44" s="145"/>
      <c r="J44" s="145"/>
      <c r="K44" s="145"/>
      <c r="L44" s="145"/>
      <c r="M44" s="145"/>
      <c r="N44" s="145"/>
      <c r="O44" s="145"/>
      <c r="P44" s="145"/>
      <c r="Q44" s="145"/>
      <c r="R44" s="145"/>
      <c r="S44" s="145"/>
      <c r="T44" s="145"/>
      <c r="U44" s="145"/>
    </row>
    <row r="45" spans="2:21" x14ac:dyDescent="0.3">
      <c r="B45" s="1"/>
      <c r="C45" s="145"/>
      <c r="D45" s="145"/>
      <c r="E45" s="145"/>
      <c r="F45" s="145"/>
      <c r="G45" s="145"/>
      <c r="H45" s="145"/>
      <c r="I45" s="145"/>
      <c r="J45" s="145"/>
      <c r="K45" s="145"/>
      <c r="L45" s="145"/>
      <c r="M45" s="145"/>
      <c r="N45" s="145"/>
      <c r="O45" s="145"/>
      <c r="P45" s="145"/>
      <c r="Q45" s="145"/>
      <c r="R45" s="145"/>
      <c r="S45" s="145"/>
      <c r="T45" s="145"/>
      <c r="U45" s="145"/>
    </row>
    <row r="46" spans="2:21" x14ac:dyDescent="0.3">
      <c r="B46" s="1"/>
      <c r="C46" s="145"/>
      <c r="D46" s="145"/>
      <c r="E46" s="145"/>
      <c r="F46" s="145"/>
      <c r="G46" s="145"/>
      <c r="H46" s="145"/>
      <c r="I46" s="145"/>
      <c r="J46" s="145"/>
      <c r="K46" s="145"/>
      <c r="L46" s="145"/>
      <c r="M46" s="145"/>
      <c r="N46" s="145"/>
      <c r="O46" s="145"/>
      <c r="P46" s="145"/>
      <c r="Q46" s="145"/>
      <c r="R46" s="145"/>
      <c r="S46" s="145"/>
      <c r="T46" s="145"/>
      <c r="U46" s="145"/>
    </row>
    <row r="47" spans="2:21" x14ac:dyDescent="0.3">
      <c r="B47" s="1"/>
      <c r="C47" s="145"/>
      <c r="D47" s="145"/>
      <c r="E47" s="145"/>
      <c r="F47" s="145"/>
      <c r="G47" s="145"/>
      <c r="H47" s="145"/>
      <c r="I47" s="145"/>
      <c r="J47" s="145"/>
      <c r="K47" s="145"/>
      <c r="L47" s="145"/>
      <c r="M47" s="145"/>
      <c r="N47" s="145"/>
      <c r="O47" s="145"/>
      <c r="P47" s="145"/>
      <c r="Q47" s="145"/>
      <c r="R47" s="145"/>
      <c r="S47" s="145"/>
      <c r="T47" s="145"/>
      <c r="U47" s="145"/>
    </row>
    <row r="48" spans="2:21" x14ac:dyDescent="0.3">
      <c r="B48" s="1"/>
    </row>
    <row r="49" spans="2:3" x14ac:dyDescent="0.3">
      <c r="B49" s="1"/>
    </row>
    <row r="50" spans="2:3" x14ac:dyDescent="0.3">
      <c r="B50" s="1"/>
    </row>
    <row r="51" spans="2:3" x14ac:dyDescent="0.3">
      <c r="B51" s="1"/>
    </row>
    <row r="52" spans="2:3" x14ac:dyDescent="0.3">
      <c r="B52" s="1"/>
    </row>
    <row r="53" spans="2:3" x14ac:dyDescent="0.3">
      <c r="B53" s="1"/>
    </row>
    <row r="54" spans="2:3" x14ac:dyDescent="0.3">
      <c r="B54" s="1"/>
    </row>
    <row r="55" spans="2:3" x14ac:dyDescent="0.3">
      <c r="B55" s="1"/>
    </row>
    <row r="56" spans="2:3" x14ac:dyDescent="0.3">
      <c r="B56" s="1"/>
    </row>
    <row r="57" spans="2:3" x14ac:dyDescent="0.3">
      <c r="B57" s="1"/>
    </row>
    <row r="58" spans="2:3" x14ac:dyDescent="0.3">
      <c r="B58" s="1"/>
    </row>
    <row r="59" spans="2:3" x14ac:dyDescent="0.3">
      <c r="B59" s="1" t="s">
        <v>3</v>
      </c>
      <c r="C59" t="s">
        <v>283</v>
      </c>
    </row>
  </sheetData>
  <mergeCells count="3">
    <mergeCell ref="C37:U39"/>
    <mergeCell ref="C41:U42"/>
    <mergeCell ref="C44:U47"/>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025" r:id="rId4">
          <objectPr defaultSize="0" r:id="rId5">
            <anchor moveWithCells="1">
              <from>
                <xdr:col>11</xdr:col>
                <xdr:colOff>396240</xdr:colOff>
                <xdr:row>49</xdr:row>
                <xdr:rowOff>137160</xdr:rowOff>
              </from>
              <to>
                <xdr:col>13</xdr:col>
                <xdr:colOff>91440</xdr:colOff>
                <xdr:row>53</xdr:row>
                <xdr:rowOff>91440</xdr:rowOff>
              </to>
            </anchor>
          </objectPr>
        </oleObject>
      </mc:Choice>
      <mc:Fallback>
        <oleObject progId="Acrobat Document" dvAspect="DVASPECT_ICON"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F2F11-5E1D-41E2-9822-F1039F029DB5}">
  <sheetPr>
    <tabColor theme="7" tint="0.79998168889431442"/>
  </sheetPr>
  <dimension ref="B3"/>
  <sheetViews>
    <sheetView zoomScale="80" zoomScaleNormal="80" workbookViewId="0">
      <selection activeCell="A41" sqref="A41"/>
    </sheetView>
  </sheetViews>
  <sheetFormatPr defaultRowHeight="14.4" x14ac:dyDescent="0.3"/>
  <sheetData>
    <row r="3" spans="2:2" x14ac:dyDescent="0.3">
      <c r="B3" s="38" t="s">
        <v>277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5FA2A-C4DD-4116-9CA0-3EABD9BB355F}">
  <sheetPr>
    <tabColor theme="7" tint="0.79998168889431442"/>
    <pageSetUpPr fitToPage="1"/>
  </sheetPr>
  <dimension ref="A1:N154"/>
  <sheetViews>
    <sheetView topLeftCell="A142" workbookViewId="0">
      <selection activeCell="F35" sqref="F35"/>
    </sheetView>
  </sheetViews>
  <sheetFormatPr defaultColWidth="8.77734375" defaultRowHeight="14.4" x14ac:dyDescent="0.3"/>
  <cols>
    <col min="1" max="1" width="7.5546875" customWidth="1"/>
    <col min="2" max="3" width="12.77734375" customWidth="1"/>
    <col min="4" max="4" width="19.21875" customWidth="1"/>
    <col min="5" max="6" width="14.5546875" customWidth="1"/>
    <col min="7" max="7" width="16.44140625" customWidth="1"/>
    <col min="8" max="8" width="20.77734375" customWidth="1"/>
    <col min="9" max="9" width="5.21875" customWidth="1"/>
    <col min="10" max="10" width="18.21875" customWidth="1"/>
    <col min="11" max="12" width="16.44140625" customWidth="1"/>
    <col min="13" max="13" width="4.77734375" customWidth="1"/>
    <col min="14" max="14" width="16.44140625" customWidth="1"/>
  </cols>
  <sheetData>
    <row r="1" spans="1:14" ht="12.75" customHeight="1" x14ac:dyDescent="0.3">
      <c r="H1" s="3" t="s">
        <v>7</v>
      </c>
    </row>
    <row r="2" spans="1:14" ht="12.75" customHeight="1" x14ac:dyDescent="0.3"/>
    <row r="3" spans="1:14" ht="12.75" customHeight="1" x14ac:dyDescent="0.3">
      <c r="A3" s="4" t="str">
        <f>COMPANY</f>
        <v>DUKE ENERGY KENTUCKY, INC.</v>
      </c>
      <c r="B3" s="5"/>
      <c r="C3" s="5"/>
      <c r="D3" s="4"/>
      <c r="E3" s="5"/>
      <c r="F3" s="5"/>
      <c r="G3" s="5"/>
      <c r="H3" s="5"/>
      <c r="J3" s="6"/>
      <c r="K3" s="5"/>
      <c r="L3" s="5"/>
      <c r="N3" s="5"/>
    </row>
    <row r="4" spans="1:14" ht="12.75" customHeight="1" x14ac:dyDescent="0.3">
      <c r="A4" s="4" t="str">
        <f>Title</f>
        <v>ENVIRONMENTAL SURCHARGE REPORT</v>
      </c>
      <c r="B4" s="5"/>
      <c r="C4" s="5"/>
      <c r="D4" s="4"/>
      <c r="E4" s="5"/>
      <c r="F4" s="5"/>
      <c r="G4" s="5"/>
      <c r="H4" s="5"/>
      <c r="J4" s="6"/>
      <c r="K4" s="5"/>
      <c r="L4" s="5"/>
      <c r="N4" s="5"/>
    </row>
    <row r="5" spans="1:14" ht="12.75" customHeight="1" x14ac:dyDescent="0.3">
      <c r="A5" s="5"/>
      <c r="B5" s="5"/>
      <c r="C5" s="5"/>
      <c r="D5" s="5"/>
      <c r="E5" s="5"/>
      <c r="F5" s="5"/>
      <c r="G5" s="5"/>
      <c r="H5" s="5"/>
      <c r="J5" s="5"/>
      <c r="K5" s="5"/>
      <c r="L5" s="5"/>
      <c r="N5" s="5"/>
    </row>
    <row r="6" spans="1:14" ht="12.75" customHeight="1" x14ac:dyDescent="0.3">
      <c r="A6" s="5" t="s">
        <v>8</v>
      </c>
      <c r="B6" s="5"/>
      <c r="C6" s="5"/>
      <c r="D6" s="5"/>
      <c r="E6" s="5"/>
      <c r="F6" s="5"/>
      <c r="G6" s="5"/>
      <c r="H6" s="5"/>
      <c r="J6" s="5"/>
      <c r="K6" s="5"/>
      <c r="L6" s="5"/>
      <c r="N6" s="5"/>
    </row>
    <row r="7" spans="1:14" ht="12.75" customHeight="1" x14ac:dyDescent="0.3">
      <c r="B7" s="7"/>
      <c r="C7" s="5"/>
      <c r="D7" s="5"/>
      <c r="E7" s="5"/>
      <c r="F7" s="5"/>
      <c r="G7" s="5"/>
      <c r="J7" s="5"/>
      <c r="K7" s="5"/>
      <c r="L7" s="5"/>
      <c r="N7" s="5"/>
    </row>
    <row r="8" spans="1:14" ht="12.75" customHeight="1" x14ac:dyDescent="0.3">
      <c r="B8" s="7"/>
      <c r="C8" s="5"/>
      <c r="D8" s="8"/>
      <c r="E8" s="8"/>
      <c r="F8" s="8"/>
      <c r="G8" s="8"/>
      <c r="H8" s="9"/>
      <c r="J8" s="8"/>
      <c r="K8" s="8"/>
      <c r="L8" s="8"/>
      <c r="N8" s="10" t="s">
        <v>9</v>
      </c>
    </row>
    <row r="9" spans="1:14" ht="27" x14ac:dyDescent="0.3">
      <c r="A9" s="11" t="s">
        <v>10</v>
      </c>
      <c r="B9" s="146" t="s">
        <v>11</v>
      </c>
      <c r="C9" s="147"/>
      <c r="D9" s="12" t="s">
        <v>12</v>
      </c>
      <c r="E9" s="11" t="s">
        <v>13</v>
      </c>
      <c r="F9" s="11" t="s">
        <v>14</v>
      </c>
      <c r="G9" s="13" t="s">
        <v>15</v>
      </c>
      <c r="H9" s="12" t="s">
        <v>16</v>
      </c>
      <c r="I9" s="14"/>
      <c r="J9" s="12" t="s">
        <v>17</v>
      </c>
      <c r="K9" s="13" t="s">
        <v>18</v>
      </c>
      <c r="L9" s="13" t="s">
        <v>19</v>
      </c>
      <c r="N9" s="13" t="s">
        <v>20</v>
      </c>
    </row>
    <row r="10" spans="1:14" ht="15.75" customHeight="1" x14ac:dyDescent="0.3">
      <c r="A10" s="15" t="s">
        <v>21</v>
      </c>
      <c r="B10" s="148" t="s">
        <v>22</v>
      </c>
      <c r="C10" s="148"/>
      <c r="D10" s="16" t="s">
        <v>23</v>
      </c>
      <c r="E10" s="16" t="s">
        <v>24</v>
      </c>
      <c r="F10" s="16" t="s">
        <v>25</v>
      </c>
      <c r="G10" s="16" t="s">
        <v>26</v>
      </c>
      <c r="H10" s="16" t="s">
        <v>27</v>
      </c>
      <c r="J10" s="16" t="s">
        <v>28</v>
      </c>
      <c r="K10" s="16" t="s">
        <v>29</v>
      </c>
      <c r="L10" s="16" t="s">
        <v>30</v>
      </c>
      <c r="N10" s="16" t="s">
        <v>31</v>
      </c>
    </row>
    <row r="11" spans="1:14" ht="12.75" customHeight="1" x14ac:dyDescent="0.3">
      <c r="A11" s="17">
        <v>1</v>
      </c>
      <c r="B11" s="18" t="s">
        <v>32</v>
      </c>
      <c r="C11" s="19" t="s">
        <v>33</v>
      </c>
      <c r="D11" s="20">
        <v>3858084</v>
      </c>
      <c r="E11" s="20">
        <v>-856412</v>
      </c>
      <c r="F11" s="20">
        <f>ROUND((SUM('D. 1 (calc - amort actuals)'!K8:K15)),0)</f>
        <v>20378</v>
      </c>
      <c r="G11" s="21">
        <v>0</v>
      </c>
      <c r="H11" s="22">
        <f>ROUND((SUM(D11:G11)),0)</f>
        <v>3022050</v>
      </c>
      <c r="J11" s="20"/>
      <c r="K11" s="20"/>
      <c r="L11" s="20"/>
      <c r="N11" s="20"/>
    </row>
    <row r="12" spans="1:14" ht="12.75" customHeight="1" x14ac:dyDescent="0.3">
      <c r="A12" s="23">
        <f>A11+1</f>
        <v>2</v>
      </c>
      <c r="B12" s="18" t="s">
        <v>34</v>
      </c>
      <c r="C12" s="19" t="s">
        <v>33</v>
      </c>
      <c r="D12" s="21">
        <v>4486812</v>
      </c>
      <c r="E12" s="21">
        <v>-107052</v>
      </c>
      <c r="F12" s="21">
        <f>ROUND((SUM('D. 1 (calc - amort actuals)'!K16:K27)),0)</f>
        <v>379037</v>
      </c>
      <c r="G12" s="21">
        <v>0</v>
      </c>
      <c r="H12" s="21">
        <f>ROUND((SUM(D12:G12)+H11),0)</f>
        <v>7780847</v>
      </c>
      <c r="J12" s="21"/>
      <c r="K12" s="21"/>
      <c r="L12" s="21"/>
      <c r="N12" s="21"/>
    </row>
    <row r="13" spans="1:14" ht="12.75" customHeight="1" x14ac:dyDescent="0.3">
      <c r="A13" s="23">
        <f t="shared" ref="A13" si="0">A12+1</f>
        <v>3</v>
      </c>
      <c r="B13" s="24" t="s">
        <v>35</v>
      </c>
      <c r="C13" s="19" t="s">
        <v>33</v>
      </c>
      <c r="D13" s="21">
        <v>358148</v>
      </c>
      <c r="E13" s="21">
        <v>0</v>
      </c>
      <c r="F13" s="21">
        <f>ROUND(('D. 1 (calc - amort actuals)'!K28),0)</f>
        <v>43243</v>
      </c>
      <c r="G13" s="21">
        <v>0</v>
      </c>
      <c r="H13" s="21">
        <f t="shared" ref="H13:H76" si="1">ROUND((SUM(D13:G13)+H12),0)</f>
        <v>8182238</v>
      </c>
      <c r="J13" s="21"/>
      <c r="K13" s="21"/>
      <c r="L13" s="21"/>
      <c r="N13" s="21"/>
    </row>
    <row r="14" spans="1:14" ht="12.75" customHeight="1" x14ac:dyDescent="0.3">
      <c r="A14" s="23">
        <f>A13+1</f>
        <v>4</v>
      </c>
      <c r="B14" s="24" t="s">
        <v>36</v>
      </c>
      <c r="C14" s="19" t="s">
        <v>33</v>
      </c>
      <c r="D14" s="21">
        <v>424021</v>
      </c>
      <c r="E14" s="21">
        <v>0</v>
      </c>
      <c r="F14" s="21">
        <f>ROUND(('D. 1 (calc - amort actuals)'!K29),0)</f>
        <v>40351</v>
      </c>
      <c r="G14" s="21">
        <v>0</v>
      </c>
      <c r="H14" s="21">
        <f t="shared" si="1"/>
        <v>8646610</v>
      </c>
      <c r="J14" s="21"/>
      <c r="K14" s="21"/>
      <c r="L14" s="21"/>
      <c r="N14" s="21"/>
    </row>
    <row r="15" spans="1:14" ht="12.75" customHeight="1" x14ac:dyDescent="0.3">
      <c r="A15" s="23">
        <f t="shared" ref="A15:A78" si="2">A14+1</f>
        <v>5</v>
      </c>
      <c r="B15" s="24" t="s">
        <v>37</v>
      </c>
      <c r="C15" s="19" t="s">
        <v>33</v>
      </c>
      <c r="D15" s="21">
        <v>692184</v>
      </c>
      <c r="E15" s="21">
        <v>-26763</v>
      </c>
      <c r="F15" s="21">
        <f>ROUND(('D. 1 (calc - amort actuals)'!K30),0)</f>
        <v>44724</v>
      </c>
      <c r="G15" s="21">
        <v>0</v>
      </c>
      <c r="H15" s="21">
        <f t="shared" si="1"/>
        <v>9356755</v>
      </c>
      <c r="J15" s="21"/>
      <c r="K15" s="21"/>
      <c r="L15" s="21"/>
      <c r="N15" s="21"/>
    </row>
    <row r="16" spans="1:14" ht="12.75" customHeight="1" x14ac:dyDescent="0.3">
      <c r="A16" s="23">
        <f t="shared" si="2"/>
        <v>6</v>
      </c>
      <c r="B16" s="24" t="s">
        <v>38</v>
      </c>
      <c r="C16" s="19" t="s">
        <v>33</v>
      </c>
      <c r="D16" s="21">
        <v>254067</v>
      </c>
      <c r="E16" s="21">
        <v>0</v>
      </c>
      <c r="F16" s="21">
        <f>ROUND(('D. 1 (calc - amort actuals)'!K31),0)</f>
        <v>50949</v>
      </c>
      <c r="G16" s="21">
        <v>0</v>
      </c>
      <c r="H16" s="21">
        <f t="shared" si="1"/>
        <v>9661771</v>
      </c>
      <c r="J16" s="21"/>
      <c r="K16" s="21"/>
      <c r="L16" s="21"/>
      <c r="N16" s="21"/>
    </row>
    <row r="17" spans="1:14" ht="12.75" customHeight="1" x14ac:dyDescent="0.3">
      <c r="A17" s="23">
        <f t="shared" si="2"/>
        <v>7</v>
      </c>
      <c r="B17" s="24" t="s">
        <v>39</v>
      </c>
      <c r="C17" s="19" t="s">
        <v>33</v>
      </c>
      <c r="D17" s="21">
        <v>608377</v>
      </c>
      <c r="E17" s="21">
        <v>0</v>
      </c>
      <c r="F17" s="21">
        <f>ROUND(('D. 1 (calc - amort actuals)'!K32),0)</f>
        <v>56141</v>
      </c>
      <c r="G17" s="21">
        <v>0</v>
      </c>
      <c r="H17" s="21">
        <f t="shared" si="1"/>
        <v>10326289</v>
      </c>
      <c r="J17" s="21"/>
      <c r="K17" s="21"/>
      <c r="L17" s="21"/>
      <c r="N17" s="21"/>
    </row>
    <row r="18" spans="1:14" ht="12.75" customHeight="1" x14ac:dyDescent="0.3">
      <c r="A18" s="23">
        <f t="shared" si="2"/>
        <v>8</v>
      </c>
      <c r="B18" s="24" t="s">
        <v>40</v>
      </c>
      <c r="C18" s="19" t="s">
        <v>33</v>
      </c>
      <c r="D18" s="21">
        <v>265619</v>
      </c>
      <c r="E18" s="21">
        <v>-26763</v>
      </c>
      <c r="F18" s="21">
        <f>ROUND(('D. 1 (calc - amort actuals)'!K33),0)</f>
        <v>53472</v>
      </c>
      <c r="G18" s="21">
        <v>0</v>
      </c>
      <c r="H18" s="21">
        <f t="shared" si="1"/>
        <v>10618617</v>
      </c>
      <c r="J18" s="21"/>
      <c r="K18" s="21"/>
      <c r="L18" s="21"/>
      <c r="N18" s="21"/>
    </row>
    <row r="19" spans="1:14" ht="12.75" customHeight="1" x14ac:dyDescent="0.3">
      <c r="A19" s="23">
        <f t="shared" si="2"/>
        <v>9</v>
      </c>
      <c r="B19" s="24" t="s">
        <v>41</v>
      </c>
      <c r="C19" s="19" t="s">
        <v>33</v>
      </c>
      <c r="D19" s="21">
        <v>220636</v>
      </c>
      <c r="E19" s="21">
        <v>0</v>
      </c>
      <c r="F19" s="21">
        <f>ROUND(('D. 1 (calc - amort actuals)'!K34),0)</f>
        <v>51558</v>
      </c>
      <c r="G19" s="21">
        <v>0</v>
      </c>
      <c r="H19" s="21">
        <f t="shared" si="1"/>
        <v>10890811</v>
      </c>
      <c r="J19" s="21"/>
      <c r="K19" s="21"/>
      <c r="L19" s="21"/>
      <c r="N19" s="21"/>
    </row>
    <row r="20" spans="1:14" ht="12.75" customHeight="1" x14ac:dyDescent="0.3">
      <c r="A20" s="23">
        <f t="shared" si="2"/>
        <v>10</v>
      </c>
      <c r="B20" s="24" t="s">
        <v>42</v>
      </c>
      <c r="C20" s="19" t="s">
        <v>33</v>
      </c>
      <c r="D20" s="21">
        <v>272053</v>
      </c>
      <c r="E20" s="21">
        <v>0</v>
      </c>
      <c r="F20" s="21">
        <f>ROUND(('D. 1 (calc - amort actuals)'!K35),0)</f>
        <v>47731</v>
      </c>
      <c r="G20" s="21">
        <v>0</v>
      </c>
      <c r="H20" s="21">
        <f t="shared" si="1"/>
        <v>11210595</v>
      </c>
      <c r="J20" s="21"/>
      <c r="K20" s="21"/>
      <c r="L20" s="21"/>
      <c r="N20" s="21"/>
    </row>
    <row r="21" spans="1:14" ht="12.75" customHeight="1" x14ac:dyDescent="0.3">
      <c r="A21" s="23">
        <f t="shared" si="2"/>
        <v>11</v>
      </c>
      <c r="B21" s="24" t="s">
        <v>43</v>
      </c>
      <c r="C21" s="19" t="s">
        <v>33</v>
      </c>
      <c r="D21" s="21">
        <v>233743</v>
      </c>
      <c r="E21" s="21">
        <v>-26763</v>
      </c>
      <c r="F21" s="21">
        <f>ROUND(('D. 1 (calc - amort actuals)'!K36),0)</f>
        <v>44389</v>
      </c>
      <c r="G21" s="21">
        <v>0</v>
      </c>
      <c r="H21" s="21">
        <f t="shared" si="1"/>
        <v>11461964</v>
      </c>
      <c r="J21" s="21"/>
      <c r="K21" s="21"/>
      <c r="L21" s="21"/>
      <c r="N21" s="21"/>
    </row>
    <row r="22" spans="1:14" ht="12.75" customHeight="1" x14ac:dyDescent="0.3">
      <c r="A22" s="23">
        <f t="shared" si="2"/>
        <v>12</v>
      </c>
      <c r="B22" s="24" t="s">
        <v>44</v>
      </c>
      <c r="C22" s="19" t="s">
        <v>33</v>
      </c>
      <c r="D22" s="21">
        <v>444793</v>
      </c>
      <c r="E22" s="21">
        <v>0</v>
      </c>
      <c r="F22" s="21">
        <f>ROUND(('D. 1 (calc - amort actuals)'!K37),0)</f>
        <v>60670</v>
      </c>
      <c r="G22" s="21">
        <v>0</v>
      </c>
      <c r="H22" s="21">
        <f t="shared" si="1"/>
        <v>11967427</v>
      </c>
      <c r="J22" s="21"/>
      <c r="K22" s="21"/>
      <c r="L22" s="21"/>
      <c r="N22" s="21"/>
    </row>
    <row r="23" spans="1:14" ht="12.75" customHeight="1" x14ac:dyDescent="0.3">
      <c r="A23" s="23">
        <f t="shared" si="2"/>
        <v>13</v>
      </c>
      <c r="B23" s="24" t="s">
        <v>45</v>
      </c>
      <c r="C23" s="19" t="s">
        <v>33</v>
      </c>
      <c r="D23" s="21">
        <v>525770</v>
      </c>
      <c r="E23" s="21">
        <v>0</v>
      </c>
      <c r="F23" s="21">
        <f>ROUND(('D. 1 (calc - amort actuals)'!K38),0)</f>
        <v>68573</v>
      </c>
      <c r="G23" s="21">
        <v>0</v>
      </c>
      <c r="H23" s="21">
        <f t="shared" si="1"/>
        <v>12561770</v>
      </c>
      <c r="J23" s="21"/>
      <c r="K23" s="21"/>
      <c r="L23" s="21"/>
      <c r="N23" s="21"/>
    </row>
    <row r="24" spans="1:14" ht="12.75" customHeight="1" x14ac:dyDescent="0.3">
      <c r="A24" s="23">
        <f t="shared" si="2"/>
        <v>14</v>
      </c>
      <c r="B24" s="24" t="s">
        <v>46</v>
      </c>
      <c r="C24" s="19" t="s">
        <v>33</v>
      </c>
      <c r="D24" s="21">
        <v>2482493</v>
      </c>
      <c r="E24" s="21">
        <v>-26763</v>
      </c>
      <c r="F24" s="21">
        <f>ROUND(('D. 1 (calc - amort actuals)'!K39),0)</f>
        <v>82850</v>
      </c>
      <c r="G24" s="21">
        <v>0</v>
      </c>
      <c r="H24" s="21">
        <f t="shared" si="1"/>
        <v>15100350</v>
      </c>
      <c r="J24" s="21"/>
      <c r="K24" s="21"/>
      <c r="L24" s="21"/>
      <c r="N24" s="21"/>
    </row>
    <row r="25" spans="1:14" ht="12.75" customHeight="1" x14ac:dyDescent="0.3">
      <c r="A25" s="23">
        <f t="shared" si="2"/>
        <v>15</v>
      </c>
      <c r="B25" s="24" t="s">
        <v>47</v>
      </c>
      <c r="C25" s="19" t="s">
        <v>33</v>
      </c>
      <c r="D25" s="21">
        <v>510525</v>
      </c>
      <c r="E25" s="21">
        <v>0</v>
      </c>
      <c r="F25" s="21">
        <f>ROUND(('D. 1 (calc - amort actuals)'!K40),0)</f>
        <v>91185</v>
      </c>
      <c r="G25" s="21">
        <v>0</v>
      </c>
      <c r="H25" s="21">
        <f t="shared" si="1"/>
        <v>15702060</v>
      </c>
      <c r="J25" s="21"/>
      <c r="K25" s="21"/>
      <c r="L25" s="21"/>
      <c r="N25" s="21"/>
    </row>
    <row r="26" spans="1:14" ht="12.75" customHeight="1" x14ac:dyDescent="0.3">
      <c r="A26" s="23">
        <f t="shared" si="2"/>
        <v>16</v>
      </c>
      <c r="B26" s="24" t="s">
        <v>48</v>
      </c>
      <c r="C26" s="19" t="s">
        <v>33</v>
      </c>
      <c r="D26" s="21">
        <v>89648</v>
      </c>
      <c r="E26" s="21">
        <v>0</v>
      </c>
      <c r="F26" s="21">
        <f>ROUND(('D. 1 (calc - amort actuals)'!K41),0)</f>
        <v>91534</v>
      </c>
      <c r="G26" s="21">
        <v>0</v>
      </c>
      <c r="H26" s="21">
        <f t="shared" si="1"/>
        <v>15883242</v>
      </c>
      <c r="J26" s="21"/>
      <c r="K26" s="21"/>
      <c r="L26" s="21"/>
      <c r="N26" s="21"/>
    </row>
    <row r="27" spans="1:14" ht="12.75" customHeight="1" x14ac:dyDescent="0.3">
      <c r="A27" s="23">
        <f t="shared" si="2"/>
        <v>17</v>
      </c>
      <c r="B27" s="24" t="s">
        <v>49</v>
      </c>
      <c r="C27" s="19" t="s">
        <v>33</v>
      </c>
      <c r="D27" s="21">
        <v>396977</v>
      </c>
      <c r="E27" s="21">
        <v>-26763</v>
      </c>
      <c r="F27" s="21">
        <f>ROUND(('D. 1 (calc - amort actuals)'!K42),0)</f>
        <v>93696</v>
      </c>
      <c r="G27" s="21">
        <v>0</v>
      </c>
      <c r="H27" s="21">
        <f t="shared" si="1"/>
        <v>16347152</v>
      </c>
      <c r="J27" s="21"/>
      <c r="K27" s="21"/>
      <c r="L27" s="21"/>
      <c r="N27" s="21"/>
    </row>
    <row r="28" spans="1:14" ht="12.75" customHeight="1" x14ac:dyDescent="0.3">
      <c r="A28" s="23">
        <f t="shared" si="2"/>
        <v>18</v>
      </c>
      <c r="B28" s="24" t="s">
        <v>50</v>
      </c>
      <c r="C28" s="19" t="s">
        <v>33</v>
      </c>
      <c r="D28" s="21">
        <v>132294</v>
      </c>
      <c r="E28" s="21">
        <v>0</v>
      </c>
      <c r="F28" s="21">
        <f>ROUND(('D. 1 (calc - amort actuals)'!K43),0)</f>
        <v>111722</v>
      </c>
      <c r="G28" s="21">
        <v>0</v>
      </c>
      <c r="H28" s="21">
        <f t="shared" si="1"/>
        <v>16591168</v>
      </c>
      <c r="J28" s="21">
        <v>173000</v>
      </c>
      <c r="K28" s="21"/>
      <c r="L28" s="25">
        <f t="shared" ref="L28" si="3">J28+K28</f>
        <v>173000</v>
      </c>
      <c r="N28" s="21"/>
    </row>
    <row r="29" spans="1:14" ht="12.75" customHeight="1" x14ac:dyDescent="0.3">
      <c r="A29" s="23">
        <f t="shared" si="2"/>
        <v>19</v>
      </c>
      <c r="B29" s="24" t="s">
        <v>51</v>
      </c>
      <c r="C29" s="19" t="s">
        <v>33</v>
      </c>
      <c r="D29" s="21"/>
      <c r="E29" s="21">
        <v>0</v>
      </c>
      <c r="F29" s="21">
        <f>ROUND(('D. 1 (calc - amort actuals)'!K44),0)</f>
        <v>112480</v>
      </c>
      <c r="G29" s="21">
        <v>0</v>
      </c>
      <c r="H29" s="21">
        <f t="shared" si="1"/>
        <v>16703648</v>
      </c>
      <c r="J29" s="21">
        <v>100234</v>
      </c>
      <c r="K29" s="21"/>
      <c r="L29" s="25">
        <f>L28+J29+K29</f>
        <v>273234</v>
      </c>
      <c r="N29" s="21"/>
    </row>
    <row r="30" spans="1:14" ht="12.75" customHeight="1" x14ac:dyDescent="0.3">
      <c r="A30" s="23">
        <f t="shared" si="2"/>
        <v>20</v>
      </c>
      <c r="B30" s="24" t="s">
        <v>52</v>
      </c>
      <c r="C30" s="19" t="s">
        <v>33</v>
      </c>
      <c r="D30" s="21"/>
      <c r="E30" s="21">
        <v>0</v>
      </c>
      <c r="F30" s="21">
        <f>ROUND(('D. 1 (calc - amort actuals)'!K45),0)</f>
        <v>111870</v>
      </c>
      <c r="G30" s="21">
        <f>ROUND(('D. 1 (calc - amort actuals)'!M45),0)</f>
        <v>-202486</v>
      </c>
      <c r="H30" s="21">
        <f t="shared" si="1"/>
        <v>16613032</v>
      </c>
      <c r="J30" s="21">
        <v>150901</v>
      </c>
      <c r="K30" s="21">
        <v>-173000</v>
      </c>
      <c r="L30" s="25">
        <f>L29+J30+K30</f>
        <v>251135</v>
      </c>
      <c r="N30" s="21">
        <f>G30+K30</f>
        <v>-375486</v>
      </c>
    </row>
    <row r="31" spans="1:14" ht="12.75" customHeight="1" x14ac:dyDescent="0.3">
      <c r="A31" s="23">
        <f t="shared" si="2"/>
        <v>21</v>
      </c>
      <c r="B31" s="24" t="s">
        <v>53</v>
      </c>
      <c r="C31" s="19" t="s">
        <v>33</v>
      </c>
      <c r="D31" s="21"/>
      <c r="E31" s="21">
        <v>0</v>
      </c>
      <c r="F31" s="21">
        <f>ROUND(('D. 1 (calc - amort actuals)'!K46),0)</f>
        <v>111255</v>
      </c>
      <c r="G31" s="21">
        <f>ROUND(('D. 1 (calc - amort actuals)'!M46),0)</f>
        <v>-202486</v>
      </c>
      <c r="H31" s="21">
        <f t="shared" si="1"/>
        <v>16521801</v>
      </c>
      <c r="J31" s="21">
        <v>196585</v>
      </c>
      <c r="K31" s="21">
        <v>-100234</v>
      </c>
      <c r="L31" s="25">
        <f>L30+J31+K31</f>
        <v>347486</v>
      </c>
      <c r="N31" s="21">
        <f t="shared" ref="N31:N94" si="4">G31+K31</f>
        <v>-302720</v>
      </c>
    </row>
    <row r="32" spans="1:14" ht="12.75" customHeight="1" x14ac:dyDescent="0.3">
      <c r="A32" s="23">
        <f t="shared" si="2"/>
        <v>22</v>
      </c>
      <c r="B32" s="24" t="s">
        <v>54</v>
      </c>
      <c r="C32" s="19" t="s">
        <v>33</v>
      </c>
      <c r="D32" s="21"/>
      <c r="E32" s="21">
        <v>0</v>
      </c>
      <c r="F32" s="21">
        <f>ROUND(('D. 1 (calc - amort actuals)'!K47),0)</f>
        <v>110637</v>
      </c>
      <c r="G32" s="21">
        <f>ROUND(('D. 1 (calc - amort actuals)'!M47),0)</f>
        <v>-202486</v>
      </c>
      <c r="H32" s="21">
        <f t="shared" si="1"/>
        <v>16429952</v>
      </c>
      <c r="J32" s="21">
        <v>321815</v>
      </c>
      <c r="K32" s="21">
        <v>-150901</v>
      </c>
      <c r="L32" s="25">
        <f>L31+J32+K32</f>
        <v>518400</v>
      </c>
      <c r="N32" s="25">
        <f t="shared" si="4"/>
        <v>-353387</v>
      </c>
    </row>
    <row r="33" spans="1:14" ht="12.75" customHeight="1" x14ac:dyDescent="0.3">
      <c r="A33" s="23">
        <f t="shared" si="2"/>
        <v>23</v>
      </c>
      <c r="B33" s="24" t="s">
        <v>55</v>
      </c>
      <c r="C33" s="19" t="s">
        <v>33</v>
      </c>
      <c r="D33" s="21"/>
      <c r="E33" s="21">
        <v>0</v>
      </c>
      <c r="F33" s="21">
        <f>ROUND(('D. 1 (calc - amort actuals)'!K48),0)</f>
        <v>110014</v>
      </c>
      <c r="G33" s="21">
        <f>ROUND(('D. 1 (calc - amort actuals)'!M48),0)</f>
        <v>-202486</v>
      </c>
      <c r="H33" s="21">
        <f t="shared" si="1"/>
        <v>16337480</v>
      </c>
      <c r="J33" s="21">
        <v>275135</v>
      </c>
      <c r="K33" s="21">
        <v>-196585</v>
      </c>
      <c r="L33" s="25">
        <f>L32+J33+K33</f>
        <v>596950</v>
      </c>
      <c r="N33" s="25">
        <f t="shared" si="4"/>
        <v>-399071</v>
      </c>
    </row>
    <row r="34" spans="1:14" ht="12.75" customHeight="1" x14ac:dyDescent="0.3">
      <c r="A34" s="23">
        <f t="shared" si="2"/>
        <v>24</v>
      </c>
      <c r="B34" s="24" t="s">
        <v>56</v>
      </c>
      <c r="C34" s="19" t="s">
        <v>33</v>
      </c>
      <c r="D34" s="21"/>
      <c r="E34" s="21">
        <v>0</v>
      </c>
      <c r="F34" s="21">
        <f>ROUND(('D. 1 (calc - amort actuals)'!K49),0)</f>
        <v>109387</v>
      </c>
      <c r="G34" s="21">
        <f>ROUND(('D. 1 (calc - amort actuals)'!M49),0)</f>
        <v>-202486</v>
      </c>
      <c r="H34" s="21">
        <f>ROUND((SUM(D34:G34)+H33),0)</f>
        <v>16244381</v>
      </c>
      <c r="J34" s="21">
        <v>69886</v>
      </c>
      <c r="K34" s="21">
        <v>-321815</v>
      </c>
      <c r="L34" s="25">
        <f t="shared" ref="L34:L97" si="5">L33+J34+K34</f>
        <v>345021</v>
      </c>
      <c r="N34" s="25">
        <f t="shared" si="4"/>
        <v>-524301</v>
      </c>
    </row>
    <row r="35" spans="1:14" ht="12.75" customHeight="1" x14ac:dyDescent="0.3">
      <c r="A35" s="23">
        <f t="shared" si="2"/>
        <v>25</v>
      </c>
      <c r="B35" s="24" t="s">
        <v>57</v>
      </c>
      <c r="C35" s="19" t="s">
        <v>33</v>
      </c>
      <c r="D35" s="21"/>
      <c r="E35" s="21">
        <v>0</v>
      </c>
      <c r="F35" s="21">
        <f>ROUND(('D. 1 (calc - amort actuals)'!K50),0)</f>
        <v>108756</v>
      </c>
      <c r="G35" s="21">
        <f>ROUND(('D. 1 (calc - amort actuals)'!M50),0)</f>
        <v>-202486</v>
      </c>
      <c r="H35" s="21">
        <f t="shared" si="1"/>
        <v>16150651</v>
      </c>
      <c r="J35" s="21">
        <v>238428</v>
      </c>
      <c r="K35" s="21">
        <v>-275135</v>
      </c>
      <c r="L35" s="25">
        <f>L34+J35+K35</f>
        <v>308314</v>
      </c>
      <c r="N35" s="25">
        <f t="shared" si="4"/>
        <v>-477621</v>
      </c>
    </row>
    <row r="36" spans="1:14" ht="12.75" customHeight="1" x14ac:dyDescent="0.3">
      <c r="A36" s="23">
        <f t="shared" si="2"/>
        <v>26</v>
      </c>
      <c r="B36" s="24" t="s">
        <v>58</v>
      </c>
      <c r="C36" s="19" t="s">
        <v>33</v>
      </c>
      <c r="D36" s="21"/>
      <c r="E36" s="21">
        <v>0</v>
      </c>
      <c r="F36" s="21">
        <f>ROUND(('D. 1 (calc - amort actuals)'!K51),0)</f>
        <v>108121</v>
      </c>
      <c r="G36" s="21">
        <f>ROUND(('D. 1 (calc - amort actuals)'!M51),0)</f>
        <v>-202486</v>
      </c>
      <c r="H36" s="21">
        <f t="shared" si="1"/>
        <v>16056286</v>
      </c>
      <c r="J36" s="21">
        <v>263037</v>
      </c>
      <c r="K36" s="21">
        <v>-69886</v>
      </c>
      <c r="L36" s="25">
        <f>L35+J36+K36</f>
        <v>501465</v>
      </c>
      <c r="N36" s="25">
        <f t="shared" si="4"/>
        <v>-272372</v>
      </c>
    </row>
    <row r="37" spans="1:14" ht="12.75" customHeight="1" x14ac:dyDescent="0.3">
      <c r="A37" s="23">
        <f t="shared" si="2"/>
        <v>27</v>
      </c>
      <c r="B37" s="24" t="s">
        <v>59</v>
      </c>
      <c r="C37" s="19" t="s">
        <v>33</v>
      </c>
      <c r="D37" s="21"/>
      <c r="E37" s="21">
        <v>0</v>
      </c>
      <c r="F37" s="21">
        <f>ROUND(('D. 1 (calc - amort actuals)'!K52),0)</f>
        <v>107481</v>
      </c>
      <c r="G37" s="21">
        <f>ROUND(('D. 1 (calc - amort actuals)'!M52),0)</f>
        <v>-202486</v>
      </c>
      <c r="H37" s="21">
        <f>ROUND((SUM(D37:G37)+H36),0)</f>
        <v>15961281</v>
      </c>
      <c r="J37" s="21">
        <v>177996</v>
      </c>
      <c r="K37" s="21">
        <v>-238428</v>
      </c>
      <c r="L37" s="25">
        <f t="shared" si="5"/>
        <v>441033</v>
      </c>
      <c r="N37" s="25">
        <f t="shared" si="4"/>
        <v>-440914</v>
      </c>
    </row>
    <row r="38" spans="1:14" ht="12.75" customHeight="1" x14ac:dyDescent="0.3">
      <c r="A38" s="23">
        <f t="shared" si="2"/>
        <v>28</v>
      </c>
      <c r="B38" s="24" t="s">
        <v>60</v>
      </c>
      <c r="C38" s="19" t="s">
        <v>33</v>
      </c>
      <c r="D38" s="21"/>
      <c r="E38" s="21">
        <v>0</v>
      </c>
      <c r="F38" s="21">
        <f>ROUND(('D. 1 (calc - amort actuals)'!K53),0)</f>
        <v>106837</v>
      </c>
      <c r="G38" s="21">
        <f>ROUND(('D. 1 (calc - amort actuals)'!M53),0)</f>
        <v>-202486</v>
      </c>
      <c r="H38" s="21">
        <f t="shared" si="1"/>
        <v>15865632</v>
      </c>
      <c r="J38" s="21">
        <v>150851</v>
      </c>
      <c r="K38" s="25">
        <v>-263037</v>
      </c>
      <c r="L38" s="25">
        <f t="shared" si="5"/>
        <v>328847</v>
      </c>
      <c r="N38" s="25">
        <f>G38+K38</f>
        <v>-465523</v>
      </c>
    </row>
    <row r="39" spans="1:14" ht="12.75" customHeight="1" x14ac:dyDescent="0.3">
      <c r="A39" s="23">
        <f t="shared" si="2"/>
        <v>29</v>
      </c>
      <c r="B39" s="24" t="s">
        <v>61</v>
      </c>
      <c r="C39" s="19" t="s">
        <v>33</v>
      </c>
      <c r="D39" s="21"/>
      <c r="E39" s="21">
        <v>0</v>
      </c>
      <c r="F39" s="21">
        <f>ROUND(('D. 1 (calc - amort actuals)'!K54),0)</f>
        <v>106188</v>
      </c>
      <c r="G39" s="21">
        <f>ROUND(('D. 1 (calc - amort actuals)'!M54),0)</f>
        <v>-202486</v>
      </c>
      <c r="H39" s="21">
        <f t="shared" si="1"/>
        <v>15769334</v>
      </c>
      <c r="J39" s="21">
        <v>408609</v>
      </c>
      <c r="K39" s="25">
        <v>-177996</v>
      </c>
      <c r="L39" s="25">
        <f t="shared" si="5"/>
        <v>559460</v>
      </c>
      <c r="N39" s="25">
        <f t="shared" si="4"/>
        <v>-380482</v>
      </c>
    </row>
    <row r="40" spans="1:14" ht="12.75" customHeight="1" x14ac:dyDescent="0.3">
      <c r="A40" s="23">
        <f t="shared" si="2"/>
        <v>30</v>
      </c>
      <c r="B40" s="24" t="s">
        <v>62</v>
      </c>
      <c r="C40" s="19" t="s">
        <v>33</v>
      </c>
      <c r="D40" s="21"/>
      <c r="E40" s="21">
        <v>0</v>
      </c>
      <c r="F40" s="21">
        <f>ROUND(('D. 1 (calc - amort actuals)'!K55),0)</f>
        <v>105535</v>
      </c>
      <c r="G40" s="21">
        <f>ROUND(('D. 1 (calc - amort actuals)'!M55),0)</f>
        <v>-202486</v>
      </c>
      <c r="H40" s="21">
        <f t="shared" si="1"/>
        <v>15672383</v>
      </c>
      <c r="J40" s="21">
        <v>1588547</v>
      </c>
      <c r="K40" s="25">
        <v>-150851</v>
      </c>
      <c r="L40" s="25">
        <f t="shared" si="5"/>
        <v>1997156</v>
      </c>
      <c r="N40" s="25">
        <f t="shared" si="4"/>
        <v>-353337</v>
      </c>
    </row>
    <row r="41" spans="1:14" ht="12.75" customHeight="1" x14ac:dyDescent="0.3">
      <c r="A41" s="23">
        <f t="shared" si="2"/>
        <v>31</v>
      </c>
      <c r="B41" s="24" t="s">
        <v>63</v>
      </c>
      <c r="C41" s="19" t="s">
        <v>33</v>
      </c>
      <c r="D41" s="21"/>
      <c r="E41" s="21">
        <v>0</v>
      </c>
      <c r="F41" s="21">
        <f>ROUND(('D. 1 (calc - amort actuals)'!K56),0)</f>
        <v>104878</v>
      </c>
      <c r="G41" s="21">
        <f>ROUND(('D. 1 (calc - amort actuals)'!M56),0)</f>
        <v>-202486</v>
      </c>
      <c r="H41" s="21">
        <f t="shared" si="1"/>
        <v>15574775</v>
      </c>
      <c r="J41" s="21">
        <v>1641055</v>
      </c>
      <c r="K41" s="25">
        <v>-408609</v>
      </c>
      <c r="L41" s="25">
        <f>L40+J41+K41</f>
        <v>3229602</v>
      </c>
      <c r="N41" s="25">
        <f t="shared" si="4"/>
        <v>-611095</v>
      </c>
    </row>
    <row r="42" spans="1:14" ht="12.75" customHeight="1" x14ac:dyDescent="0.3">
      <c r="A42" s="23">
        <f t="shared" si="2"/>
        <v>32</v>
      </c>
      <c r="B42" s="24" t="s">
        <v>64</v>
      </c>
      <c r="C42" s="19" t="s">
        <v>33</v>
      </c>
      <c r="D42" s="21"/>
      <c r="E42" s="21">
        <v>0</v>
      </c>
      <c r="F42" s="21">
        <f>ROUND(('D. 1 (calc - amort actuals)'!K57),0)</f>
        <v>104216</v>
      </c>
      <c r="G42" s="21">
        <f>ROUND(('D. 1 (calc - amort actuals)'!M57),0)</f>
        <v>-202486</v>
      </c>
      <c r="H42" s="21">
        <f>ROUND((SUM(D42:G42)+H41),0)</f>
        <v>15476505</v>
      </c>
      <c r="J42" s="21">
        <v>1423233</v>
      </c>
      <c r="K42" s="25">
        <v>-1588547</v>
      </c>
      <c r="L42" s="25">
        <f>L41+J42+K42</f>
        <v>3064288</v>
      </c>
      <c r="N42" s="25">
        <f>G42+K42</f>
        <v>-1791033</v>
      </c>
    </row>
    <row r="43" spans="1:14" ht="12.75" customHeight="1" x14ac:dyDescent="0.3">
      <c r="A43" s="23">
        <f t="shared" si="2"/>
        <v>33</v>
      </c>
      <c r="B43" s="24" t="s">
        <v>65</v>
      </c>
      <c r="C43" s="19" t="s">
        <v>33</v>
      </c>
      <c r="D43" s="21"/>
      <c r="E43" s="21">
        <v>0</v>
      </c>
      <c r="F43" s="21">
        <f>ROUND(('D. 1 (calc - amort actuals)'!K58),0)</f>
        <v>103550</v>
      </c>
      <c r="G43" s="21">
        <f>ROUND(('D. 1 (calc - amort actuals)'!M58),0)</f>
        <v>-202486</v>
      </c>
      <c r="H43" s="21">
        <f t="shared" si="1"/>
        <v>15377569</v>
      </c>
      <c r="J43" s="21">
        <v>1368585</v>
      </c>
      <c r="K43" s="25">
        <v>-1641055</v>
      </c>
      <c r="L43" s="25">
        <f t="shared" si="5"/>
        <v>2791818</v>
      </c>
      <c r="N43" s="25">
        <f>G43+K43</f>
        <v>-1843541</v>
      </c>
    </row>
    <row r="44" spans="1:14" ht="12.75" customHeight="1" x14ac:dyDescent="0.3">
      <c r="A44" s="23">
        <f t="shared" si="2"/>
        <v>34</v>
      </c>
      <c r="B44" s="24" t="s">
        <v>66</v>
      </c>
      <c r="C44" s="19" t="s">
        <v>33</v>
      </c>
      <c r="D44" s="21"/>
      <c r="E44" s="21">
        <v>0</v>
      </c>
      <c r="F44" s="21">
        <f>ROUND(('D. 1 (calc - amort actuals)'!K59),0)</f>
        <v>102880</v>
      </c>
      <c r="G44" s="21">
        <f>ROUND(('D. 1 (calc - amort actuals)'!M59),0)</f>
        <v>-202486</v>
      </c>
      <c r="H44" s="21">
        <f t="shared" si="1"/>
        <v>15277963</v>
      </c>
      <c r="J44" s="21">
        <v>487759</v>
      </c>
      <c r="K44" s="25">
        <v>-1423233</v>
      </c>
      <c r="L44" s="25">
        <f>L43+J44+K44</f>
        <v>1856344</v>
      </c>
      <c r="N44" s="25">
        <f>G44+K44</f>
        <v>-1625719</v>
      </c>
    </row>
    <row r="45" spans="1:14" ht="12.75" customHeight="1" x14ac:dyDescent="0.3">
      <c r="A45" s="23">
        <f t="shared" si="2"/>
        <v>35</v>
      </c>
      <c r="B45" s="24" t="s">
        <v>67</v>
      </c>
      <c r="C45" s="19" t="s">
        <v>33</v>
      </c>
      <c r="D45" s="21"/>
      <c r="E45" s="21">
        <v>0</v>
      </c>
      <c r="F45" s="21">
        <f>ROUND(('D. 1 (calc - amort actuals)'!K60),0)</f>
        <v>102204</v>
      </c>
      <c r="G45" s="21">
        <f>ROUND(('D. 1 (calc - amort actuals)'!M60),0)</f>
        <v>-202486</v>
      </c>
      <c r="H45" s="21">
        <f t="shared" si="1"/>
        <v>15177681</v>
      </c>
      <c r="J45" s="21">
        <v>47477</v>
      </c>
      <c r="K45" s="25">
        <v>-1368585</v>
      </c>
      <c r="L45" s="25">
        <f t="shared" si="5"/>
        <v>535236</v>
      </c>
      <c r="N45" s="25">
        <f t="shared" si="4"/>
        <v>-1571071</v>
      </c>
    </row>
    <row r="46" spans="1:14" ht="12.75" customHeight="1" x14ac:dyDescent="0.3">
      <c r="A46" s="23">
        <f t="shared" si="2"/>
        <v>36</v>
      </c>
      <c r="B46" s="24" t="s">
        <v>68</v>
      </c>
      <c r="C46" s="19"/>
      <c r="D46" s="21"/>
      <c r="E46" s="21">
        <v>0</v>
      </c>
      <c r="F46" s="21">
        <f>ROUND(('D. 1 (calc - amort actuals)'!K61),0)</f>
        <v>101524</v>
      </c>
      <c r="G46" s="21">
        <f>ROUND(('D. 1 (calc - amort actuals)'!M61),0)</f>
        <v>-202486</v>
      </c>
      <c r="H46" s="21">
        <f t="shared" si="1"/>
        <v>15076719</v>
      </c>
      <c r="J46" s="21"/>
      <c r="K46" s="25">
        <v>-487759</v>
      </c>
      <c r="L46" s="25">
        <f>L45+J46+K46</f>
        <v>47477</v>
      </c>
      <c r="N46" s="25">
        <f>G46+K46</f>
        <v>-690245</v>
      </c>
    </row>
    <row r="47" spans="1:14" s="136" customFormat="1" ht="12.75" customHeight="1" x14ac:dyDescent="0.3">
      <c r="A47" s="139">
        <f t="shared" si="2"/>
        <v>37</v>
      </c>
      <c r="B47" s="140" t="s">
        <v>69</v>
      </c>
      <c r="C47" s="141"/>
      <c r="D47" s="142"/>
      <c r="E47" s="142">
        <v>0</v>
      </c>
      <c r="F47" s="142">
        <f>ROUND(('D. 1 (calc - amort actuals)'!K62),0)</f>
        <v>100840</v>
      </c>
      <c r="G47" s="142">
        <f>ROUND(('D. 1 (calc - amort actuals)'!M62),0)</f>
        <v>-202486</v>
      </c>
      <c r="H47" s="142">
        <f t="shared" si="1"/>
        <v>14975073</v>
      </c>
      <c r="J47" s="142"/>
      <c r="K47" s="143">
        <v>-47477</v>
      </c>
      <c r="L47" s="143">
        <f t="shared" si="5"/>
        <v>0</v>
      </c>
      <c r="N47" s="143">
        <f t="shared" si="4"/>
        <v>-249963</v>
      </c>
    </row>
    <row r="48" spans="1:14" ht="12.75" customHeight="1" x14ac:dyDescent="0.3">
      <c r="A48" s="23">
        <f t="shared" si="2"/>
        <v>38</v>
      </c>
      <c r="B48" s="24" t="s">
        <v>70</v>
      </c>
      <c r="C48" s="19"/>
      <c r="D48" s="21"/>
      <c r="E48" s="21">
        <v>0</v>
      </c>
      <c r="F48" s="21">
        <f>ROUND(('D. 1 (calc - amort actuals)'!K63),0)</f>
        <v>100151</v>
      </c>
      <c r="G48" s="21">
        <f>ROUND(('D. 1 (calc - amort actuals)'!M63),0)</f>
        <v>-202486</v>
      </c>
      <c r="H48" s="21">
        <f t="shared" si="1"/>
        <v>14872738</v>
      </c>
      <c r="J48" s="21"/>
      <c r="K48" s="25"/>
      <c r="L48" s="25">
        <f t="shared" si="5"/>
        <v>0</v>
      </c>
      <c r="N48" s="25">
        <f t="shared" si="4"/>
        <v>-202486</v>
      </c>
    </row>
    <row r="49" spans="1:14" ht="12.75" customHeight="1" x14ac:dyDescent="0.3">
      <c r="A49" s="23">
        <f t="shared" si="2"/>
        <v>39</v>
      </c>
      <c r="B49" s="24" t="s">
        <v>71</v>
      </c>
      <c r="C49" s="19"/>
      <c r="D49" s="21"/>
      <c r="E49" s="21">
        <v>0</v>
      </c>
      <c r="F49" s="21">
        <f>ROUND(('D. 1 (calc - amort actuals)'!K64),0)</f>
        <v>99457</v>
      </c>
      <c r="G49" s="21">
        <f>ROUND(('D. 1 (calc - amort actuals)'!M64),0)</f>
        <v>-202486</v>
      </c>
      <c r="H49" s="21">
        <f t="shared" si="1"/>
        <v>14769709</v>
      </c>
      <c r="J49" s="21"/>
      <c r="K49" s="25"/>
      <c r="L49" s="25">
        <f t="shared" si="5"/>
        <v>0</v>
      </c>
      <c r="N49" s="25">
        <f t="shared" si="4"/>
        <v>-202486</v>
      </c>
    </row>
    <row r="50" spans="1:14" ht="12.75" customHeight="1" x14ac:dyDescent="0.3">
      <c r="A50" s="23">
        <f t="shared" si="2"/>
        <v>40</v>
      </c>
      <c r="B50" s="24" t="s">
        <v>72</v>
      </c>
      <c r="C50" s="19"/>
      <c r="D50" s="21"/>
      <c r="E50" s="21">
        <v>0</v>
      </c>
      <c r="F50" s="21">
        <f>ROUND(('D. 1 (calc - amort actuals)'!K65),0)</f>
        <v>98759</v>
      </c>
      <c r="G50" s="21">
        <f>ROUND(('D. 1 (calc - amort actuals)'!M65),0)</f>
        <v>-202486</v>
      </c>
      <c r="H50" s="21">
        <f t="shared" si="1"/>
        <v>14665982</v>
      </c>
      <c r="J50" s="21"/>
      <c r="K50" s="25"/>
      <c r="L50" s="25">
        <f t="shared" si="5"/>
        <v>0</v>
      </c>
      <c r="N50" s="25">
        <f t="shared" si="4"/>
        <v>-202486</v>
      </c>
    </row>
    <row r="51" spans="1:14" ht="12.75" customHeight="1" x14ac:dyDescent="0.3">
      <c r="A51" s="23">
        <f t="shared" si="2"/>
        <v>41</v>
      </c>
      <c r="B51" s="24" t="s">
        <v>73</v>
      </c>
      <c r="C51" s="19"/>
      <c r="D51" s="21"/>
      <c r="E51" s="21">
        <v>0</v>
      </c>
      <c r="F51" s="21">
        <f>ROUND(('D. 1 (calc - amort actuals)'!K66),0)</f>
        <v>98055</v>
      </c>
      <c r="G51" s="21">
        <f>ROUND(('D. 1 (calc - amort actuals)'!M66),0)</f>
        <v>-202486</v>
      </c>
      <c r="H51" s="21">
        <f t="shared" si="1"/>
        <v>14561551</v>
      </c>
      <c r="J51" s="21"/>
      <c r="K51" s="25"/>
      <c r="L51" s="25">
        <f t="shared" si="5"/>
        <v>0</v>
      </c>
      <c r="N51" s="25">
        <f t="shared" si="4"/>
        <v>-202486</v>
      </c>
    </row>
    <row r="52" spans="1:14" ht="12.75" customHeight="1" x14ac:dyDescent="0.3">
      <c r="A52" s="23">
        <f t="shared" si="2"/>
        <v>42</v>
      </c>
      <c r="B52" s="24" t="s">
        <v>74</v>
      </c>
      <c r="C52" s="19"/>
      <c r="D52" s="21"/>
      <c r="E52" s="21">
        <v>0</v>
      </c>
      <c r="F52" s="21">
        <f>ROUND(('D. 1 (calc - amort actuals)'!K67),0)</f>
        <v>97347</v>
      </c>
      <c r="G52" s="21">
        <f>ROUND(('D. 1 (calc - amort actuals)'!M67),0)</f>
        <v>-202486</v>
      </c>
      <c r="H52" s="21">
        <f t="shared" si="1"/>
        <v>14456412</v>
      </c>
      <c r="J52" s="21"/>
      <c r="K52" s="25"/>
      <c r="L52" s="25">
        <f t="shared" si="5"/>
        <v>0</v>
      </c>
      <c r="N52" s="25">
        <f t="shared" si="4"/>
        <v>-202486</v>
      </c>
    </row>
    <row r="53" spans="1:14" ht="12.75" customHeight="1" x14ac:dyDescent="0.3">
      <c r="A53" s="23">
        <f t="shared" si="2"/>
        <v>43</v>
      </c>
      <c r="B53" s="24" t="s">
        <v>75</v>
      </c>
      <c r="C53" s="19"/>
      <c r="D53" s="21"/>
      <c r="E53" s="21">
        <v>0</v>
      </c>
      <c r="F53" s="21">
        <f>ROUND(('D. 1 (calc - amort actuals)'!K68),0)</f>
        <v>96635</v>
      </c>
      <c r="G53" s="21">
        <f>ROUND(('D. 1 (calc - amort actuals)'!M68),0)</f>
        <v>-202486</v>
      </c>
      <c r="H53" s="21">
        <f t="shared" si="1"/>
        <v>14350561</v>
      </c>
      <c r="J53" s="21"/>
      <c r="K53" s="25"/>
      <c r="L53" s="25">
        <f t="shared" si="5"/>
        <v>0</v>
      </c>
      <c r="N53" s="25">
        <f t="shared" si="4"/>
        <v>-202486</v>
      </c>
    </row>
    <row r="54" spans="1:14" ht="12.75" customHeight="1" x14ac:dyDescent="0.3">
      <c r="A54" s="23">
        <f t="shared" si="2"/>
        <v>44</v>
      </c>
      <c r="B54" s="24" t="s">
        <v>76</v>
      </c>
      <c r="C54" s="19"/>
      <c r="D54" s="21"/>
      <c r="E54" s="21">
        <v>0</v>
      </c>
      <c r="F54" s="21">
        <f>ROUND(('D. 1 (calc - amort actuals)'!K69),0)</f>
        <v>95917</v>
      </c>
      <c r="G54" s="21">
        <f>ROUND(('D. 1 (calc - amort actuals)'!M69),0)</f>
        <v>-202486</v>
      </c>
      <c r="H54" s="21">
        <f t="shared" si="1"/>
        <v>14243992</v>
      </c>
      <c r="J54" s="21"/>
      <c r="K54" s="25"/>
      <c r="L54" s="25">
        <f t="shared" si="5"/>
        <v>0</v>
      </c>
      <c r="N54" s="25">
        <f t="shared" si="4"/>
        <v>-202486</v>
      </c>
    </row>
    <row r="55" spans="1:14" ht="12.75" customHeight="1" x14ac:dyDescent="0.3">
      <c r="A55" s="23">
        <f t="shared" si="2"/>
        <v>45</v>
      </c>
      <c r="B55" s="24" t="s">
        <v>77</v>
      </c>
      <c r="C55" s="19"/>
      <c r="D55" s="21"/>
      <c r="E55" s="21">
        <v>0</v>
      </c>
      <c r="F55" s="21">
        <f>ROUND(('D. 1 (calc - amort actuals)'!K70),0)</f>
        <v>95194</v>
      </c>
      <c r="G55" s="21">
        <f>ROUND(('D. 1 (calc - amort actuals)'!M70),0)</f>
        <v>-202486</v>
      </c>
      <c r="H55" s="21">
        <f t="shared" si="1"/>
        <v>14136700</v>
      </c>
      <c r="J55" s="21"/>
      <c r="K55" s="25"/>
      <c r="L55" s="25">
        <f t="shared" si="5"/>
        <v>0</v>
      </c>
      <c r="N55" s="25">
        <f t="shared" si="4"/>
        <v>-202486</v>
      </c>
    </row>
    <row r="56" spans="1:14" ht="12.75" customHeight="1" x14ac:dyDescent="0.3">
      <c r="A56" s="23">
        <f t="shared" si="2"/>
        <v>46</v>
      </c>
      <c r="B56" s="24" t="s">
        <v>78</v>
      </c>
      <c r="C56" s="19"/>
      <c r="D56" s="21"/>
      <c r="E56" s="21">
        <v>0</v>
      </c>
      <c r="F56" s="21">
        <f>ROUND(('D. 1 (calc - amort actuals)'!K71),0)</f>
        <v>94467</v>
      </c>
      <c r="G56" s="21">
        <f>ROUND(('D. 1 (calc - amort actuals)'!M71),0)</f>
        <v>-202486</v>
      </c>
      <c r="H56" s="21">
        <f t="shared" si="1"/>
        <v>14028681</v>
      </c>
      <c r="J56" s="21"/>
      <c r="K56" s="25"/>
      <c r="L56" s="25">
        <f t="shared" si="5"/>
        <v>0</v>
      </c>
      <c r="N56" s="25">
        <f>G56+K56</f>
        <v>-202486</v>
      </c>
    </row>
    <row r="57" spans="1:14" ht="12.75" customHeight="1" x14ac:dyDescent="0.3">
      <c r="A57" s="23">
        <f t="shared" si="2"/>
        <v>47</v>
      </c>
      <c r="B57" s="24" t="s">
        <v>79</v>
      </c>
      <c r="C57" s="19"/>
      <c r="D57" s="21"/>
      <c r="E57" s="21">
        <v>0</v>
      </c>
      <c r="F57" s="21">
        <f>ROUND(('D. 1 (calc - amort actuals)'!K72),0)</f>
        <v>93735</v>
      </c>
      <c r="G57" s="21">
        <f>ROUND(('D. 1 (calc - amort actuals)'!M72),0)</f>
        <v>-202486</v>
      </c>
      <c r="H57" s="21">
        <f t="shared" si="1"/>
        <v>13919930</v>
      </c>
      <c r="J57" s="21"/>
      <c r="K57" s="25"/>
      <c r="L57" s="25">
        <f t="shared" si="5"/>
        <v>0</v>
      </c>
      <c r="N57" s="25">
        <f t="shared" si="4"/>
        <v>-202486</v>
      </c>
    </row>
    <row r="58" spans="1:14" ht="12.75" customHeight="1" x14ac:dyDescent="0.3">
      <c r="A58" s="23">
        <f t="shared" si="2"/>
        <v>48</v>
      </c>
      <c r="B58" s="24" t="s">
        <v>80</v>
      </c>
      <c r="C58" s="19"/>
      <c r="D58" s="21"/>
      <c r="E58" s="21">
        <v>0</v>
      </c>
      <c r="F58" s="21">
        <f>ROUND(('D. 1 (calc - amort actuals)'!K73),0)</f>
        <v>92997</v>
      </c>
      <c r="G58" s="21">
        <f>ROUND(('D. 1 (calc - amort actuals)'!M73),0)</f>
        <v>-202486</v>
      </c>
      <c r="H58" s="21">
        <f t="shared" si="1"/>
        <v>13810441</v>
      </c>
      <c r="J58" s="21"/>
      <c r="K58" s="25"/>
      <c r="L58" s="25">
        <f t="shared" si="5"/>
        <v>0</v>
      </c>
      <c r="N58" s="25">
        <f t="shared" si="4"/>
        <v>-202486</v>
      </c>
    </row>
    <row r="59" spans="1:14" ht="12.75" customHeight="1" x14ac:dyDescent="0.3">
      <c r="A59" s="23">
        <f t="shared" si="2"/>
        <v>49</v>
      </c>
      <c r="B59" s="24" t="s">
        <v>81</v>
      </c>
      <c r="C59" s="19"/>
      <c r="D59" s="21"/>
      <c r="E59" s="21">
        <v>0</v>
      </c>
      <c r="F59" s="21">
        <f>ROUND(('D. 1 (calc - amort actuals)'!K74),0)</f>
        <v>92255</v>
      </c>
      <c r="G59" s="21">
        <f>ROUND(('D. 1 (calc - amort actuals)'!M74),0)</f>
        <v>-202486</v>
      </c>
      <c r="H59" s="21">
        <f t="shared" si="1"/>
        <v>13700210</v>
      </c>
      <c r="J59" s="21"/>
      <c r="K59" s="25"/>
      <c r="L59" s="25">
        <f t="shared" si="5"/>
        <v>0</v>
      </c>
      <c r="N59" s="25">
        <f t="shared" si="4"/>
        <v>-202486</v>
      </c>
    </row>
    <row r="60" spans="1:14" ht="12.75" customHeight="1" x14ac:dyDescent="0.3">
      <c r="A60" s="23">
        <f t="shared" si="2"/>
        <v>50</v>
      </c>
      <c r="B60" s="24" t="s">
        <v>82</v>
      </c>
      <c r="C60" s="19"/>
      <c r="D60" s="21"/>
      <c r="E60" s="21">
        <v>0</v>
      </c>
      <c r="F60" s="21">
        <f>ROUND(('D. 1 (calc - amort actuals)'!K75),0)</f>
        <v>91508</v>
      </c>
      <c r="G60" s="21">
        <f>ROUND(('D. 1 (calc - amort actuals)'!M75),0)</f>
        <v>-202486</v>
      </c>
      <c r="H60" s="21">
        <f t="shared" si="1"/>
        <v>13589232</v>
      </c>
      <c r="J60" s="21"/>
      <c r="K60" s="25"/>
      <c r="L60" s="25">
        <f t="shared" si="5"/>
        <v>0</v>
      </c>
      <c r="N60" s="25">
        <f t="shared" si="4"/>
        <v>-202486</v>
      </c>
    </row>
    <row r="61" spans="1:14" ht="12.75" customHeight="1" x14ac:dyDescent="0.3">
      <c r="A61" s="23">
        <f t="shared" si="2"/>
        <v>51</v>
      </c>
      <c r="B61" s="24" t="s">
        <v>83</v>
      </c>
      <c r="C61" s="19"/>
      <c r="D61" s="21"/>
      <c r="E61" s="21">
        <v>0</v>
      </c>
      <c r="F61" s="21">
        <f>ROUND(('D. 1 (calc - amort actuals)'!K76),0)</f>
        <v>90756</v>
      </c>
      <c r="G61" s="21">
        <f>ROUND(('D. 1 (calc - amort actuals)'!M76),0)</f>
        <v>-202486</v>
      </c>
      <c r="H61" s="21">
        <f t="shared" si="1"/>
        <v>13477502</v>
      </c>
      <c r="J61" s="21"/>
      <c r="K61" s="25"/>
      <c r="L61" s="25">
        <f t="shared" si="5"/>
        <v>0</v>
      </c>
      <c r="N61" s="25">
        <f t="shared" si="4"/>
        <v>-202486</v>
      </c>
    </row>
    <row r="62" spans="1:14" ht="12.75" customHeight="1" x14ac:dyDescent="0.3">
      <c r="A62" s="23">
        <f t="shared" si="2"/>
        <v>52</v>
      </c>
      <c r="B62" s="24" t="s">
        <v>84</v>
      </c>
      <c r="C62" s="19"/>
      <c r="D62" s="21"/>
      <c r="E62" s="21">
        <v>0</v>
      </c>
      <c r="F62" s="21">
        <f>ROUND(('D. 1 (calc - amort actuals)'!K77),0)</f>
        <v>89998</v>
      </c>
      <c r="G62" s="21">
        <f>ROUND(('D. 1 (calc - amort actuals)'!M77),0)</f>
        <v>-202486</v>
      </c>
      <c r="H62" s="21">
        <f t="shared" si="1"/>
        <v>13365014</v>
      </c>
      <c r="J62" s="21"/>
      <c r="K62" s="25"/>
      <c r="L62" s="25">
        <f t="shared" si="5"/>
        <v>0</v>
      </c>
      <c r="N62" s="25">
        <f t="shared" si="4"/>
        <v>-202486</v>
      </c>
    </row>
    <row r="63" spans="1:14" ht="12.75" customHeight="1" x14ac:dyDescent="0.3">
      <c r="A63" s="23">
        <f t="shared" si="2"/>
        <v>53</v>
      </c>
      <c r="B63" s="24" t="s">
        <v>85</v>
      </c>
      <c r="C63" s="19"/>
      <c r="D63" s="21"/>
      <c r="E63" s="21">
        <v>0</v>
      </c>
      <c r="F63" s="21">
        <f>ROUND(('D. 1 (calc - amort actuals)'!K78),0)</f>
        <v>89235</v>
      </c>
      <c r="G63" s="21">
        <f>ROUND(('D. 1 (calc - amort actuals)'!M78),0)</f>
        <v>-202486</v>
      </c>
      <c r="H63" s="21">
        <f t="shared" si="1"/>
        <v>13251763</v>
      </c>
      <c r="J63" s="21"/>
      <c r="K63" s="25"/>
      <c r="L63" s="25">
        <f t="shared" si="5"/>
        <v>0</v>
      </c>
      <c r="N63" s="25">
        <f t="shared" si="4"/>
        <v>-202486</v>
      </c>
    </row>
    <row r="64" spans="1:14" ht="12.75" customHeight="1" x14ac:dyDescent="0.3">
      <c r="A64" s="23">
        <f t="shared" si="2"/>
        <v>54</v>
      </c>
      <c r="B64" s="24" t="s">
        <v>86</v>
      </c>
      <c r="C64" s="19"/>
      <c r="D64" s="21"/>
      <c r="E64" s="21">
        <v>0</v>
      </c>
      <c r="F64" s="21">
        <f>ROUND(('D. 1 (calc - amort actuals)'!K79),0)</f>
        <v>88468</v>
      </c>
      <c r="G64" s="21">
        <f>ROUND(('D. 1 (calc - amort actuals)'!M79),0)</f>
        <v>-202486</v>
      </c>
      <c r="H64" s="21">
        <f t="shared" si="1"/>
        <v>13137745</v>
      </c>
      <c r="J64" s="21"/>
      <c r="K64" s="25"/>
      <c r="L64" s="25">
        <f t="shared" si="5"/>
        <v>0</v>
      </c>
      <c r="N64" s="25">
        <f t="shared" si="4"/>
        <v>-202486</v>
      </c>
    </row>
    <row r="65" spans="1:14" ht="12.75" customHeight="1" x14ac:dyDescent="0.3">
      <c r="A65" s="23">
        <f t="shared" si="2"/>
        <v>55</v>
      </c>
      <c r="B65" s="24" t="s">
        <v>87</v>
      </c>
      <c r="C65" s="19"/>
      <c r="D65" s="21"/>
      <c r="E65" s="21">
        <v>0</v>
      </c>
      <c r="F65" s="21">
        <f>ROUND(('D. 1 (calc - amort actuals)'!K80),0)</f>
        <v>87695</v>
      </c>
      <c r="G65" s="21">
        <f>ROUND(('D. 1 (calc - amort actuals)'!M80),0)</f>
        <v>-202486</v>
      </c>
      <c r="H65" s="21">
        <f t="shared" si="1"/>
        <v>13022954</v>
      </c>
      <c r="J65" s="21"/>
      <c r="K65" s="25"/>
      <c r="L65" s="25">
        <f t="shared" si="5"/>
        <v>0</v>
      </c>
      <c r="N65" s="25">
        <f t="shared" si="4"/>
        <v>-202486</v>
      </c>
    </row>
    <row r="66" spans="1:14" ht="12.75" customHeight="1" x14ac:dyDescent="0.3">
      <c r="A66" s="23">
        <f t="shared" si="2"/>
        <v>56</v>
      </c>
      <c r="B66" s="24" t="s">
        <v>88</v>
      </c>
      <c r="C66" s="19"/>
      <c r="D66" s="21"/>
      <c r="E66" s="21">
        <v>0</v>
      </c>
      <c r="F66" s="21">
        <f>ROUND(('D. 1 (calc - amort actuals)'!K81),0)</f>
        <v>86916</v>
      </c>
      <c r="G66" s="21">
        <f>ROUND(('D. 1 (calc - amort actuals)'!M81),0)</f>
        <v>-202486</v>
      </c>
      <c r="H66" s="21">
        <f t="shared" si="1"/>
        <v>12907384</v>
      </c>
      <c r="J66" s="21"/>
      <c r="K66" s="25"/>
      <c r="L66" s="25">
        <f t="shared" si="5"/>
        <v>0</v>
      </c>
      <c r="N66" s="25">
        <f t="shared" si="4"/>
        <v>-202486</v>
      </c>
    </row>
    <row r="67" spans="1:14" ht="12.75" customHeight="1" x14ac:dyDescent="0.3">
      <c r="A67" s="23">
        <f t="shared" si="2"/>
        <v>57</v>
      </c>
      <c r="B67" s="24" t="s">
        <v>89</v>
      </c>
      <c r="C67" s="19"/>
      <c r="D67" s="21"/>
      <c r="E67" s="21">
        <v>0</v>
      </c>
      <c r="F67" s="21">
        <f>ROUND(('D. 1 (calc - amort actuals)'!K82),0)</f>
        <v>86133</v>
      </c>
      <c r="G67" s="21">
        <f>ROUND(('D. 1 (calc - amort actuals)'!M82),0)</f>
        <v>-202486</v>
      </c>
      <c r="H67" s="21">
        <f t="shared" si="1"/>
        <v>12791031</v>
      </c>
      <c r="J67" s="21"/>
      <c r="K67" s="25"/>
      <c r="L67" s="25">
        <f t="shared" si="5"/>
        <v>0</v>
      </c>
      <c r="N67" s="25">
        <f t="shared" si="4"/>
        <v>-202486</v>
      </c>
    </row>
    <row r="68" spans="1:14" ht="12.75" customHeight="1" x14ac:dyDescent="0.3">
      <c r="A68" s="23">
        <f t="shared" si="2"/>
        <v>58</v>
      </c>
      <c r="B68" s="24" t="s">
        <v>90</v>
      </c>
      <c r="C68" s="19"/>
      <c r="D68" s="21"/>
      <c r="E68" s="21">
        <v>0</v>
      </c>
      <c r="F68" s="21">
        <f>ROUND(('D. 1 (calc - amort actuals)'!K83),0)</f>
        <v>85344</v>
      </c>
      <c r="G68" s="21">
        <f>ROUND(('D. 1 (calc - amort actuals)'!M83),0)</f>
        <v>-202486</v>
      </c>
      <c r="H68" s="21">
        <f t="shared" si="1"/>
        <v>12673889</v>
      </c>
      <c r="J68" s="21"/>
      <c r="K68" s="25"/>
      <c r="L68" s="25">
        <f t="shared" si="5"/>
        <v>0</v>
      </c>
      <c r="N68" s="25">
        <f t="shared" si="4"/>
        <v>-202486</v>
      </c>
    </row>
    <row r="69" spans="1:14" ht="12.75" customHeight="1" x14ac:dyDescent="0.3">
      <c r="A69" s="23">
        <f t="shared" si="2"/>
        <v>59</v>
      </c>
      <c r="B69" s="24" t="s">
        <v>91</v>
      </c>
      <c r="C69" s="19"/>
      <c r="D69" s="21"/>
      <c r="E69" s="21">
        <v>0</v>
      </c>
      <c r="F69" s="21">
        <f>ROUND(('D. 1 (calc - amort actuals)'!K84),0)</f>
        <v>84550</v>
      </c>
      <c r="G69" s="21">
        <f>ROUND(('D. 1 (calc - amort actuals)'!M84),0)</f>
        <v>-202486</v>
      </c>
      <c r="H69" s="21">
        <f t="shared" si="1"/>
        <v>12555953</v>
      </c>
      <c r="J69" s="21"/>
      <c r="K69" s="25"/>
      <c r="L69" s="25">
        <f t="shared" si="5"/>
        <v>0</v>
      </c>
      <c r="N69" s="25">
        <f t="shared" si="4"/>
        <v>-202486</v>
      </c>
    </row>
    <row r="70" spans="1:14" ht="12.75" customHeight="1" x14ac:dyDescent="0.3">
      <c r="A70" s="23">
        <f t="shared" si="2"/>
        <v>60</v>
      </c>
      <c r="B70" s="24" t="s">
        <v>92</v>
      </c>
      <c r="C70" s="19"/>
      <c r="D70" s="21"/>
      <c r="E70" s="21">
        <v>0</v>
      </c>
      <c r="F70" s="21">
        <f>ROUND(('D. 1 (calc - amort actuals)'!K85),0)</f>
        <v>83750</v>
      </c>
      <c r="G70" s="21">
        <f>ROUND(('D. 1 (calc - amort actuals)'!M85),0)</f>
        <v>-202486</v>
      </c>
      <c r="H70" s="21">
        <f t="shared" si="1"/>
        <v>12437217</v>
      </c>
      <c r="J70" s="21"/>
      <c r="K70" s="25"/>
      <c r="L70" s="25">
        <f t="shared" si="5"/>
        <v>0</v>
      </c>
      <c r="N70" s="25">
        <f t="shared" si="4"/>
        <v>-202486</v>
      </c>
    </row>
    <row r="71" spans="1:14" ht="12.75" customHeight="1" x14ac:dyDescent="0.3">
      <c r="A71" s="23">
        <f t="shared" si="2"/>
        <v>61</v>
      </c>
      <c r="B71" s="24" t="s">
        <v>93</v>
      </c>
      <c r="C71" s="19"/>
      <c r="D71" s="21"/>
      <c r="E71" s="21">
        <v>0</v>
      </c>
      <c r="F71" s="21">
        <f>ROUND(('D. 1 (calc - amort actuals)'!K86),0)</f>
        <v>82945</v>
      </c>
      <c r="G71" s="21">
        <f>ROUND(('D. 1 (calc - amort actuals)'!M86),0)</f>
        <v>-202486</v>
      </c>
      <c r="H71" s="21">
        <f t="shared" si="1"/>
        <v>12317676</v>
      </c>
      <c r="J71" s="21"/>
      <c r="K71" s="25"/>
      <c r="L71" s="25">
        <f t="shared" si="5"/>
        <v>0</v>
      </c>
      <c r="N71" s="25">
        <f t="shared" si="4"/>
        <v>-202486</v>
      </c>
    </row>
    <row r="72" spans="1:14" ht="12.75" customHeight="1" x14ac:dyDescent="0.3">
      <c r="A72" s="23">
        <f t="shared" si="2"/>
        <v>62</v>
      </c>
      <c r="B72" s="24" t="s">
        <v>94</v>
      </c>
      <c r="C72" s="19"/>
      <c r="D72" s="21"/>
      <c r="E72" s="21">
        <v>0</v>
      </c>
      <c r="F72" s="21">
        <f>ROUND(('D. 1 (calc - amort actuals)'!K87),0)</f>
        <v>82135</v>
      </c>
      <c r="G72" s="21">
        <f>ROUND(('D. 1 (calc - amort actuals)'!M87),0)</f>
        <v>-202486</v>
      </c>
      <c r="H72" s="21">
        <f t="shared" si="1"/>
        <v>12197325</v>
      </c>
      <c r="J72" s="21"/>
      <c r="K72" s="25"/>
      <c r="L72" s="25">
        <f t="shared" si="5"/>
        <v>0</v>
      </c>
      <c r="N72" s="25">
        <f t="shared" si="4"/>
        <v>-202486</v>
      </c>
    </row>
    <row r="73" spans="1:14" ht="12.75" customHeight="1" x14ac:dyDescent="0.3">
      <c r="A73" s="23">
        <f t="shared" si="2"/>
        <v>63</v>
      </c>
      <c r="B73" s="24" t="s">
        <v>95</v>
      </c>
      <c r="C73" s="19"/>
      <c r="D73" s="21"/>
      <c r="E73" s="21">
        <v>0</v>
      </c>
      <c r="F73" s="21">
        <f>ROUND(('D. 1 (calc - amort actuals)'!K88),0)</f>
        <v>81319</v>
      </c>
      <c r="G73" s="21">
        <f>ROUND(('D. 1 (calc - amort actuals)'!M88),0)</f>
        <v>-202486</v>
      </c>
      <c r="H73" s="21">
        <f t="shared" si="1"/>
        <v>12076158</v>
      </c>
      <c r="J73" s="21"/>
      <c r="K73" s="25"/>
      <c r="L73" s="25">
        <f t="shared" si="5"/>
        <v>0</v>
      </c>
      <c r="N73" s="25">
        <f t="shared" si="4"/>
        <v>-202486</v>
      </c>
    </row>
    <row r="74" spans="1:14" ht="12.75" customHeight="1" x14ac:dyDescent="0.3">
      <c r="A74" s="23">
        <f t="shared" si="2"/>
        <v>64</v>
      </c>
      <c r="B74" s="24" t="s">
        <v>96</v>
      </c>
      <c r="C74" s="19"/>
      <c r="D74" s="21"/>
      <c r="E74" s="21">
        <v>0</v>
      </c>
      <c r="F74" s="21">
        <f>ROUND(('D. 1 (calc - amort actuals)'!K89),0)</f>
        <v>80498</v>
      </c>
      <c r="G74" s="21">
        <f>ROUND(('D. 1 (calc - amort actuals)'!M89),0)</f>
        <v>-202486</v>
      </c>
      <c r="H74" s="21">
        <f t="shared" si="1"/>
        <v>11954170</v>
      </c>
      <c r="J74" s="21"/>
      <c r="K74" s="25"/>
      <c r="L74" s="25">
        <f t="shared" si="5"/>
        <v>0</v>
      </c>
      <c r="N74" s="25">
        <f t="shared" si="4"/>
        <v>-202486</v>
      </c>
    </row>
    <row r="75" spans="1:14" ht="12.75" customHeight="1" x14ac:dyDescent="0.3">
      <c r="A75" s="23">
        <f t="shared" si="2"/>
        <v>65</v>
      </c>
      <c r="B75" s="24" t="s">
        <v>97</v>
      </c>
      <c r="C75" s="19"/>
      <c r="D75" s="21"/>
      <c r="E75" s="21">
        <v>0</v>
      </c>
      <c r="F75" s="21">
        <f>ROUND(('D. 1 (calc - amort actuals)'!K90),0)</f>
        <v>79671</v>
      </c>
      <c r="G75" s="21">
        <f>ROUND(('D. 1 (calc - amort actuals)'!M90),0)</f>
        <v>-202486</v>
      </c>
      <c r="H75" s="21">
        <f t="shared" si="1"/>
        <v>11831355</v>
      </c>
      <c r="J75" s="25"/>
      <c r="K75" s="25"/>
      <c r="L75" s="25">
        <f t="shared" si="5"/>
        <v>0</v>
      </c>
      <c r="N75" s="25">
        <f t="shared" si="4"/>
        <v>-202486</v>
      </c>
    </row>
    <row r="76" spans="1:14" ht="12.75" customHeight="1" x14ac:dyDescent="0.3">
      <c r="A76" s="23">
        <f t="shared" si="2"/>
        <v>66</v>
      </c>
      <c r="B76" s="24" t="s">
        <v>98</v>
      </c>
      <c r="C76" s="19"/>
      <c r="D76" s="21"/>
      <c r="E76" s="21">
        <v>0</v>
      </c>
      <c r="F76" s="21">
        <f>ROUND(('D. 1 (calc - amort actuals)'!K91),0)</f>
        <v>78838</v>
      </c>
      <c r="G76" s="21">
        <f>ROUND(('D. 1 (calc - amort actuals)'!M91),0)</f>
        <v>-202486</v>
      </c>
      <c r="H76" s="21">
        <f t="shared" si="1"/>
        <v>11707707</v>
      </c>
      <c r="J76" s="25"/>
      <c r="K76" s="25"/>
      <c r="L76" s="25">
        <f t="shared" si="5"/>
        <v>0</v>
      </c>
      <c r="N76" s="25">
        <f t="shared" si="4"/>
        <v>-202486</v>
      </c>
    </row>
    <row r="77" spans="1:14" ht="12.75" customHeight="1" x14ac:dyDescent="0.3">
      <c r="A77" s="23">
        <f t="shared" si="2"/>
        <v>67</v>
      </c>
      <c r="B77" s="24" t="s">
        <v>99</v>
      </c>
      <c r="C77" s="19"/>
      <c r="D77" s="21"/>
      <c r="E77" s="21">
        <v>0</v>
      </c>
      <c r="F77" s="21">
        <f>ROUND(('D. 1 (calc - amort actuals)'!K92),0)</f>
        <v>78000</v>
      </c>
      <c r="G77" s="21">
        <f>ROUND(('D. 1 (calc - amort actuals)'!M92),0)</f>
        <v>-202486</v>
      </c>
      <c r="H77" s="21">
        <f t="shared" ref="H77:H140" si="6">ROUND((SUM(D77:G77)+H76),0)</f>
        <v>11583221</v>
      </c>
      <c r="J77" s="25"/>
      <c r="K77" s="25"/>
      <c r="L77" s="25">
        <f t="shared" si="5"/>
        <v>0</v>
      </c>
      <c r="N77" s="25">
        <f t="shared" si="4"/>
        <v>-202486</v>
      </c>
    </row>
    <row r="78" spans="1:14" ht="12.75" customHeight="1" x14ac:dyDescent="0.3">
      <c r="A78" s="23">
        <f t="shared" si="2"/>
        <v>68</v>
      </c>
      <c r="B78" s="24" t="s">
        <v>100</v>
      </c>
      <c r="C78" s="19"/>
      <c r="D78" s="21"/>
      <c r="E78" s="21">
        <v>0</v>
      </c>
      <c r="F78" s="21">
        <f>ROUND(('D. 1 (calc - amort actuals)'!K93),0)</f>
        <v>77156</v>
      </c>
      <c r="G78" s="21">
        <f>ROUND(('D. 1 (calc - amort actuals)'!M93),0)</f>
        <v>-202486</v>
      </c>
      <c r="H78" s="21">
        <f t="shared" si="6"/>
        <v>11457891</v>
      </c>
      <c r="J78" s="25"/>
      <c r="K78" s="25"/>
      <c r="L78" s="25">
        <f t="shared" si="5"/>
        <v>0</v>
      </c>
      <c r="N78" s="25">
        <f t="shared" si="4"/>
        <v>-202486</v>
      </c>
    </row>
    <row r="79" spans="1:14" ht="12.75" customHeight="1" x14ac:dyDescent="0.3">
      <c r="A79" s="23">
        <f t="shared" ref="A79:A142" si="7">A78+1</f>
        <v>69</v>
      </c>
      <c r="B79" s="24" t="s">
        <v>101</v>
      </c>
      <c r="C79" s="19"/>
      <c r="D79" s="21"/>
      <c r="E79" s="21">
        <v>0</v>
      </c>
      <c r="F79" s="21">
        <f>ROUND(('D. 1 (calc - amort actuals)'!K94),0)</f>
        <v>76306</v>
      </c>
      <c r="G79" s="21">
        <f>ROUND(('D. 1 (calc - amort actuals)'!M94),0)</f>
        <v>-202486</v>
      </c>
      <c r="H79" s="21">
        <f t="shared" si="6"/>
        <v>11331711</v>
      </c>
      <c r="J79" s="25"/>
      <c r="K79" s="25"/>
      <c r="L79" s="25">
        <f t="shared" si="5"/>
        <v>0</v>
      </c>
      <c r="N79" s="25">
        <f t="shared" si="4"/>
        <v>-202486</v>
      </c>
    </row>
    <row r="80" spans="1:14" ht="12.75" customHeight="1" x14ac:dyDescent="0.3">
      <c r="A80" s="23">
        <f t="shared" si="7"/>
        <v>70</v>
      </c>
      <c r="B80" s="24" t="s">
        <v>102</v>
      </c>
      <c r="C80" s="19"/>
      <c r="D80" s="21"/>
      <c r="E80" s="21">
        <v>0</v>
      </c>
      <c r="F80" s="21">
        <f>ROUND(('D. 1 (calc - amort actuals)'!K95),0)</f>
        <v>75451</v>
      </c>
      <c r="G80" s="21">
        <f>ROUND(('D. 1 (calc - amort actuals)'!M95),0)</f>
        <v>-202486</v>
      </c>
      <c r="H80" s="21">
        <f t="shared" si="6"/>
        <v>11204676</v>
      </c>
      <c r="J80" s="25"/>
      <c r="K80" s="25"/>
      <c r="L80" s="25">
        <f t="shared" si="5"/>
        <v>0</v>
      </c>
      <c r="N80" s="25">
        <f t="shared" si="4"/>
        <v>-202486</v>
      </c>
    </row>
    <row r="81" spans="1:14" ht="12.75" customHeight="1" x14ac:dyDescent="0.3">
      <c r="A81" s="23">
        <f t="shared" si="7"/>
        <v>71</v>
      </c>
      <c r="B81" s="24" t="s">
        <v>103</v>
      </c>
      <c r="C81" s="19"/>
      <c r="D81" s="21"/>
      <c r="E81" s="21">
        <v>0</v>
      </c>
      <c r="F81" s="21">
        <f>ROUND(('D. 1 (calc - amort actuals)'!K96),0)</f>
        <v>74589</v>
      </c>
      <c r="G81" s="21">
        <f>ROUND(('D. 1 (calc - amort actuals)'!M96),0)</f>
        <v>-202486</v>
      </c>
      <c r="H81" s="21">
        <f t="shared" si="6"/>
        <v>11076779</v>
      </c>
      <c r="J81" s="25"/>
      <c r="K81" s="25"/>
      <c r="L81" s="25">
        <f t="shared" si="5"/>
        <v>0</v>
      </c>
      <c r="N81" s="25">
        <f t="shared" si="4"/>
        <v>-202486</v>
      </c>
    </row>
    <row r="82" spans="1:14" ht="12.75" customHeight="1" x14ac:dyDescent="0.3">
      <c r="A82" s="23">
        <f t="shared" si="7"/>
        <v>72</v>
      </c>
      <c r="B82" s="24" t="s">
        <v>104</v>
      </c>
      <c r="C82" s="19"/>
      <c r="D82" s="21"/>
      <c r="E82" s="21">
        <v>0</v>
      </c>
      <c r="F82" s="21">
        <f>ROUND(('D. 1 (calc - amort actuals)'!K97),0)</f>
        <v>73722</v>
      </c>
      <c r="G82" s="21">
        <f>ROUND(('D. 1 (calc - amort actuals)'!M97),0)</f>
        <v>-202486</v>
      </c>
      <c r="H82" s="21">
        <f t="shared" si="6"/>
        <v>10948015</v>
      </c>
      <c r="J82" s="25"/>
      <c r="K82" s="25"/>
      <c r="L82" s="25">
        <f t="shared" si="5"/>
        <v>0</v>
      </c>
      <c r="N82" s="25">
        <f t="shared" si="4"/>
        <v>-202486</v>
      </c>
    </row>
    <row r="83" spans="1:14" ht="12.75" customHeight="1" x14ac:dyDescent="0.3">
      <c r="A83" s="23">
        <f t="shared" si="7"/>
        <v>73</v>
      </c>
      <c r="B83" s="24" t="s">
        <v>105</v>
      </c>
      <c r="C83" s="19"/>
      <c r="D83" s="21"/>
      <c r="E83" s="21">
        <v>0</v>
      </c>
      <c r="F83" s="21">
        <f>ROUND(('D. 1 (calc - amort actuals)'!K98),0)</f>
        <v>72849</v>
      </c>
      <c r="G83" s="21">
        <f>ROUND(('D. 1 (calc - amort actuals)'!M98),0)</f>
        <v>-202486</v>
      </c>
      <c r="H83" s="21">
        <f t="shared" si="6"/>
        <v>10818378</v>
      </c>
      <c r="J83" s="25"/>
      <c r="K83" s="25"/>
      <c r="L83" s="25">
        <f t="shared" si="5"/>
        <v>0</v>
      </c>
      <c r="N83" s="25">
        <f t="shared" si="4"/>
        <v>-202486</v>
      </c>
    </row>
    <row r="84" spans="1:14" ht="12.75" customHeight="1" x14ac:dyDescent="0.3">
      <c r="A84" s="23">
        <f t="shared" si="7"/>
        <v>74</v>
      </c>
      <c r="B84" s="24" t="s">
        <v>106</v>
      </c>
      <c r="C84" s="19"/>
      <c r="D84" s="21"/>
      <c r="E84" s="21">
        <v>0</v>
      </c>
      <c r="F84" s="21">
        <f>ROUND(('D. 1 (calc - amort actuals)'!K99),0)</f>
        <v>71971</v>
      </c>
      <c r="G84" s="21">
        <f>ROUND(('D. 1 (calc - amort actuals)'!M99),0)</f>
        <v>-202486</v>
      </c>
      <c r="H84" s="21">
        <f t="shared" si="6"/>
        <v>10687863</v>
      </c>
      <c r="J84" s="25"/>
      <c r="K84" s="25"/>
      <c r="L84" s="25">
        <f t="shared" si="5"/>
        <v>0</v>
      </c>
      <c r="N84" s="25">
        <f t="shared" si="4"/>
        <v>-202486</v>
      </c>
    </row>
    <row r="85" spans="1:14" ht="12.75" customHeight="1" x14ac:dyDescent="0.3">
      <c r="A85" s="23">
        <f t="shared" si="7"/>
        <v>75</v>
      </c>
      <c r="B85" s="24" t="s">
        <v>107</v>
      </c>
      <c r="C85" s="19"/>
      <c r="D85" s="21"/>
      <c r="E85" s="21">
        <v>0</v>
      </c>
      <c r="F85" s="21">
        <f>ROUND(('D. 1 (calc - amort actuals)'!K100),0)</f>
        <v>71086</v>
      </c>
      <c r="G85" s="21">
        <f>ROUND(('D. 1 (calc - amort actuals)'!M100),0)</f>
        <v>-202486</v>
      </c>
      <c r="H85" s="21">
        <f t="shared" si="6"/>
        <v>10556463</v>
      </c>
      <c r="J85" s="25"/>
      <c r="K85" s="25"/>
      <c r="L85" s="25">
        <f t="shared" si="5"/>
        <v>0</v>
      </c>
      <c r="N85" s="25">
        <f t="shared" si="4"/>
        <v>-202486</v>
      </c>
    </row>
    <row r="86" spans="1:14" ht="12.75" customHeight="1" x14ac:dyDescent="0.3">
      <c r="A86" s="23">
        <f t="shared" si="7"/>
        <v>76</v>
      </c>
      <c r="B86" s="24" t="s">
        <v>108</v>
      </c>
      <c r="C86" s="19"/>
      <c r="D86" s="21"/>
      <c r="E86" s="21">
        <v>0</v>
      </c>
      <c r="F86" s="21">
        <f>ROUND(('D. 1 (calc - amort actuals)'!K101),0)</f>
        <v>70195</v>
      </c>
      <c r="G86" s="21">
        <f>ROUND(('D. 1 (calc - amort actuals)'!M101),0)</f>
        <v>-202486</v>
      </c>
      <c r="H86" s="21">
        <f t="shared" si="6"/>
        <v>10424172</v>
      </c>
      <c r="J86" s="25"/>
      <c r="K86" s="25"/>
      <c r="L86" s="25">
        <f t="shared" si="5"/>
        <v>0</v>
      </c>
      <c r="N86" s="25">
        <f t="shared" si="4"/>
        <v>-202486</v>
      </c>
    </row>
    <row r="87" spans="1:14" ht="12.75" customHeight="1" x14ac:dyDescent="0.3">
      <c r="A87" s="23">
        <f t="shared" si="7"/>
        <v>77</v>
      </c>
      <c r="B87" s="24" t="s">
        <v>109</v>
      </c>
      <c r="C87" s="19"/>
      <c r="D87" s="21"/>
      <c r="E87" s="21">
        <v>0</v>
      </c>
      <c r="F87" s="21">
        <f>ROUND(('D. 1 (calc - amort actuals)'!K102),0)</f>
        <v>69298</v>
      </c>
      <c r="G87" s="21">
        <f>ROUND(('D. 1 (calc - amort actuals)'!M102),0)</f>
        <v>-202486</v>
      </c>
      <c r="H87" s="21">
        <f t="shared" si="6"/>
        <v>10290984</v>
      </c>
      <c r="J87" s="25"/>
      <c r="K87" s="25"/>
      <c r="L87" s="25">
        <f t="shared" si="5"/>
        <v>0</v>
      </c>
      <c r="N87" s="25">
        <f t="shared" si="4"/>
        <v>-202486</v>
      </c>
    </row>
    <row r="88" spans="1:14" ht="12.75" customHeight="1" x14ac:dyDescent="0.3">
      <c r="A88" s="23">
        <f t="shared" si="7"/>
        <v>78</v>
      </c>
      <c r="B88" s="24" t="s">
        <v>110</v>
      </c>
      <c r="C88" s="19"/>
      <c r="D88" s="21"/>
      <c r="E88" s="21">
        <v>0</v>
      </c>
      <c r="F88" s="21">
        <f>ROUND(('D. 1 (calc - amort actuals)'!K103),0)</f>
        <v>68395</v>
      </c>
      <c r="G88" s="21">
        <f>ROUND(('D. 1 (calc - amort actuals)'!M103),0)</f>
        <v>-202486</v>
      </c>
      <c r="H88" s="21">
        <f t="shared" si="6"/>
        <v>10156893</v>
      </c>
      <c r="J88" s="25"/>
      <c r="K88" s="25"/>
      <c r="L88" s="25">
        <f t="shared" si="5"/>
        <v>0</v>
      </c>
      <c r="N88" s="25">
        <f t="shared" si="4"/>
        <v>-202486</v>
      </c>
    </row>
    <row r="89" spans="1:14" ht="12.75" customHeight="1" x14ac:dyDescent="0.3">
      <c r="A89" s="23">
        <f t="shared" si="7"/>
        <v>79</v>
      </c>
      <c r="B89" s="24" t="s">
        <v>111</v>
      </c>
      <c r="C89" s="19"/>
      <c r="D89" s="21"/>
      <c r="E89" s="21">
        <v>0</v>
      </c>
      <c r="F89" s="21">
        <f>ROUND(('D. 1 (calc - amort actuals)'!K104),0)</f>
        <v>67486</v>
      </c>
      <c r="G89" s="21">
        <f>ROUND(('D. 1 (calc - amort actuals)'!M104),0)</f>
        <v>-202486</v>
      </c>
      <c r="H89" s="21">
        <f t="shared" si="6"/>
        <v>10021893</v>
      </c>
      <c r="J89" s="25"/>
      <c r="K89" s="25"/>
      <c r="L89" s="25">
        <f t="shared" si="5"/>
        <v>0</v>
      </c>
      <c r="N89" s="25">
        <f t="shared" si="4"/>
        <v>-202486</v>
      </c>
    </row>
    <row r="90" spans="1:14" ht="12.75" customHeight="1" x14ac:dyDescent="0.3">
      <c r="A90" s="23">
        <f t="shared" si="7"/>
        <v>80</v>
      </c>
      <c r="B90" s="24" t="s">
        <v>112</v>
      </c>
      <c r="C90" s="19"/>
      <c r="D90" s="21"/>
      <c r="E90" s="21">
        <v>0</v>
      </c>
      <c r="F90" s="21">
        <f>ROUND(('D. 1 (calc - amort actuals)'!K105),0)</f>
        <v>66571</v>
      </c>
      <c r="G90" s="21">
        <f>ROUND(('D. 1 (calc - amort actuals)'!M105),0)</f>
        <v>-202486</v>
      </c>
      <c r="H90" s="21">
        <f t="shared" si="6"/>
        <v>9885978</v>
      </c>
      <c r="J90" s="25"/>
      <c r="K90" s="25"/>
      <c r="L90" s="25">
        <f t="shared" si="5"/>
        <v>0</v>
      </c>
      <c r="N90" s="25">
        <f t="shared" si="4"/>
        <v>-202486</v>
      </c>
    </row>
    <row r="91" spans="1:14" ht="12.75" customHeight="1" x14ac:dyDescent="0.3">
      <c r="A91" s="23">
        <f t="shared" si="7"/>
        <v>81</v>
      </c>
      <c r="B91" s="24" t="s">
        <v>113</v>
      </c>
      <c r="C91" s="19"/>
      <c r="D91" s="21"/>
      <c r="E91" s="21">
        <v>0</v>
      </c>
      <c r="F91" s="21">
        <f>ROUND(('D. 1 (calc - amort actuals)'!K106),0)</f>
        <v>65649</v>
      </c>
      <c r="G91" s="21">
        <f>ROUND(('D. 1 (calc - amort actuals)'!M106),0)</f>
        <v>-202486</v>
      </c>
      <c r="H91" s="21">
        <f t="shared" si="6"/>
        <v>9749141</v>
      </c>
      <c r="J91" s="25"/>
      <c r="K91" s="25"/>
      <c r="L91" s="25">
        <f t="shared" si="5"/>
        <v>0</v>
      </c>
      <c r="N91" s="25">
        <f t="shared" si="4"/>
        <v>-202486</v>
      </c>
    </row>
    <row r="92" spans="1:14" ht="12.75" customHeight="1" x14ac:dyDescent="0.3">
      <c r="A92" s="23">
        <f t="shared" si="7"/>
        <v>82</v>
      </c>
      <c r="B92" s="24" t="s">
        <v>114</v>
      </c>
      <c r="C92" s="19"/>
      <c r="D92" s="21"/>
      <c r="E92" s="21">
        <v>0</v>
      </c>
      <c r="F92" s="21">
        <f>ROUND(('D. 1 (calc - amort actuals)'!K107),0)</f>
        <v>64722</v>
      </c>
      <c r="G92" s="21">
        <f>ROUND(('D. 1 (calc - amort actuals)'!M107),0)</f>
        <v>-202486</v>
      </c>
      <c r="H92" s="21">
        <f t="shared" si="6"/>
        <v>9611377</v>
      </c>
      <c r="J92" s="25"/>
      <c r="K92" s="25"/>
      <c r="L92" s="25">
        <f t="shared" si="5"/>
        <v>0</v>
      </c>
      <c r="N92" s="25">
        <f t="shared" si="4"/>
        <v>-202486</v>
      </c>
    </row>
    <row r="93" spans="1:14" ht="12.75" customHeight="1" x14ac:dyDescent="0.3">
      <c r="A93" s="23">
        <f t="shared" si="7"/>
        <v>83</v>
      </c>
      <c r="B93" s="24" t="s">
        <v>115</v>
      </c>
      <c r="C93" s="19"/>
      <c r="D93" s="21"/>
      <c r="E93" s="21">
        <v>0</v>
      </c>
      <c r="F93" s="21">
        <f>ROUND(('D. 1 (calc - amort actuals)'!K108),0)</f>
        <v>63788</v>
      </c>
      <c r="G93" s="21">
        <f>ROUND(('D. 1 (calc - amort actuals)'!M108),0)</f>
        <v>-202486</v>
      </c>
      <c r="H93" s="21">
        <f t="shared" si="6"/>
        <v>9472679</v>
      </c>
      <c r="J93" s="25"/>
      <c r="K93" s="25"/>
      <c r="L93" s="25">
        <f t="shared" si="5"/>
        <v>0</v>
      </c>
      <c r="N93" s="25">
        <f t="shared" si="4"/>
        <v>-202486</v>
      </c>
    </row>
    <row r="94" spans="1:14" ht="12.75" customHeight="1" x14ac:dyDescent="0.3">
      <c r="A94" s="23">
        <f t="shared" si="7"/>
        <v>84</v>
      </c>
      <c r="B94" s="24" t="s">
        <v>116</v>
      </c>
      <c r="C94" s="19"/>
      <c r="D94" s="21"/>
      <c r="E94" s="21">
        <v>0</v>
      </c>
      <c r="F94" s="21">
        <f>ROUND(('D. 1 (calc - amort actuals)'!K109),0)</f>
        <v>62847</v>
      </c>
      <c r="G94" s="21">
        <f>ROUND(('D. 1 (calc - amort actuals)'!M109),0)</f>
        <v>-202486</v>
      </c>
      <c r="H94" s="21">
        <f t="shared" si="6"/>
        <v>9333040</v>
      </c>
      <c r="J94" s="25"/>
      <c r="K94" s="25"/>
      <c r="L94" s="25">
        <f t="shared" si="5"/>
        <v>0</v>
      </c>
      <c r="N94" s="25">
        <f t="shared" si="4"/>
        <v>-202486</v>
      </c>
    </row>
    <row r="95" spans="1:14" ht="12.75" customHeight="1" x14ac:dyDescent="0.3">
      <c r="A95" s="23">
        <f t="shared" si="7"/>
        <v>85</v>
      </c>
      <c r="B95" s="24" t="s">
        <v>117</v>
      </c>
      <c r="C95" s="19"/>
      <c r="D95" s="21"/>
      <c r="E95" s="21">
        <v>0</v>
      </c>
      <c r="F95" s="21">
        <f>ROUND(('D. 1 (calc - amort actuals)'!K110),0)</f>
        <v>61901</v>
      </c>
      <c r="G95" s="21">
        <f>ROUND(('D. 1 (calc - amort actuals)'!M110),0)</f>
        <v>-202486</v>
      </c>
      <c r="H95" s="21">
        <f t="shared" si="6"/>
        <v>9192455</v>
      </c>
      <c r="J95" s="25"/>
      <c r="K95" s="25"/>
      <c r="L95" s="25">
        <f t="shared" si="5"/>
        <v>0</v>
      </c>
      <c r="N95" s="25">
        <f t="shared" ref="N95:N148" si="8">G95+K95</f>
        <v>-202486</v>
      </c>
    </row>
    <row r="96" spans="1:14" ht="12.75" customHeight="1" x14ac:dyDescent="0.3">
      <c r="A96" s="23">
        <f t="shared" si="7"/>
        <v>86</v>
      </c>
      <c r="B96" s="24" t="s">
        <v>118</v>
      </c>
      <c r="C96" s="19"/>
      <c r="D96" s="21"/>
      <c r="E96" s="21">
        <v>0</v>
      </c>
      <c r="F96" s="21">
        <f>ROUND(('D. 1 (calc - amort actuals)'!K111),0)</f>
        <v>60948</v>
      </c>
      <c r="G96" s="21">
        <f>ROUND(('D. 1 (calc - amort actuals)'!M111),0)</f>
        <v>-202486</v>
      </c>
      <c r="H96" s="21">
        <f t="shared" si="6"/>
        <v>9050917</v>
      </c>
      <c r="J96" s="25"/>
      <c r="K96" s="25"/>
      <c r="L96" s="25">
        <f t="shared" si="5"/>
        <v>0</v>
      </c>
      <c r="N96" s="25">
        <f t="shared" si="8"/>
        <v>-202486</v>
      </c>
    </row>
    <row r="97" spans="1:14" ht="12.75" customHeight="1" x14ac:dyDescent="0.3">
      <c r="A97" s="23">
        <f t="shared" si="7"/>
        <v>87</v>
      </c>
      <c r="B97" s="24" t="s">
        <v>119</v>
      </c>
      <c r="C97" s="19"/>
      <c r="D97" s="21"/>
      <c r="E97" s="21">
        <v>0</v>
      </c>
      <c r="F97" s="21">
        <f>ROUND(('D. 1 (calc - amort actuals)'!K112),0)</f>
        <v>59988</v>
      </c>
      <c r="G97" s="21">
        <f>ROUND(('D. 1 (calc - amort actuals)'!M112),0)</f>
        <v>-202486</v>
      </c>
      <c r="H97" s="21">
        <f t="shared" si="6"/>
        <v>8908419</v>
      </c>
      <c r="J97" s="25"/>
      <c r="K97" s="25"/>
      <c r="L97" s="25">
        <f t="shared" si="5"/>
        <v>0</v>
      </c>
      <c r="N97" s="25">
        <f t="shared" si="8"/>
        <v>-202486</v>
      </c>
    </row>
    <row r="98" spans="1:14" ht="12.75" customHeight="1" x14ac:dyDescent="0.3">
      <c r="A98" s="23">
        <f t="shared" si="7"/>
        <v>88</v>
      </c>
      <c r="B98" s="24" t="s">
        <v>120</v>
      </c>
      <c r="C98" s="19"/>
      <c r="D98" s="21"/>
      <c r="E98" s="21">
        <v>0</v>
      </c>
      <c r="F98" s="21">
        <f>ROUND(('D. 1 (calc - amort actuals)'!K113),0)</f>
        <v>59022</v>
      </c>
      <c r="G98" s="21">
        <f>ROUND(('D. 1 (calc - amort actuals)'!M113),0)</f>
        <v>-202486</v>
      </c>
      <c r="H98" s="21">
        <f t="shared" si="6"/>
        <v>8764955</v>
      </c>
      <c r="J98" s="25"/>
      <c r="K98" s="25"/>
      <c r="L98" s="25">
        <f t="shared" ref="L98:L149" si="9">L97+J98+K98</f>
        <v>0</v>
      </c>
      <c r="N98" s="25">
        <f t="shared" si="8"/>
        <v>-202486</v>
      </c>
    </row>
    <row r="99" spans="1:14" ht="12.75" customHeight="1" x14ac:dyDescent="0.3">
      <c r="A99" s="23">
        <f t="shared" si="7"/>
        <v>89</v>
      </c>
      <c r="B99" s="24" t="s">
        <v>121</v>
      </c>
      <c r="C99" s="19"/>
      <c r="D99" s="21"/>
      <c r="E99" s="21">
        <v>0</v>
      </c>
      <c r="F99" s="21">
        <f>ROUND(('D. 1 (calc - amort actuals)'!K114),0)</f>
        <v>58049</v>
      </c>
      <c r="G99" s="21">
        <f>ROUND(('D. 1 (calc - amort actuals)'!M114),0)</f>
        <v>-202486</v>
      </c>
      <c r="H99" s="21">
        <f t="shared" si="6"/>
        <v>8620518</v>
      </c>
      <c r="J99" s="25"/>
      <c r="K99" s="25"/>
      <c r="L99" s="25">
        <f t="shared" si="9"/>
        <v>0</v>
      </c>
      <c r="N99" s="25">
        <f t="shared" si="8"/>
        <v>-202486</v>
      </c>
    </row>
    <row r="100" spans="1:14" ht="12.75" customHeight="1" x14ac:dyDescent="0.3">
      <c r="A100" s="23">
        <f t="shared" si="7"/>
        <v>90</v>
      </c>
      <c r="B100" s="24" t="s">
        <v>122</v>
      </c>
      <c r="C100" s="19"/>
      <c r="D100" s="21"/>
      <c r="E100" s="21">
        <v>0</v>
      </c>
      <c r="F100" s="21">
        <f>ROUND(('D. 1 (calc - amort actuals)'!K115),0)</f>
        <v>57070</v>
      </c>
      <c r="G100" s="21">
        <f>ROUND(('D. 1 (calc - amort actuals)'!M115),0)</f>
        <v>-202486</v>
      </c>
      <c r="H100" s="21">
        <f t="shared" si="6"/>
        <v>8475102</v>
      </c>
      <c r="J100" s="25"/>
      <c r="K100" s="25"/>
      <c r="L100" s="25">
        <f t="shared" si="9"/>
        <v>0</v>
      </c>
      <c r="N100" s="25">
        <f t="shared" si="8"/>
        <v>-202486</v>
      </c>
    </row>
    <row r="101" spans="1:14" ht="12.75" customHeight="1" x14ac:dyDescent="0.3">
      <c r="A101" s="23">
        <f t="shared" si="7"/>
        <v>91</v>
      </c>
      <c r="B101" s="24" t="s">
        <v>123</v>
      </c>
      <c r="C101" s="19"/>
      <c r="D101" s="21"/>
      <c r="E101" s="21">
        <v>0</v>
      </c>
      <c r="F101" s="21">
        <f>ROUND(('D. 1 (calc - amort actuals)'!K116),0)</f>
        <v>56084</v>
      </c>
      <c r="G101" s="21">
        <f>ROUND(('D. 1 (calc - amort actuals)'!M116),0)</f>
        <v>-202486</v>
      </c>
      <c r="H101" s="21">
        <f t="shared" si="6"/>
        <v>8328700</v>
      </c>
      <c r="J101" s="25"/>
      <c r="K101" s="25"/>
      <c r="L101" s="25">
        <f t="shared" si="9"/>
        <v>0</v>
      </c>
      <c r="N101" s="25">
        <f t="shared" si="8"/>
        <v>-202486</v>
      </c>
    </row>
    <row r="102" spans="1:14" ht="12.75" customHeight="1" x14ac:dyDescent="0.3">
      <c r="A102" s="23">
        <f t="shared" si="7"/>
        <v>92</v>
      </c>
      <c r="B102" s="24" t="s">
        <v>124</v>
      </c>
      <c r="C102" s="19"/>
      <c r="D102" s="21"/>
      <c r="E102" s="21">
        <v>0</v>
      </c>
      <c r="F102" s="21">
        <f>ROUND(('D. 1 (calc - amort actuals)'!K117),0)</f>
        <v>55092</v>
      </c>
      <c r="G102" s="21">
        <f>ROUND(('D. 1 (calc - amort actuals)'!M117),0)</f>
        <v>-202486</v>
      </c>
      <c r="H102" s="21">
        <f t="shared" si="6"/>
        <v>8181306</v>
      </c>
      <c r="J102" s="25"/>
      <c r="K102" s="25"/>
      <c r="L102" s="25">
        <f t="shared" si="9"/>
        <v>0</v>
      </c>
      <c r="N102" s="25">
        <f t="shared" si="8"/>
        <v>-202486</v>
      </c>
    </row>
    <row r="103" spans="1:14" ht="12.75" customHeight="1" x14ac:dyDescent="0.3">
      <c r="A103" s="23">
        <f t="shared" si="7"/>
        <v>93</v>
      </c>
      <c r="B103" s="24" t="s">
        <v>125</v>
      </c>
      <c r="C103" s="19"/>
      <c r="D103" s="21"/>
      <c r="E103" s="21">
        <v>0</v>
      </c>
      <c r="F103" s="21">
        <f>ROUND(('D. 1 (calc - amort actuals)'!K118),0)</f>
        <v>54093</v>
      </c>
      <c r="G103" s="21">
        <f>ROUND(('D. 1 (calc - amort actuals)'!M118),0)</f>
        <v>-202486</v>
      </c>
      <c r="H103" s="21">
        <f t="shared" si="6"/>
        <v>8032913</v>
      </c>
      <c r="J103" s="25"/>
      <c r="K103" s="25"/>
      <c r="L103" s="25">
        <f t="shared" si="9"/>
        <v>0</v>
      </c>
      <c r="N103" s="25">
        <f t="shared" si="8"/>
        <v>-202486</v>
      </c>
    </row>
    <row r="104" spans="1:14" ht="12.75" customHeight="1" x14ac:dyDescent="0.3">
      <c r="A104" s="23">
        <f t="shared" si="7"/>
        <v>94</v>
      </c>
      <c r="B104" s="24" t="s">
        <v>126</v>
      </c>
      <c r="C104" s="19"/>
      <c r="D104" s="21"/>
      <c r="E104" s="21">
        <v>0</v>
      </c>
      <c r="F104" s="21">
        <f>ROUND(('D. 1 (calc - amort actuals)'!K119),0)</f>
        <v>53087</v>
      </c>
      <c r="G104" s="21">
        <f>ROUND(('D. 1 (calc - amort actuals)'!M119),0)</f>
        <v>-202486</v>
      </c>
      <c r="H104" s="21">
        <f t="shared" si="6"/>
        <v>7883514</v>
      </c>
      <c r="J104" s="25"/>
      <c r="K104" s="25"/>
      <c r="L104" s="25">
        <f t="shared" si="9"/>
        <v>0</v>
      </c>
      <c r="N104" s="25">
        <f t="shared" si="8"/>
        <v>-202486</v>
      </c>
    </row>
    <row r="105" spans="1:14" ht="12.75" customHeight="1" x14ac:dyDescent="0.3">
      <c r="A105" s="23">
        <f t="shared" si="7"/>
        <v>95</v>
      </c>
      <c r="B105" s="24" t="s">
        <v>127</v>
      </c>
      <c r="C105" s="19"/>
      <c r="D105" s="21"/>
      <c r="E105" s="21">
        <v>0</v>
      </c>
      <c r="F105" s="21">
        <f>ROUND(('D. 1 (calc - amort actuals)'!K120),0)</f>
        <v>52074</v>
      </c>
      <c r="G105" s="21">
        <f>ROUND(('D. 1 (calc - amort actuals)'!M120),0)</f>
        <v>-202486</v>
      </c>
      <c r="H105" s="21">
        <f t="shared" si="6"/>
        <v>7733102</v>
      </c>
      <c r="J105" s="25"/>
      <c r="K105" s="25"/>
      <c r="L105" s="25">
        <f t="shared" si="9"/>
        <v>0</v>
      </c>
      <c r="N105" s="25">
        <f t="shared" si="8"/>
        <v>-202486</v>
      </c>
    </row>
    <row r="106" spans="1:14" ht="12.75" customHeight="1" x14ac:dyDescent="0.3">
      <c r="A106" s="23">
        <f t="shared" si="7"/>
        <v>96</v>
      </c>
      <c r="B106" s="24" t="s">
        <v>128</v>
      </c>
      <c r="C106" s="19"/>
      <c r="D106" s="21"/>
      <c r="E106" s="21">
        <v>0</v>
      </c>
      <c r="F106" s="21">
        <f>ROUND(('D. 1 (calc - amort actuals)'!K121),0)</f>
        <v>51054</v>
      </c>
      <c r="G106" s="21">
        <f>ROUND(('D. 1 (calc - amort actuals)'!M121),0)</f>
        <v>-202486</v>
      </c>
      <c r="H106" s="21">
        <f t="shared" si="6"/>
        <v>7581670</v>
      </c>
      <c r="J106" s="25"/>
      <c r="K106" s="25"/>
      <c r="L106" s="25">
        <f t="shared" si="9"/>
        <v>0</v>
      </c>
      <c r="N106" s="25">
        <f t="shared" si="8"/>
        <v>-202486</v>
      </c>
    </row>
    <row r="107" spans="1:14" ht="12.75" customHeight="1" x14ac:dyDescent="0.3">
      <c r="A107" s="23">
        <f t="shared" si="7"/>
        <v>97</v>
      </c>
      <c r="B107" s="24" t="s">
        <v>129</v>
      </c>
      <c r="C107" s="19"/>
      <c r="D107" s="21"/>
      <c r="E107" s="21">
        <v>0</v>
      </c>
      <c r="F107" s="21">
        <f>ROUND(('D. 1 (calc - amort actuals)'!K122),0)</f>
        <v>50027</v>
      </c>
      <c r="G107" s="21">
        <f>ROUND(('D. 1 (calc - amort actuals)'!M122),0)</f>
        <v>-202486</v>
      </c>
      <c r="H107" s="21">
        <f t="shared" si="6"/>
        <v>7429211</v>
      </c>
      <c r="J107" s="25"/>
      <c r="K107" s="25"/>
      <c r="L107" s="25">
        <f t="shared" si="9"/>
        <v>0</v>
      </c>
      <c r="N107" s="25">
        <f t="shared" si="8"/>
        <v>-202486</v>
      </c>
    </row>
    <row r="108" spans="1:14" ht="12.75" customHeight="1" x14ac:dyDescent="0.3">
      <c r="A108" s="23">
        <f t="shared" si="7"/>
        <v>98</v>
      </c>
      <c r="B108" s="24" t="s">
        <v>130</v>
      </c>
      <c r="C108" s="19"/>
      <c r="D108" s="21"/>
      <c r="E108" s="21">
        <v>0</v>
      </c>
      <c r="F108" s="21">
        <f>ROUND(('D. 1 (calc - amort actuals)'!K123),0)</f>
        <v>48994</v>
      </c>
      <c r="G108" s="21">
        <f>ROUND(('D. 1 (calc - amort actuals)'!M123),0)</f>
        <v>-202486</v>
      </c>
      <c r="H108" s="21">
        <f t="shared" si="6"/>
        <v>7275719</v>
      </c>
      <c r="J108" s="25"/>
      <c r="K108" s="25"/>
      <c r="L108" s="25">
        <f t="shared" si="9"/>
        <v>0</v>
      </c>
      <c r="N108" s="25">
        <f t="shared" si="8"/>
        <v>-202486</v>
      </c>
    </row>
    <row r="109" spans="1:14" ht="12.75" customHeight="1" x14ac:dyDescent="0.3">
      <c r="A109" s="23">
        <f t="shared" si="7"/>
        <v>99</v>
      </c>
      <c r="B109" s="24" t="s">
        <v>131</v>
      </c>
      <c r="C109" s="19"/>
      <c r="D109" s="21"/>
      <c r="E109" s="21">
        <v>0</v>
      </c>
      <c r="F109" s="21">
        <f>ROUND(('D. 1 (calc - amort actuals)'!K124),0)</f>
        <v>47953</v>
      </c>
      <c r="G109" s="21">
        <f>ROUND(('D. 1 (calc - amort actuals)'!M124),0)</f>
        <v>-202486</v>
      </c>
      <c r="H109" s="21">
        <f t="shared" si="6"/>
        <v>7121186</v>
      </c>
      <c r="J109" s="25"/>
      <c r="K109" s="25"/>
      <c r="L109" s="25">
        <f t="shared" si="9"/>
        <v>0</v>
      </c>
      <c r="N109" s="25">
        <f t="shared" si="8"/>
        <v>-202486</v>
      </c>
    </row>
    <row r="110" spans="1:14" ht="12.75" customHeight="1" x14ac:dyDescent="0.3">
      <c r="A110" s="23">
        <f t="shared" si="7"/>
        <v>100</v>
      </c>
      <c r="B110" s="24" t="s">
        <v>132</v>
      </c>
      <c r="C110" s="19"/>
      <c r="D110" s="21"/>
      <c r="E110" s="21">
        <v>0</v>
      </c>
      <c r="F110" s="21">
        <f>ROUND(('D. 1 (calc - amort actuals)'!K125),0)</f>
        <v>46906</v>
      </c>
      <c r="G110" s="21">
        <f>ROUND(('D. 1 (calc - amort actuals)'!M125),0)</f>
        <v>-202486</v>
      </c>
      <c r="H110" s="21">
        <f t="shared" si="6"/>
        <v>6965606</v>
      </c>
      <c r="J110" s="25"/>
      <c r="K110" s="25"/>
      <c r="L110" s="25">
        <f t="shared" si="9"/>
        <v>0</v>
      </c>
      <c r="N110" s="25">
        <f t="shared" si="8"/>
        <v>-202486</v>
      </c>
    </row>
    <row r="111" spans="1:14" ht="12.75" customHeight="1" x14ac:dyDescent="0.3">
      <c r="A111" s="23">
        <f t="shared" si="7"/>
        <v>101</v>
      </c>
      <c r="B111" s="24" t="s">
        <v>133</v>
      </c>
      <c r="C111" s="19"/>
      <c r="D111" s="21"/>
      <c r="E111" s="21">
        <v>0</v>
      </c>
      <c r="F111" s="21">
        <f>ROUND(('D. 1 (calc - amort actuals)'!K126),0)</f>
        <v>45851</v>
      </c>
      <c r="G111" s="21">
        <f>ROUND(('D. 1 (calc - amort actuals)'!M126),0)</f>
        <v>-202486</v>
      </c>
      <c r="H111" s="21">
        <f t="shared" si="6"/>
        <v>6808971</v>
      </c>
      <c r="J111" s="25"/>
      <c r="K111" s="25"/>
      <c r="L111" s="25">
        <f t="shared" si="9"/>
        <v>0</v>
      </c>
      <c r="N111" s="25">
        <f t="shared" si="8"/>
        <v>-202486</v>
      </c>
    </row>
    <row r="112" spans="1:14" ht="12.75" customHeight="1" x14ac:dyDescent="0.3">
      <c r="A112" s="23">
        <f t="shared" si="7"/>
        <v>102</v>
      </c>
      <c r="B112" s="24" t="s">
        <v>134</v>
      </c>
      <c r="C112" s="19"/>
      <c r="D112" s="21"/>
      <c r="E112" s="21">
        <v>0</v>
      </c>
      <c r="F112" s="21">
        <f>ROUND(('D. 1 (calc - amort actuals)'!K127),0)</f>
        <v>44789</v>
      </c>
      <c r="G112" s="21">
        <f>ROUND(('D. 1 (calc - amort actuals)'!M127),0)</f>
        <v>-202486</v>
      </c>
      <c r="H112" s="21">
        <f t="shared" si="6"/>
        <v>6651274</v>
      </c>
      <c r="J112" s="25"/>
      <c r="K112" s="25"/>
      <c r="L112" s="25">
        <f t="shared" si="9"/>
        <v>0</v>
      </c>
      <c r="N112" s="25">
        <f t="shared" si="8"/>
        <v>-202486</v>
      </c>
    </row>
    <row r="113" spans="1:14" ht="12.75" customHeight="1" x14ac:dyDescent="0.3">
      <c r="A113" s="23">
        <f t="shared" si="7"/>
        <v>103</v>
      </c>
      <c r="B113" s="24" t="s">
        <v>135</v>
      </c>
      <c r="C113" s="19"/>
      <c r="D113" s="21"/>
      <c r="E113" s="21">
        <v>0</v>
      </c>
      <c r="F113" s="21">
        <f>ROUND(('D. 1 (calc - amort actuals)'!K128),0)</f>
        <v>43720</v>
      </c>
      <c r="G113" s="21">
        <f>ROUND(('D. 1 (calc - amort actuals)'!M128),0)</f>
        <v>-202486</v>
      </c>
      <c r="H113" s="21">
        <f t="shared" si="6"/>
        <v>6492508</v>
      </c>
      <c r="J113" s="25"/>
      <c r="K113" s="25"/>
      <c r="L113" s="25">
        <f t="shared" si="9"/>
        <v>0</v>
      </c>
      <c r="N113" s="25">
        <f t="shared" si="8"/>
        <v>-202486</v>
      </c>
    </row>
    <row r="114" spans="1:14" ht="12.75" customHeight="1" x14ac:dyDescent="0.3">
      <c r="A114" s="23">
        <f t="shared" si="7"/>
        <v>104</v>
      </c>
      <c r="B114" s="24" t="s">
        <v>136</v>
      </c>
      <c r="C114" s="19"/>
      <c r="D114" s="21"/>
      <c r="E114" s="21">
        <v>0</v>
      </c>
      <c r="F114" s="21">
        <f>ROUND(('D. 1 (calc - amort actuals)'!K129),0)</f>
        <v>42643</v>
      </c>
      <c r="G114" s="21">
        <f>ROUND(('D. 1 (calc - amort actuals)'!M129),0)</f>
        <v>-202486</v>
      </c>
      <c r="H114" s="21">
        <f t="shared" si="6"/>
        <v>6332665</v>
      </c>
      <c r="J114" s="25"/>
      <c r="K114" s="25"/>
      <c r="L114" s="25">
        <f t="shared" si="9"/>
        <v>0</v>
      </c>
      <c r="N114" s="25">
        <f t="shared" si="8"/>
        <v>-202486</v>
      </c>
    </row>
    <row r="115" spans="1:14" ht="12.75" customHeight="1" x14ac:dyDescent="0.3">
      <c r="A115" s="23">
        <f t="shared" si="7"/>
        <v>105</v>
      </c>
      <c r="B115" s="24" t="s">
        <v>137</v>
      </c>
      <c r="C115" s="19"/>
      <c r="D115" s="21"/>
      <c r="E115" s="21">
        <v>0</v>
      </c>
      <c r="F115" s="21">
        <f>ROUND(('D. 1 (calc - amort actuals)'!K130),0)</f>
        <v>41560</v>
      </c>
      <c r="G115" s="21">
        <f>ROUND(('D. 1 (calc - amort actuals)'!M130),0)</f>
        <v>-202486</v>
      </c>
      <c r="H115" s="21">
        <f t="shared" si="6"/>
        <v>6171739</v>
      </c>
      <c r="J115" s="25"/>
      <c r="K115" s="25"/>
      <c r="L115" s="25">
        <f t="shared" si="9"/>
        <v>0</v>
      </c>
      <c r="N115" s="25">
        <f t="shared" si="8"/>
        <v>-202486</v>
      </c>
    </row>
    <row r="116" spans="1:14" ht="12.75" customHeight="1" x14ac:dyDescent="0.3">
      <c r="A116" s="23">
        <f t="shared" si="7"/>
        <v>106</v>
      </c>
      <c r="B116" s="24" t="s">
        <v>138</v>
      </c>
      <c r="C116" s="19"/>
      <c r="D116" s="21"/>
      <c r="E116" s="21">
        <v>0</v>
      </c>
      <c r="F116" s="21">
        <f>ROUND(('D. 1 (calc - amort actuals)'!K131),0)</f>
        <v>40469</v>
      </c>
      <c r="G116" s="21">
        <f>ROUND(('D. 1 (calc - amort actuals)'!M131),0)</f>
        <v>-202486</v>
      </c>
      <c r="H116" s="21">
        <f t="shared" si="6"/>
        <v>6009722</v>
      </c>
      <c r="J116" s="25"/>
      <c r="K116" s="25"/>
      <c r="L116" s="25">
        <f t="shared" si="9"/>
        <v>0</v>
      </c>
      <c r="N116" s="25">
        <f t="shared" si="8"/>
        <v>-202486</v>
      </c>
    </row>
    <row r="117" spans="1:14" ht="12.75" customHeight="1" x14ac:dyDescent="0.3">
      <c r="A117" s="23">
        <f t="shared" si="7"/>
        <v>107</v>
      </c>
      <c r="B117" s="24" t="s">
        <v>139</v>
      </c>
      <c r="C117" s="19"/>
      <c r="D117" s="21"/>
      <c r="E117" s="21">
        <v>0</v>
      </c>
      <c r="F117" s="21">
        <f>ROUND(('D. 1 (calc - amort actuals)'!K132),0)</f>
        <v>39370</v>
      </c>
      <c r="G117" s="21">
        <f>ROUND(('D. 1 (calc - amort actuals)'!M132),0)</f>
        <v>-202486</v>
      </c>
      <c r="H117" s="21">
        <f t="shared" si="6"/>
        <v>5846606</v>
      </c>
      <c r="J117" s="25"/>
      <c r="K117" s="25"/>
      <c r="L117" s="25">
        <f t="shared" si="9"/>
        <v>0</v>
      </c>
      <c r="N117" s="25">
        <f t="shared" si="8"/>
        <v>-202486</v>
      </c>
    </row>
    <row r="118" spans="1:14" ht="12.75" customHeight="1" x14ac:dyDescent="0.3">
      <c r="A118" s="23">
        <f t="shared" si="7"/>
        <v>108</v>
      </c>
      <c r="B118" s="24" t="s">
        <v>140</v>
      </c>
      <c r="C118" s="19"/>
      <c r="D118" s="21"/>
      <c r="E118" s="21">
        <v>0</v>
      </c>
      <c r="F118" s="21">
        <f>ROUND(('D. 1 (calc - amort actuals)'!K133),0)</f>
        <v>38265</v>
      </c>
      <c r="G118" s="21">
        <f>ROUND(('D. 1 (calc - amort actuals)'!M133),0)</f>
        <v>-202486</v>
      </c>
      <c r="H118" s="21">
        <f t="shared" si="6"/>
        <v>5682385</v>
      </c>
      <c r="J118" s="25"/>
      <c r="K118" s="25"/>
      <c r="L118" s="25">
        <f t="shared" si="9"/>
        <v>0</v>
      </c>
      <c r="N118" s="25">
        <f t="shared" si="8"/>
        <v>-202486</v>
      </c>
    </row>
    <row r="119" spans="1:14" ht="12.75" customHeight="1" x14ac:dyDescent="0.3">
      <c r="A119" s="23">
        <f t="shared" si="7"/>
        <v>109</v>
      </c>
      <c r="B119" s="24" t="s">
        <v>141</v>
      </c>
      <c r="C119" s="19"/>
      <c r="D119" s="21"/>
      <c r="E119" s="21">
        <v>0</v>
      </c>
      <c r="F119" s="21">
        <f>ROUND(('D. 1 (calc - amort actuals)'!K134),0)</f>
        <v>37151</v>
      </c>
      <c r="G119" s="21">
        <f>ROUND(('D. 1 (calc - amort actuals)'!M134),0)</f>
        <v>-202486</v>
      </c>
      <c r="H119" s="21">
        <f t="shared" si="6"/>
        <v>5517050</v>
      </c>
      <c r="J119" s="25"/>
      <c r="K119" s="25"/>
      <c r="L119" s="25">
        <f t="shared" si="9"/>
        <v>0</v>
      </c>
      <c r="N119" s="25">
        <f t="shared" si="8"/>
        <v>-202486</v>
      </c>
    </row>
    <row r="120" spans="1:14" ht="12.75" customHeight="1" x14ac:dyDescent="0.3">
      <c r="A120" s="23">
        <f t="shared" si="7"/>
        <v>110</v>
      </c>
      <c r="B120" s="24" t="s">
        <v>142</v>
      </c>
      <c r="C120" s="19"/>
      <c r="D120" s="21"/>
      <c r="E120" s="21">
        <v>0</v>
      </c>
      <c r="F120" s="21">
        <f>ROUND(('D. 1 (calc - amort actuals)'!K135),0)</f>
        <v>36030</v>
      </c>
      <c r="G120" s="21">
        <f>ROUND(('D. 1 (calc - amort actuals)'!M135),0)</f>
        <v>-202486</v>
      </c>
      <c r="H120" s="21">
        <f t="shared" si="6"/>
        <v>5350594</v>
      </c>
      <c r="J120" s="25"/>
      <c r="K120" s="25"/>
      <c r="L120" s="25">
        <f t="shared" si="9"/>
        <v>0</v>
      </c>
      <c r="N120" s="25">
        <f t="shared" si="8"/>
        <v>-202486</v>
      </c>
    </row>
    <row r="121" spans="1:14" ht="12.75" customHeight="1" x14ac:dyDescent="0.3">
      <c r="A121" s="23">
        <f t="shared" si="7"/>
        <v>111</v>
      </c>
      <c r="B121" s="24" t="s">
        <v>143</v>
      </c>
      <c r="C121" s="19"/>
      <c r="D121" s="21"/>
      <c r="E121" s="21">
        <v>0</v>
      </c>
      <c r="F121" s="21">
        <f>ROUND(('D. 1 (calc - amort actuals)'!K136),0)</f>
        <v>34902</v>
      </c>
      <c r="G121" s="21">
        <f>ROUND(('D. 1 (calc - amort actuals)'!M136),0)</f>
        <v>-202486</v>
      </c>
      <c r="H121" s="21">
        <f t="shared" si="6"/>
        <v>5183010</v>
      </c>
      <c r="J121" s="25"/>
      <c r="K121" s="25"/>
      <c r="L121" s="25">
        <f t="shared" si="9"/>
        <v>0</v>
      </c>
      <c r="N121" s="25">
        <f t="shared" si="8"/>
        <v>-202486</v>
      </c>
    </row>
    <row r="122" spans="1:14" ht="12.75" customHeight="1" x14ac:dyDescent="0.3">
      <c r="A122" s="23">
        <f t="shared" si="7"/>
        <v>112</v>
      </c>
      <c r="B122" s="24" t="s">
        <v>144</v>
      </c>
      <c r="C122" s="19"/>
      <c r="D122" s="21"/>
      <c r="E122" s="21">
        <v>0</v>
      </c>
      <c r="F122" s="21">
        <f>ROUND(('D. 1 (calc - amort actuals)'!K137),0)</f>
        <v>33766</v>
      </c>
      <c r="G122" s="21">
        <f>ROUND(('D. 1 (calc - amort actuals)'!M137),0)</f>
        <v>-202486</v>
      </c>
      <c r="H122" s="21">
        <f t="shared" si="6"/>
        <v>5014290</v>
      </c>
      <c r="J122" s="25"/>
      <c r="K122" s="25"/>
      <c r="L122" s="25">
        <f t="shared" si="9"/>
        <v>0</v>
      </c>
      <c r="N122" s="25">
        <f t="shared" si="8"/>
        <v>-202486</v>
      </c>
    </row>
    <row r="123" spans="1:14" ht="12.75" customHeight="1" x14ac:dyDescent="0.3">
      <c r="A123" s="23">
        <f t="shared" si="7"/>
        <v>113</v>
      </c>
      <c r="B123" s="24" t="s">
        <v>145</v>
      </c>
      <c r="C123" s="19"/>
      <c r="D123" s="21"/>
      <c r="E123" s="21">
        <v>0</v>
      </c>
      <c r="F123" s="21">
        <f>ROUND(('D. 1 (calc - amort actuals)'!K138),0)</f>
        <v>32622</v>
      </c>
      <c r="G123" s="21">
        <f>ROUND(('D. 1 (calc - amort actuals)'!M138),0)</f>
        <v>-202486</v>
      </c>
      <c r="H123" s="21">
        <f t="shared" si="6"/>
        <v>4844426</v>
      </c>
      <c r="J123" s="25"/>
      <c r="K123" s="25"/>
      <c r="L123" s="25">
        <f t="shared" si="9"/>
        <v>0</v>
      </c>
      <c r="N123" s="25">
        <f t="shared" si="8"/>
        <v>-202486</v>
      </c>
    </row>
    <row r="124" spans="1:14" ht="12.75" customHeight="1" x14ac:dyDescent="0.3">
      <c r="A124" s="23">
        <f t="shared" si="7"/>
        <v>114</v>
      </c>
      <c r="B124" s="24" t="s">
        <v>146</v>
      </c>
      <c r="C124" s="19"/>
      <c r="D124" s="21"/>
      <c r="E124" s="21">
        <v>0</v>
      </c>
      <c r="F124" s="21">
        <f>ROUND(('D. 1 (calc - amort actuals)'!K139),0)</f>
        <v>31470</v>
      </c>
      <c r="G124" s="21">
        <f>ROUND(('D. 1 (calc - amort actuals)'!M139),0)</f>
        <v>-202486</v>
      </c>
      <c r="H124" s="21">
        <f t="shared" si="6"/>
        <v>4673410</v>
      </c>
      <c r="J124" s="25"/>
      <c r="K124" s="25"/>
      <c r="L124" s="25">
        <f t="shared" si="9"/>
        <v>0</v>
      </c>
      <c r="N124" s="25">
        <f t="shared" si="8"/>
        <v>-202486</v>
      </c>
    </row>
    <row r="125" spans="1:14" ht="12.75" customHeight="1" x14ac:dyDescent="0.3">
      <c r="A125" s="23">
        <f t="shared" si="7"/>
        <v>115</v>
      </c>
      <c r="B125" s="24" t="s">
        <v>147</v>
      </c>
      <c r="C125" s="19"/>
      <c r="D125" s="21"/>
      <c r="E125" s="21">
        <v>0</v>
      </c>
      <c r="F125" s="21">
        <f>ROUND(('D. 1 (calc - amort actuals)'!K140),0)</f>
        <v>30311</v>
      </c>
      <c r="G125" s="21">
        <f>ROUND(('D. 1 (calc - amort actuals)'!M140),0)</f>
        <v>-202486</v>
      </c>
      <c r="H125" s="21">
        <f t="shared" si="6"/>
        <v>4501235</v>
      </c>
      <c r="J125" s="25"/>
      <c r="K125" s="25"/>
      <c r="L125" s="25">
        <f t="shared" si="9"/>
        <v>0</v>
      </c>
      <c r="N125" s="25">
        <f t="shared" si="8"/>
        <v>-202486</v>
      </c>
    </row>
    <row r="126" spans="1:14" ht="12.75" customHeight="1" x14ac:dyDescent="0.3">
      <c r="A126" s="23">
        <f t="shared" si="7"/>
        <v>116</v>
      </c>
      <c r="B126" s="24" t="s">
        <v>148</v>
      </c>
      <c r="C126" s="19"/>
      <c r="D126" s="21"/>
      <c r="E126" s="21">
        <v>0</v>
      </c>
      <c r="F126" s="21">
        <f>ROUND(('D. 1 (calc - amort actuals)'!K141),0)</f>
        <v>29144</v>
      </c>
      <c r="G126" s="21">
        <f>ROUND(('D. 1 (calc - amort actuals)'!M141),0)</f>
        <v>-202486</v>
      </c>
      <c r="H126" s="21">
        <f t="shared" si="6"/>
        <v>4327893</v>
      </c>
      <c r="J126" s="25"/>
      <c r="K126" s="25"/>
      <c r="L126" s="25">
        <f t="shared" si="9"/>
        <v>0</v>
      </c>
      <c r="N126" s="25">
        <f t="shared" si="8"/>
        <v>-202486</v>
      </c>
    </row>
    <row r="127" spans="1:14" ht="12.75" customHeight="1" x14ac:dyDescent="0.3">
      <c r="A127" s="23">
        <f t="shared" si="7"/>
        <v>117</v>
      </c>
      <c r="B127" s="24" t="s">
        <v>149</v>
      </c>
      <c r="C127" s="19"/>
      <c r="D127" s="21"/>
      <c r="E127" s="21">
        <v>0</v>
      </c>
      <c r="F127" s="21">
        <f>ROUND(('D. 1 (calc - amort actuals)'!K142),0)</f>
        <v>27968</v>
      </c>
      <c r="G127" s="21">
        <f>ROUND(('D. 1 (calc - amort actuals)'!M142),0)</f>
        <v>-202486</v>
      </c>
      <c r="H127" s="21">
        <f t="shared" si="6"/>
        <v>4153375</v>
      </c>
      <c r="J127" s="25"/>
      <c r="K127" s="25"/>
      <c r="L127" s="25">
        <f t="shared" si="9"/>
        <v>0</v>
      </c>
      <c r="N127" s="25">
        <f t="shared" si="8"/>
        <v>-202486</v>
      </c>
    </row>
    <row r="128" spans="1:14" ht="12.75" customHeight="1" x14ac:dyDescent="0.3">
      <c r="A128" s="23">
        <f t="shared" si="7"/>
        <v>118</v>
      </c>
      <c r="B128" s="24" t="s">
        <v>150</v>
      </c>
      <c r="C128" s="19"/>
      <c r="D128" s="21"/>
      <c r="E128" s="21">
        <v>0</v>
      </c>
      <c r="F128" s="21">
        <f>ROUND(('D. 1 (calc - amort actuals)'!K143),0)</f>
        <v>26785</v>
      </c>
      <c r="G128" s="21">
        <f>ROUND(('D. 1 (calc - amort actuals)'!M143),0)</f>
        <v>-202486</v>
      </c>
      <c r="H128" s="21">
        <f t="shared" si="6"/>
        <v>3977674</v>
      </c>
      <c r="J128" s="25"/>
      <c r="K128" s="25"/>
      <c r="L128" s="25">
        <f t="shared" si="9"/>
        <v>0</v>
      </c>
      <c r="N128" s="25">
        <f t="shared" si="8"/>
        <v>-202486</v>
      </c>
    </row>
    <row r="129" spans="1:14" ht="12.75" customHeight="1" x14ac:dyDescent="0.3">
      <c r="A129" s="23">
        <f t="shared" si="7"/>
        <v>119</v>
      </c>
      <c r="B129" s="24" t="s">
        <v>151</v>
      </c>
      <c r="C129" s="19"/>
      <c r="D129" s="21"/>
      <c r="E129" s="21">
        <v>0</v>
      </c>
      <c r="F129" s="21">
        <f>ROUND(('D. 1 (calc - amort actuals)'!K144),0)</f>
        <v>25594</v>
      </c>
      <c r="G129" s="21">
        <f>ROUND(('D. 1 (calc - amort actuals)'!M144),0)</f>
        <v>-202486</v>
      </c>
      <c r="H129" s="21">
        <f t="shared" si="6"/>
        <v>3800782</v>
      </c>
      <c r="J129" s="25"/>
      <c r="K129" s="25"/>
      <c r="L129" s="25">
        <f t="shared" si="9"/>
        <v>0</v>
      </c>
      <c r="N129" s="25">
        <f t="shared" si="8"/>
        <v>-202486</v>
      </c>
    </row>
    <row r="130" spans="1:14" ht="12.75" customHeight="1" x14ac:dyDescent="0.3">
      <c r="A130" s="23">
        <f t="shared" si="7"/>
        <v>120</v>
      </c>
      <c r="B130" s="24" t="s">
        <v>152</v>
      </c>
      <c r="C130" s="19"/>
      <c r="D130" s="21"/>
      <c r="E130" s="21">
        <v>0</v>
      </c>
      <c r="F130" s="21">
        <f>ROUND(('D. 1 (calc - amort actuals)'!K145),0)</f>
        <v>24395</v>
      </c>
      <c r="G130" s="21">
        <f>ROUND(('D. 1 (calc - amort actuals)'!M145),0)</f>
        <v>-202486</v>
      </c>
      <c r="H130" s="21">
        <f t="shared" si="6"/>
        <v>3622691</v>
      </c>
      <c r="J130" s="25"/>
      <c r="K130" s="25"/>
      <c r="L130" s="25">
        <f t="shared" si="9"/>
        <v>0</v>
      </c>
      <c r="N130" s="25">
        <f t="shared" si="8"/>
        <v>-202486</v>
      </c>
    </row>
    <row r="131" spans="1:14" ht="12.75" customHeight="1" x14ac:dyDescent="0.3">
      <c r="A131" s="23">
        <f t="shared" si="7"/>
        <v>121</v>
      </c>
      <c r="B131" s="24" t="s">
        <v>153</v>
      </c>
      <c r="C131" s="19"/>
      <c r="D131" s="21"/>
      <c r="E131" s="21">
        <v>0</v>
      </c>
      <c r="F131" s="21">
        <f>ROUND(('D. 1 (calc - amort actuals)'!K146),0)</f>
        <v>23188</v>
      </c>
      <c r="G131" s="21">
        <f>ROUND(('D. 1 (calc - amort actuals)'!M146),0)</f>
        <v>-202486</v>
      </c>
      <c r="H131" s="21">
        <f t="shared" si="6"/>
        <v>3443393</v>
      </c>
      <c r="J131" s="25"/>
      <c r="K131" s="25"/>
      <c r="L131" s="25">
        <f t="shared" si="9"/>
        <v>0</v>
      </c>
      <c r="N131" s="25">
        <f t="shared" si="8"/>
        <v>-202486</v>
      </c>
    </row>
    <row r="132" spans="1:14" ht="12.75" customHeight="1" x14ac:dyDescent="0.3">
      <c r="A132" s="23">
        <f t="shared" si="7"/>
        <v>122</v>
      </c>
      <c r="B132" s="24" t="s">
        <v>154</v>
      </c>
      <c r="C132" s="19"/>
      <c r="D132" s="21"/>
      <c r="E132" s="21">
        <v>0</v>
      </c>
      <c r="F132" s="21">
        <f>ROUND(('D. 1 (calc - amort actuals)'!K147),0)</f>
        <v>21972</v>
      </c>
      <c r="G132" s="21">
        <f>ROUND(('D. 1 (calc - amort actuals)'!M147),0)</f>
        <v>-202486</v>
      </c>
      <c r="H132" s="21">
        <f t="shared" si="6"/>
        <v>3262879</v>
      </c>
      <c r="J132" s="25"/>
      <c r="K132" s="25"/>
      <c r="L132" s="25">
        <f t="shared" si="9"/>
        <v>0</v>
      </c>
      <c r="N132" s="25">
        <f t="shared" si="8"/>
        <v>-202486</v>
      </c>
    </row>
    <row r="133" spans="1:14" ht="12.75" customHeight="1" x14ac:dyDescent="0.3">
      <c r="A133" s="23">
        <f t="shared" si="7"/>
        <v>123</v>
      </c>
      <c r="B133" s="24" t="s">
        <v>155</v>
      </c>
      <c r="C133" s="19"/>
      <c r="D133" s="21"/>
      <c r="E133" s="21">
        <v>0</v>
      </c>
      <c r="F133" s="21">
        <f>ROUND(('D. 1 (calc - amort actuals)'!K148),0)</f>
        <v>20748</v>
      </c>
      <c r="G133" s="21">
        <f>ROUND(('D. 1 (calc - amort actuals)'!M148),0)</f>
        <v>-202486</v>
      </c>
      <c r="H133" s="21">
        <f t="shared" si="6"/>
        <v>3081141</v>
      </c>
      <c r="J133" s="21"/>
      <c r="K133" s="21"/>
      <c r="L133" s="25">
        <f t="shared" si="9"/>
        <v>0</v>
      </c>
      <c r="N133" s="25">
        <f t="shared" si="8"/>
        <v>-202486</v>
      </c>
    </row>
    <row r="134" spans="1:14" ht="12.75" customHeight="1" x14ac:dyDescent="0.3">
      <c r="A134" s="23">
        <f t="shared" si="7"/>
        <v>124</v>
      </c>
      <c r="B134" s="24" t="s">
        <v>156</v>
      </c>
      <c r="C134" s="19"/>
      <c r="D134" s="21"/>
      <c r="E134" s="21">
        <v>0</v>
      </c>
      <c r="F134" s="21">
        <f>ROUND(('D. 1 (calc - amort actuals)'!K149),0)</f>
        <v>19516</v>
      </c>
      <c r="G134" s="21">
        <f>ROUND(('D. 1 (calc - amort actuals)'!M149),0)</f>
        <v>-202486</v>
      </c>
      <c r="H134" s="21">
        <f t="shared" si="6"/>
        <v>2898171</v>
      </c>
      <c r="J134" s="21"/>
      <c r="K134" s="21"/>
      <c r="L134" s="25">
        <f t="shared" si="9"/>
        <v>0</v>
      </c>
      <c r="N134" s="25">
        <f t="shared" si="8"/>
        <v>-202486</v>
      </c>
    </row>
    <row r="135" spans="1:14" ht="12.75" customHeight="1" x14ac:dyDescent="0.3">
      <c r="A135" s="23">
        <f t="shared" si="7"/>
        <v>125</v>
      </c>
      <c r="B135" s="24" t="s">
        <v>157</v>
      </c>
      <c r="C135" s="19"/>
      <c r="D135" s="21"/>
      <c r="E135" s="21">
        <v>0</v>
      </c>
      <c r="F135" s="21">
        <f>ROUND(('D. 1 (calc - amort actuals)'!K150),0)</f>
        <v>18276</v>
      </c>
      <c r="G135" s="21">
        <f>ROUND(('D. 1 (calc - amort actuals)'!M150),0)</f>
        <v>-202486</v>
      </c>
      <c r="H135" s="21">
        <f t="shared" si="6"/>
        <v>2713961</v>
      </c>
      <c r="J135" s="21"/>
      <c r="K135" s="21"/>
      <c r="L135" s="25">
        <f t="shared" si="9"/>
        <v>0</v>
      </c>
      <c r="N135" s="25">
        <f t="shared" si="8"/>
        <v>-202486</v>
      </c>
    </row>
    <row r="136" spans="1:14" ht="12.75" customHeight="1" x14ac:dyDescent="0.3">
      <c r="A136" s="23">
        <f t="shared" si="7"/>
        <v>126</v>
      </c>
      <c r="B136" s="24" t="s">
        <v>158</v>
      </c>
      <c r="C136" s="19"/>
      <c r="D136" s="21"/>
      <c r="E136" s="21">
        <v>0</v>
      </c>
      <c r="F136" s="21">
        <f>ROUND(('D. 1 (calc - amort actuals)'!K151),0)</f>
        <v>17027</v>
      </c>
      <c r="G136" s="21">
        <f>ROUND(('D. 1 (calc - amort actuals)'!M151),0)</f>
        <v>-202486</v>
      </c>
      <c r="H136" s="21">
        <f t="shared" si="6"/>
        <v>2528502</v>
      </c>
      <c r="J136" s="21"/>
      <c r="K136" s="21"/>
      <c r="L136" s="25">
        <f t="shared" si="9"/>
        <v>0</v>
      </c>
      <c r="N136" s="25">
        <f t="shared" si="8"/>
        <v>-202486</v>
      </c>
    </row>
    <row r="137" spans="1:14" ht="12.75" customHeight="1" x14ac:dyDescent="0.3">
      <c r="A137" s="23">
        <f t="shared" si="7"/>
        <v>127</v>
      </c>
      <c r="B137" s="24" t="s">
        <v>159</v>
      </c>
      <c r="C137" s="19"/>
      <c r="D137" s="21"/>
      <c r="E137" s="21">
        <v>0</v>
      </c>
      <c r="F137" s="21">
        <f>ROUND(('D. 1 (calc - amort actuals)'!K152),0)</f>
        <v>15769</v>
      </c>
      <c r="G137" s="21">
        <f>ROUND(('D. 1 (calc - amort actuals)'!M152),0)</f>
        <v>-202486</v>
      </c>
      <c r="H137" s="21">
        <f t="shared" si="6"/>
        <v>2341785</v>
      </c>
      <c r="J137" s="21"/>
      <c r="K137" s="21"/>
      <c r="L137" s="25">
        <f t="shared" si="9"/>
        <v>0</v>
      </c>
      <c r="N137" s="25">
        <f t="shared" si="8"/>
        <v>-202486</v>
      </c>
    </row>
    <row r="138" spans="1:14" ht="12.75" customHeight="1" x14ac:dyDescent="0.3">
      <c r="A138" s="23">
        <f t="shared" si="7"/>
        <v>128</v>
      </c>
      <c r="B138" s="24" t="s">
        <v>160</v>
      </c>
      <c r="C138" s="19"/>
      <c r="D138" s="21"/>
      <c r="E138" s="21">
        <v>0</v>
      </c>
      <c r="F138" s="21">
        <f>ROUND(('D. 1 (calc - amort actuals)'!K153),0)</f>
        <v>14504</v>
      </c>
      <c r="G138" s="21">
        <f>ROUND(('D. 1 (calc - amort actuals)'!M153),0)</f>
        <v>-202486</v>
      </c>
      <c r="H138" s="21">
        <f t="shared" si="6"/>
        <v>2153803</v>
      </c>
      <c r="J138" s="21"/>
      <c r="K138" s="21"/>
      <c r="L138" s="25">
        <f t="shared" si="9"/>
        <v>0</v>
      </c>
      <c r="N138" s="25">
        <f t="shared" si="8"/>
        <v>-202486</v>
      </c>
    </row>
    <row r="139" spans="1:14" ht="12.75" customHeight="1" x14ac:dyDescent="0.3">
      <c r="A139" s="23">
        <f t="shared" si="7"/>
        <v>129</v>
      </c>
      <c r="B139" s="24" t="s">
        <v>161</v>
      </c>
      <c r="C139" s="19"/>
      <c r="D139" s="21"/>
      <c r="E139" s="21">
        <v>0</v>
      </c>
      <c r="F139" s="21">
        <f>ROUND(('D. 1 (calc - amort actuals)'!K154),0)</f>
        <v>13229</v>
      </c>
      <c r="G139" s="21">
        <f>ROUND(('D. 1 (calc - amort actuals)'!M154),0)</f>
        <v>-202486</v>
      </c>
      <c r="H139" s="21">
        <f t="shared" si="6"/>
        <v>1964546</v>
      </c>
      <c r="J139" s="21"/>
      <c r="K139" s="21"/>
      <c r="L139" s="25">
        <f t="shared" si="9"/>
        <v>0</v>
      </c>
      <c r="N139" s="25">
        <f t="shared" si="8"/>
        <v>-202486</v>
      </c>
    </row>
    <row r="140" spans="1:14" ht="12.75" customHeight="1" x14ac:dyDescent="0.3">
      <c r="A140" s="23">
        <f t="shared" si="7"/>
        <v>130</v>
      </c>
      <c r="B140" s="24" t="s">
        <v>162</v>
      </c>
      <c r="C140" s="19"/>
      <c r="D140" s="21"/>
      <c r="E140" s="21">
        <v>0</v>
      </c>
      <c r="F140" s="21">
        <f>ROUND(('D. 1 (calc - amort actuals)'!K155),0)</f>
        <v>11946</v>
      </c>
      <c r="G140" s="21">
        <f>ROUND(('D. 1 (calc - amort actuals)'!M155),0)</f>
        <v>-202486</v>
      </c>
      <c r="H140" s="21">
        <f t="shared" si="6"/>
        <v>1774006</v>
      </c>
      <c r="J140" s="21"/>
      <c r="K140" s="21"/>
      <c r="L140" s="25">
        <f t="shared" si="9"/>
        <v>0</v>
      </c>
      <c r="N140" s="25">
        <f t="shared" si="8"/>
        <v>-202486</v>
      </c>
    </row>
    <row r="141" spans="1:14" ht="12.75" customHeight="1" x14ac:dyDescent="0.3">
      <c r="A141" s="23">
        <f t="shared" si="7"/>
        <v>131</v>
      </c>
      <c r="B141" s="24" t="s">
        <v>163</v>
      </c>
      <c r="C141" s="19"/>
      <c r="D141" s="21"/>
      <c r="E141" s="21">
        <v>0</v>
      </c>
      <c r="F141" s="21">
        <f>ROUND(('D. 1 (calc - amort actuals)'!K156),0)</f>
        <v>10654</v>
      </c>
      <c r="G141" s="21">
        <f>ROUND(('D. 1 (calc - amort actuals)'!M156),0)</f>
        <v>-202486</v>
      </c>
      <c r="H141" s="21">
        <f t="shared" ref="H141:H149" si="10">ROUND((SUM(D141:G141)+H140),0)</f>
        <v>1582174</v>
      </c>
      <c r="J141" s="21"/>
      <c r="K141" s="21"/>
      <c r="L141" s="25">
        <f t="shared" si="9"/>
        <v>0</v>
      </c>
      <c r="N141" s="25">
        <f t="shared" si="8"/>
        <v>-202486</v>
      </c>
    </row>
    <row r="142" spans="1:14" ht="12.75" customHeight="1" x14ac:dyDescent="0.3">
      <c r="A142" s="23">
        <f t="shared" si="7"/>
        <v>132</v>
      </c>
      <c r="B142" s="24" t="s">
        <v>164</v>
      </c>
      <c r="C142" s="19"/>
      <c r="D142" s="21"/>
      <c r="E142" s="21">
        <v>0</v>
      </c>
      <c r="F142" s="21">
        <f>ROUND(('D. 1 (calc - amort actuals)'!K157),0)</f>
        <v>9354</v>
      </c>
      <c r="G142" s="21">
        <f>ROUND(('D. 1 (calc - amort actuals)'!M157),0)</f>
        <v>-202486</v>
      </c>
      <c r="H142" s="21">
        <f t="shared" si="10"/>
        <v>1389042</v>
      </c>
      <c r="J142" s="21"/>
      <c r="K142" s="21"/>
      <c r="L142" s="25">
        <f t="shared" si="9"/>
        <v>0</v>
      </c>
      <c r="N142" s="25">
        <f t="shared" si="8"/>
        <v>-202486</v>
      </c>
    </row>
    <row r="143" spans="1:14" ht="12.75" customHeight="1" x14ac:dyDescent="0.3">
      <c r="A143" s="23">
        <f t="shared" ref="A143:A149" si="11">A142+1</f>
        <v>133</v>
      </c>
      <c r="B143" s="24" t="s">
        <v>165</v>
      </c>
      <c r="C143" s="19"/>
      <c r="D143" s="21"/>
      <c r="E143" s="21">
        <v>0</v>
      </c>
      <c r="F143" s="21">
        <f>ROUND(('D. 1 (calc - amort actuals)'!K158),0)</f>
        <v>8045</v>
      </c>
      <c r="G143" s="21">
        <f>ROUND(('D. 1 (calc - amort actuals)'!M158),0)</f>
        <v>-202486</v>
      </c>
      <c r="H143" s="21">
        <f t="shared" si="10"/>
        <v>1194601</v>
      </c>
      <c r="J143" s="21"/>
      <c r="K143" s="21"/>
      <c r="L143" s="25">
        <f t="shared" si="9"/>
        <v>0</v>
      </c>
      <c r="N143" s="25">
        <f t="shared" si="8"/>
        <v>-202486</v>
      </c>
    </row>
    <row r="144" spans="1:14" ht="12.75" customHeight="1" x14ac:dyDescent="0.3">
      <c r="A144" s="23">
        <f t="shared" si="11"/>
        <v>134</v>
      </c>
      <c r="B144" s="24" t="s">
        <v>166</v>
      </c>
      <c r="C144" s="19"/>
      <c r="D144" s="21"/>
      <c r="E144" s="21">
        <v>0</v>
      </c>
      <c r="F144" s="21">
        <f>ROUND(('D. 1 (calc - amort actuals)'!K159),0)</f>
        <v>6726</v>
      </c>
      <c r="G144" s="21">
        <f>ROUND(('D. 1 (calc - amort actuals)'!M159),0)</f>
        <v>-202486</v>
      </c>
      <c r="H144" s="21">
        <f t="shared" si="10"/>
        <v>998841</v>
      </c>
      <c r="J144" s="21"/>
      <c r="K144" s="21"/>
      <c r="L144" s="25">
        <f t="shared" si="9"/>
        <v>0</v>
      </c>
      <c r="N144" s="25">
        <f t="shared" si="8"/>
        <v>-202486</v>
      </c>
    </row>
    <row r="145" spans="1:14" ht="12.75" customHeight="1" x14ac:dyDescent="0.3">
      <c r="A145" s="23">
        <f t="shared" si="11"/>
        <v>135</v>
      </c>
      <c r="B145" s="24" t="s">
        <v>167</v>
      </c>
      <c r="C145" s="19"/>
      <c r="D145" s="21"/>
      <c r="E145" s="21">
        <v>0</v>
      </c>
      <c r="F145" s="21">
        <f>ROUND(('D. 1 (calc - amort actuals)'!K160),0)</f>
        <v>5399</v>
      </c>
      <c r="G145" s="21">
        <f>ROUND(('D. 1 (calc - amort actuals)'!M160),0)</f>
        <v>-202486</v>
      </c>
      <c r="H145" s="21">
        <f t="shared" si="10"/>
        <v>801754</v>
      </c>
      <c r="J145" s="21"/>
      <c r="K145" s="21"/>
      <c r="L145" s="25">
        <f t="shared" si="9"/>
        <v>0</v>
      </c>
      <c r="N145" s="25">
        <f t="shared" si="8"/>
        <v>-202486</v>
      </c>
    </row>
    <row r="146" spans="1:14" ht="12.75" customHeight="1" x14ac:dyDescent="0.3">
      <c r="A146" s="23">
        <f t="shared" si="11"/>
        <v>136</v>
      </c>
      <c r="B146" s="24" t="s">
        <v>168</v>
      </c>
      <c r="C146" s="19"/>
      <c r="D146" s="21"/>
      <c r="E146" s="21">
        <v>0</v>
      </c>
      <c r="F146" s="21">
        <f>ROUND(('D. 1 (calc - amort actuals)'!K161),0)</f>
        <v>4063</v>
      </c>
      <c r="G146" s="21">
        <f>ROUND(('D. 1 (calc - amort actuals)'!M161),0)</f>
        <v>-202486</v>
      </c>
      <c r="H146" s="21">
        <f t="shared" si="10"/>
        <v>603331</v>
      </c>
      <c r="J146" s="21"/>
      <c r="K146" s="21"/>
      <c r="L146" s="25">
        <f t="shared" si="9"/>
        <v>0</v>
      </c>
      <c r="N146" s="25">
        <f t="shared" si="8"/>
        <v>-202486</v>
      </c>
    </row>
    <row r="147" spans="1:14" ht="12.75" customHeight="1" x14ac:dyDescent="0.3">
      <c r="A147" s="23">
        <f t="shared" si="11"/>
        <v>137</v>
      </c>
      <c r="B147" s="24" t="s">
        <v>169</v>
      </c>
      <c r="C147" s="19"/>
      <c r="D147" s="21"/>
      <c r="E147" s="21">
        <v>0</v>
      </c>
      <c r="F147" s="21">
        <f>ROUND(('D. 1 (calc - amort actuals)'!K162),0)</f>
        <v>2718</v>
      </c>
      <c r="G147" s="21">
        <f>ROUND(('D. 1 (calc - amort actuals)'!M162),0)</f>
        <v>-202486</v>
      </c>
      <c r="H147" s="21">
        <f t="shared" si="10"/>
        <v>403563</v>
      </c>
      <c r="J147" s="21"/>
      <c r="K147" s="21"/>
      <c r="L147" s="25">
        <f t="shared" si="9"/>
        <v>0</v>
      </c>
      <c r="N147" s="25">
        <f t="shared" si="8"/>
        <v>-202486</v>
      </c>
    </row>
    <row r="148" spans="1:14" ht="12.75" customHeight="1" x14ac:dyDescent="0.3">
      <c r="A148" s="23">
        <f t="shared" si="11"/>
        <v>138</v>
      </c>
      <c r="B148" s="24" t="s">
        <v>170</v>
      </c>
      <c r="C148" s="19"/>
      <c r="D148" s="21"/>
      <c r="E148" s="21">
        <v>0</v>
      </c>
      <c r="F148" s="21">
        <f>ROUND(('D. 1 (calc - amort actuals)'!K163),0)+45</f>
        <v>1409</v>
      </c>
      <c r="G148" s="21">
        <f>ROUND(('D. 1 (calc - amort actuals)'!M163),0)</f>
        <v>-202486</v>
      </c>
      <c r="H148" s="21">
        <f>ROUND((SUM(D148:G148)+H147),0)</f>
        <v>202486</v>
      </c>
      <c r="J148" s="21"/>
      <c r="K148" s="21"/>
      <c r="L148" s="25">
        <f t="shared" si="9"/>
        <v>0</v>
      </c>
      <c r="N148" s="25">
        <f t="shared" si="8"/>
        <v>-202486</v>
      </c>
    </row>
    <row r="149" spans="1:14" ht="12.75" customHeight="1" x14ac:dyDescent="0.3">
      <c r="A149" s="26">
        <f t="shared" si="11"/>
        <v>139</v>
      </c>
      <c r="B149" s="27" t="s">
        <v>171</v>
      </c>
      <c r="C149" s="28"/>
      <c r="D149" s="29"/>
      <c r="E149" s="21">
        <v>0</v>
      </c>
      <c r="F149" s="21">
        <f>ROUND(('D. 1 (calc - amort actuals)'!K164),0)</f>
        <v>0</v>
      </c>
      <c r="G149" s="21">
        <f>ROUND(('D. 1 (calc - amort actuals)'!M164),0)</f>
        <v>-202486</v>
      </c>
      <c r="H149" s="29">
        <f t="shared" si="10"/>
        <v>0</v>
      </c>
      <c r="J149" s="29"/>
      <c r="K149" s="29"/>
      <c r="L149" s="30">
        <f t="shared" si="9"/>
        <v>0</v>
      </c>
      <c r="N149" s="25">
        <f>G149+K149</f>
        <v>-202486</v>
      </c>
    </row>
    <row r="150" spans="1:14" ht="12.75" customHeight="1" x14ac:dyDescent="0.3">
      <c r="D150" s="31">
        <f>SUM(D11:D149)</f>
        <v>16256244</v>
      </c>
      <c r="E150" s="32">
        <f>SUM(E11:E149)</f>
        <v>-1097279</v>
      </c>
      <c r="F150" s="32">
        <f>SUM(F11:F149)</f>
        <v>9139355</v>
      </c>
      <c r="G150" s="33">
        <f>SUM(G11:G149)</f>
        <v>-24298320</v>
      </c>
      <c r="H150" s="34"/>
      <c r="J150" s="35">
        <f>SUM(J11:J149)</f>
        <v>9083133</v>
      </c>
      <c r="K150" s="35">
        <f>SUM(K11:K149)</f>
        <v>-9083133</v>
      </c>
      <c r="L150" s="34"/>
      <c r="N150" s="35">
        <f>SUM(N11:N149)</f>
        <v>-33381453</v>
      </c>
    </row>
    <row r="151" spans="1:14" ht="12.75" customHeight="1" x14ac:dyDescent="0.3">
      <c r="G151" s="34"/>
      <c r="J151" s="34"/>
      <c r="K151" s="34"/>
      <c r="L151" s="34"/>
      <c r="N151" s="34"/>
    </row>
    <row r="152" spans="1:14" ht="12.75" customHeight="1" x14ac:dyDescent="0.3">
      <c r="B152" s="36" t="s">
        <v>172</v>
      </c>
      <c r="E152" s="37">
        <v>10</v>
      </c>
    </row>
    <row r="153" spans="1:14" ht="12.75" customHeight="1" x14ac:dyDescent="0.3">
      <c r="B153" s="36" t="s">
        <v>173</v>
      </c>
      <c r="E153" s="37">
        <f>ROUND(('D. 1 (calc - amort actuals)'!U28),0)</f>
        <v>202486</v>
      </c>
    </row>
    <row r="154" spans="1:14" ht="12.75" customHeight="1" x14ac:dyDescent="0.3">
      <c r="B154" s="36" t="s">
        <v>174</v>
      </c>
      <c r="E154" s="37">
        <f>ROUND(E153*12,0)</f>
        <v>2429832</v>
      </c>
    </row>
  </sheetData>
  <mergeCells count="2">
    <mergeCell ref="B9:C9"/>
    <mergeCell ref="B10:C10"/>
  </mergeCells>
  <pageMargins left="0.7" right="0.7" top="0.75" bottom="0.75" header="0.3" footer="0.3"/>
  <pageSetup scale="62" fitToHeight="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3197A-92B3-43E1-AEA4-99FC8BC54509}">
  <sheetPr>
    <tabColor theme="7" tint="0.79998168889431442"/>
    <pageSetUpPr fitToPage="1"/>
  </sheetPr>
  <dimension ref="A1:Y170"/>
  <sheetViews>
    <sheetView zoomScaleNormal="100" workbookViewId="0">
      <pane ySplit="6" topLeftCell="A160" activePane="bottomLeft" state="frozen"/>
      <selection activeCell="B7" sqref="B7"/>
      <selection pane="bottomLeft" activeCell="A26" sqref="A26"/>
    </sheetView>
  </sheetViews>
  <sheetFormatPr defaultRowHeight="14.4" x14ac:dyDescent="0.3"/>
  <cols>
    <col min="1" max="1" width="11" customWidth="1"/>
    <col min="2" max="2" width="2.77734375" customWidth="1"/>
    <col min="3" max="3" width="20" customWidth="1"/>
    <col min="4" max="4" width="2.77734375" customWidth="1"/>
    <col min="5" max="5" width="15.77734375" customWidth="1"/>
    <col min="6" max="6" width="2.77734375" customWidth="1"/>
    <col min="7" max="7" width="16.77734375" customWidth="1"/>
    <col min="8" max="8" width="2.77734375" customWidth="1"/>
    <col min="9" max="9" width="16.77734375" customWidth="1"/>
    <col min="10" max="10" width="2.77734375" customWidth="1"/>
    <col min="11" max="11" width="16.77734375" customWidth="1"/>
    <col min="12" max="12" width="2.77734375" customWidth="1"/>
    <col min="13" max="13" width="15.77734375" style="34" customWidth="1"/>
    <col min="14" max="14" width="2.77734375" customWidth="1"/>
    <col min="15" max="15" width="15.77734375" customWidth="1"/>
    <col min="17" max="17" width="12.21875" customWidth="1"/>
    <col min="18" max="18" width="16.77734375" customWidth="1"/>
    <col min="19" max="19" width="13.21875" bestFit="1" customWidth="1"/>
    <col min="20" max="20" width="12.77734375" bestFit="1" customWidth="1"/>
    <col min="21" max="21" width="13.21875" bestFit="1" customWidth="1"/>
    <col min="23" max="23" width="11.21875" bestFit="1" customWidth="1"/>
    <col min="25" max="25" width="11.44140625" bestFit="1" customWidth="1"/>
  </cols>
  <sheetData>
    <row r="1" spans="1:25" ht="18" x14ac:dyDescent="0.35">
      <c r="A1" s="38" t="s">
        <v>175</v>
      </c>
      <c r="K1" s="39"/>
      <c r="Q1" s="40"/>
    </row>
    <row r="2" spans="1:25" x14ac:dyDescent="0.3">
      <c r="A2" s="41" t="s">
        <v>176</v>
      </c>
    </row>
    <row r="3" spans="1:25" x14ac:dyDescent="0.3">
      <c r="A3" s="41"/>
      <c r="C3" s="42"/>
      <c r="D3" s="42"/>
      <c r="E3" s="42"/>
      <c r="F3" s="42"/>
      <c r="G3" s="42"/>
      <c r="H3" s="42"/>
      <c r="I3" s="42"/>
      <c r="J3" s="42"/>
      <c r="K3" s="42"/>
      <c r="L3" s="42"/>
      <c r="M3" s="42"/>
      <c r="N3" s="42"/>
      <c r="O3" s="43"/>
    </row>
    <row r="4" spans="1:25" ht="15" thickBot="1" x14ac:dyDescent="0.35">
      <c r="A4" s="44"/>
      <c r="B4" s="44"/>
      <c r="C4" s="44"/>
      <c r="D4" s="44"/>
      <c r="E4" s="44"/>
      <c r="F4" s="44"/>
      <c r="G4" s="45"/>
      <c r="H4" s="45"/>
      <c r="I4" s="45"/>
      <c r="J4" s="45"/>
      <c r="K4" s="45"/>
      <c r="L4" s="45"/>
      <c r="M4" s="46"/>
      <c r="N4" s="44"/>
      <c r="O4" s="44"/>
    </row>
    <row r="5" spans="1:25" x14ac:dyDescent="0.3">
      <c r="G5" s="47" t="s">
        <v>177</v>
      </c>
      <c r="H5" s="47"/>
      <c r="I5" s="47" t="s">
        <v>178</v>
      </c>
      <c r="J5" s="47"/>
      <c r="K5" s="47" t="s">
        <v>179</v>
      </c>
      <c r="M5" s="48" t="s">
        <v>180</v>
      </c>
    </row>
    <row r="6" spans="1:25" ht="43.2" x14ac:dyDescent="0.3">
      <c r="A6" s="49" t="s">
        <v>11</v>
      </c>
      <c r="C6" s="49" t="s">
        <v>181</v>
      </c>
      <c r="E6" s="49" t="s">
        <v>13</v>
      </c>
      <c r="G6" s="50" t="s">
        <v>182</v>
      </c>
      <c r="H6" s="51"/>
      <c r="I6" s="50" t="s">
        <v>183</v>
      </c>
      <c r="J6" s="51"/>
      <c r="K6" s="50" t="s">
        <v>184</v>
      </c>
      <c r="L6" s="51"/>
      <c r="M6" s="52" t="s">
        <v>185</v>
      </c>
      <c r="O6" s="49" t="s">
        <v>186</v>
      </c>
    </row>
    <row r="8" spans="1:25" x14ac:dyDescent="0.3">
      <c r="A8" s="53">
        <v>42125</v>
      </c>
      <c r="C8" s="54">
        <v>9740</v>
      </c>
      <c r="D8" s="54"/>
      <c r="E8" s="54">
        <v>0</v>
      </c>
      <c r="F8" s="54"/>
      <c r="G8" s="54">
        <f>'I. Return Calculation - 2015'!M37</f>
        <v>7.5017480000000001</v>
      </c>
      <c r="H8" s="54"/>
      <c r="I8" s="54">
        <f>'I. Return Calculation - 2015'!O37</f>
        <v>16.456704000000002</v>
      </c>
      <c r="J8" s="54"/>
      <c r="K8" s="54">
        <f>G8+I8</f>
        <v>23.958452000000001</v>
      </c>
      <c r="L8" s="54"/>
      <c r="M8" s="54">
        <v>0</v>
      </c>
      <c r="N8" s="54"/>
      <c r="O8" s="54">
        <f>C8+M8+E8+K8</f>
        <v>9763.9584520000008</v>
      </c>
    </row>
    <row r="9" spans="1:25" x14ac:dyDescent="0.3">
      <c r="A9" s="53">
        <v>42156</v>
      </c>
      <c r="C9" s="54">
        <v>670221</v>
      </c>
      <c r="D9" s="54"/>
      <c r="E9" s="54">
        <v>-812018.38</v>
      </c>
      <c r="F9" s="54"/>
      <c r="G9" s="54">
        <f>'I. Return Calculation - 2015'!M38</f>
        <v>-101.69214127626957</v>
      </c>
      <c r="H9" s="54"/>
      <c r="I9" s="54">
        <f>'I. Return Calculation - 2015'!O38</f>
        <v>-223.08366904750073</v>
      </c>
      <c r="J9" s="54"/>
      <c r="K9" s="54">
        <f t="shared" ref="K9:K42" si="0">G9+I9</f>
        <v>-324.77581032377032</v>
      </c>
      <c r="L9" s="54"/>
      <c r="M9" s="54">
        <v>0</v>
      </c>
      <c r="N9" s="54"/>
      <c r="O9" s="54">
        <f t="shared" ref="O9:O72" si="1">O8+C9+M9+E9+K9</f>
        <v>-132358.19735832373</v>
      </c>
      <c r="Q9" s="40" t="s">
        <v>187</v>
      </c>
      <c r="T9" s="38"/>
    </row>
    <row r="10" spans="1:25" x14ac:dyDescent="0.3">
      <c r="A10" s="53">
        <v>42186</v>
      </c>
      <c r="C10" s="54">
        <v>275373</v>
      </c>
      <c r="D10" s="54"/>
      <c r="E10" s="54">
        <v>0</v>
      </c>
      <c r="F10" s="54"/>
      <c r="G10" s="54">
        <f>'I. Return Calculation - 2015'!M39</f>
        <v>110.15000099461906</v>
      </c>
      <c r="H10" s="54"/>
      <c r="I10" s="54">
        <f>'I. Return Calculation - 2015'!O39</f>
        <v>241.63781054337625</v>
      </c>
      <c r="J10" s="54"/>
      <c r="K10" s="54">
        <f t="shared" si="0"/>
        <v>351.78781153799531</v>
      </c>
      <c r="L10" s="54"/>
      <c r="M10" s="54">
        <v>0</v>
      </c>
      <c r="N10" s="54"/>
      <c r="O10" s="54">
        <f t="shared" si="1"/>
        <v>143366.59045321427</v>
      </c>
      <c r="R10" s="55" t="s">
        <v>188</v>
      </c>
      <c r="S10" s="55" t="s">
        <v>189</v>
      </c>
      <c r="T10" s="55" t="s">
        <v>190</v>
      </c>
    </row>
    <row r="11" spans="1:25" x14ac:dyDescent="0.3">
      <c r="A11" s="53">
        <v>42217</v>
      </c>
      <c r="C11" s="54">
        <v>378643</v>
      </c>
      <c r="D11" s="54"/>
      <c r="E11" s="54">
        <v>0</v>
      </c>
      <c r="F11" s="54"/>
      <c r="G11" s="54">
        <f>'I. Return Calculation - 2015'!M40</f>
        <v>402.05178656706562</v>
      </c>
      <c r="H11" s="54"/>
      <c r="I11" s="54">
        <f>'I. Return Calculation - 2015'!O40</f>
        <v>881.98740402975079</v>
      </c>
      <c r="J11" s="54"/>
      <c r="K11" s="54">
        <f t="shared" si="0"/>
        <v>1284.0391905968163</v>
      </c>
      <c r="L11" s="54"/>
      <c r="M11" s="54">
        <v>0</v>
      </c>
      <c r="N11" s="54"/>
      <c r="O11" s="54">
        <f t="shared" si="1"/>
        <v>523293.62964381109</v>
      </c>
      <c r="Q11" t="s">
        <v>191</v>
      </c>
      <c r="R11">
        <f>'E. WACC'!E11</f>
        <v>1.6375000000000001E-3</v>
      </c>
      <c r="S11">
        <f>'E. WACC'!G11</f>
        <v>5.1419999999999999E-3</v>
      </c>
      <c r="T11" s="56">
        <f>R11+S11</f>
        <v>6.7794999999999999E-3</v>
      </c>
    </row>
    <row r="12" spans="1:25" x14ac:dyDescent="0.3">
      <c r="A12" s="53">
        <v>42248</v>
      </c>
      <c r="C12" s="54">
        <v>835446</v>
      </c>
      <c r="D12" s="54"/>
      <c r="E12" s="54">
        <v>-27067.279999999999</v>
      </c>
      <c r="F12" s="54"/>
      <c r="G12" s="54">
        <f>'I. Return Calculation - 2015'!M41</f>
        <v>1025.6540436956632</v>
      </c>
      <c r="H12" s="54"/>
      <c r="I12" s="54">
        <f>'I. Return Calculation - 2015'!O41</f>
        <v>2249.9936019581833</v>
      </c>
      <c r="J12" s="54"/>
      <c r="K12" s="54">
        <f t="shared" si="0"/>
        <v>3275.6476456538467</v>
      </c>
      <c r="L12" s="54"/>
      <c r="M12" s="54">
        <v>0</v>
      </c>
      <c r="N12" s="54"/>
      <c r="O12" s="54">
        <f t="shared" si="1"/>
        <v>1334947.997289465</v>
      </c>
    </row>
    <row r="13" spans="1:25" x14ac:dyDescent="0.3">
      <c r="A13" s="53">
        <v>42278</v>
      </c>
      <c r="C13" s="54">
        <v>388994</v>
      </c>
      <c r="D13" s="54"/>
      <c r="E13" s="54">
        <v>0</v>
      </c>
      <c r="F13" s="54"/>
      <c r="G13" s="54">
        <f>'I. Return Calculation - 2015'!M42</f>
        <v>1327.7801263123458</v>
      </c>
      <c r="H13" s="54"/>
      <c r="I13" s="54">
        <f>'I. Return Calculation - 2015'!O42</f>
        <v>2912.7723986202805</v>
      </c>
      <c r="J13" s="54"/>
      <c r="K13" s="54">
        <f t="shared" si="0"/>
        <v>4240.5525249326265</v>
      </c>
      <c r="L13" s="54"/>
      <c r="M13" s="54">
        <v>0</v>
      </c>
      <c r="N13" s="54"/>
      <c r="O13" s="54">
        <f t="shared" si="1"/>
        <v>1728182.5498143977</v>
      </c>
      <c r="Q13" s="40"/>
      <c r="R13" s="57"/>
      <c r="S13" s="56"/>
      <c r="T13" s="56"/>
      <c r="W13" s="47"/>
      <c r="X13" s="47"/>
      <c r="Y13" s="47"/>
    </row>
    <row r="14" spans="1:25" x14ac:dyDescent="0.3">
      <c r="A14" s="53">
        <v>42309</v>
      </c>
      <c r="C14" s="54">
        <v>366466</v>
      </c>
      <c r="D14" s="54"/>
      <c r="E14" s="54">
        <v>0</v>
      </c>
      <c r="F14" s="54"/>
      <c r="G14" s="54">
        <f>'I. Return Calculation - 2015'!M43</f>
        <v>1613.2983130670491</v>
      </c>
      <c r="H14" s="54"/>
      <c r="I14" s="54">
        <f>'I. Return Calculation - 2015'!O43</f>
        <v>3539.1181897664064</v>
      </c>
      <c r="J14" s="54"/>
      <c r="K14" s="54">
        <f t="shared" si="0"/>
        <v>5152.4165028334555</v>
      </c>
      <c r="L14" s="54"/>
      <c r="M14" s="54">
        <v>0</v>
      </c>
      <c r="N14" s="54"/>
      <c r="O14" s="54">
        <f t="shared" si="1"/>
        <v>2099800.9663172313</v>
      </c>
      <c r="R14" s="58"/>
      <c r="S14" s="58"/>
      <c r="T14" s="58"/>
      <c r="U14" s="59"/>
      <c r="V14" s="60"/>
      <c r="W14" s="61"/>
      <c r="X14" s="60"/>
      <c r="Y14" s="61"/>
    </row>
    <row r="15" spans="1:25" x14ac:dyDescent="0.3">
      <c r="A15" s="53">
        <v>42339</v>
      </c>
      <c r="C15" s="54">
        <v>933200</v>
      </c>
      <c r="D15" s="54"/>
      <c r="E15" s="54">
        <v>-17326.099999999999</v>
      </c>
      <c r="F15" s="54"/>
      <c r="G15" s="54">
        <f>'I. Return Calculation - 2015'!M44</f>
        <v>2300.0552205401523</v>
      </c>
      <c r="H15" s="54"/>
      <c r="I15" s="54">
        <f>'I. Return Calculation - 2015'!O44</f>
        <v>4074.4783118812111</v>
      </c>
      <c r="J15" s="54"/>
      <c r="K15" s="54">
        <f t="shared" si="0"/>
        <v>6374.5335324213629</v>
      </c>
      <c r="L15" s="54"/>
      <c r="M15" s="54">
        <v>0</v>
      </c>
      <c r="N15" s="54"/>
      <c r="O15" s="54">
        <f t="shared" si="1"/>
        <v>3022049.3998496528</v>
      </c>
      <c r="Q15" s="62"/>
      <c r="R15" s="56"/>
      <c r="S15" s="56"/>
      <c r="T15" s="63"/>
      <c r="U15" s="59"/>
      <c r="V15" s="60"/>
      <c r="W15" s="61"/>
      <c r="X15" s="60"/>
      <c r="Y15" s="61"/>
    </row>
    <row r="16" spans="1:25" x14ac:dyDescent="0.3">
      <c r="A16" s="53">
        <v>42370</v>
      </c>
      <c r="C16" s="54">
        <v>606189</v>
      </c>
      <c r="D16" s="54"/>
      <c r="E16" s="54">
        <v>0</v>
      </c>
      <c r="F16" s="54"/>
      <c r="G16" s="54">
        <f>'H. Return Calculation - 2016'!M27</f>
        <v>1811.9422568849166</v>
      </c>
      <c r="H16" s="54"/>
      <c r="I16" s="54">
        <f>'H. Return Calculation - 2016'!O27</f>
        <v>0</v>
      </c>
      <c r="J16" s="54"/>
      <c r="K16" s="54">
        <f t="shared" si="0"/>
        <v>1811.9422568849166</v>
      </c>
      <c r="L16" s="54"/>
      <c r="M16" s="54">
        <v>0</v>
      </c>
      <c r="N16" s="54"/>
      <c r="O16" s="54">
        <f t="shared" si="1"/>
        <v>3630050.3421065379</v>
      </c>
      <c r="Q16" s="64"/>
      <c r="T16" s="56"/>
      <c r="U16" s="59"/>
      <c r="V16" s="60"/>
      <c r="W16" s="61"/>
      <c r="X16" s="60"/>
      <c r="Y16" s="61"/>
    </row>
    <row r="17" spans="1:21" x14ac:dyDescent="0.3">
      <c r="A17" s="53">
        <v>42401</v>
      </c>
      <c r="C17" s="54">
        <v>442002</v>
      </c>
      <c r="D17" s="54"/>
      <c r="E17" s="54">
        <v>0</v>
      </c>
      <c r="F17" s="54"/>
      <c r="G17" s="54">
        <f>'H. Return Calculation - 2016'!M28</f>
        <v>6336.1134443177734</v>
      </c>
      <c r="H17" s="54"/>
      <c r="I17" s="54">
        <f>'H. Return Calculation - 2016'!O28</f>
        <v>13244.350242701516</v>
      </c>
      <c r="J17" s="54"/>
      <c r="K17" s="54">
        <f t="shared" si="0"/>
        <v>19580.463687019288</v>
      </c>
      <c r="L17" s="54"/>
      <c r="M17" s="54">
        <v>0</v>
      </c>
      <c r="N17" s="54"/>
      <c r="O17" s="54">
        <f t="shared" si="1"/>
        <v>4091632.8057935573</v>
      </c>
      <c r="Q17" s="62"/>
      <c r="T17" s="56"/>
    </row>
    <row r="18" spans="1:21" x14ac:dyDescent="0.3">
      <c r="A18" s="53">
        <v>42430</v>
      </c>
      <c r="C18" s="54">
        <v>439342</v>
      </c>
      <c r="D18" s="54"/>
      <c r="E18" s="54">
        <v>-26762.87</v>
      </c>
      <c r="F18" s="54"/>
      <c r="G18" s="54">
        <f>'H. Return Calculation - 2016'!M29</f>
        <v>7884.1725724130429</v>
      </c>
      <c r="H18" s="54"/>
      <c r="I18" s="54">
        <f>'H. Return Calculation - 2016'!O29</f>
        <v>17248.879608121428</v>
      </c>
      <c r="J18" s="54"/>
      <c r="K18" s="54">
        <f t="shared" si="0"/>
        <v>25133.052180534469</v>
      </c>
      <c r="L18" s="54"/>
      <c r="M18" s="54">
        <v>0</v>
      </c>
      <c r="N18" s="54"/>
      <c r="O18" s="54">
        <f t="shared" si="1"/>
        <v>4529344.9879740914</v>
      </c>
      <c r="Q18" s="62"/>
      <c r="T18" s="56"/>
    </row>
    <row r="19" spans="1:21" x14ac:dyDescent="0.3">
      <c r="A19" s="53">
        <v>42461</v>
      </c>
      <c r="C19" s="54">
        <v>574465</v>
      </c>
      <c r="D19" s="54"/>
      <c r="E19" s="54">
        <v>0</v>
      </c>
      <c r="F19" s="54"/>
      <c r="G19" s="54">
        <f>'H. Return Calculation - 2016'!M30</f>
        <v>7925.1961493261706</v>
      </c>
      <c r="H19" s="54"/>
      <c r="I19" s="54">
        <f>'H. Return Calculation - 2016'!O30</f>
        <v>20925.620950693781</v>
      </c>
      <c r="J19" s="54"/>
      <c r="K19" s="54">
        <f t="shared" si="0"/>
        <v>28850.817100019951</v>
      </c>
      <c r="L19" s="54"/>
      <c r="M19" s="54">
        <v>0</v>
      </c>
      <c r="N19" s="54"/>
      <c r="O19" s="54">
        <f t="shared" si="1"/>
        <v>5132660.8050741116</v>
      </c>
      <c r="Q19" s="64"/>
      <c r="T19" s="56"/>
    </row>
    <row r="20" spans="1:21" x14ac:dyDescent="0.3">
      <c r="A20" s="53">
        <v>42491</v>
      </c>
      <c r="C20" s="54">
        <v>689740</v>
      </c>
      <c r="D20" s="54"/>
      <c r="E20" s="54">
        <v>0</v>
      </c>
      <c r="F20" s="54"/>
      <c r="G20" s="54">
        <f>'H. Return Calculation - 2016'!M31</f>
        <v>9041.0239701190822</v>
      </c>
      <c r="H20" s="54"/>
      <c r="I20" s="54">
        <f>'H. Return Calculation - 2016'!O31</f>
        <v>23871.843300803863</v>
      </c>
      <c r="J20" s="54"/>
      <c r="K20" s="54">
        <f t="shared" si="0"/>
        <v>32912.867270922943</v>
      </c>
      <c r="L20" s="54"/>
      <c r="M20" s="54">
        <v>0</v>
      </c>
      <c r="N20" s="54"/>
      <c r="O20" s="54">
        <f t="shared" si="1"/>
        <v>5855313.6723450348</v>
      </c>
    </row>
    <row r="21" spans="1:21" x14ac:dyDescent="0.3">
      <c r="A21" s="53">
        <v>42522</v>
      </c>
      <c r="C21" s="54">
        <v>253487</v>
      </c>
      <c r="D21" s="54"/>
      <c r="E21" s="54">
        <v>-26762.87</v>
      </c>
      <c r="F21" s="54"/>
      <c r="G21" s="54">
        <f>'H. Return Calculation - 2016'!M32</f>
        <v>9444.1882994813695</v>
      </c>
      <c r="H21" s="54"/>
      <c r="I21" s="54">
        <f>'H. Return Calculation - 2016'!O32</f>
        <v>24936.354989614643</v>
      </c>
      <c r="J21" s="54"/>
      <c r="K21" s="54">
        <f t="shared" si="0"/>
        <v>34380.543289096015</v>
      </c>
      <c r="L21" s="54"/>
      <c r="M21" s="54">
        <v>0</v>
      </c>
      <c r="N21" s="54"/>
      <c r="O21" s="54">
        <f t="shared" si="1"/>
        <v>6116418.3456341308</v>
      </c>
    </row>
    <row r="22" spans="1:21" x14ac:dyDescent="0.3">
      <c r="A22" s="53">
        <v>42552</v>
      </c>
      <c r="C22" s="54">
        <v>686453</v>
      </c>
      <c r="D22" s="54"/>
      <c r="E22" s="54">
        <v>0</v>
      </c>
      <c r="F22" s="54"/>
      <c r="G22" s="54">
        <f>'H. Return Calculation - 2016'!M33</f>
        <v>10509.755941870169</v>
      </c>
      <c r="H22" s="54"/>
      <c r="I22" s="54">
        <f>'H. Return Calculation - 2016'!O33</f>
        <v>28000.618458630081</v>
      </c>
      <c r="J22" s="54"/>
      <c r="K22" s="54">
        <f t="shared" si="0"/>
        <v>38510.374400500252</v>
      </c>
      <c r="L22" s="54"/>
      <c r="M22" s="54">
        <v>0</v>
      </c>
      <c r="N22" s="54"/>
      <c r="O22" s="54">
        <f t="shared" si="1"/>
        <v>6841381.720034631</v>
      </c>
    </row>
    <row r="23" spans="1:21" x14ac:dyDescent="0.3">
      <c r="A23" s="53">
        <v>42583</v>
      </c>
      <c r="C23" s="54">
        <v>-595035</v>
      </c>
      <c r="D23" s="54"/>
      <c r="E23" s="54">
        <v>0</v>
      </c>
      <c r="F23" s="54"/>
      <c r="G23" s="54">
        <f>'H. Return Calculation - 2016'!M34</f>
        <v>9596.2624659892044</v>
      </c>
      <c r="H23" s="54"/>
      <c r="I23" s="54">
        <f>'H. Return Calculation - 2016'!O34</f>
        <v>25814.27708988712</v>
      </c>
      <c r="J23" s="54"/>
      <c r="K23" s="54">
        <f t="shared" si="0"/>
        <v>35410.539555876327</v>
      </c>
      <c r="L23" s="54"/>
      <c r="M23" s="54">
        <v>0</v>
      </c>
      <c r="N23" s="54"/>
      <c r="O23" s="54">
        <f t="shared" si="1"/>
        <v>6281757.2595905075</v>
      </c>
    </row>
    <row r="24" spans="1:21" x14ac:dyDescent="0.3">
      <c r="A24" s="53">
        <v>42614</v>
      </c>
      <c r="C24" s="54">
        <v>622110</v>
      </c>
      <c r="D24" s="54"/>
      <c r="E24" s="54">
        <v>-26762.87</v>
      </c>
      <c r="F24" s="54"/>
      <c r="G24" s="54">
        <f>'H. Return Calculation - 2016'!M35</f>
        <v>10510.278638611175</v>
      </c>
      <c r="H24" s="54"/>
      <c r="I24" s="54">
        <f>'H. Return Calculation - 2016'!O35</f>
        <v>28531.730691533103</v>
      </c>
      <c r="J24" s="54"/>
      <c r="K24" s="54">
        <f t="shared" si="0"/>
        <v>39042.009330144276</v>
      </c>
      <c r="L24" s="54"/>
      <c r="M24" s="54">
        <v>0</v>
      </c>
      <c r="N24" s="54"/>
      <c r="O24" s="54">
        <f t="shared" si="1"/>
        <v>6916146.3989206515</v>
      </c>
    </row>
    <row r="25" spans="1:21" x14ac:dyDescent="0.3">
      <c r="A25" s="53">
        <v>42644</v>
      </c>
      <c r="C25" s="54">
        <v>43214</v>
      </c>
      <c r="D25" s="54"/>
      <c r="E25" s="54">
        <v>0</v>
      </c>
      <c r="F25" s="54"/>
      <c r="G25" s="54">
        <f>'H. Return Calculation - 2016'!M36</f>
        <v>10633.90268955076</v>
      </c>
      <c r="H25" s="54"/>
      <c r="I25" s="54">
        <f>'H. Return Calculation - 2016'!O36</f>
        <v>29044.194688855452</v>
      </c>
      <c r="J25" s="54"/>
      <c r="K25" s="54">
        <f t="shared" si="0"/>
        <v>39678.097378406208</v>
      </c>
      <c r="L25" s="54"/>
      <c r="M25" s="54">
        <v>0</v>
      </c>
      <c r="N25" s="54"/>
      <c r="O25" s="54">
        <f t="shared" si="1"/>
        <v>6999038.4962990582</v>
      </c>
    </row>
    <row r="26" spans="1:21" x14ac:dyDescent="0.3">
      <c r="A26" s="53">
        <v>42675</v>
      </c>
      <c r="C26" s="54">
        <v>354616</v>
      </c>
      <c r="D26" s="54"/>
      <c r="E26" s="54">
        <v>0</v>
      </c>
      <c r="F26" s="54"/>
      <c r="G26" s="54">
        <f>'H. Return Calculation - 2016'!M37</f>
        <v>11120.93169475307</v>
      </c>
      <c r="H26" s="54"/>
      <c r="I26" s="54">
        <f>'H. Return Calculation - 2016'!O37</f>
        <v>29554.337420625921</v>
      </c>
      <c r="J26" s="54"/>
      <c r="K26" s="54">
        <f t="shared" si="0"/>
        <v>40675.269115378993</v>
      </c>
      <c r="L26" s="54"/>
      <c r="M26" s="54">
        <v>0</v>
      </c>
      <c r="N26" s="54"/>
      <c r="O26" s="54">
        <f t="shared" si="1"/>
        <v>7394329.7654144373</v>
      </c>
    </row>
    <row r="27" spans="1:21" x14ac:dyDescent="0.3">
      <c r="A27" s="53">
        <v>42705</v>
      </c>
      <c r="C27" s="54">
        <v>370229</v>
      </c>
      <c r="D27" s="54"/>
      <c r="E27" s="54">
        <v>-26762.87</v>
      </c>
      <c r="F27" s="54"/>
      <c r="G27" s="54">
        <f>'H. Return Calculation - 2016'!M38</f>
        <v>11636.871247113775</v>
      </c>
      <c r="H27" s="54"/>
      <c r="I27" s="54">
        <f>'H. Return Calculation - 2016'!O38</f>
        <v>31413.903776203537</v>
      </c>
      <c r="J27" s="54"/>
      <c r="K27" s="54">
        <f t="shared" si="0"/>
        <v>43050.775023317314</v>
      </c>
      <c r="L27" s="54"/>
      <c r="M27" s="54">
        <v>0</v>
      </c>
      <c r="N27" s="54"/>
      <c r="O27" s="54">
        <f t="shared" si="1"/>
        <v>7780846.6704377541</v>
      </c>
      <c r="Q27" s="36" t="s">
        <v>172</v>
      </c>
      <c r="T27" t="s">
        <v>192</v>
      </c>
      <c r="U27" s="54">
        <v>10</v>
      </c>
    </row>
    <row r="28" spans="1:21" x14ac:dyDescent="0.3">
      <c r="A28" s="53">
        <v>42736</v>
      </c>
      <c r="C28" s="54">
        <v>358148</v>
      </c>
      <c r="D28" s="54"/>
      <c r="E28" s="54">
        <v>0</v>
      </c>
      <c r="F28" s="54"/>
      <c r="G28" s="65">
        <f>'G. Return Calculation - 2017'!M26</f>
        <v>11663.131857034199</v>
      </c>
      <c r="H28" s="54"/>
      <c r="I28" s="65">
        <f>'G. Return Calculation - 2017'!O26</f>
        <v>31580.055594664867</v>
      </c>
      <c r="J28" s="54"/>
      <c r="K28" s="54">
        <f t="shared" si="0"/>
        <v>43243.187451699065</v>
      </c>
      <c r="L28" s="54"/>
      <c r="M28" s="54">
        <v>0</v>
      </c>
      <c r="N28" s="54"/>
      <c r="O28" s="54">
        <f t="shared" si="1"/>
        <v>8182237.8578894529</v>
      </c>
      <c r="Q28" s="36" t="s">
        <v>193</v>
      </c>
      <c r="U28" s="65">
        <v>202485.62967055681</v>
      </c>
    </row>
    <row r="29" spans="1:21" x14ac:dyDescent="0.3">
      <c r="A29" s="53">
        <v>42767</v>
      </c>
      <c r="C29" s="54">
        <v>424021</v>
      </c>
      <c r="D29" s="54"/>
      <c r="E29" s="54">
        <v>0</v>
      </c>
      <c r="F29" s="54"/>
      <c r="G29" s="65">
        <f>'G. Return Calculation - 2017'!M27</f>
        <v>11443.595832049405</v>
      </c>
      <c r="H29" s="54"/>
      <c r="I29" s="65">
        <f>'G. Return Calculation - 2017'!O27</f>
        <v>28907.278142505751</v>
      </c>
      <c r="J29" s="54"/>
      <c r="K29" s="54">
        <f t="shared" si="0"/>
        <v>40350.873974555157</v>
      </c>
      <c r="L29" s="54"/>
      <c r="M29" s="54">
        <v>0</v>
      </c>
      <c r="N29" s="54"/>
      <c r="O29" s="54">
        <f t="shared" si="1"/>
        <v>8646609.7318640072</v>
      </c>
      <c r="Q29" s="137" t="s">
        <v>174</v>
      </c>
      <c r="R29" s="137"/>
      <c r="S29" s="137"/>
      <c r="T29" s="137"/>
      <c r="U29" s="138">
        <f>U28*12</f>
        <v>2429827.5560466815</v>
      </c>
    </row>
    <row r="30" spans="1:21" x14ac:dyDescent="0.3">
      <c r="A30" s="53">
        <v>42795</v>
      </c>
      <c r="C30" s="54">
        <v>692184</v>
      </c>
      <c r="D30" s="54"/>
      <c r="E30" s="54">
        <v>-26762.87</v>
      </c>
      <c r="F30" s="54"/>
      <c r="G30" s="65">
        <f>'G. Return Calculation - 2017'!M28</f>
        <v>11954.725793944552</v>
      </c>
      <c r="H30" s="54"/>
      <c r="I30" s="65">
        <f>'G. Return Calculation - 2017'!O28</f>
        <v>32768.825952388681</v>
      </c>
      <c r="J30" s="54"/>
      <c r="K30" s="54">
        <f t="shared" si="0"/>
        <v>44723.551746333236</v>
      </c>
      <c r="L30" s="54"/>
      <c r="M30" s="54">
        <v>0</v>
      </c>
      <c r="N30" s="54"/>
      <c r="O30" s="54">
        <f t="shared" si="1"/>
        <v>9356754.413610341</v>
      </c>
    </row>
    <row r="31" spans="1:21" x14ac:dyDescent="0.3">
      <c r="A31" s="53">
        <v>42826</v>
      </c>
      <c r="C31" s="54">
        <v>254067</v>
      </c>
      <c r="D31" s="54"/>
      <c r="E31" s="54">
        <v>0</v>
      </c>
      <c r="F31" s="54"/>
      <c r="G31" s="65">
        <f>'G. Return Calculation - 2017'!M29</f>
        <v>13532.309877733853</v>
      </c>
      <c r="H31" s="54"/>
      <c r="I31" s="65">
        <f>'G. Return Calculation - 2017'!O29</f>
        <v>37416.237335659956</v>
      </c>
      <c r="J31" s="54"/>
      <c r="K31" s="54">
        <f t="shared" si="0"/>
        <v>50948.547213393809</v>
      </c>
      <c r="L31" s="54"/>
      <c r="M31" s="54">
        <v>0</v>
      </c>
      <c r="N31" s="54"/>
      <c r="O31" s="54">
        <f t="shared" si="1"/>
        <v>9661769.9608237352</v>
      </c>
    </row>
    <row r="32" spans="1:21" x14ac:dyDescent="0.3">
      <c r="A32" s="53">
        <v>42856</v>
      </c>
      <c r="C32" s="54">
        <v>608377</v>
      </c>
      <c r="D32" s="54"/>
      <c r="E32" s="54">
        <v>0</v>
      </c>
      <c r="F32" s="54"/>
      <c r="G32" s="65">
        <f>'G. Return Calculation - 2017'!M30</f>
        <v>15034.071359860427</v>
      </c>
      <c r="H32" s="54"/>
      <c r="I32" s="65">
        <f>'G. Return Calculation - 2017'!O30</f>
        <v>41106.444094228245</v>
      </c>
      <c r="J32" s="54"/>
      <c r="K32" s="54">
        <f t="shared" si="0"/>
        <v>56140.515454088672</v>
      </c>
      <c r="L32" s="54"/>
      <c r="M32" s="54">
        <v>0</v>
      </c>
      <c r="N32" s="54"/>
      <c r="O32" s="54">
        <f t="shared" si="1"/>
        <v>10326287.476277824</v>
      </c>
      <c r="Q32" s="40"/>
    </row>
    <row r="33" spans="1:21" x14ac:dyDescent="0.3">
      <c r="A33" s="53">
        <v>42887</v>
      </c>
      <c r="C33" s="54">
        <v>265619</v>
      </c>
      <c r="D33" s="54"/>
      <c r="E33" s="54">
        <v>-26762.87</v>
      </c>
      <c r="F33" s="54"/>
      <c r="G33" s="65">
        <f>'G. Return Calculation - 2017'!M31</f>
        <v>14308.771180723035</v>
      </c>
      <c r="H33" s="54"/>
      <c r="I33" s="65">
        <f>'G. Return Calculation - 2017'!O31</f>
        <v>39163.363088933111</v>
      </c>
      <c r="J33" s="54"/>
      <c r="K33" s="54">
        <f t="shared" si="0"/>
        <v>53472.134269656148</v>
      </c>
      <c r="L33" s="54"/>
      <c r="M33" s="54">
        <v>0</v>
      </c>
      <c r="N33" s="54"/>
      <c r="O33" s="54">
        <f t="shared" si="1"/>
        <v>10618615.740547482</v>
      </c>
    </row>
    <row r="34" spans="1:21" x14ac:dyDescent="0.3">
      <c r="A34" s="53">
        <v>42917</v>
      </c>
      <c r="C34" s="65">
        <v>220636</v>
      </c>
      <c r="D34" s="65"/>
      <c r="E34" s="65">
        <v>0</v>
      </c>
      <c r="F34" s="65"/>
      <c r="G34" s="65">
        <f>'G. Return Calculation - 2017'!M32</f>
        <v>13947.026738334123</v>
      </c>
      <c r="H34" s="65"/>
      <c r="I34" s="65">
        <f>'G. Return Calculation - 2017'!O32</f>
        <v>37611.198593011395</v>
      </c>
      <c r="J34" s="65"/>
      <c r="K34" s="54">
        <f t="shared" si="0"/>
        <v>51558.225331345515</v>
      </c>
      <c r="L34" s="65"/>
      <c r="M34" s="65">
        <v>0</v>
      </c>
      <c r="N34" s="65"/>
      <c r="O34" s="65">
        <f t="shared" si="1"/>
        <v>10890809.965878827</v>
      </c>
    </row>
    <row r="35" spans="1:21" x14ac:dyDescent="0.3">
      <c r="A35" s="53">
        <v>42948</v>
      </c>
      <c r="C35" s="65">
        <v>272053</v>
      </c>
      <c r="D35" s="65"/>
      <c r="E35" s="65">
        <v>0</v>
      </c>
      <c r="F35" s="65"/>
      <c r="G35" s="65">
        <f>'G. Return Calculation - 2017'!M33</f>
        <v>13326.548819100459</v>
      </c>
      <c r="H35" s="65"/>
      <c r="I35" s="65">
        <f>'G. Return Calculation - 2017'!O33</f>
        <v>34403.996302079177</v>
      </c>
      <c r="J35" s="65"/>
      <c r="K35" s="54">
        <f t="shared" si="0"/>
        <v>47730.545121179632</v>
      </c>
      <c r="L35" s="65"/>
      <c r="M35" s="65">
        <v>0</v>
      </c>
      <c r="N35" s="65"/>
      <c r="O35" s="65">
        <f t="shared" si="1"/>
        <v>11210593.511000007</v>
      </c>
    </row>
    <row r="36" spans="1:21" x14ac:dyDescent="0.3">
      <c r="A36" s="53">
        <v>42979</v>
      </c>
      <c r="C36" s="65">
        <v>233743</v>
      </c>
      <c r="D36" s="65"/>
      <c r="E36" s="65">
        <v>-26762.87</v>
      </c>
      <c r="F36" s="65"/>
      <c r="G36" s="65">
        <f>'G. Return Calculation - 2017'!M34</f>
        <v>12766.326925959367</v>
      </c>
      <c r="H36" s="65"/>
      <c r="I36" s="65">
        <f>'G. Return Calculation - 2017'!O34</f>
        <v>31622.345268009107</v>
      </c>
      <c r="J36" s="65"/>
      <c r="K36" s="54">
        <f t="shared" si="0"/>
        <v>44388.672193968472</v>
      </c>
      <c r="L36" s="65"/>
      <c r="M36" s="65">
        <v>0</v>
      </c>
      <c r="N36" s="65"/>
      <c r="O36" s="65">
        <f t="shared" si="1"/>
        <v>11461962.313193977</v>
      </c>
    </row>
    <row r="37" spans="1:21" x14ac:dyDescent="0.3">
      <c r="A37" s="53">
        <v>43009</v>
      </c>
      <c r="C37" s="65">
        <v>444793</v>
      </c>
      <c r="D37" s="65"/>
      <c r="E37" s="65">
        <v>0</v>
      </c>
      <c r="F37" s="65"/>
      <c r="G37" s="65">
        <f>'G. Return Calculation - 2017'!M35</f>
        <v>18984.306080571696</v>
      </c>
      <c r="H37" s="65"/>
      <c r="I37" s="65">
        <f>'G. Return Calculation - 2017'!O35</f>
        <v>41686.143265059909</v>
      </c>
      <c r="J37" s="65"/>
      <c r="K37" s="54">
        <f t="shared" si="0"/>
        <v>60670.449345631605</v>
      </c>
      <c r="L37" s="65"/>
      <c r="M37" s="65">
        <v>0</v>
      </c>
      <c r="N37" s="65"/>
      <c r="O37" s="65">
        <f t="shared" si="1"/>
        <v>11967425.762539608</v>
      </c>
    </row>
    <row r="38" spans="1:21" x14ac:dyDescent="0.3">
      <c r="A38" s="53">
        <v>43040</v>
      </c>
      <c r="C38" s="65">
        <v>525770</v>
      </c>
      <c r="D38" s="65"/>
      <c r="E38" s="65">
        <v>0</v>
      </c>
      <c r="F38" s="65"/>
      <c r="G38" s="65">
        <f>'G. Return Calculation - 2017'!M36</f>
        <v>21031.082383069941</v>
      </c>
      <c r="H38" s="65"/>
      <c r="I38" s="65">
        <f>'G. Return Calculation - 2017'!O36</f>
        <v>47541.86048010848</v>
      </c>
      <c r="J38" s="65"/>
      <c r="K38" s="54">
        <f t="shared" si="0"/>
        <v>68572.942863178425</v>
      </c>
      <c r="L38" s="65"/>
      <c r="M38" s="65">
        <v>0</v>
      </c>
      <c r="N38" s="65"/>
      <c r="O38" s="65">
        <f t="shared" si="1"/>
        <v>12561768.705402786</v>
      </c>
    </row>
    <row r="39" spans="1:21" x14ac:dyDescent="0.3">
      <c r="A39" s="53">
        <v>43070</v>
      </c>
      <c r="C39" s="65">
        <v>2482493</v>
      </c>
      <c r="D39" s="65"/>
      <c r="E39" s="65">
        <v>-26762.87</v>
      </c>
      <c r="F39" s="65"/>
      <c r="G39" s="65">
        <f>'G. Return Calculation - 2017'!M37</f>
        <v>24680.72869477707</v>
      </c>
      <c r="H39" s="65"/>
      <c r="I39" s="65">
        <f>'G. Return Calculation - 2017'!O37</f>
        <v>58169.330223787023</v>
      </c>
      <c r="J39" s="65"/>
      <c r="K39" s="54">
        <f>G39+I39</f>
        <v>82850.058918564086</v>
      </c>
      <c r="L39" s="65"/>
      <c r="M39" s="65">
        <v>0</v>
      </c>
      <c r="N39" s="65"/>
      <c r="O39" s="65">
        <f t="shared" si="1"/>
        <v>15100348.89432135</v>
      </c>
    </row>
    <row r="40" spans="1:21" x14ac:dyDescent="0.3">
      <c r="A40" s="53">
        <v>43101</v>
      </c>
      <c r="C40" s="54">
        <v>510525</v>
      </c>
      <c r="D40" s="54"/>
      <c r="E40" s="65">
        <v>0</v>
      </c>
      <c r="F40" s="54"/>
      <c r="G40" s="54">
        <f>'F. Return Calculation - 2018'!M20</f>
        <v>25631.695263495963</v>
      </c>
      <c r="H40" s="54"/>
      <c r="I40" s="54">
        <f>'F. Return Calculation - 2018'!O20</f>
        <v>65552.865669134859</v>
      </c>
      <c r="J40" s="54"/>
      <c r="K40" s="54">
        <f t="shared" si="0"/>
        <v>91184.560932630819</v>
      </c>
      <c r="L40" s="54"/>
      <c r="M40" s="54">
        <v>0</v>
      </c>
      <c r="N40" s="54"/>
      <c r="O40" s="54">
        <f t="shared" si="1"/>
        <v>15702058.455253981</v>
      </c>
      <c r="Q40" s="34"/>
      <c r="S40" s="66"/>
      <c r="T40" s="66"/>
      <c r="U40" s="66"/>
    </row>
    <row r="41" spans="1:21" x14ac:dyDescent="0.3">
      <c r="A41" s="53">
        <v>43132</v>
      </c>
      <c r="C41" s="54">
        <v>89648</v>
      </c>
      <c r="D41" s="54"/>
      <c r="E41" s="65">
        <v>0</v>
      </c>
      <c r="F41" s="54"/>
      <c r="G41" s="54">
        <f>'F. Return Calculation - 2018'!M21</f>
        <v>26188.040425962648</v>
      </c>
      <c r="H41" s="54"/>
      <c r="I41" s="54">
        <f>'F. Return Calculation - 2018'!O21</f>
        <v>65346.068880466482</v>
      </c>
      <c r="J41" s="54"/>
      <c r="K41" s="54">
        <f t="shared" si="0"/>
        <v>91534.109306429134</v>
      </c>
      <c r="L41" s="54"/>
      <c r="M41" s="54">
        <v>0</v>
      </c>
      <c r="N41" s="54"/>
      <c r="O41" s="54">
        <f t="shared" si="1"/>
        <v>15883240.56456041</v>
      </c>
      <c r="S41" s="66"/>
      <c r="T41" s="66"/>
      <c r="U41" s="66"/>
    </row>
    <row r="42" spans="1:21" x14ac:dyDescent="0.3">
      <c r="A42" s="53">
        <v>43160</v>
      </c>
      <c r="C42" s="54">
        <v>396977</v>
      </c>
      <c r="D42" s="54"/>
      <c r="E42" s="65">
        <v>-26762.87</v>
      </c>
      <c r="F42" s="54"/>
      <c r="G42" s="54">
        <f>'F. Return Calculation - 2018'!M22</f>
        <v>26647.119719166967</v>
      </c>
      <c r="H42" s="54"/>
      <c r="I42" s="54">
        <f>'F. Return Calculation - 2018'!O22</f>
        <v>67049.335020060229</v>
      </c>
      <c r="J42" s="54"/>
      <c r="K42" s="54">
        <f t="shared" si="0"/>
        <v>93696.454739227192</v>
      </c>
      <c r="L42" s="54"/>
      <c r="M42" s="54">
        <v>0</v>
      </c>
      <c r="N42" s="54"/>
      <c r="O42" s="54">
        <f t="shared" si="1"/>
        <v>16347151.149299638</v>
      </c>
      <c r="Q42" s="34"/>
    </row>
    <row r="43" spans="1:21" x14ac:dyDescent="0.3">
      <c r="A43" s="53">
        <v>43191</v>
      </c>
      <c r="C43" s="54">
        <v>132294</v>
      </c>
      <c r="D43" s="54"/>
      <c r="E43" s="54">
        <v>0</v>
      </c>
      <c r="F43" s="54"/>
      <c r="G43" s="67">
        <f>((O42+C43+M43+E43)*$R$11)</f>
        <v>26985.091431978159</v>
      </c>
      <c r="H43" s="67"/>
      <c r="I43" s="67">
        <f>((O42+C43+M43+E43)*$S$11)</f>
        <v>84737.306957698733</v>
      </c>
      <c r="J43" s="67"/>
      <c r="K43" s="67">
        <f>((O42+C43+M43+E43)*$R$11)+((O42+C43+M43+E43)*$S$11)</f>
        <v>111722.39838967689</v>
      </c>
      <c r="L43" s="67"/>
      <c r="M43" s="67">
        <v>0</v>
      </c>
      <c r="N43" s="67"/>
      <c r="O43" s="67">
        <f>O42+C43+M43+E43+K43</f>
        <v>16591167.547689315</v>
      </c>
      <c r="P43" s="68"/>
      <c r="Q43" s="34"/>
    </row>
    <row r="44" spans="1:21" x14ac:dyDescent="0.3">
      <c r="A44" s="69">
        <v>43221</v>
      </c>
      <c r="B44" s="70"/>
      <c r="C44" s="67"/>
      <c r="D44" s="67"/>
      <c r="E44" s="67"/>
      <c r="F44" s="67"/>
      <c r="G44" s="67">
        <f t="shared" ref="G44:G107" si="2">((O43+C44+M44+E44)*$R$11)</f>
        <v>27168.036859341253</v>
      </c>
      <c r="H44" s="67"/>
      <c r="I44" s="67">
        <f t="shared" ref="I44:I107" si="3">((O43+C44+M44+E44)*$S$11)</f>
        <v>85311.783530218454</v>
      </c>
      <c r="J44" s="67"/>
      <c r="K44" s="67">
        <f t="shared" ref="K44:K107" si="4">((O43+C44+M44+E44)*$R$11)+((O43+C44+M44+E44)*$S$11)</f>
        <v>112479.82038955971</v>
      </c>
      <c r="L44" s="67"/>
      <c r="M44" s="67">
        <v>0</v>
      </c>
      <c r="N44" s="67"/>
      <c r="O44" s="67">
        <f t="shared" si="1"/>
        <v>16703647.368078874</v>
      </c>
      <c r="Q44" s="34"/>
    </row>
    <row r="45" spans="1:21" x14ac:dyDescent="0.3">
      <c r="A45" s="69">
        <v>43252</v>
      </c>
      <c r="B45" s="70"/>
      <c r="C45" s="67"/>
      <c r="D45" s="67"/>
      <c r="E45" s="67"/>
      <c r="F45" s="67"/>
      <c r="G45" s="67">
        <f t="shared" si="2"/>
        <v>27020.652346643623</v>
      </c>
      <c r="H45" s="67"/>
      <c r="I45" s="67">
        <f t="shared" si="3"/>
        <v>84848.973658895571</v>
      </c>
      <c r="J45" s="67"/>
      <c r="K45" s="67">
        <f t="shared" si="4"/>
        <v>111869.62600553919</v>
      </c>
      <c r="L45" s="67"/>
      <c r="M45" s="67">
        <v>-202485.62967055681</v>
      </c>
      <c r="N45" s="67"/>
      <c r="O45" s="67">
        <f t="shared" si="1"/>
        <v>16613031.364413857</v>
      </c>
    </row>
    <row r="46" spans="1:21" x14ac:dyDescent="0.3">
      <c r="A46" s="69">
        <v>43282</v>
      </c>
      <c r="B46" s="70"/>
      <c r="C46" s="67"/>
      <c r="D46" s="67"/>
      <c r="E46" s="67"/>
      <c r="F46" s="67"/>
      <c r="G46" s="67">
        <f t="shared" si="2"/>
        <v>26872.268640642156</v>
      </c>
      <c r="H46" s="67"/>
      <c r="I46" s="67">
        <f t="shared" si="3"/>
        <v>84383.026168050055</v>
      </c>
      <c r="J46" s="67"/>
      <c r="K46" s="67">
        <f t="shared" si="4"/>
        <v>111255.29480869221</v>
      </c>
      <c r="L46" s="67"/>
      <c r="M46" s="67">
        <v>-202485.62967055681</v>
      </c>
      <c r="N46" s="67"/>
      <c r="O46" s="67">
        <f t="shared" si="1"/>
        <v>16521801.029551992</v>
      </c>
    </row>
    <row r="47" spans="1:21" x14ac:dyDescent="0.3">
      <c r="A47" s="69">
        <v>43313</v>
      </c>
      <c r="B47" s="70"/>
      <c r="C47" s="67"/>
      <c r="D47" s="67"/>
      <c r="E47" s="67"/>
      <c r="F47" s="67"/>
      <c r="G47" s="67">
        <f t="shared" si="2"/>
        <v>26722.878967305853</v>
      </c>
      <c r="H47" s="67"/>
      <c r="I47" s="67">
        <f t="shared" si="3"/>
        <v>83913.919786190338</v>
      </c>
      <c r="J47" s="67"/>
      <c r="K47" s="67">
        <f t="shared" si="4"/>
        <v>110636.79875349619</v>
      </c>
      <c r="L47" s="67"/>
      <c r="M47" s="67">
        <v>-202485.62967055681</v>
      </c>
      <c r="N47" s="67"/>
      <c r="O47" s="67">
        <f t="shared" si="1"/>
        <v>16429952.198634932</v>
      </c>
      <c r="Q47" s="54"/>
    </row>
    <row r="48" spans="1:21" x14ac:dyDescent="0.3">
      <c r="A48" s="69">
        <v>43344</v>
      </c>
      <c r="B48" s="70"/>
      <c r="C48" s="67"/>
      <c r="D48" s="67"/>
      <c r="E48" s="67"/>
      <c r="F48" s="67"/>
      <c r="G48" s="67">
        <f t="shared" si="2"/>
        <v>26572.476506679166</v>
      </c>
      <c r="H48" s="67"/>
      <c r="I48" s="67">
        <f t="shared" si="3"/>
        <v>83441.633097614817</v>
      </c>
      <c r="J48" s="67"/>
      <c r="K48" s="67">
        <f t="shared" si="4"/>
        <v>110014.10960429398</v>
      </c>
      <c r="L48" s="67"/>
      <c r="M48" s="67">
        <v>-202485.62967055681</v>
      </c>
      <c r="N48" s="67"/>
      <c r="O48" s="67">
        <f t="shared" si="1"/>
        <v>16337480.678568669</v>
      </c>
      <c r="Q48" s="54"/>
    </row>
    <row r="49" spans="1:21" x14ac:dyDescent="0.3">
      <c r="A49" s="69">
        <v>43374</v>
      </c>
      <c r="B49" s="70"/>
      <c r="C49" s="67"/>
      <c r="D49" s="67"/>
      <c r="E49" s="67"/>
      <c r="F49" s="67"/>
      <c r="G49" s="67">
        <f t="shared" si="2"/>
        <v>26421.054392570659</v>
      </c>
      <c r="H49" s="67"/>
      <c r="I49" s="67">
        <f t="shared" si="3"/>
        <v>82966.144541434085</v>
      </c>
      <c r="J49" s="67"/>
      <c r="K49" s="67">
        <f t="shared" si="4"/>
        <v>109387.19893400474</v>
      </c>
      <c r="L49" s="67"/>
      <c r="M49" s="67">
        <v>-202485.62967055681</v>
      </c>
      <c r="N49" s="67"/>
      <c r="O49" s="67">
        <f t="shared" si="1"/>
        <v>16244382.247832118</v>
      </c>
      <c r="Q49" s="54"/>
    </row>
    <row r="50" spans="1:21" x14ac:dyDescent="0.3">
      <c r="A50" s="69">
        <v>43405</v>
      </c>
      <c r="B50" s="70"/>
      <c r="C50" s="67"/>
      <c r="D50" s="67"/>
      <c r="E50" s="67"/>
      <c r="F50" s="67"/>
      <c r="G50" s="67">
        <f t="shared" si="2"/>
        <v>26268.605712239558</v>
      </c>
      <c r="H50" s="67"/>
      <c r="I50" s="67">
        <f t="shared" si="3"/>
        <v>82487.432410586742</v>
      </c>
      <c r="J50" s="67"/>
      <c r="K50" s="67">
        <f t="shared" si="4"/>
        <v>108756.0381228263</v>
      </c>
      <c r="L50" s="67"/>
      <c r="M50" s="67">
        <v>-202485.62967055681</v>
      </c>
      <c r="N50" s="67"/>
      <c r="O50" s="67">
        <f t="shared" si="1"/>
        <v>16150652.656284388</v>
      </c>
      <c r="Q50" s="54"/>
    </row>
    <row r="51" spans="1:21" x14ac:dyDescent="0.3">
      <c r="A51" s="69">
        <v>43435</v>
      </c>
      <c r="B51" s="70"/>
      <c r="C51" s="67"/>
      <c r="D51" s="67"/>
      <c r="E51" s="67"/>
      <c r="F51" s="67"/>
      <c r="G51" s="67">
        <f t="shared" si="2"/>
        <v>26115.123506080152</v>
      </c>
      <c r="H51" s="67"/>
      <c r="I51" s="67">
        <f t="shared" si="3"/>
        <v>82005.474850848317</v>
      </c>
      <c r="J51" s="67"/>
      <c r="K51" s="67">
        <f t="shared" si="4"/>
        <v>108120.59835692847</v>
      </c>
      <c r="L51" s="67"/>
      <c r="M51" s="67">
        <v>-202485.62967055681</v>
      </c>
      <c r="N51" s="67"/>
      <c r="O51" s="67">
        <f t="shared" si="1"/>
        <v>16056287.62497076</v>
      </c>
    </row>
    <row r="52" spans="1:21" x14ac:dyDescent="0.3">
      <c r="A52" s="69">
        <v>43466</v>
      </c>
      <c r="B52" s="70"/>
      <c r="C52" s="67"/>
      <c r="D52" s="67"/>
      <c r="E52" s="67"/>
      <c r="F52" s="67"/>
      <c r="G52" s="67">
        <f t="shared" si="2"/>
        <v>25960.600767304084</v>
      </c>
      <c r="H52" s="67"/>
      <c r="I52" s="67">
        <f t="shared" si="3"/>
        <v>81520.249859833639</v>
      </c>
      <c r="J52" s="67"/>
      <c r="K52" s="67">
        <f t="shared" si="4"/>
        <v>107480.85062713773</v>
      </c>
      <c r="L52" s="67"/>
      <c r="M52" s="67">
        <v>-202485.62967055681</v>
      </c>
      <c r="N52" s="67"/>
      <c r="O52" s="67">
        <f t="shared" si="1"/>
        <v>15961282.845927341</v>
      </c>
      <c r="U52" s="71"/>
    </row>
    <row r="53" spans="1:21" x14ac:dyDescent="0.3">
      <c r="A53" s="69">
        <v>43497</v>
      </c>
      <c r="B53" s="70"/>
      <c r="C53" s="67"/>
      <c r="D53" s="67"/>
      <c r="E53" s="67"/>
      <c r="F53" s="67"/>
      <c r="G53" s="67">
        <f t="shared" si="2"/>
        <v>25805.030441620485</v>
      </c>
      <c r="H53" s="67"/>
      <c r="I53" s="67">
        <f t="shared" si="3"/>
        <v>81031.735285992385</v>
      </c>
      <c r="J53" s="67"/>
      <c r="K53" s="67">
        <f t="shared" si="4"/>
        <v>106836.76572761287</v>
      </c>
      <c r="L53" s="67"/>
      <c r="M53" s="67">
        <v>-202485.62967055681</v>
      </c>
      <c r="N53" s="67"/>
      <c r="O53" s="67">
        <f t="shared" si="1"/>
        <v>15865633.981984397</v>
      </c>
    </row>
    <row r="54" spans="1:21" x14ac:dyDescent="0.3">
      <c r="A54" s="69">
        <v>43525</v>
      </c>
      <c r="B54" s="70"/>
      <c r="C54" s="67"/>
      <c r="D54" s="67"/>
      <c r="E54" s="67"/>
      <c r="F54" s="67"/>
      <c r="G54" s="67">
        <f t="shared" si="2"/>
        <v>25648.405426913916</v>
      </c>
      <c r="H54" s="67"/>
      <c r="I54" s="67">
        <f t="shared" si="3"/>
        <v>80539.90882759777</v>
      </c>
      <c r="J54" s="67"/>
      <c r="K54" s="67">
        <f t="shared" si="4"/>
        <v>106188.31425451169</v>
      </c>
      <c r="L54" s="67"/>
      <c r="M54" s="67">
        <v>-202485.62967055681</v>
      </c>
      <c r="N54" s="67"/>
      <c r="O54" s="67">
        <f t="shared" si="1"/>
        <v>15769336.666568352</v>
      </c>
    </row>
    <row r="55" spans="1:21" x14ac:dyDescent="0.3">
      <c r="A55" s="69">
        <v>43556</v>
      </c>
      <c r="B55" s="70"/>
      <c r="C55" s="67"/>
      <c r="D55" s="67"/>
      <c r="E55" s="67"/>
      <c r="F55" s="67"/>
      <c r="G55" s="67">
        <f t="shared" si="2"/>
        <v>25490.718572920141</v>
      </c>
      <c r="H55" s="67"/>
      <c r="I55" s="67">
        <f t="shared" si="3"/>
        <v>80044.748031728464</v>
      </c>
      <c r="J55" s="67"/>
      <c r="K55" s="67">
        <f t="shared" si="4"/>
        <v>105535.46660464861</v>
      </c>
      <c r="L55" s="67"/>
      <c r="M55" s="67">
        <v>-202485.62967055681</v>
      </c>
      <c r="N55" s="67"/>
      <c r="O55" s="67">
        <f t="shared" si="1"/>
        <v>15672386.503502443</v>
      </c>
      <c r="Q55" s="40"/>
    </row>
    <row r="56" spans="1:21" x14ac:dyDescent="0.3">
      <c r="A56" s="69">
        <v>43586</v>
      </c>
      <c r="B56" s="70"/>
      <c r="C56" s="67"/>
      <c r="D56" s="67"/>
      <c r="E56" s="67"/>
      <c r="F56" s="67"/>
      <c r="G56" s="67">
        <f t="shared" si="2"/>
        <v>25331.962680899716</v>
      </c>
      <c r="H56" s="67"/>
      <c r="I56" s="67">
        <f t="shared" si="3"/>
        <v>79546.230293243556</v>
      </c>
      <c r="J56" s="67"/>
      <c r="K56" s="67">
        <f t="shared" si="4"/>
        <v>104878.19297414327</v>
      </c>
      <c r="L56" s="67"/>
      <c r="M56" s="67">
        <v>-202485.62967055681</v>
      </c>
      <c r="N56" s="67"/>
      <c r="O56" s="67">
        <f t="shared" si="1"/>
        <v>15574779.06680603</v>
      </c>
      <c r="S56" s="34"/>
    </row>
    <row r="57" spans="1:21" x14ac:dyDescent="0.3">
      <c r="A57" s="69">
        <v>43617</v>
      </c>
      <c r="B57" s="70"/>
      <c r="C57" s="72"/>
      <c r="D57" s="72"/>
      <c r="E57" s="72"/>
      <c r="F57" s="72"/>
      <c r="G57" s="72">
        <f t="shared" si="2"/>
        <v>25172.130503309338</v>
      </c>
      <c r="H57" s="72"/>
      <c r="I57" s="72">
        <f t="shared" si="3"/>
        <v>79044.332853750602</v>
      </c>
      <c r="J57" s="72"/>
      <c r="K57" s="72">
        <f t="shared" si="4"/>
        <v>104216.46335705994</v>
      </c>
      <c r="L57" s="72"/>
      <c r="M57" s="67">
        <v>-202485.62967055681</v>
      </c>
      <c r="N57" s="72"/>
      <c r="O57" s="72">
        <f t="shared" si="1"/>
        <v>15476509.900492532</v>
      </c>
      <c r="Q57" s="66"/>
      <c r="S57" s="34"/>
    </row>
    <row r="58" spans="1:21" s="38" customFormat="1" x14ac:dyDescent="0.3">
      <c r="A58" s="69">
        <v>43647</v>
      </c>
      <c r="B58" s="70"/>
      <c r="C58" s="72"/>
      <c r="D58" s="72"/>
      <c r="E58" s="72"/>
      <c r="F58" s="72"/>
      <c r="G58" s="72">
        <f t="shared" si="2"/>
        <v>25011.214743470988</v>
      </c>
      <c r="H58" s="72"/>
      <c r="I58" s="72">
        <f t="shared" si="3"/>
        <v>78539.032800566594</v>
      </c>
      <c r="J58" s="72"/>
      <c r="K58" s="72">
        <f t="shared" si="4"/>
        <v>103550.24754403759</v>
      </c>
      <c r="L58" s="72"/>
      <c r="M58" s="67">
        <v>-202485.62967055681</v>
      </c>
      <c r="N58" s="72"/>
      <c r="O58" s="72">
        <f t="shared" si="1"/>
        <v>15377574.518366013</v>
      </c>
      <c r="Q58" s="73"/>
    </row>
    <row r="59" spans="1:21" x14ac:dyDescent="0.3">
      <c r="A59" s="69">
        <v>43678</v>
      </c>
      <c r="B59" s="70"/>
      <c r="C59" s="72"/>
      <c r="D59" s="72"/>
      <c r="E59" s="72"/>
      <c r="F59" s="72"/>
      <c r="G59" s="72">
        <f t="shared" si="2"/>
        <v>24849.208055238811</v>
      </c>
      <c r="H59" s="72"/>
      <c r="I59" s="72">
        <f t="shared" si="3"/>
        <v>78030.307065672037</v>
      </c>
      <c r="J59" s="72"/>
      <c r="K59" s="72">
        <f t="shared" si="4"/>
        <v>102879.51512091084</v>
      </c>
      <c r="L59" s="72"/>
      <c r="M59" s="67">
        <v>-202485.62967055681</v>
      </c>
      <c r="N59" s="72"/>
      <c r="O59" s="72">
        <f t="shared" si="1"/>
        <v>15277968.403816367</v>
      </c>
      <c r="S59" s="54"/>
      <c r="T59" s="71"/>
    </row>
    <row r="60" spans="1:21" x14ac:dyDescent="0.3">
      <c r="A60" s="74">
        <v>43709</v>
      </c>
      <c r="B60" s="75"/>
      <c r="C60" s="76"/>
      <c r="D60" s="76"/>
      <c r="E60" s="76"/>
      <c r="F60" s="76"/>
      <c r="G60" s="76">
        <f t="shared" si="2"/>
        <v>24686.103042663766</v>
      </c>
      <c r="H60" s="76"/>
      <c r="I60" s="76">
        <f t="shared" si="3"/>
        <v>77518.132424657757</v>
      </c>
      <c r="J60" s="76"/>
      <c r="K60" s="76">
        <f t="shared" si="4"/>
        <v>102204.23546732153</v>
      </c>
      <c r="L60" s="76"/>
      <c r="M60" s="67">
        <v>-202485.62967055681</v>
      </c>
      <c r="N60" s="76"/>
      <c r="O60" s="76">
        <f t="shared" si="1"/>
        <v>15177687.009613132</v>
      </c>
      <c r="S60" s="54"/>
      <c r="T60" s="71"/>
    </row>
    <row r="61" spans="1:21" x14ac:dyDescent="0.3">
      <c r="A61" s="69">
        <v>43739</v>
      </c>
      <c r="B61" s="70"/>
      <c r="C61" s="67"/>
      <c r="D61" s="67"/>
      <c r="E61" s="67"/>
      <c r="F61" s="67"/>
      <c r="G61" s="67">
        <f t="shared" si="2"/>
        <v>24521.892259655968</v>
      </c>
      <c r="H61" s="67"/>
      <c r="I61" s="67">
        <f t="shared" si="3"/>
        <v>77002.485495664718</v>
      </c>
      <c r="J61" s="67"/>
      <c r="K61" s="67">
        <f t="shared" si="4"/>
        <v>101524.37775532069</v>
      </c>
      <c r="L61" s="67"/>
      <c r="M61" s="67">
        <v>-202485.62967055681</v>
      </c>
      <c r="N61" s="67"/>
      <c r="O61" s="67">
        <f t="shared" si="1"/>
        <v>15076725.757697897</v>
      </c>
      <c r="T61" s="71"/>
    </row>
    <row r="62" spans="1:21" x14ac:dyDescent="0.3">
      <c r="A62" s="69">
        <v>43770</v>
      </c>
      <c r="B62" s="70"/>
      <c r="C62" s="67"/>
      <c r="D62" s="67"/>
      <c r="E62" s="67"/>
      <c r="F62" s="67"/>
      <c r="G62" s="67">
        <f t="shared" si="2"/>
        <v>24356.568209644771</v>
      </c>
      <c r="H62" s="67"/>
      <c r="I62" s="67">
        <f t="shared" si="3"/>
        <v>76483.342738316584</v>
      </c>
      <c r="J62" s="67"/>
      <c r="K62" s="67">
        <f t="shared" si="4"/>
        <v>100839.91094796135</v>
      </c>
      <c r="L62" s="67"/>
      <c r="M62" s="67">
        <v>-202485.62967055681</v>
      </c>
      <c r="N62" s="67"/>
      <c r="O62" s="67">
        <f t="shared" si="1"/>
        <v>14975080.038975302</v>
      </c>
      <c r="S62" s="34"/>
      <c r="T62" s="71"/>
    </row>
    <row r="63" spans="1:21" x14ac:dyDescent="0.3">
      <c r="A63" s="69">
        <v>43800</v>
      </c>
      <c r="B63" s="70"/>
      <c r="C63" s="67"/>
      <c r="D63" s="67"/>
      <c r="E63" s="67"/>
      <c r="F63" s="67"/>
      <c r="G63" s="67">
        <f t="shared" si="2"/>
        <v>24190.123345236523</v>
      </c>
      <c r="H63" s="67"/>
      <c r="I63" s="67">
        <f t="shared" si="3"/>
        <v>75960.680452645</v>
      </c>
      <c r="J63" s="67"/>
      <c r="K63" s="67">
        <f t="shared" si="4"/>
        <v>100150.80379788153</v>
      </c>
      <c r="L63" s="67"/>
      <c r="M63" s="67">
        <v>-202485.62967055681</v>
      </c>
      <c r="N63" s="67"/>
      <c r="O63" s="67">
        <f t="shared" si="1"/>
        <v>14872745.213102628</v>
      </c>
      <c r="S63" s="34"/>
      <c r="T63" s="71"/>
    </row>
    <row r="64" spans="1:21" x14ac:dyDescent="0.3">
      <c r="A64" s="69">
        <v>43831</v>
      </c>
      <c r="B64" s="70"/>
      <c r="C64" s="67"/>
      <c r="D64" s="67"/>
      <c r="E64" s="67"/>
      <c r="F64" s="67"/>
      <c r="G64" s="67">
        <f t="shared" si="2"/>
        <v>24022.550067870015</v>
      </c>
      <c r="H64" s="67"/>
      <c r="I64" s="67">
        <f t="shared" si="3"/>
        <v>75434.474778007701</v>
      </c>
      <c r="J64" s="67"/>
      <c r="K64" s="67">
        <f t="shared" si="4"/>
        <v>99457.024845877721</v>
      </c>
      <c r="L64" s="67"/>
      <c r="M64" s="67">
        <v>-202485.62967055681</v>
      </c>
      <c r="N64" s="67"/>
      <c r="O64" s="67">
        <f t="shared" si="1"/>
        <v>14769716.608277949</v>
      </c>
    </row>
    <row r="65" spans="1:15" x14ac:dyDescent="0.3">
      <c r="A65" s="69">
        <v>43862</v>
      </c>
      <c r="B65" s="70"/>
      <c r="C65" s="67"/>
      <c r="D65" s="67"/>
      <c r="E65" s="67"/>
      <c r="F65" s="67"/>
      <c r="G65" s="67">
        <f t="shared" si="2"/>
        <v>23853.840727469604</v>
      </c>
      <c r="H65" s="67"/>
      <c r="I65" s="67">
        <f t="shared" si="3"/>
        <v>74904.701691999202</v>
      </c>
      <c r="J65" s="67"/>
      <c r="K65" s="67">
        <f t="shared" si="4"/>
        <v>98758.542419468809</v>
      </c>
      <c r="L65" s="67"/>
      <c r="M65" s="67">
        <v>-202485.62967055681</v>
      </c>
      <c r="N65" s="67"/>
      <c r="O65" s="67">
        <f t="shared" si="1"/>
        <v>14665989.521026861</v>
      </c>
    </row>
    <row r="66" spans="1:15" x14ac:dyDescent="0.3">
      <c r="A66" s="69">
        <v>43891</v>
      </c>
      <c r="B66" s="70"/>
      <c r="C66" s="67"/>
      <c r="D66" s="67"/>
      <c r="E66" s="67"/>
      <c r="F66" s="67"/>
      <c r="G66" s="67">
        <f t="shared" si="2"/>
        <v>23683.987622095949</v>
      </c>
      <c r="H66" s="67"/>
      <c r="I66" s="67">
        <f t="shared" si="3"/>
        <v>74371.337009354116</v>
      </c>
      <c r="J66" s="67"/>
      <c r="K66" s="67">
        <f t="shared" si="4"/>
        <v>98055.324631450057</v>
      </c>
      <c r="L66" s="67"/>
      <c r="M66" s="67">
        <v>-202485.62967055681</v>
      </c>
      <c r="N66" s="67"/>
      <c r="O66" s="67">
        <f t="shared" si="1"/>
        <v>14561559.215987755</v>
      </c>
    </row>
    <row r="67" spans="1:15" x14ac:dyDescent="0.3">
      <c r="A67" s="69">
        <v>43922</v>
      </c>
      <c r="B67" s="70"/>
      <c r="C67" s="67"/>
      <c r="D67" s="67"/>
      <c r="E67" s="67"/>
      <c r="F67" s="67"/>
      <c r="G67" s="67">
        <f t="shared" si="2"/>
        <v>23512.982997594412</v>
      </c>
      <c r="H67" s="67"/>
      <c r="I67" s="67">
        <f t="shared" si="3"/>
        <v>73834.356380843034</v>
      </c>
      <c r="J67" s="67"/>
      <c r="K67" s="67">
        <f t="shared" si="4"/>
        <v>97347.339378437449</v>
      </c>
      <c r="L67" s="67"/>
      <c r="M67" s="67">
        <v>-202485.62967055681</v>
      </c>
      <c r="N67" s="67"/>
      <c r="O67" s="67">
        <f t="shared" si="1"/>
        <v>14456420.925695635</v>
      </c>
    </row>
    <row r="68" spans="1:15" x14ac:dyDescent="0.3">
      <c r="A68" s="69">
        <v>43952</v>
      </c>
      <c r="B68" s="70"/>
      <c r="C68" s="67"/>
      <c r="D68" s="67"/>
      <c r="E68" s="67"/>
      <c r="F68" s="67"/>
      <c r="G68" s="67">
        <f t="shared" si="2"/>
        <v>23340.819047241068</v>
      </c>
      <c r="H68" s="67"/>
      <c r="I68" s="67">
        <f t="shared" si="3"/>
        <v>73293.735292160956</v>
      </c>
      <c r="J68" s="67"/>
      <c r="K68" s="67">
        <f t="shared" si="4"/>
        <v>96634.554339402021</v>
      </c>
      <c r="L68" s="67"/>
      <c r="M68" s="67">
        <v>-202485.62967055681</v>
      </c>
      <c r="N68" s="67"/>
      <c r="O68" s="67">
        <f t="shared" si="1"/>
        <v>14350569.85036448</v>
      </c>
    </row>
    <row r="69" spans="1:15" x14ac:dyDescent="0.3">
      <c r="A69" s="69">
        <v>43983</v>
      </c>
      <c r="B69" s="70"/>
      <c r="C69" s="67"/>
      <c r="D69" s="67"/>
      <c r="E69" s="67"/>
      <c r="F69" s="67"/>
      <c r="G69" s="67">
        <f t="shared" si="2"/>
        <v>23167.487911386299</v>
      </c>
      <c r="H69" s="67"/>
      <c r="I69" s="67">
        <f t="shared" si="3"/>
        <v>72749.449062808155</v>
      </c>
      <c r="J69" s="67"/>
      <c r="K69" s="67">
        <f t="shared" si="4"/>
        <v>95916.936974194454</v>
      </c>
      <c r="L69" s="67"/>
      <c r="M69" s="67">
        <v>-202485.62967055681</v>
      </c>
      <c r="N69" s="67"/>
      <c r="O69" s="67">
        <f t="shared" si="1"/>
        <v>14244001.157668117</v>
      </c>
    </row>
    <row r="70" spans="1:15" x14ac:dyDescent="0.3">
      <c r="A70" s="69">
        <v>44013</v>
      </c>
      <c r="B70" s="70"/>
      <c r="C70" s="67"/>
      <c r="D70" s="67"/>
      <c r="E70" s="67"/>
      <c r="F70" s="67"/>
      <c r="G70" s="67">
        <f t="shared" si="2"/>
        <v>22992.981677096006</v>
      </c>
      <c r="H70" s="67"/>
      <c r="I70" s="67">
        <f t="shared" si="3"/>
        <v>72201.472844963457</v>
      </c>
      <c r="J70" s="67"/>
      <c r="K70" s="67">
        <f t="shared" si="4"/>
        <v>95194.454522059459</v>
      </c>
      <c r="L70" s="67"/>
      <c r="M70" s="67">
        <v>-202485.62967055681</v>
      </c>
      <c r="N70" s="67"/>
      <c r="O70" s="67">
        <f t="shared" si="1"/>
        <v>14136709.982519621</v>
      </c>
    </row>
    <row r="71" spans="1:15" x14ac:dyDescent="0.3">
      <c r="A71" s="69">
        <v>44044</v>
      </c>
      <c r="B71" s="70"/>
      <c r="C71" s="67"/>
      <c r="D71" s="67"/>
      <c r="E71" s="67"/>
      <c r="F71" s="67"/>
      <c r="G71" s="67">
        <f t="shared" si="2"/>
        <v>22817.292377790345</v>
      </c>
      <c r="H71" s="67"/>
      <c r="I71" s="67">
        <f t="shared" si="3"/>
        <v>71649.781622349881</v>
      </c>
      <c r="J71" s="67"/>
      <c r="K71" s="67">
        <f t="shared" si="4"/>
        <v>94467.07400014023</v>
      </c>
      <c r="L71" s="67"/>
      <c r="M71" s="67">
        <v>-202485.62967055681</v>
      </c>
      <c r="N71" s="67"/>
      <c r="O71" s="67">
        <f t="shared" si="1"/>
        <v>14028691.426849205</v>
      </c>
    </row>
    <row r="72" spans="1:15" x14ac:dyDescent="0.3">
      <c r="A72" s="69">
        <v>44075</v>
      </c>
      <c r="B72" s="70"/>
      <c r="C72" s="67"/>
      <c r="D72" s="67"/>
      <c r="E72" s="67"/>
      <c r="F72" s="67"/>
      <c r="G72" s="67">
        <f t="shared" si="2"/>
        <v>22640.411992880039</v>
      </c>
      <c r="H72" s="67"/>
      <c r="I72" s="67">
        <f t="shared" si="3"/>
        <v>71094.350209092605</v>
      </c>
      <c r="J72" s="67"/>
      <c r="K72" s="67">
        <f t="shared" si="4"/>
        <v>93734.76220197264</v>
      </c>
      <c r="L72" s="67"/>
      <c r="M72" s="67">
        <v>-202485.62967055681</v>
      </c>
      <c r="N72" s="67"/>
      <c r="O72" s="67">
        <f t="shared" si="1"/>
        <v>13919940.559380621</v>
      </c>
    </row>
    <row r="73" spans="1:15" x14ac:dyDescent="0.3">
      <c r="A73" s="69">
        <v>44105</v>
      </c>
      <c r="B73" s="70"/>
      <c r="C73" s="67"/>
      <c r="D73" s="67"/>
      <c r="E73" s="67"/>
      <c r="F73" s="67"/>
      <c r="G73" s="67">
        <f t="shared" si="2"/>
        <v>22462.332447400229</v>
      </c>
      <c r="H73" s="67"/>
      <c r="I73" s="67">
        <f t="shared" si="3"/>
        <v>70535.153248569142</v>
      </c>
      <c r="J73" s="67"/>
      <c r="K73" s="67">
        <f t="shared" si="4"/>
        <v>92997.485695969372</v>
      </c>
      <c r="L73" s="67"/>
      <c r="M73" s="67">
        <v>-202485.62967055681</v>
      </c>
      <c r="N73" s="67"/>
      <c r="O73" s="67">
        <f t="shared" ref="O73:O136" si="5">O72+C73+M73+E73+K73</f>
        <v>13810452.415406033</v>
      </c>
    </row>
    <row r="74" spans="1:15" x14ac:dyDescent="0.3">
      <c r="A74" s="69">
        <v>44136</v>
      </c>
      <c r="B74" s="70"/>
      <c r="C74" s="67"/>
      <c r="D74" s="67"/>
      <c r="E74" s="67"/>
      <c r="F74" s="67"/>
      <c r="G74" s="67">
        <f t="shared" si="2"/>
        <v>22283.045611641843</v>
      </c>
      <c r="H74" s="67"/>
      <c r="I74" s="67">
        <f t="shared" si="3"/>
        <v>69972.165212251814</v>
      </c>
      <c r="J74" s="67"/>
      <c r="K74" s="67">
        <f t="shared" si="4"/>
        <v>92255.210823893663</v>
      </c>
      <c r="L74" s="67"/>
      <c r="M74" s="67">
        <v>-202485.62967055681</v>
      </c>
      <c r="N74" s="67"/>
      <c r="O74" s="67">
        <f t="shared" si="5"/>
        <v>13700221.99655937</v>
      </c>
    </row>
    <row r="75" spans="1:15" x14ac:dyDescent="0.3">
      <c r="A75" s="69">
        <v>44166</v>
      </c>
      <c r="B75" s="70"/>
      <c r="C75" s="67"/>
      <c r="D75" s="67"/>
      <c r="E75" s="67"/>
      <c r="F75" s="67"/>
      <c r="G75" s="67">
        <f t="shared" si="2"/>
        <v>22102.543300780435</v>
      </c>
      <c r="H75" s="67"/>
      <c r="I75" s="67">
        <f t="shared" si="3"/>
        <v>69405.360398542281</v>
      </c>
      <c r="J75" s="67"/>
      <c r="K75" s="67">
        <f t="shared" si="4"/>
        <v>91507.90369932272</v>
      </c>
      <c r="L75" s="67"/>
      <c r="M75" s="67">
        <v>-202485.62967055681</v>
      </c>
      <c r="N75" s="67"/>
      <c r="O75" s="67">
        <f t="shared" si="5"/>
        <v>13589244.270588137</v>
      </c>
    </row>
    <row r="76" spans="1:15" x14ac:dyDescent="0.3">
      <c r="A76" s="69">
        <v>44197</v>
      </c>
      <c r="B76" s="70"/>
      <c r="C76" s="67"/>
      <c r="D76" s="67"/>
      <c r="E76" s="67"/>
      <c r="F76" s="67"/>
      <c r="G76" s="67">
        <f t="shared" si="2"/>
        <v>21920.81727450254</v>
      </c>
      <c r="H76" s="67"/>
      <c r="I76" s="67">
        <f t="shared" si="3"/>
        <v>68834.712931598202</v>
      </c>
      <c r="J76" s="67"/>
      <c r="K76" s="67">
        <f t="shared" si="4"/>
        <v>90755.530206100739</v>
      </c>
      <c r="L76" s="67"/>
      <c r="M76" s="67">
        <v>-202485.62967055681</v>
      </c>
      <c r="N76" s="67"/>
      <c r="O76" s="67">
        <f t="shared" si="5"/>
        <v>13477514.171123682</v>
      </c>
    </row>
    <row r="77" spans="1:15" x14ac:dyDescent="0.3">
      <c r="A77" s="69">
        <v>44228</v>
      </c>
      <c r="B77" s="70"/>
      <c r="C77" s="67"/>
      <c r="D77" s="67"/>
      <c r="E77" s="67"/>
      <c r="F77" s="67"/>
      <c r="G77" s="67">
        <f t="shared" si="2"/>
        <v>21737.859236629494</v>
      </c>
      <c r="H77" s="67"/>
      <c r="I77" s="67">
        <f t="shared" si="3"/>
        <v>68260.196760151972</v>
      </c>
      <c r="J77" s="67"/>
      <c r="K77" s="67">
        <f t="shared" si="4"/>
        <v>89998.055996781462</v>
      </c>
      <c r="L77" s="67"/>
      <c r="M77" s="67">
        <v>-202485.62967055681</v>
      </c>
      <c r="N77" s="67"/>
      <c r="O77" s="67">
        <f t="shared" si="5"/>
        <v>13365026.597449906</v>
      </c>
    </row>
    <row r="78" spans="1:15" x14ac:dyDescent="0.3">
      <c r="A78" s="69">
        <v>44256</v>
      </c>
      <c r="B78" s="70"/>
      <c r="C78" s="67"/>
      <c r="D78" s="67"/>
      <c r="E78" s="67"/>
      <c r="F78" s="67"/>
      <c r="G78" s="67">
        <f t="shared" si="2"/>
        <v>21553.660834738686</v>
      </c>
      <c r="H78" s="67"/>
      <c r="I78" s="67">
        <f t="shared" si="3"/>
        <v>67681.785656321415</v>
      </c>
      <c r="J78" s="67"/>
      <c r="K78" s="67">
        <f t="shared" si="4"/>
        <v>89235.446491060109</v>
      </c>
      <c r="L78" s="67"/>
      <c r="M78" s="67">
        <v>-202485.62967055681</v>
      </c>
      <c r="N78" s="67"/>
      <c r="O78" s="67">
        <f t="shared" si="5"/>
        <v>13251776.41427041</v>
      </c>
    </row>
    <row r="79" spans="1:15" x14ac:dyDescent="0.3">
      <c r="A79" s="69">
        <v>44287</v>
      </c>
      <c r="B79" s="70"/>
      <c r="C79" s="67"/>
      <c r="D79" s="67"/>
      <c r="E79" s="67"/>
      <c r="F79" s="67"/>
      <c r="G79" s="67">
        <f t="shared" si="2"/>
        <v>21368.213659782261</v>
      </c>
      <c r="H79" s="67"/>
      <c r="I79" s="67">
        <f t="shared" si="3"/>
        <v>67099.453214412439</v>
      </c>
      <c r="J79" s="67"/>
      <c r="K79" s="67">
        <f t="shared" si="4"/>
        <v>88467.666874194692</v>
      </c>
      <c r="L79" s="67"/>
      <c r="M79" s="67">
        <v>-202485.62967055681</v>
      </c>
      <c r="N79" s="67"/>
      <c r="O79" s="67">
        <f t="shared" si="5"/>
        <v>13137758.451474048</v>
      </c>
    </row>
    <row r="80" spans="1:15" x14ac:dyDescent="0.3">
      <c r="A80" s="69">
        <v>44317</v>
      </c>
      <c r="B80" s="70"/>
      <c r="C80" s="67"/>
      <c r="D80" s="67"/>
      <c r="E80" s="67"/>
      <c r="F80" s="67"/>
      <c r="G80" s="67">
        <f t="shared" si="2"/>
        <v>21181.509245703219</v>
      </c>
      <c r="H80" s="67"/>
      <c r="I80" s="67">
        <f t="shared" si="3"/>
        <v>66513.172849713548</v>
      </c>
      <c r="J80" s="67"/>
      <c r="K80" s="67">
        <f t="shared" si="4"/>
        <v>87694.682095416763</v>
      </c>
      <c r="L80" s="67"/>
      <c r="M80" s="67">
        <v>-202485.62967055681</v>
      </c>
      <c r="N80" s="67"/>
      <c r="O80" s="67">
        <f t="shared" si="5"/>
        <v>13022967.503898907</v>
      </c>
    </row>
    <row r="81" spans="1:15" x14ac:dyDescent="0.3">
      <c r="A81" s="69">
        <v>44348</v>
      </c>
      <c r="B81" s="70"/>
      <c r="C81" s="67"/>
      <c r="D81" s="67"/>
      <c r="E81" s="67"/>
      <c r="F81" s="67"/>
      <c r="G81" s="67">
        <f t="shared" si="2"/>
        <v>20993.539069048926</v>
      </c>
      <c r="H81" s="67"/>
      <c r="I81" s="67">
        <f t="shared" si="3"/>
        <v>65922.917797282178</v>
      </c>
      <c r="J81" s="67"/>
      <c r="K81" s="67">
        <f t="shared" si="4"/>
        <v>86916.456866331107</v>
      </c>
      <c r="L81" s="67"/>
      <c r="M81" s="67">
        <v>-202485.62967055681</v>
      </c>
      <c r="N81" s="67"/>
      <c r="O81" s="67">
        <f t="shared" si="5"/>
        <v>12907398.331094682</v>
      </c>
    </row>
    <row r="82" spans="1:15" x14ac:dyDescent="0.3">
      <c r="A82" s="69">
        <v>44378</v>
      </c>
      <c r="B82" s="70"/>
      <c r="C82" s="67"/>
      <c r="D82" s="67"/>
      <c r="E82" s="67"/>
      <c r="F82" s="67"/>
      <c r="G82" s="67">
        <f t="shared" si="2"/>
        <v>20804.294548582006</v>
      </c>
      <c r="H82" s="67"/>
      <c r="I82" s="67">
        <f t="shared" si="3"/>
        <v>65328.661110722853</v>
      </c>
      <c r="J82" s="67"/>
      <c r="K82" s="67">
        <f t="shared" si="4"/>
        <v>86132.955659304862</v>
      </c>
      <c r="L82" s="67"/>
      <c r="M82" s="67">
        <v>-202485.62967055681</v>
      </c>
      <c r="N82" s="67"/>
      <c r="O82" s="67">
        <f t="shared" si="5"/>
        <v>12791045.657083431</v>
      </c>
    </row>
    <row r="83" spans="1:15" x14ac:dyDescent="0.3">
      <c r="A83" s="69">
        <v>44409</v>
      </c>
      <c r="B83" s="70"/>
      <c r="C83" s="67"/>
      <c r="D83" s="67"/>
      <c r="E83" s="67"/>
      <c r="F83" s="67"/>
      <c r="G83" s="67">
        <f t="shared" si="2"/>
        <v>20613.767044888584</v>
      </c>
      <c r="H83" s="67"/>
      <c r="I83" s="67">
        <f t="shared" si="3"/>
        <v>64730.375660956997</v>
      </c>
      <c r="J83" s="67"/>
      <c r="K83" s="67">
        <f t="shared" si="4"/>
        <v>85344.142705845588</v>
      </c>
      <c r="L83" s="67"/>
      <c r="M83" s="67">
        <v>-202485.62967055681</v>
      </c>
      <c r="N83" s="67"/>
      <c r="O83" s="67">
        <f t="shared" si="5"/>
        <v>12673904.170118719</v>
      </c>
    </row>
    <row r="84" spans="1:15" x14ac:dyDescent="0.3">
      <c r="A84" s="69">
        <v>44440</v>
      </c>
      <c r="B84" s="70"/>
      <c r="C84" s="67"/>
      <c r="D84" s="67"/>
      <c r="E84" s="67"/>
      <c r="F84" s="67"/>
      <c r="G84" s="67">
        <f t="shared" si="2"/>
        <v>20421.947859983866</v>
      </c>
      <c r="H84" s="67"/>
      <c r="I84" s="67">
        <f t="shared" si="3"/>
        <v>64128.034134984453</v>
      </c>
      <c r="J84" s="67"/>
      <c r="K84" s="67">
        <f t="shared" si="4"/>
        <v>84549.981994968315</v>
      </c>
      <c r="L84" s="67"/>
      <c r="M84" s="67">
        <v>-202485.62967055681</v>
      </c>
      <c r="N84" s="67"/>
      <c r="O84" s="67">
        <f t="shared" si="5"/>
        <v>12555968.522443131</v>
      </c>
    </row>
    <row r="85" spans="1:15" x14ac:dyDescent="0.3">
      <c r="A85" s="69">
        <v>44470</v>
      </c>
      <c r="B85" s="70"/>
      <c r="C85" s="67"/>
      <c r="D85" s="67"/>
      <c r="E85" s="67"/>
      <c r="F85" s="67"/>
      <c r="G85" s="67">
        <f t="shared" si="2"/>
        <v>20228.828236915091</v>
      </c>
      <c r="H85" s="67"/>
      <c r="I85" s="67">
        <f t="shared" si="3"/>
        <v>63521.609034636575</v>
      </c>
      <c r="J85" s="67"/>
      <c r="K85" s="67">
        <f t="shared" si="4"/>
        <v>83750.437271551666</v>
      </c>
      <c r="L85" s="67"/>
      <c r="M85" s="67">
        <v>-202485.62967055681</v>
      </c>
      <c r="N85" s="67"/>
      <c r="O85" s="67">
        <f t="shared" si="5"/>
        <v>12437233.330044126</v>
      </c>
    </row>
    <row r="86" spans="1:15" x14ac:dyDescent="0.3">
      <c r="A86" s="69">
        <v>44501</v>
      </c>
      <c r="B86" s="70"/>
      <c r="C86" s="67"/>
      <c r="D86" s="67"/>
      <c r="E86" s="67"/>
      <c r="F86" s="67"/>
      <c r="G86" s="67">
        <f t="shared" si="2"/>
        <v>20034.39935936172</v>
      </c>
      <c r="H86" s="67"/>
      <c r="I86" s="67">
        <f t="shared" si="3"/>
        <v>62911.072675320895</v>
      </c>
      <c r="J86" s="67"/>
      <c r="K86" s="67">
        <f t="shared" si="4"/>
        <v>82945.472034682607</v>
      </c>
      <c r="L86" s="67"/>
      <c r="M86" s="67">
        <v>-202485.62967055681</v>
      </c>
      <c r="N86" s="67"/>
      <c r="O86" s="67">
        <f t="shared" si="5"/>
        <v>12317693.172408253</v>
      </c>
    </row>
    <row r="87" spans="1:15" x14ac:dyDescent="0.3">
      <c r="A87" s="69">
        <v>44531</v>
      </c>
      <c r="B87" s="70"/>
      <c r="C87" s="67"/>
      <c r="D87" s="67"/>
      <c r="E87" s="67"/>
      <c r="F87" s="67"/>
      <c r="G87" s="67">
        <f t="shared" si="2"/>
        <v>19838.652351232977</v>
      </c>
      <c r="H87" s="67"/>
      <c r="I87" s="67">
        <f t="shared" si="3"/>
        <v>62296.397184757232</v>
      </c>
      <c r="J87" s="67"/>
      <c r="K87" s="67">
        <f t="shared" si="4"/>
        <v>82135.049535990212</v>
      </c>
      <c r="L87" s="67"/>
      <c r="M87" s="67">
        <v>-202485.62967055681</v>
      </c>
      <c r="N87" s="67"/>
      <c r="O87" s="67">
        <f t="shared" si="5"/>
        <v>12197342.592273686</v>
      </c>
    </row>
    <row r="88" spans="1:15" x14ac:dyDescent="0.3">
      <c r="A88" s="69">
        <v>44562</v>
      </c>
      <c r="B88" s="70"/>
      <c r="C88" s="67"/>
      <c r="D88" s="67"/>
      <c r="E88" s="67"/>
      <c r="F88" s="67"/>
      <c r="G88" s="67">
        <f t="shared" si="2"/>
        <v>19641.578276262626</v>
      </c>
      <c r="H88" s="67"/>
      <c r="I88" s="67">
        <f t="shared" si="3"/>
        <v>61677.554501705294</v>
      </c>
      <c r="J88" s="67"/>
      <c r="K88" s="67">
        <f t="shared" si="4"/>
        <v>81319.132777967927</v>
      </c>
      <c r="L88" s="67"/>
      <c r="M88" s="67">
        <v>-202485.62967055681</v>
      </c>
      <c r="N88" s="67"/>
      <c r="O88" s="67">
        <f t="shared" si="5"/>
        <v>12076176.095381098</v>
      </c>
    </row>
    <row r="89" spans="1:15" x14ac:dyDescent="0.3">
      <c r="A89" s="69">
        <v>44593</v>
      </c>
      <c r="B89" s="70"/>
      <c r="C89" s="67"/>
      <c r="D89" s="67"/>
      <c r="E89" s="67"/>
      <c r="F89" s="67"/>
      <c r="G89" s="67">
        <f t="shared" si="2"/>
        <v>19443.168137601013</v>
      </c>
      <c r="H89" s="67"/>
      <c r="I89" s="67">
        <f t="shared" si="3"/>
        <v>61054.516374683604</v>
      </c>
      <c r="J89" s="67"/>
      <c r="K89" s="67">
        <f t="shared" si="4"/>
        <v>80497.684512284613</v>
      </c>
      <c r="L89" s="67"/>
      <c r="M89" s="67">
        <v>-202485.62967055681</v>
      </c>
      <c r="N89" s="67"/>
      <c r="O89" s="67">
        <f t="shared" si="5"/>
        <v>11954188.150222827</v>
      </c>
    </row>
    <row r="90" spans="1:15" x14ac:dyDescent="0.3">
      <c r="A90" s="69">
        <v>44621</v>
      </c>
      <c r="B90" s="70"/>
      <c r="C90" s="67"/>
      <c r="D90" s="67"/>
      <c r="E90" s="67"/>
      <c r="F90" s="67"/>
      <c r="G90" s="67">
        <f t="shared" si="2"/>
        <v>19243.412877404342</v>
      </c>
      <c r="H90" s="67"/>
      <c r="I90" s="67">
        <f t="shared" si="3"/>
        <v>60427.25436067977</v>
      </c>
      <c r="J90" s="67"/>
      <c r="K90" s="67">
        <f t="shared" si="4"/>
        <v>79670.667238084105</v>
      </c>
      <c r="L90" s="67"/>
      <c r="M90" s="67">
        <v>-202485.62967055681</v>
      </c>
      <c r="N90" s="67"/>
      <c r="O90" s="67">
        <f t="shared" si="5"/>
        <v>11831373.187790355</v>
      </c>
    </row>
    <row r="91" spans="1:15" x14ac:dyDescent="0.3">
      <c r="A91" s="69">
        <v>44652</v>
      </c>
      <c r="B91" s="70"/>
      <c r="C91" s="67"/>
      <c r="D91" s="67"/>
      <c r="E91" s="67"/>
      <c r="F91" s="67"/>
      <c r="G91" s="67">
        <f t="shared" si="2"/>
        <v>19042.303376421169</v>
      </c>
      <c r="H91" s="67"/>
      <c r="I91" s="67">
        <f t="shared" si="3"/>
        <v>59795.739823852004</v>
      </c>
      <c r="J91" s="67"/>
      <c r="K91" s="67">
        <f t="shared" si="4"/>
        <v>78838.043200273169</v>
      </c>
      <c r="L91" s="67"/>
      <c r="M91" s="67">
        <v>-202485.62967055681</v>
      </c>
      <c r="N91" s="67"/>
      <c r="O91" s="67">
        <f t="shared" si="5"/>
        <v>11707725.601320071</v>
      </c>
    </row>
    <row r="92" spans="1:15" x14ac:dyDescent="0.3">
      <c r="A92" s="69">
        <v>44682</v>
      </c>
      <c r="B92" s="70"/>
      <c r="C92" s="67"/>
      <c r="D92" s="67"/>
      <c r="E92" s="67"/>
      <c r="F92" s="67"/>
      <c r="G92" s="67">
        <f t="shared" si="2"/>
        <v>18839.83045357608</v>
      </c>
      <c r="H92" s="67"/>
      <c r="I92" s="67">
        <f t="shared" si="3"/>
        <v>59159.943934221803</v>
      </c>
      <c r="J92" s="67"/>
      <c r="K92" s="67">
        <f t="shared" si="4"/>
        <v>77999.774387797879</v>
      </c>
      <c r="L92" s="67"/>
      <c r="M92" s="67">
        <v>-202485.62967055681</v>
      </c>
      <c r="N92" s="67"/>
      <c r="O92" s="67">
        <f t="shared" si="5"/>
        <v>11583239.746037312</v>
      </c>
    </row>
    <row r="93" spans="1:15" x14ac:dyDescent="0.3">
      <c r="A93" s="69">
        <v>44713</v>
      </c>
      <c r="B93" s="70"/>
      <c r="C93" s="67"/>
      <c r="D93" s="67"/>
      <c r="E93" s="67"/>
      <c r="F93" s="67"/>
      <c r="G93" s="67">
        <f t="shared" si="2"/>
        <v>18635.984865550563</v>
      </c>
      <c r="H93" s="67"/>
      <c r="I93" s="67">
        <f t="shared" si="3"/>
        <v>58519.837666357853</v>
      </c>
      <c r="J93" s="67"/>
      <c r="K93" s="67">
        <f t="shared" si="4"/>
        <v>77155.822531908416</v>
      </c>
      <c r="L93" s="67"/>
      <c r="M93" s="67">
        <v>-202485.62967055681</v>
      </c>
      <c r="N93" s="67"/>
      <c r="O93" s="67">
        <f t="shared" si="5"/>
        <v>11457909.938898664</v>
      </c>
    </row>
    <row r="94" spans="1:15" x14ac:dyDescent="0.3">
      <c r="A94" s="69">
        <v>44743</v>
      </c>
      <c r="B94" s="70"/>
      <c r="C94" s="67"/>
      <c r="D94" s="67"/>
      <c r="E94" s="67"/>
      <c r="F94" s="67"/>
      <c r="G94" s="67">
        <f t="shared" si="2"/>
        <v>18430.757306361025</v>
      </c>
      <c r="H94" s="67"/>
      <c r="I94" s="67">
        <f t="shared" si="3"/>
        <v>57875.391798050929</v>
      </c>
      <c r="J94" s="67"/>
      <c r="K94" s="67">
        <f t="shared" si="4"/>
        <v>76306.149104411947</v>
      </c>
      <c r="L94" s="67"/>
      <c r="M94" s="67">
        <v>-202485.62967055681</v>
      </c>
      <c r="N94" s="67"/>
      <c r="O94" s="67">
        <f t="shared" si="5"/>
        <v>11331730.45833252</v>
      </c>
    </row>
    <row r="95" spans="1:15" x14ac:dyDescent="0.3">
      <c r="A95" s="69">
        <v>44774</v>
      </c>
      <c r="B95" s="70"/>
      <c r="C95" s="67"/>
      <c r="D95" s="67"/>
      <c r="E95" s="67"/>
      <c r="F95" s="67"/>
      <c r="G95" s="67">
        <f t="shared" si="2"/>
        <v>18224.138406933966</v>
      </c>
      <c r="H95" s="67"/>
      <c r="I95" s="67">
        <f t="shared" si="3"/>
        <v>57226.576908979812</v>
      </c>
      <c r="J95" s="67"/>
      <c r="K95" s="67">
        <f t="shared" si="4"/>
        <v>75450.715315913782</v>
      </c>
      <c r="L95" s="67"/>
      <c r="M95" s="67">
        <v>-202485.62967055681</v>
      </c>
      <c r="N95" s="67"/>
      <c r="O95" s="67">
        <f t="shared" si="5"/>
        <v>11204695.543977877</v>
      </c>
    </row>
    <row r="96" spans="1:15" x14ac:dyDescent="0.3">
      <c r="A96" s="69">
        <v>44805</v>
      </c>
      <c r="B96" s="70"/>
      <c r="C96" s="67"/>
      <c r="D96" s="67"/>
      <c r="E96" s="67"/>
      <c r="F96" s="67"/>
      <c r="G96" s="67">
        <f t="shared" si="2"/>
        <v>18016.118734678239</v>
      </c>
      <c r="H96" s="67"/>
      <c r="I96" s="67">
        <f t="shared" si="3"/>
        <v>56573.363379368238</v>
      </c>
      <c r="J96" s="67"/>
      <c r="K96" s="67">
        <f t="shared" si="4"/>
        <v>74589.482114046477</v>
      </c>
      <c r="L96" s="67"/>
      <c r="M96" s="67">
        <v>-202485.62967055681</v>
      </c>
      <c r="N96" s="67"/>
      <c r="O96" s="67">
        <f t="shared" si="5"/>
        <v>11076799.396421367</v>
      </c>
    </row>
    <row r="97" spans="1:15" x14ac:dyDescent="0.3">
      <c r="A97" s="69">
        <v>44835</v>
      </c>
      <c r="B97" s="70"/>
      <c r="C97" s="67"/>
      <c r="D97" s="67"/>
      <c r="E97" s="67"/>
      <c r="F97" s="67"/>
      <c r="G97" s="67">
        <f t="shared" si="2"/>
        <v>17806.688793054454</v>
      </c>
      <c r="H97" s="67"/>
      <c r="I97" s="67">
        <f t="shared" si="3"/>
        <v>55915.721388632664</v>
      </c>
      <c r="J97" s="67"/>
      <c r="K97" s="67">
        <f t="shared" si="4"/>
        <v>73722.410181687126</v>
      </c>
      <c r="L97" s="67"/>
      <c r="M97" s="67">
        <v>-202485.62967055681</v>
      </c>
      <c r="N97" s="67"/>
      <c r="O97" s="67">
        <f t="shared" si="5"/>
        <v>10948036.176932497</v>
      </c>
    </row>
    <row r="98" spans="1:15" x14ac:dyDescent="0.3">
      <c r="A98" s="69">
        <v>44866</v>
      </c>
      <c r="B98" s="70"/>
      <c r="C98" s="67"/>
      <c r="D98" s="67"/>
      <c r="E98" s="67"/>
      <c r="F98" s="67"/>
      <c r="G98" s="67">
        <f t="shared" si="2"/>
        <v>17595.839021141426</v>
      </c>
      <c r="H98" s="67"/>
      <c r="I98" s="67">
        <f t="shared" si="3"/>
        <v>55253.620914020896</v>
      </c>
      <c r="J98" s="67"/>
      <c r="K98" s="67">
        <f t="shared" si="4"/>
        <v>72849.459935162318</v>
      </c>
      <c r="L98" s="67"/>
      <c r="M98" s="67">
        <v>-202485.62967055681</v>
      </c>
      <c r="N98" s="67"/>
      <c r="O98" s="67">
        <f t="shared" si="5"/>
        <v>10818400.007197103</v>
      </c>
    </row>
    <row r="99" spans="1:15" x14ac:dyDescent="0.3">
      <c r="A99" s="69">
        <v>44896</v>
      </c>
      <c r="B99" s="70"/>
      <c r="C99" s="67"/>
      <c r="D99" s="67"/>
      <c r="E99" s="67"/>
      <c r="F99" s="67"/>
      <c r="G99" s="67">
        <f t="shared" si="2"/>
        <v>17383.559793199718</v>
      </c>
      <c r="H99" s="67"/>
      <c r="I99" s="67">
        <f t="shared" si="3"/>
        <v>54587.031729241498</v>
      </c>
      <c r="J99" s="67"/>
      <c r="K99" s="67">
        <f t="shared" si="4"/>
        <v>71970.591522441217</v>
      </c>
      <c r="L99" s="67"/>
      <c r="M99" s="67">
        <v>-202485.62967055681</v>
      </c>
      <c r="N99" s="67"/>
      <c r="O99" s="67">
        <f t="shared" si="5"/>
        <v>10687884.969048986</v>
      </c>
    </row>
    <row r="100" spans="1:15" x14ac:dyDescent="0.3">
      <c r="A100" s="69">
        <v>44927</v>
      </c>
      <c r="B100" s="70"/>
      <c r="C100" s="67"/>
      <c r="D100" s="67"/>
      <c r="E100" s="67"/>
      <c r="F100" s="67"/>
      <c r="G100" s="67">
        <f t="shared" si="2"/>
        <v>17169.841418232179</v>
      </c>
      <c r="H100" s="67"/>
      <c r="I100" s="67">
        <f t="shared" si="3"/>
        <v>53915.923403083885</v>
      </c>
      <c r="J100" s="67"/>
      <c r="K100" s="67">
        <f t="shared" si="4"/>
        <v>71085.764821316057</v>
      </c>
      <c r="L100" s="67"/>
      <c r="M100" s="67">
        <v>-202485.62967055681</v>
      </c>
      <c r="N100" s="67"/>
      <c r="O100" s="67">
        <f t="shared" si="5"/>
        <v>10556485.104199745</v>
      </c>
    </row>
    <row r="101" spans="1:15" x14ac:dyDescent="0.3">
      <c r="A101" s="69">
        <v>44958</v>
      </c>
      <c r="B101" s="70"/>
      <c r="C101" s="67"/>
      <c r="D101" s="67"/>
      <c r="E101" s="67"/>
      <c r="F101" s="67"/>
      <c r="G101" s="67">
        <f t="shared" si="2"/>
        <v>16954.674139541545</v>
      </c>
      <c r="H101" s="67"/>
      <c r="I101" s="67">
        <f t="shared" si="3"/>
        <v>53240.26529802908</v>
      </c>
      <c r="J101" s="67"/>
      <c r="K101" s="67">
        <f t="shared" si="4"/>
        <v>70194.939437570632</v>
      </c>
      <c r="L101" s="67"/>
      <c r="M101" s="67">
        <v>-202485.62967055681</v>
      </c>
      <c r="N101" s="67"/>
      <c r="O101" s="67">
        <f t="shared" si="5"/>
        <v>10424194.413966758</v>
      </c>
    </row>
    <row r="102" spans="1:15" x14ac:dyDescent="0.3">
      <c r="A102" s="69">
        <v>44986</v>
      </c>
      <c r="B102" s="70"/>
      <c r="C102" s="67"/>
      <c r="D102" s="67"/>
      <c r="E102" s="67"/>
      <c r="F102" s="67"/>
      <c r="G102" s="67">
        <f t="shared" si="2"/>
        <v>16738.048134285029</v>
      </c>
      <c r="H102" s="67"/>
      <c r="I102" s="67">
        <f t="shared" si="3"/>
        <v>52560.02656885107</v>
      </c>
      <c r="J102" s="67"/>
      <c r="K102" s="67">
        <f t="shared" si="4"/>
        <v>69298.074703136095</v>
      </c>
      <c r="L102" s="67"/>
      <c r="M102" s="67">
        <v>-202485.62967055681</v>
      </c>
      <c r="N102" s="67"/>
      <c r="O102" s="67">
        <f t="shared" si="5"/>
        <v>10291006.858999338</v>
      </c>
    </row>
    <row r="103" spans="1:15" x14ac:dyDescent="0.3">
      <c r="A103" s="69">
        <v>45017</v>
      </c>
      <c r="B103" s="70"/>
      <c r="C103" s="67"/>
      <c r="D103" s="67"/>
      <c r="E103" s="67"/>
      <c r="F103" s="67"/>
      <c r="G103" s="67">
        <f t="shared" si="2"/>
        <v>16519.953513025881</v>
      </c>
      <c r="H103" s="67"/>
      <c r="I103" s="67">
        <f t="shared" si="3"/>
        <v>51875.17616120859</v>
      </c>
      <c r="J103" s="67"/>
      <c r="K103" s="67">
        <f t="shared" si="4"/>
        <v>68395.129674234471</v>
      </c>
      <c r="L103" s="67"/>
      <c r="M103" s="67">
        <v>-202485.62967055681</v>
      </c>
      <c r="N103" s="67"/>
      <c r="O103" s="67">
        <f t="shared" si="5"/>
        <v>10156916.359003017</v>
      </c>
    </row>
    <row r="104" spans="1:15" x14ac:dyDescent="0.3">
      <c r="A104" s="69">
        <v>45047</v>
      </c>
      <c r="B104" s="70"/>
      <c r="C104" s="67"/>
      <c r="D104" s="67"/>
      <c r="E104" s="67"/>
      <c r="F104" s="67"/>
      <c r="G104" s="67">
        <f t="shared" si="2"/>
        <v>16300.380319281903</v>
      </c>
      <c r="H104" s="67"/>
      <c r="I104" s="67">
        <f t="shared" si="3"/>
        <v>51185.68281022751</v>
      </c>
      <c r="J104" s="67"/>
      <c r="K104" s="67">
        <f t="shared" si="4"/>
        <v>67486.063129509421</v>
      </c>
      <c r="L104" s="67"/>
      <c r="M104" s="67">
        <v>-202485.62967055681</v>
      </c>
      <c r="N104" s="67"/>
      <c r="O104" s="67">
        <f t="shared" si="5"/>
        <v>10021916.792461969</v>
      </c>
    </row>
    <row r="105" spans="1:15" x14ac:dyDescent="0.3">
      <c r="A105" s="69">
        <v>45078</v>
      </c>
      <c r="B105" s="70"/>
      <c r="C105" s="67"/>
      <c r="D105" s="67"/>
      <c r="E105" s="67"/>
      <c r="F105" s="67"/>
      <c r="G105" s="67">
        <f t="shared" si="2"/>
        <v>16079.318529070939</v>
      </c>
      <c r="H105" s="67"/>
      <c r="I105" s="67">
        <f t="shared" si="3"/>
        <v>50491.515039073442</v>
      </c>
      <c r="J105" s="67"/>
      <c r="K105" s="67">
        <f t="shared" si="4"/>
        <v>66570.833568144386</v>
      </c>
      <c r="L105" s="67"/>
      <c r="M105" s="67">
        <v>-202485.62967055681</v>
      </c>
      <c r="N105" s="67"/>
      <c r="O105" s="67">
        <f t="shared" si="5"/>
        <v>9886001.9963595569</v>
      </c>
    </row>
    <row r="106" spans="1:15" x14ac:dyDescent="0.3">
      <c r="A106" s="69">
        <v>45108</v>
      </c>
      <c r="B106" s="70"/>
      <c r="C106" s="67"/>
      <c r="D106" s="67"/>
      <c r="E106" s="67"/>
      <c r="F106" s="67"/>
      <c r="G106" s="67">
        <f t="shared" si="2"/>
        <v>15856.758050453238</v>
      </c>
      <c r="H106" s="67"/>
      <c r="I106" s="67">
        <f t="shared" si="3"/>
        <v>49792.641157514838</v>
      </c>
      <c r="J106" s="67"/>
      <c r="K106" s="67">
        <f t="shared" si="4"/>
        <v>65649.399207968076</v>
      </c>
      <c r="L106" s="67"/>
      <c r="M106" s="67">
        <v>-202485.62967055681</v>
      </c>
      <c r="N106" s="67"/>
      <c r="O106" s="67">
        <f t="shared" si="5"/>
        <v>9749165.7658969685</v>
      </c>
    </row>
    <row r="107" spans="1:15" x14ac:dyDescent="0.3">
      <c r="A107" s="69">
        <v>45139</v>
      </c>
      <c r="B107" s="70"/>
      <c r="C107" s="67"/>
      <c r="D107" s="67"/>
      <c r="E107" s="67"/>
      <c r="F107" s="67"/>
      <c r="G107" s="67">
        <f t="shared" si="2"/>
        <v>15632.688723070751</v>
      </c>
      <c r="H107" s="67"/>
      <c r="I107" s="67">
        <f t="shared" si="3"/>
        <v>49089.029260476207</v>
      </c>
      <c r="J107" s="67"/>
      <c r="K107" s="67">
        <f t="shared" si="4"/>
        <v>64721.717983546958</v>
      </c>
      <c r="L107" s="67"/>
      <c r="M107" s="67">
        <v>-202485.62967055681</v>
      </c>
      <c r="N107" s="67"/>
      <c r="O107" s="67">
        <f t="shared" si="5"/>
        <v>9611401.8542099595</v>
      </c>
    </row>
    <row r="108" spans="1:15" x14ac:dyDescent="0.3">
      <c r="A108" s="69">
        <v>45170</v>
      </c>
      <c r="B108" s="70"/>
      <c r="C108" s="67"/>
      <c r="D108" s="67"/>
      <c r="E108" s="67"/>
      <c r="F108" s="67"/>
      <c r="G108" s="67">
        <f t="shared" ref="G108:G164" si="6">((O107+C108+M108+E108)*$R$11)</f>
        <v>15407.100317683273</v>
      </c>
      <c r="H108" s="67"/>
      <c r="I108" s="67">
        <f t="shared" ref="I108:I164" si="7">((O107+C108+M108+E108)*$S$11)</f>
        <v>48380.647226581612</v>
      </c>
      <c r="J108" s="67"/>
      <c r="K108" s="67">
        <f t="shared" ref="K108:K164" si="8">((O107+C108+M108+E108)*$R$11)+((O107+C108+M108+E108)*$S$11)</f>
        <v>63787.747544264887</v>
      </c>
      <c r="L108" s="67"/>
      <c r="M108" s="67">
        <v>-202485.62967055681</v>
      </c>
      <c r="N108" s="67"/>
      <c r="O108" s="67">
        <f t="shared" si="5"/>
        <v>9472703.9720836673</v>
      </c>
    </row>
    <row r="109" spans="1:15" x14ac:dyDescent="0.3">
      <c r="A109" s="69">
        <v>45200</v>
      </c>
      <c r="B109" s="70"/>
      <c r="C109" s="67"/>
      <c r="D109" s="67"/>
      <c r="E109" s="67"/>
      <c r="F109" s="67"/>
      <c r="G109" s="67">
        <f t="shared" si="6"/>
        <v>15179.982535701469</v>
      </c>
      <c r="H109" s="67"/>
      <c r="I109" s="67">
        <f t="shared" si="7"/>
        <v>47667.462716688213</v>
      </c>
      <c r="J109" s="67"/>
      <c r="K109" s="67">
        <f t="shared" si="8"/>
        <v>62847.445252389683</v>
      </c>
      <c r="L109" s="67"/>
      <c r="M109" s="67">
        <v>-202485.62967055681</v>
      </c>
      <c r="N109" s="67"/>
      <c r="O109" s="67">
        <f t="shared" si="5"/>
        <v>9333065.7876655012</v>
      </c>
    </row>
    <row r="110" spans="1:15" x14ac:dyDescent="0.3">
      <c r="A110" s="69">
        <v>45231</v>
      </c>
      <c r="B110" s="70"/>
      <c r="C110" s="67"/>
      <c r="D110" s="67"/>
      <c r="E110" s="67"/>
      <c r="F110" s="67"/>
      <c r="G110" s="67">
        <f t="shared" si="6"/>
        <v>14951.325008716722</v>
      </c>
      <c r="H110" s="67"/>
      <c r="I110" s="67">
        <f t="shared" si="7"/>
        <v>46949.443172410007</v>
      </c>
      <c r="J110" s="67"/>
      <c r="K110" s="67">
        <f t="shared" si="8"/>
        <v>61900.768181126725</v>
      </c>
      <c r="L110" s="67"/>
      <c r="M110" s="67">
        <v>-202485.62967055681</v>
      </c>
      <c r="N110" s="67"/>
      <c r="O110" s="67">
        <f t="shared" si="5"/>
        <v>9192480.9261760712</v>
      </c>
    </row>
    <row r="111" spans="1:15" x14ac:dyDescent="0.3">
      <c r="A111" s="69">
        <v>45261</v>
      </c>
      <c r="B111" s="70"/>
      <c r="C111" s="67"/>
      <c r="D111" s="67"/>
      <c r="E111" s="67"/>
      <c r="F111" s="67"/>
      <c r="G111" s="67">
        <f t="shared" si="6"/>
        <v>14721.117298027781</v>
      </c>
      <c r="H111" s="67"/>
      <c r="I111" s="67">
        <f t="shared" si="7"/>
        <v>46226.555814631356</v>
      </c>
      <c r="J111" s="67"/>
      <c r="K111" s="67">
        <f t="shared" si="8"/>
        <v>60947.673112659133</v>
      </c>
      <c r="L111" s="67"/>
      <c r="M111" s="67">
        <v>-202485.62967055681</v>
      </c>
      <c r="N111" s="67"/>
      <c r="O111" s="67">
        <f t="shared" si="5"/>
        <v>9050942.9696181733</v>
      </c>
    </row>
    <row r="112" spans="1:15" x14ac:dyDescent="0.3">
      <c r="A112" s="69">
        <v>45292</v>
      </c>
      <c r="B112" s="70"/>
      <c r="C112" s="67"/>
      <c r="D112" s="67"/>
      <c r="E112" s="67"/>
      <c r="F112" s="67"/>
      <c r="G112" s="67">
        <f t="shared" si="6"/>
        <v>14489.348894164223</v>
      </c>
      <c r="H112" s="67"/>
      <c r="I112" s="67">
        <f t="shared" si="7"/>
        <v>45498.767642010644</v>
      </c>
      <c r="J112" s="67"/>
      <c r="K112" s="67">
        <f t="shared" si="8"/>
        <v>59988.116536174864</v>
      </c>
      <c r="L112" s="67"/>
      <c r="M112" s="67">
        <v>-202485.62967055681</v>
      </c>
      <c r="N112" s="67"/>
      <c r="O112" s="67">
        <f t="shared" si="5"/>
        <v>8908445.4564837907</v>
      </c>
    </row>
    <row r="113" spans="1:15" x14ac:dyDescent="0.3">
      <c r="A113" s="69">
        <v>45323</v>
      </c>
      <c r="B113" s="70"/>
      <c r="C113" s="67"/>
      <c r="D113" s="67"/>
      <c r="E113" s="67"/>
      <c r="F113" s="67"/>
      <c r="G113" s="67">
        <f t="shared" si="6"/>
        <v>14256.009216406672</v>
      </c>
      <c r="H113" s="67"/>
      <c r="I113" s="67">
        <f t="shared" si="7"/>
        <v>44766.045429473648</v>
      </c>
      <c r="J113" s="67"/>
      <c r="K113" s="67">
        <f t="shared" si="8"/>
        <v>59022.054645880322</v>
      </c>
      <c r="L113" s="67"/>
      <c r="M113" s="67">
        <v>-202485.62967055681</v>
      </c>
      <c r="N113" s="67"/>
      <c r="O113" s="67">
        <f t="shared" si="5"/>
        <v>8764981.8814591151</v>
      </c>
    </row>
    <row r="114" spans="1:15" x14ac:dyDescent="0.3">
      <c r="A114" s="69">
        <v>45352</v>
      </c>
      <c r="B114" s="70"/>
      <c r="C114" s="67"/>
      <c r="D114" s="67"/>
      <c r="E114" s="67"/>
      <c r="F114" s="67"/>
      <c r="G114" s="67">
        <f t="shared" si="6"/>
        <v>14021.087612303765</v>
      </c>
      <c r="H114" s="67"/>
      <c r="I114" s="67">
        <f t="shared" si="7"/>
        <v>44028.355726696769</v>
      </c>
      <c r="J114" s="67"/>
      <c r="K114" s="67">
        <f t="shared" si="8"/>
        <v>58049.443339000536</v>
      </c>
      <c r="L114" s="67"/>
      <c r="M114" s="67">
        <v>-202485.62967055681</v>
      </c>
      <c r="N114" s="67"/>
      <c r="O114" s="67">
        <f t="shared" si="5"/>
        <v>8620545.6951275598</v>
      </c>
    </row>
    <row r="115" spans="1:15" x14ac:dyDescent="0.3">
      <c r="A115" s="69">
        <v>45383</v>
      </c>
      <c r="B115" s="70"/>
      <c r="C115" s="67"/>
      <c r="D115" s="67"/>
      <c r="E115" s="67"/>
      <c r="F115" s="67"/>
      <c r="G115" s="67">
        <f t="shared" si="6"/>
        <v>13784.573357185844</v>
      </c>
      <c r="H115" s="67"/>
      <c r="I115" s="67">
        <f t="shared" si="7"/>
        <v>43285.664856579911</v>
      </c>
      <c r="J115" s="67"/>
      <c r="K115" s="67">
        <f t="shared" si="8"/>
        <v>57070.238213765755</v>
      </c>
      <c r="L115" s="67"/>
      <c r="M115" s="67">
        <v>-202485.62967055681</v>
      </c>
      <c r="N115" s="67"/>
      <c r="O115" s="67">
        <f t="shared" si="5"/>
        <v>8475130.3036707696</v>
      </c>
    </row>
    <row r="116" spans="1:15" x14ac:dyDescent="0.3">
      <c r="A116" s="69">
        <v>45413</v>
      </c>
      <c r="B116" s="70"/>
      <c r="C116" s="67"/>
      <c r="D116" s="67"/>
      <c r="E116" s="67"/>
      <c r="F116" s="67"/>
      <c r="G116" s="67">
        <f t="shared" si="6"/>
        <v>13546.45565367535</v>
      </c>
      <c r="H116" s="67"/>
      <c r="I116" s="67">
        <f t="shared" si="7"/>
        <v>42537.938913709091</v>
      </c>
      <c r="J116" s="67"/>
      <c r="K116" s="67">
        <f t="shared" si="8"/>
        <v>56084.394567384443</v>
      </c>
      <c r="L116" s="67"/>
      <c r="M116" s="67">
        <v>-202485.62967055681</v>
      </c>
      <c r="N116" s="67"/>
      <c r="O116" s="67">
        <f t="shared" si="5"/>
        <v>8328729.0685675973</v>
      </c>
    </row>
    <row r="117" spans="1:15" x14ac:dyDescent="0.3">
      <c r="A117" s="69">
        <v>45444</v>
      </c>
      <c r="B117" s="70"/>
      <c r="C117" s="67"/>
      <c r="D117" s="67"/>
      <c r="E117" s="67"/>
      <c r="F117" s="67"/>
      <c r="G117" s="67">
        <f t="shared" si="6"/>
        <v>13306.723631193905</v>
      </c>
      <c r="H117" s="67"/>
      <c r="I117" s="67">
        <f t="shared" si="7"/>
        <v>41785.143762808584</v>
      </c>
      <c r="J117" s="67"/>
      <c r="K117" s="67">
        <f t="shared" si="8"/>
        <v>55091.867394002489</v>
      </c>
      <c r="L117" s="67"/>
      <c r="M117" s="67">
        <v>-202485.62967055681</v>
      </c>
      <c r="N117" s="67"/>
      <c r="O117" s="67">
        <f t="shared" si="5"/>
        <v>8181335.3062910428</v>
      </c>
    </row>
    <row r="118" spans="1:15" x14ac:dyDescent="0.3">
      <c r="A118" s="69">
        <v>45474</v>
      </c>
      <c r="B118" s="70"/>
      <c r="C118" s="67"/>
      <c r="D118" s="67"/>
      <c r="E118" s="67"/>
      <c r="F118" s="67"/>
      <c r="G118" s="67">
        <f t="shared" si="6"/>
        <v>13065.366345466047</v>
      </c>
      <c r="H118" s="67"/>
      <c r="I118" s="67">
        <f t="shared" si="7"/>
        <v>41027.24503718254</v>
      </c>
      <c r="J118" s="67"/>
      <c r="K118" s="67">
        <f t="shared" si="8"/>
        <v>54092.611382648589</v>
      </c>
      <c r="L118" s="67"/>
      <c r="M118" s="67">
        <v>-202485.62967055681</v>
      </c>
      <c r="N118" s="67"/>
      <c r="O118" s="67">
        <f t="shared" si="5"/>
        <v>8032942.2880031345</v>
      </c>
    </row>
    <row r="119" spans="1:15" x14ac:dyDescent="0.3">
      <c r="A119" s="69">
        <v>45505</v>
      </c>
      <c r="B119" s="70"/>
      <c r="C119" s="67"/>
      <c r="D119" s="67"/>
      <c r="E119" s="67"/>
      <c r="F119" s="67"/>
      <c r="G119" s="67">
        <f t="shared" si="6"/>
        <v>12822.372778019597</v>
      </c>
      <c r="H119" s="67"/>
      <c r="I119" s="67">
        <f t="shared" si="7"/>
        <v>40264.208137146117</v>
      </c>
      <c r="J119" s="67"/>
      <c r="K119" s="67">
        <f t="shared" si="8"/>
        <v>53086.580915165716</v>
      </c>
      <c r="L119" s="67"/>
      <c r="M119" s="67">
        <v>-202485.62967055681</v>
      </c>
      <c r="N119" s="67"/>
      <c r="O119" s="67">
        <f t="shared" si="5"/>
        <v>7883543.239247744</v>
      </c>
    </row>
    <row r="120" spans="1:15" x14ac:dyDescent="0.3">
      <c r="A120" s="69">
        <v>45536</v>
      </c>
      <c r="B120" s="70"/>
      <c r="C120" s="67"/>
      <c r="D120" s="67"/>
      <c r="E120" s="67"/>
      <c r="F120" s="67"/>
      <c r="G120" s="67">
        <f t="shared" si="6"/>
        <v>12577.731835682645</v>
      </c>
      <c r="H120" s="67"/>
      <c r="I120" s="67">
        <f t="shared" si="7"/>
        <v>39495.998228445897</v>
      </c>
      <c r="J120" s="67"/>
      <c r="K120" s="67">
        <f t="shared" si="8"/>
        <v>52073.73006412854</v>
      </c>
      <c r="L120" s="67"/>
      <c r="M120" s="67">
        <v>-202485.62967055681</v>
      </c>
      <c r="N120" s="67"/>
      <c r="O120" s="67">
        <f t="shared" si="5"/>
        <v>7733131.3396413159</v>
      </c>
    </row>
    <row r="121" spans="1:15" x14ac:dyDescent="0.3">
      <c r="A121" s="69">
        <v>45566</v>
      </c>
      <c r="B121" s="70"/>
      <c r="C121" s="67"/>
      <c r="D121" s="67"/>
      <c r="E121" s="67"/>
      <c r="F121" s="67"/>
      <c r="G121" s="67">
        <f t="shared" si="6"/>
        <v>12331.432350077119</v>
      </c>
      <c r="H121" s="67"/>
      <c r="I121" s="67">
        <f t="shared" si="7"/>
        <v>38722.580240669646</v>
      </c>
      <c r="J121" s="67"/>
      <c r="K121" s="67">
        <f t="shared" si="8"/>
        <v>51054.012590746766</v>
      </c>
      <c r="L121" s="67"/>
      <c r="M121" s="67">
        <v>-202485.62967055681</v>
      </c>
      <c r="N121" s="67"/>
      <c r="O121" s="67">
        <f t="shared" si="5"/>
        <v>7581699.7225615056</v>
      </c>
    </row>
    <row r="122" spans="1:15" x14ac:dyDescent="0.3">
      <c r="A122" s="69">
        <v>45597</v>
      </c>
      <c r="B122" s="70"/>
      <c r="C122" s="67"/>
      <c r="D122" s="67"/>
      <c r="E122" s="67"/>
      <c r="F122" s="67"/>
      <c r="G122" s="67">
        <f t="shared" si="6"/>
        <v>12083.463077108929</v>
      </c>
      <c r="H122" s="67"/>
      <c r="I122" s="67">
        <f t="shared" si="7"/>
        <v>37943.918865645261</v>
      </c>
      <c r="J122" s="67"/>
      <c r="K122" s="67">
        <f t="shared" si="8"/>
        <v>50027.381942754189</v>
      </c>
      <c r="L122" s="67"/>
      <c r="M122" s="67">
        <v>-202485.62967055681</v>
      </c>
      <c r="N122" s="67"/>
      <c r="O122" s="67">
        <f t="shared" si="5"/>
        <v>7429241.4748337036</v>
      </c>
    </row>
    <row r="123" spans="1:15" x14ac:dyDescent="0.3">
      <c r="A123" s="69">
        <v>45627</v>
      </c>
      <c r="B123" s="70"/>
      <c r="C123" s="67"/>
      <c r="D123" s="67"/>
      <c r="E123" s="67"/>
      <c r="F123" s="67"/>
      <c r="G123" s="67">
        <f t="shared" si="6"/>
        <v>11833.812696454654</v>
      </c>
      <c r="H123" s="67"/>
      <c r="I123" s="67">
        <f t="shared" si="7"/>
        <v>37159.9785558289</v>
      </c>
      <c r="J123" s="67"/>
      <c r="K123" s="67">
        <f t="shared" si="8"/>
        <v>48993.791252283554</v>
      </c>
      <c r="L123" s="67"/>
      <c r="M123" s="67">
        <v>-202485.62967055681</v>
      </c>
      <c r="N123" s="67"/>
      <c r="O123" s="67">
        <f t="shared" si="5"/>
        <v>7275749.6364154303</v>
      </c>
    </row>
    <row r="124" spans="1:15" x14ac:dyDescent="0.3">
      <c r="A124" s="69">
        <v>45658</v>
      </c>
      <c r="B124" s="70"/>
      <c r="C124" s="67"/>
      <c r="D124" s="67"/>
      <c r="E124" s="67"/>
      <c r="F124" s="67"/>
      <c r="G124" s="67">
        <f t="shared" si="6"/>
        <v>11582.469811044732</v>
      </c>
      <c r="H124" s="67"/>
      <c r="I124" s="67">
        <f t="shared" si="7"/>
        <v>36370.723522682143</v>
      </c>
      <c r="J124" s="67"/>
      <c r="K124" s="67">
        <f t="shared" si="8"/>
        <v>47953.193333726871</v>
      </c>
      <c r="L124" s="67"/>
      <c r="M124" s="67">
        <v>-202485.62967055681</v>
      </c>
      <c r="N124" s="67"/>
      <c r="O124" s="67">
        <f t="shared" si="5"/>
        <v>7121217.200078601</v>
      </c>
    </row>
    <row r="125" spans="1:15" x14ac:dyDescent="0.3">
      <c r="A125" s="69">
        <v>45689</v>
      </c>
      <c r="B125" s="70"/>
      <c r="C125" s="67"/>
      <c r="D125" s="67"/>
      <c r="E125" s="67"/>
      <c r="F125" s="67"/>
      <c r="G125" s="67">
        <f t="shared" si="6"/>
        <v>11329.422946543173</v>
      </c>
      <c r="H125" s="67"/>
      <c r="I125" s="67">
        <f t="shared" si="7"/>
        <v>35576.117735038162</v>
      </c>
      <c r="J125" s="67"/>
      <c r="K125" s="67">
        <f t="shared" si="8"/>
        <v>46905.540681581333</v>
      </c>
      <c r="L125" s="67"/>
      <c r="M125" s="67">
        <v>-202485.62967055681</v>
      </c>
      <c r="N125" s="67"/>
      <c r="O125" s="67">
        <f t="shared" si="5"/>
        <v>6965637.1110896254</v>
      </c>
    </row>
    <row r="126" spans="1:15" x14ac:dyDescent="0.3">
      <c r="A126" s="69">
        <v>45717</v>
      </c>
      <c r="B126" s="70"/>
      <c r="C126" s="67"/>
      <c r="D126" s="67"/>
      <c r="E126" s="67"/>
      <c r="F126" s="67"/>
      <c r="G126" s="67">
        <f t="shared" si="6"/>
        <v>11074.660550823726</v>
      </c>
      <c r="H126" s="67"/>
      <c r="I126" s="67">
        <f t="shared" si="7"/>
        <v>34776.124917456851</v>
      </c>
      <c r="J126" s="67"/>
      <c r="K126" s="67">
        <f t="shared" si="8"/>
        <v>45850.785468280577</v>
      </c>
      <c r="L126" s="67"/>
      <c r="M126" s="67">
        <v>-202485.62967055681</v>
      </c>
      <c r="N126" s="67"/>
      <c r="O126" s="67">
        <f t="shared" si="5"/>
        <v>6809002.2668873491</v>
      </c>
    </row>
    <row r="127" spans="1:15" x14ac:dyDescent="0.3">
      <c r="A127" s="69">
        <v>45748</v>
      </c>
      <c r="B127" s="70"/>
      <c r="C127" s="67"/>
      <c r="D127" s="67"/>
      <c r="E127" s="67"/>
      <c r="F127" s="67"/>
      <c r="G127" s="67">
        <f t="shared" si="6"/>
        <v>10818.170993442498</v>
      </c>
      <c r="H127" s="67"/>
      <c r="I127" s="67">
        <f t="shared" si="7"/>
        <v>33970.708548568749</v>
      </c>
      <c r="J127" s="67"/>
      <c r="K127" s="67">
        <f t="shared" si="8"/>
        <v>44788.879542011244</v>
      </c>
      <c r="L127" s="67"/>
      <c r="M127" s="67">
        <v>-202485.62967055681</v>
      </c>
      <c r="N127" s="67"/>
      <c r="O127" s="67">
        <f t="shared" si="5"/>
        <v>6651305.5167588033</v>
      </c>
    </row>
    <row r="128" spans="1:15" x14ac:dyDescent="0.3">
      <c r="A128" s="69">
        <v>45778</v>
      </c>
      <c r="B128" s="70"/>
      <c r="C128" s="67"/>
      <c r="D128" s="67"/>
      <c r="E128" s="67"/>
      <c r="F128" s="67"/>
      <c r="G128" s="67">
        <f t="shared" si="6"/>
        <v>10559.942565107005</v>
      </c>
      <c r="H128" s="67"/>
      <c r="I128" s="67">
        <f t="shared" si="7"/>
        <v>33159.831859407765</v>
      </c>
      <c r="J128" s="67"/>
      <c r="K128" s="67">
        <f t="shared" si="8"/>
        <v>43719.77442451477</v>
      </c>
      <c r="L128" s="67"/>
      <c r="M128" s="67">
        <v>-202485.62967055681</v>
      </c>
      <c r="N128" s="67"/>
      <c r="O128" s="67">
        <f t="shared" si="5"/>
        <v>6492539.6615127614</v>
      </c>
    </row>
    <row r="129" spans="1:15" x14ac:dyDescent="0.3">
      <c r="A129" s="69">
        <v>45809</v>
      </c>
      <c r="B129" s="70"/>
      <c r="C129" s="67"/>
      <c r="D129" s="67"/>
      <c r="E129" s="67"/>
      <c r="F129" s="67"/>
      <c r="G129" s="67">
        <f t="shared" si="6"/>
        <v>10299.963477141611</v>
      </c>
      <c r="H129" s="67"/>
      <c r="I129" s="67">
        <f t="shared" si="7"/>
        <v>32343.457831732616</v>
      </c>
      <c r="J129" s="67"/>
      <c r="K129" s="67">
        <f t="shared" si="8"/>
        <v>42643.421308874225</v>
      </c>
      <c r="L129" s="67"/>
      <c r="M129" s="67">
        <v>-202485.62967055681</v>
      </c>
      <c r="N129" s="67"/>
      <c r="O129" s="67">
        <f t="shared" si="5"/>
        <v>6332697.4531510789</v>
      </c>
    </row>
    <row r="130" spans="1:15" x14ac:dyDescent="0.3">
      <c r="A130" s="69">
        <v>45839</v>
      </c>
      <c r="B130" s="70"/>
      <c r="C130" s="67"/>
      <c r="D130" s="67"/>
      <c r="E130" s="67"/>
      <c r="F130" s="67"/>
      <c r="G130" s="67">
        <f t="shared" si="6"/>
        <v>10038.221860949356</v>
      </c>
      <c r="H130" s="67"/>
      <c r="I130" s="67">
        <f t="shared" si="7"/>
        <v>31521.549196336844</v>
      </c>
      <c r="J130" s="67"/>
      <c r="K130" s="67">
        <f t="shared" si="8"/>
        <v>41559.771057286198</v>
      </c>
      <c r="L130" s="67"/>
      <c r="M130" s="67">
        <v>-202485.62967055681</v>
      </c>
      <c r="N130" s="67"/>
      <c r="O130" s="67">
        <f t="shared" si="5"/>
        <v>6171771.5945378086</v>
      </c>
    </row>
    <row r="131" spans="1:15" x14ac:dyDescent="0.3">
      <c r="A131" s="69">
        <v>45870</v>
      </c>
      <c r="B131" s="70"/>
      <c r="C131" s="67"/>
      <c r="D131" s="67"/>
      <c r="E131" s="67"/>
      <c r="F131" s="67"/>
      <c r="G131" s="67">
        <f t="shared" si="6"/>
        <v>9774.7057674701246</v>
      </c>
      <c r="H131" s="67"/>
      <c r="I131" s="67">
        <f t="shared" si="7"/>
        <v>30694.068431347408</v>
      </c>
      <c r="J131" s="67"/>
      <c r="K131" s="67">
        <f t="shared" si="8"/>
        <v>40468.774198817533</v>
      </c>
      <c r="L131" s="67"/>
      <c r="M131" s="67">
        <v>-202485.62967055681</v>
      </c>
      <c r="N131" s="67"/>
      <c r="O131" s="67">
        <f t="shared" si="5"/>
        <v>6009754.739066069</v>
      </c>
    </row>
    <row r="132" spans="1:15" x14ac:dyDescent="0.3">
      <c r="A132" s="69">
        <v>45901</v>
      </c>
      <c r="B132" s="70"/>
      <c r="C132" s="67"/>
      <c r="D132" s="67"/>
      <c r="E132" s="67"/>
      <c r="F132" s="67"/>
      <c r="G132" s="67">
        <f t="shared" si="6"/>
        <v>9509.4031666351511</v>
      </c>
      <c r="H132" s="67"/>
      <c r="I132" s="67">
        <f t="shared" si="7"/>
        <v>29860.977760511723</v>
      </c>
      <c r="J132" s="67"/>
      <c r="K132" s="67">
        <f t="shared" si="8"/>
        <v>39370.380927146878</v>
      </c>
      <c r="L132" s="67"/>
      <c r="M132" s="67">
        <v>-202485.62967055681</v>
      </c>
      <c r="N132" s="67"/>
      <c r="O132" s="67">
        <f t="shared" si="5"/>
        <v>5846639.4903226588</v>
      </c>
    </row>
    <row r="133" spans="1:15" x14ac:dyDescent="0.3">
      <c r="A133" s="69">
        <v>45931</v>
      </c>
      <c r="B133" s="70"/>
      <c r="C133" s="67"/>
      <c r="D133" s="67"/>
      <c r="E133" s="67"/>
      <c r="F133" s="67"/>
      <c r="G133" s="67">
        <f t="shared" si="6"/>
        <v>9242.3019468178172</v>
      </c>
      <c r="H133" s="67"/>
      <c r="I133" s="67">
        <f t="shared" si="7"/>
        <v>29022.23915147311</v>
      </c>
      <c r="J133" s="67"/>
      <c r="K133" s="67">
        <f t="shared" si="8"/>
        <v>38264.541098290923</v>
      </c>
      <c r="L133" s="67"/>
      <c r="M133" s="67">
        <v>-202485.62967055681</v>
      </c>
      <c r="N133" s="67"/>
      <c r="O133" s="67">
        <f t="shared" si="5"/>
        <v>5682418.4017503932</v>
      </c>
    </row>
    <row r="134" spans="1:15" x14ac:dyDescent="0.3">
      <c r="A134" s="69">
        <v>45962</v>
      </c>
      <c r="B134" s="70"/>
      <c r="C134" s="67"/>
      <c r="D134" s="67"/>
      <c r="E134" s="67"/>
      <c r="F134" s="67"/>
      <c r="G134" s="67">
        <f t="shared" si="6"/>
        <v>8973.3899142807331</v>
      </c>
      <c r="H134" s="67"/>
      <c r="I134" s="67">
        <f t="shared" si="7"/>
        <v>28177.81431403452</v>
      </c>
      <c r="J134" s="67"/>
      <c r="K134" s="67">
        <f t="shared" si="8"/>
        <v>37151.204228315255</v>
      </c>
      <c r="L134" s="67"/>
      <c r="M134" s="67">
        <v>-202485.62967055681</v>
      </c>
      <c r="N134" s="67"/>
      <c r="O134" s="67">
        <f t="shared" si="5"/>
        <v>5517083.9763081521</v>
      </c>
    </row>
    <row r="135" spans="1:15" x14ac:dyDescent="0.3">
      <c r="A135" s="69">
        <v>45992</v>
      </c>
      <c r="B135" s="70"/>
      <c r="C135" s="67"/>
      <c r="D135" s="67"/>
      <c r="E135" s="67"/>
      <c r="F135" s="67"/>
      <c r="G135" s="67">
        <f t="shared" si="6"/>
        <v>8702.6547926190633</v>
      </c>
      <c r="H135" s="67"/>
      <c r="I135" s="67">
        <f t="shared" si="7"/>
        <v>27327.664698410514</v>
      </c>
      <c r="J135" s="67"/>
      <c r="K135" s="67">
        <f t="shared" si="8"/>
        <v>36030.319491029579</v>
      </c>
      <c r="L135" s="67"/>
      <c r="M135" s="67">
        <v>-202485.62967055681</v>
      </c>
      <c r="N135" s="67"/>
      <c r="O135" s="67">
        <f t="shared" si="5"/>
        <v>5350628.6661286252</v>
      </c>
    </row>
    <row r="136" spans="1:15" x14ac:dyDescent="0.3">
      <c r="A136" s="69">
        <v>46023</v>
      </c>
      <c r="B136" s="70"/>
      <c r="C136" s="67"/>
      <c r="D136" s="67"/>
      <c r="E136" s="67"/>
      <c r="F136" s="67"/>
      <c r="G136" s="67">
        <f t="shared" si="6"/>
        <v>8430.0842222000883</v>
      </c>
      <c r="H136" s="67"/>
      <c r="I136" s="67">
        <f t="shared" si="7"/>
        <v>26471.751493467389</v>
      </c>
      <c r="J136" s="67"/>
      <c r="K136" s="67">
        <f t="shared" si="8"/>
        <v>34901.835715667476</v>
      </c>
      <c r="L136" s="67"/>
      <c r="M136" s="67">
        <v>-202485.62967055681</v>
      </c>
      <c r="N136" s="67"/>
      <c r="O136" s="67">
        <f t="shared" si="5"/>
        <v>5183044.8721737359</v>
      </c>
    </row>
    <row r="137" spans="1:15" x14ac:dyDescent="0.3">
      <c r="A137" s="69">
        <v>46054</v>
      </c>
      <c r="B137" s="70"/>
      <c r="C137" s="67"/>
      <c r="D137" s="67"/>
      <c r="E137" s="67"/>
      <c r="F137" s="67"/>
      <c r="G137" s="67">
        <f t="shared" si="6"/>
        <v>8155.6657595989564</v>
      </c>
      <c r="H137" s="67"/>
      <c r="I137" s="67">
        <f t="shared" si="7"/>
        <v>25610.035624951346</v>
      </c>
      <c r="J137" s="67"/>
      <c r="K137" s="67">
        <f t="shared" si="8"/>
        <v>33765.701384550302</v>
      </c>
      <c r="L137" s="67"/>
      <c r="M137" s="67">
        <v>-202485.62967055681</v>
      </c>
      <c r="N137" s="67"/>
      <c r="O137" s="67">
        <f t="shared" ref="O137:O164" si="9">O136+C137+M137+E137+K137</f>
        <v>5014324.9438877292</v>
      </c>
    </row>
    <row r="138" spans="1:15" x14ac:dyDescent="0.3">
      <c r="A138" s="69">
        <v>46082</v>
      </c>
      <c r="B138" s="70"/>
      <c r="C138" s="67"/>
      <c r="D138" s="67"/>
      <c r="E138" s="67"/>
      <c r="F138" s="67"/>
      <c r="G138" s="67">
        <f t="shared" si="6"/>
        <v>7879.3868770306208</v>
      </c>
      <c r="H138" s="67"/>
      <c r="I138" s="67">
        <f t="shared" si="7"/>
        <v>24742.477753704701</v>
      </c>
      <c r="J138" s="67"/>
      <c r="K138" s="67">
        <f t="shared" si="8"/>
        <v>32621.864630735323</v>
      </c>
      <c r="L138" s="67"/>
      <c r="M138" s="67">
        <v>-202485.62967055681</v>
      </c>
      <c r="N138" s="67"/>
      <c r="O138" s="67">
        <f t="shared" si="9"/>
        <v>4844461.178847908</v>
      </c>
    </row>
    <row r="139" spans="1:15" x14ac:dyDescent="0.3">
      <c r="A139" s="69">
        <v>46113</v>
      </c>
      <c r="B139" s="70"/>
      <c r="C139" s="67"/>
      <c r="D139" s="67"/>
      <c r="E139" s="67"/>
      <c r="F139" s="67"/>
      <c r="G139" s="67">
        <f t="shared" si="6"/>
        <v>7601.2349617779137</v>
      </c>
      <c r="H139" s="67"/>
      <c r="I139" s="67">
        <f t="shared" si="7"/>
        <v>23869.038273869941</v>
      </c>
      <c r="J139" s="67"/>
      <c r="K139" s="67">
        <f t="shared" si="8"/>
        <v>31470.273235647855</v>
      </c>
      <c r="L139" s="67"/>
      <c r="M139" s="67">
        <v>-202485.62967055681</v>
      </c>
      <c r="N139" s="67"/>
      <c r="O139" s="67">
        <f t="shared" si="9"/>
        <v>4673445.8224129993</v>
      </c>
    </row>
    <row r="140" spans="1:15" x14ac:dyDescent="0.3">
      <c r="A140" s="69">
        <v>46143</v>
      </c>
      <c r="B140" s="70"/>
      <c r="C140" s="67"/>
      <c r="D140" s="67"/>
      <c r="E140" s="67"/>
      <c r="F140" s="67"/>
      <c r="G140" s="67">
        <f t="shared" si="6"/>
        <v>7321.1973156157501</v>
      </c>
      <c r="H140" s="67"/>
      <c r="I140" s="67">
        <f t="shared" si="7"/>
        <v>22989.677311081639</v>
      </c>
      <c r="J140" s="67"/>
      <c r="K140" s="67">
        <f t="shared" si="8"/>
        <v>30310.87462669739</v>
      </c>
      <c r="L140" s="67"/>
      <c r="M140" s="67">
        <v>-202485.62967055681</v>
      </c>
      <c r="N140" s="67"/>
      <c r="O140" s="67">
        <f t="shared" si="9"/>
        <v>4501271.0673691398</v>
      </c>
    </row>
    <row r="141" spans="1:15" x14ac:dyDescent="0.3">
      <c r="A141" s="69">
        <v>46174</v>
      </c>
      <c r="B141" s="70"/>
      <c r="C141" s="67"/>
      <c r="D141" s="67"/>
      <c r="E141" s="67"/>
      <c r="F141" s="67"/>
      <c r="G141" s="67">
        <f t="shared" si="6"/>
        <v>7039.2611542314298</v>
      </c>
      <c r="H141" s="67"/>
      <c r="I141" s="67">
        <f t="shared" si="7"/>
        <v>22104.354720646115</v>
      </c>
      <c r="J141" s="67"/>
      <c r="K141" s="67">
        <f t="shared" si="8"/>
        <v>29143.615874877545</v>
      </c>
      <c r="L141" s="67"/>
      <c r="M141" s="67">
        <v>-202485.62967055681</v>
      </c>
      <c r="N141" s="67"/>
      <c r="O141" s="67">
        <f t="shared" si="9"/>
        <v>4327929.0535734603</v>
      </c>
    </row>
    <row r="142" spans="1:15" x14ac:dyDescent="0.3">
      <c r="A142" s="69">
        <v>46204</v>
      </c>
      <c r="B142" s="70"/>
      <c r="C142" s="67"/>
      <c r="D142" s="67"/>
      <c r="E142" s="67"/>
      <c r="F142" s="67"/>
      <c r="G142" s="67">
        <f t="shared" si="6"/>
        <v>6755.4136066410047</v>
      </c>
      <c r="H142" s="67"/>
      <c r="I142" s="67">
        <f t="shared" si="7"/>
        <v>21213.030085708731</v>
      </c>
      <c r="J142" s="67"/>
      <c r="K142" s="67">
        <f t="shared" si="8"/>
        <v>27968.443692349734</v>
      </c>
      <c r="L142" s="67"/>
      <c r="M142" s="67">
        <v>-202485.62967055681</v>
      </c>
      <c r="N142" s="67"/>
      <c r="O142" s="67">
        <f t="shared" si="9"/>
        <v>4153411.8675952535</v>
      </c>
    </row>
    <row r="143" spans="1:15" x14ac:dyDescent="0.3">
      <c r="A143" s="69">
        <v>46235</v>
      </c>
      <c r="B143" s="70"/>
      <c r="C143" s="67"/>
      <c r="D143" s="67"/>
      <c r="E143" s="67"/>
      <c r="F143" s="67"/>
      <c r="G143" s="67">
        <f t="shared" si="6"/>
        <v>6469.6417146016911</v>
      </c>
      <c r="H143" s="67"/>
      <c r="I143" s="67">
        <f t="shared" si="7"/>
        <v>20315.662715408791</v>
      </c>
      <c r="J143" s="67"/>
      <c r="K143" s="67">
        <f t="shared" si="8"/>
        <v>26785.304430010481</v>
      </c>
      <c r="L143" s="67"/>
      <c r="M143" s="67">
        <v>-202485.62967055681</v>
      </c>
      <c r="N143" s="67"/>
      <c r="O143" s="67">
        <f t="shared" si="9"/>
        <v>3977711.5423547071</v>
      </c>
    </row>
    <row r="144" spans="1:15" x14ac:dyDescent="0.3">
      <c r="A144" s="69">
        <v>46266</v>
      </c>
      <c r="B144" s="70"/>
      <c r="C144" s="67"/>
      <c r="D144" s="67"/>
      <c r="E144" s="67"/>
      <c r="F144" s="67"/>
      <c r="G144" s="67">
        <f t="shared" si="6"/>
        <v>6181.9324320202968</v>
      </c>
      <c r="H144" s="67"/>
      <c r="I144" s="67">
        <f t="shared" si="7"/>
        <v>19412.211643021903</v>
      </c>
      <c r="J144" s="67"/>
      <c r="K144" s="67">
        <f t="shared" si="8"/>
        <v>25594.144075042201</v>
      </c>
      <c r="L144" s="67"/>
      <c r="M144" s="67">
        <v>-202485.62967055681</v>
      </c>
      <c r="N144" s="67"/>
      <c r="O144" s="67">
        <f t="shared" si="9"/>
        <v>3800820.0567591926</v>
      </c>
    </row>
    <row r="145" spans="1:15" x14ac:dyDescent="0.3">
      <c r="A145" s="69">
        <v>46296</v>
      </c>
      <c r="B145" s="70"/>
      <c r="C145" s="67"/>
      <c r="D145" s="67"/>
      <c r="E145" s="67"/>
      <c r="F145" s="67"/>
      <c r="G145" s="67">
        <f t="shared" si="6"/>
        <v>5892.2726243576417</v>
      </c>
      <c r="H145" s="67"/>
      <c r="I145" s="67">
        <f t="shared" si="7"/>
        <v>18502.635624089766</v>
      </c>
      <c r="J145" s="67"/>
      <c r="K145" s="67">
        <f t="shared" si="8"/>
        <v>24394.908248447406</v>
      </c>
      <c r="L145" s="67"/>
      <c r="M145" s="67">
        <v>-202485.62967055681</v>
      </c>
      <c r="N145" s="67"/>
      <c r="O145" s="67">
        <f t="shared" si="9"/>
        <v>3622729.3353370833</v>
      </c>
    </row>
    <row r="146" spans="1:15" x14ac:dyDescent="0.3">
      <c r="A146" s="69">
        <v>46327</v>
      </c>
      <c r="B146" s="70"/>
      <c r="C146" s="67"/>
      <c r="D146" s="67"/>
      <c r="E146" s="67"/>
      <c r="F146" s="67"/>
      <c r="G146" s="67">
        <f t="shared" si="6"/>
        <v>5600.649068028938</v>
      </c>
      <c r="H146" s="67"/>
      <c r="I146" s="67">
        <f t="shared" si="7"/>
        <v>17586.89313453728</v>
      </c>
      <c r="J146" s="67"/>
      <c r="K146" s="67">
        <f t="shared" si="8"/>
        <v>23187.542202566219</v>
      </c>
      <c r="L146" s="67"/>
      <c r="M146" s="67">
        <v>-202485.62967055681</v>
      </c>
      <c r="N146" s="67"/>
      <c r="O146" s="67">
        <f t="shared" si="9"/>
        <v>3443431.247869093</v>
      </c>
    </row>
    <row r="147" spans="1:15" x14ac:dyDescent="0.3">
      <c r="A147" s="69">
        <v>46357</v>
      </c>
      <c r="B147" s="70"/>
      <c r="C147" s="67"/>
      <c r="D147" s="67"/>
      <c r="E147" s="67"/>
      <c r="F147" s="67"/>
      <c r="G147" s="67">
        <f t="shared" si="6"/>
        <v>5307.0484498001033</v>
      </c>
      <c r="H147" s="67"/>
      <c r="I147" s="67">
        <f t="shared" si="7"/>
        <v>16664.942368776872</v>
      </c>
      <c r="J147" s="67"/>
      <c r="K147" s="67">
        <f t="shared" si="8"/>
        <v>21971.990818576975</v>
      </c>
      <c r="L147" s="67"/>
      <c r="M147" s="67">
        <v>-202485.62967055681</v>
      </c>
      <c r="N147" s="67"/>
      <c r="O147" s="67">
        <f t="shared" si="9"/>
        <v>3262917.6090171132</v>
      </c>
    </row>
    <row r="148" spans="1:15" x14ac:dyDescent="0.3">
      <c r="A148" s="69">
        <v>46388</v>
      </c>
      <c r="B148" s="70"/>
      <c r="C148" s="67"/>
      <c r="D148" s="67"/>
      <c r="E148" s="67"/>
      <c r="F148" s="67"/>
      <c r="G148" s="67">
        <f t="shared" si="6"/>
        <v>5011.4573661799868</v>
      </c>
      <c r="H148" s="67"/>
      <c r="I148" s="67">
        <f t="shared" si="7"/>
        <v>15736.741237799994</v>
      </c>
      <c r="J148" s="67"/>
      <c r="K148" s="67">
        <f t="shared" si="8"/>
        <v>20748.198603979981</v>
      </c>
      <c r="L148" s="67"/>
      <c r="M148" s="67">
        <v>-202485.62967055681</v>
      </c>
      <c r="N148" s="67"/>
      <c r="O148" s="67">
        <f t="shared" si="9"/>
        <v>3081180.1779505364</v>
      </c>
    </row>
    <row r="149" spans="1:15" x14ac:dyDescent="0.3">
      <c r="A149" s="69">
        <v>46419</v>
      </c>
      <c r="B149" s="70"/>
      <c r="C149" s="67"/>
      <c r="D149" s="67"/>
      <c r="E149" s="67"/>
      <c r="F149" s="67"/>
      <c r="G149" s="67">
        <f t="shared" si="6"/>
        <v>4713.8623228084671</v>
      </c>
      <c r="H149" s="67"/>
      <c r="I149" s="67">
        <f t="shared" si="7"/>
        <v>14802.247367255655</v>
      </c>
      <c r="J149" s="67"/>
      <c r="K149" s="67">
        <f t="shared" si="8"/>
        <v>19516.109690064121</v>
      </c>
      <c r="L149" s="67"/>
      <c r="M149" s="67">
        <v>-202485.62967055681</v>
      </c>
      <c r="N149" s="67"/>
      <c r="O149" s="67">
        <f t="shared" si="9"/>
        <v>2898210.6579700438</v>
      </c>
    </row>
    <row r="150" spans="1:15" x14ac:dyDescent="0.3">
      <c r="A150" s="69">
        <v>46447</v>
      </c>
      <c r="B150" s="70"/>
      <c r="C150" s="67"/>
      <c r="D150" s="67"/>
      <c r="E150" s="67"/>
      <c r="F150" s="67"/>
      <c r="G150" s="67">
        <f t="shared" si="6"/>
        <v>4414.24973384041</v>
      </c>
      <c r="H150" s="67"/>
      <c r="I150" s="67">
        <f t="shared" si="7"/>
        <v>13861.418095515963</v>
      </c>
      <c r="J150" s="67"/>
      <c r="K150" s="67">
        <f t="shared" si="8"/>
        <v>18275.667829356375</v>
      </c>
      <c r="L150" s="67"/>
      <c r="M150" s="67">
        <v>-202485.62967055681</v>
      </c>
      <c r="N150" s="67"/>
      <c r="O150" s="67">
        <f t="shared" si="9"/>
        <v>2714000.6961288434</v>
      </c>
    </row>
    <row r="151" spans="1:15" x14ac:dyDescent="0.3">
      <c r="A151" s="69">
        <v>46478</v>
      </c>
      <c r="B151" s="70"/>
      <c r="C151" s="67"/>
      <c r="D151" s="67"/>
      <c r="E151" s="67"/>
      <c r="F151" s="67"/>
      <c r="G151" s="67">
        <f t="shared" si="6"/>
        <v>4112.6059213254448</v>
      </c>
      <c r="H151" s="67"/>
      <c r="I151" s="67">
        <f t="shared" si="7"/>
        <v>12914.210471728509</v>
      </c>
      <c r="J151" s="67"/>
      <c r="K151" s="67">
        <f t="shared" si="8"/>
        <v>17026.816393053952</v>
      </c>
      <c r="L151" s="67"/>
      <c r="M151" s="67">
        <v>-202485.62967055681</v>
      </c>
      <c r="N151" s="67"/>
      <c r="O151" s="67">
        <f t="shared" si="9"/>
        <v>2528541.8828513408</v>
      </c>
    </row>
    <row r="152" spans="1:15" x14ac:dyDescent="0.3">
      <c r="A152" s="69">
        <v>46508</v>
      </c>
      <c r="B152" s="70"/>
      <c r="C152" s="67"/>
      <c r="D152" s="67"/>
      <c r="E152" s="67"/>
      <c r="F152" s="67"/>
      <c r="G152" s="67">
        <f t="shared" si="6"/>
        <v>3808.9171145835344</v>
      </c>
      <c r="H152" s="67"/>
      <c r="I152" s="67">
        <f t="shared" si="7"/>
        <v>11960.581253855591</v>
      </c>
      <c r="J152" s="67"/>
      <c r="K152" s="67">
        <f t="shared" si="8"/>
        <v>15769.498368439126</v>
      </c>
      <c r="L152" s="67"/>
      <c r="M152" s="67">
        <v>-202485.62967055681</v>
      </c>
      <c r="N152" s="67"/>
      <c r="O152" s="67">
        <f t="shared" si="9"/>
        <v>2341825.7515492234</v>
      </c>
    </row>
    <row r="153" spans="1:15" x14ac:dyDescent="0.3">
      <c r="A153" s="69">
        <v>46539</v>
      </c>
      <c r="B153" s="70"/>
      <c r="C153" s="67"/>
      <c r="D153" s="67"/>
      <c r="E153" s="67"/>
      <c r="F153" s="67"/>
      <c r="G153" s="67">
        <f t="shared" si="6"/>
        <v>3503.1694495763172</v>
      </c>
      <c r="H153" s="67"/>
      <c r="I153" s="67">
        <f t="shared" si="7"/>
        <v>11000.486906700104</v>
      </c>
      <c r="J153" s="67"/>
      <c r="K153" s="67">
        <f t="shared" si="8"/>
        <v>14503.65635627642</v>
      </c>
      <c r="L153" s="67"/>
      <c r="M153" s="67">
        <v>-202485.62967055681</v>
      </c>
      <c r="N153" s="67"/>
      <c r="O153" s="67">
        <f t="shared" si="9"/>
        <v>2153843.7782349433</v>
      </c>
    </row>
    <row r="154" spans="1:15" x14ac:dyDescent="0.3">
      <c r="A154" s="69">
        <v>46569</v>
      </c>
      <c r="B154" s="70"/>
      <c r="C154" s="67"/>
      <c r="D154" s="67"/>
      <c r="E154" s="67"/>
      <c r="F154" s="67"/>
      <c r="G154" s="67">
        <f t="shared" si="6"/>
        <v>3195.3489682741829</v>
      </c>
      <c r="H154" s="67"/>
      <c r="I154" s="67">
        <f t="shared" si="7"/>
        <v>10033.883599918076</v>
      </c>
      <c r="J154" s="67"/>
      <c r="K154" s="67">
        <f t="shared" si="8"/>
        <v>13229.232568192259</v>
      </c>
      <c r="L154" s="67"/>
      <c r="M154" s="67">
        <v>-202485.62967055681</v>
      </c>
      <c r="N154" s="67"/>
      <c r="O154" s="67">
        <f t="shared" si="9"/>
        <v>1964587.3811325787</v>
      </c>
    </row>
    <row r="155" spans="1:15" x14ac:dyDescent="0.3">
      <c r="A155" s="69">
        <v>46600</v>
      </c>
      <c r="B155" s="70"/>
      <c r="C155" s="67"/>
      <c r="D155" s="67"/>
      <c r="E155" s="67"/>
      <c r="F155" s="67"/>
      <c r="G155" s="67">
        <f t="shared" si="6"/>
        <v>2885.441618019061</v>
      </c>
      <c r="H155" s="67"/>
      <c r="I155" s="67">
        <f t="shared" si="7"/>
        <v>9060.7272060177165</v>
      </c>
      <c r="J155" s="67"/>
      <c r="K155" s="67">
        <f t="shared" si="8"/>
        <v>11946.168824036777</v>
      </c>
      <c r="L155" s="67"/>
      <c r="M155" s="67">
        <v>-202485.62967055681</v>
      </c>
      <c r="N155" s="67"/>
      <c r="O155" s="67">
        <f t="shared" si="9"/>
        <v>1774047.9202860587</v>
      </c>
    </row>
    <row r="156" spans="1:15" x14ac:dyDescent="0.3">
      <c r="A156" s="69">
        <v>46631</v>
      </c>
      <c r="B156" s="70"/>
      <c r="C156" s="67"/>
      <c r="D156" s="67"/>
      <c r="E156" s="67"/>
      <c r="F156" s="67"/>
      <c r="G156" s="67">
        <f t="shared" si="6"/>
        <v>2573.4332508828843</v>
      </c>
      <c r="H156" s="67"/>
      <c r="I156" s="67">
        <f t="shared" si="7"/>
        <v>8080.9732983449103</v>
      </c>
      <c r="J156" s="67"/>
      <c r="K156" s="67">
        <f t="shared" si="8"/>
        <v>10654.406549227795</v>
      </c>
      <c r="L156" s="67"/>
      <c r="M156" s="67">
        <v>-202485.62967055681</v>
      </c>
      <c r="N156" s="67"/>
      <c r="O156" s="67">
        <f t="shared" si="9"/>
        <v>1582216.6971647297</v>
      </c>
    </row>
    <row r="157" spans="1:15" x14ac:dyDescent="0.3">
      <c r="A157" s="69">
        <v>46661</v>
      </c>
      <c r="B157" s="70"/>
      <c r="C157" s="67"/>
      <c r="D157" s="67"/>
      <c r="E157" s="67"/>
      <c r="F157" s="67"/>
      <c r="G157" s="67">
        <f t="shared" si="6"/>
        <v>2259.3096230217079</v>
      </c>
      <c r="H157" s="67"/>
      <c r="I157" s="67">
        <f t="shared" si="7"/>
        <v>7094.5771490550369</v>
      </c>
      <c r="J157" s="67"/>
      <c r="K157" s="67">
        <f t="shared" si="8"/>
        <v>9353.8867720767448</v>
      </c>
      <c r="L157" s="67"/>
      <c r="M157" s="67">
        <v>-202485.62967055681</v>
      </c>
      <c r="N157" s="67"/>
      <c r="O157" s="67">
        <f t="shared" si="9"/>
        <v>1389084.9542662497</v>
      </c>
    </row>
    <row r="158" spans="1:15" x14ac:dyDescent="0.3">
      <c r="A158" s="69">
        <v>46692</v>
      </c>
      <c r="B158" s="70"/>
      <c r="C158" s="67"/>
      <c r="D158" s="67"/>
      <c r="E158" s="67"/>
      <c r="F158" s="67"/>
      <c r="G158" s="67">
        <f t="shared" si="6"/>
        <v>1943.0563940254469</v>
      </c>
      <c r="H158" s="67"/>
      <c r="I158" s="67">
        <f t="shared" si="7"/>
        <v>6101.4937270710525</v>
      </c>
      <c r="J158" s="67"/>
      <c r="K158" s="67">
        <f t="shared" si="8"/>
        <v>8044.5501210964994</v>
      </c>
      <c r="L158" s="67"/>
      <c r="M158" s="67">
        <v>-202485.62967055681</v>
      </c>
      <c r="N158" s="67"/>
      <c r="O158" s="67">
        <f t="shared" si="9"/>
        <v>1194643.8747167892</v>
      </c>
    </row>
    <row r="159" spans="1:15" x14ac:dyDescent="0.3">
      <c r="A159" s="69">
        <v>46722</v>
      </c>
      <c r="B159" s="70"/>
      <c r="C159" s="67"/>
      <c r="D159" s="67"/>
      <c r="E159" s="67"/>
      <c r="F159" s="67"/>
      <c r="G159" s="67">
        <f t="shared" si="6"/>
        <v>1624.6591262632055</v>
      </c>
      <c r="H159" s="67"/>
      <c r="I159" s="67">
        <f t="shared" si="7"/>
        <v>5101.6776960277266</v>
      </c>
      <c r="J159" s="67"/>
      <c r="K159" s="67">
        <f t="shared" si="8"/>
        <v>6726.3368222909321</v>
      </c>
      <c r="L159" s="67"/>
      <c r="M159" s="67">
        <v>-202485.62967055681</v>
      </c>
      <c r="N159" s="67"/>
      <c r="O159" s="67">
        <f t="shared" si="9"/>
        <v>998884.58186852327</v>
      </c>
    </row>
    <row r="160" spans="1:15" x14ac:dyDescent="0.3">
      <c r="A160" s="69">
        <v>46753</v>
      </c>
      <c r="B160" s="70"/>
      <c r="C160" s="67"/>
      <c r="D160" s="67"/>
      <c r="E160" s="67"/>
      <c r="F160" s="67"/>
      <c r="G160" s="67">
        <f t="shared" si="6"/>
        <v>1304.10328422417</v>
      </c>
      <c r="H160" s="67"/>
      <c r="I160" s="67">
        <f t="shared" si="7"/>
        <v>4095.0834122019432</v>
      </c>
      <c r="J160" s="67"/>
      <c r="K160" s="67">
        <f t="shared" si="8"/>
        <v>5399.1866964261135</v>
      </c>
      <c r="L160" s="67"/>
      <c r="M160" s="67">
        <v>-202485.62967055681</v>
      </c>
      <c r="N160" s="67"/>
      <c r="O160" s="67">
        <f t="shared" si="9"/>
        <v>801798.13889439253</v>
      </c>
    </row>
    <row r="161" spans="1:15" x14ac:dyDescent="0.3">
      <c r="A161" s="69">
        <v>46784</v>
      </c>
      <c r="B161" s="70"/>
      <c r="C161" s="67"/>
      <c r="D161" s="67"/>
      <c r="E161" s="67"/>
      <c r="F161" s="67"/>
      <c r="G161" s="67">
        <f t="shared" si="6"/>
        <v>981.3742338540311</v>
      </c>
      <c r="H161" s="67"/>
      <c r="I161" s="67">
        <f t="shared" si="7"/>
        <v>3081.6649224289636</v>
      </c>
      <c r="J161" s="67"/>
      <c r="K161" s="67">
        <f t="shared" si="8"/>
        <v>4063.0391562829946</v>
      </c>
      <c r="L161" s="67"/>
      <c r="M161" s="67">
        <v>-202485.62967055681</v>
      </c>
      <c r="N161" s="67"/>
      <c r="O161" s="67">
        <f t="shared" si="9"/>
        <v>603375.54838011879</v>
      </c>
    </row>
    <row r="162" spans="1:15" x14ac:dyDescent="0.3">
      <c r="A162" s="69">
        <v>46813</v>
      </c>
      <c r="B162" s="70"/>
      <c r="C162" s="67"/>
      <c r="D162" s="67"/>
      <c r="E162" s="67"/>
      <c r="F162" s="67"/>
      <c r="G162" s="67">
        <f t="shared" si="6"/>
        <v>656.45724188690781</v>
      </c>
      <c r="H162" s="67"/>
      <c r="I162" s="67">
        <f t="shared" si="7"/>
        <v>2061.3759620045676</v>
      </c>
      <c r="J162" s="67"/>
      <c r="K162" s="67">
        <f t="shared" si="8"/>
        <v>2717.8332038914755</v>
      </c>
      <c r="L162" s="67"/>
      <c r="M162" s="67">
        <v>-202485.62967055681</v>
      </c>
      <c r="N162" s="67"/>
      <c r="O162" s="67">
        <f t="shared" si="9"/>
        <v>403607.75191345345</v>
      </c>
    </row>
    <row r="163" spans="1:15" x14ac:dyDescent="0.3">
      <c r="A163" s="69">
        <v>46844</v>
      </c>
      <c r="B163" s="70"/>
      <c r="C163" s="67"/>
      <c r="D163" s="67"/>
      <c r="E163" s="67"/>
      <c r="F163" s="67"/>
      <c r="G163" s="67">
        <f t="shared" si="6"/>
        <v>329.33747517274327</v>
      </c>
      <c r="H163" s="67"/>
      <c r="I163" s="67">
        <f t="shared" si="7"/>
        <v>1034.1699525729746</v>
      </c>
      <c r="J163" s="67"/>
      <c r="K163" s="67">
        <f t="shared" si="8"/>
        <v>1363.5074277457179</v>
      </c>
      <c r="L163" s="67"/>
      <c r="M163" s="67">
        <v>-202485.62967055681</v>
      </c>
      <c r="N163" s="67"/>
      <c r="O163" s="67">
        <f t="shared" si="9"/>
        <v>202485.62967064237</v>
      </c>
    </row>
    <row r="164" spans="1:15" x14ac:dyDescent="0.3">
      <c r="A164" s="69">
        <v>46874</v>
      </c>
      <c r="B164" s="70"/>
      <c r="C164" s="67"/>
      <c r="D164" s="67"/>
      <c r="E164" s="67"/>
      <c r="F164" s="67"/>
      <c r="G164" s="67">
        <f t="shared" si="6"/>
        <v>1.4011311577633024E-10</v>
      </c>
      <c r="H164" s="67"/>
      <c r="I164" s="67">
        <f t="shared" si="7"/>
        <v>4.3997657485306264E-10</v>
      </c>
      <c r="J164" s="67"/>
      <c r="K164" s="67">
        <f t="shared" si="8"/>
        <v>5.8008969062939291E-10</v>
      </c>
      <c r="L164" s="67"/>
      <c r="M164" s="67">
        <v>-202485.62967055681</v>
      </c>
      <c r="N164" s="67"/>
      <c r="O164" s="67">
        <f t="shared" si="9"/>
        <v>8.6145351233426475E-8</v>
      </c>
    </row>
    <row r="165" spans="1:15" x14ac:dyDescent="0.3">
      <c r="A165" s="69"/>
      <c r="B165" s="70"/>
      <c r="C165" s="67"/>
      <c r="D165" s="67"/>
      <c r="E165" s="67"/>
      <c r="F165" s="67"/>
      <c r="G165" s="67"/>
      <c r="H165" s="67"/>
      <c r="I165" s="67"/>
      <c r="J165" s="67"/>
      <c r="K165" s="67"/>
      <c r="L165" s="67"/>
      <c r="M165" s="67"/>
      <c r="N165" s="67"/>
      <c r="O165" s="67"/>
    </row>
    <row r="166" spans="1:15" x14ac:dyDescent="0.3">
      <c r="A166" s="69"/>
      <c r="B166" s="70"/>
      <c r="C166" s="67"/>
      <c r="D166" s="67"/>
      <c r="E166" s="67"/>
      <c r="F166" s="67"/>
      <c r="G166" s="67"/>
      <c r="H166" s="67"/>
      <c r="I166" s="67"/>
      <c r="J166" s="67"/>
      <c r="K166" s="67"/>
      <c r="L166" s="67"/>
      <c r="M166" s="67"/>
      <c r="N166" s="67"/>
      <c r="O166" s="67"/>
    </row>
    <row r="167" spans="1:15" x14ac:dyDescent="0.3">
      <c r="A167" s="69"/>
      <c r="B167" s="70"/>
      <c r="C167" s="67"/>
      <c r="D167" s="67"/>
      <c r="E167" s="67"/>
      <c r="F167" s="67"/>
      <c r="G167" s="67"/>
      <c r="H167" s="67"/>
      <c r="I167" s="67"/>
      <c r="J167" s="67"/>
      <c r="K167" s="67"/>
      <c r="L167" s="67"/>
      <c r="M167" s="67"/>
      <c r="N167" s="67"/>
      <c r="O167" s="67"/>
    </row>
    <row r="168" spans="1:15" x14ac:dyDescent="0.3">
      <c r="A168" s="69"/>
      <c r="B168" s="70"/>
      <c r="C168" s="67"/>
      <c r="D168" s="67"/>
      <c r="E168" s="67"/>
      <c r="F168" s="67"/>
      <c r="G168" s="67"/>
      <c r="H168" s="67"/>
      <c r="I168" s="67"/>
      <c r="J168" s="67"/>
      <c r="K168" s="67"/>
      <c r="L168" s="67"/>
      <c r="M168" s="67"/>
      <c r="N168" s="67"/>
      <c r="O168" s="67"/>
    </row>
    <row r="169" spans="1:15" x14ac:dyDescent="0.3">
      <c r="A169" s="69"/>
      <c r="B169" s="70"/>
      <c r="C169" s="67"/>
      <c r="D169" s="67"/>
      <c r="E169" s="67"/>
      <c r="F169" s="67"/>
      <c r="G169" s="67"/>
      <c r="H169" s="67"/>
      <c r="I169" s="67"/>
      <c r="J169" s="67"/>
      <c r="K169" s="67"/>
      <c r="L169" s="67"/>
      <c r="M169" s="67"/>
      <c r="N169" s="67"/>
      <c r="O169" s="67"/>
    </row>
    <row r="170" spans="1:15" x14ac:dyDescent="0.3">
      <c r="A170" s="69"/>
      <c r="B170" s="70"/>
      <c r="C170" s="67"/>
      <c r="D170" s="67"/>
      <c r="E170" s="67"/>
      <c r="F170" s="67"/>
      <c r="G170" s="67"/>
      <c r="H170" s="67"/>
      <c r="I170" s="67"/>
      <c r="J170" s="67"/>
      <c r="K170" s="67"/>
      <c r="L170" s="67"/>
      <c r="M170" s="67"/>
      <c r="N170" s="67"/>
      <c r="O170" s="67"/>
    </row>
  </sheetData>
  <pageMargins left="0.7" right="0.7" top="0.75" bottom="0.75" header="0.3" footer="0.3"/>
  <pageSetup scale="54"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A9DB-C481-4572-A8B2-FA43DE455498}">
  <sheetPr>
    <tabColor theme="7" tint="0.79998168889431442"/>
    <pageSetUpPr fitToPage="1"/>
  </sheetPr>
  <dimension ref="A1:H41"/>
  <sheetViews>
    <sheetView topLeftCell="A4" zoomScaleNormal="100" workbookViewId="0">
      <selection activeCell="A29" sqref="A29"/>
    </sheetView>
  </sheetViews>
  <sheetFormatPr defaultColWidth="9.21875" defaultRowHeight="13.8" x14ac:dyDescent="0.25"/>
  <cols>
    <col min="1" max="2" width="15" style="78" customWidth="1"/>
    <col min="3" max="3" width="14" style="78" customWidth="1"/>
    <col min="4" max="6" width="14.21875" style="78" customWidth="1"/>
    <col min="7" max="7" width="19.77734375" style="78" customWidth="1"/>
    <col min="8" max="8" width="14.21875" style="78" customWidth="1"/>
    <col min="9" max="16384" width="9.21875" style="78"/>
  </cols>
  <sheetData>
    <row r="1" spans="1:8" x14ac:dyDescent="0.25">
      <c r="A1" s="77" t="s">
        <v>194</v>
      </c>
    </row>
    <row r="2" spans="1:8" x14ac:dyDescent="0.25">
      <c r="A2" s="77" t="s">
        <v>195</v>
      </c>
    </row>
    <row r="4" spans="1:8" x14ac:dyDescent="0.25">
      <c r="A4" s="78" t="s">
        <v>196</v>
      </c>
    </row>
    <row r="5" spans="1:8" x14ac:dyDescent="0.25">
      <c r="A5" s="78" t="s">
        <v>197</v>
      </c>
    </row>
    <row r="7" spans="1:8" x14ac:dyDescent="0.25">
      <c r="A7" s="78" t="s">
        <v>198</v>
      </c>
    </row>
    <row r="9" spans="1:8" ht="27.6" x14ac:dyDescent="0.25">
      <c r="A9" s="79" t="s">
        <v>199</v>
      </c>
      <c r="B9" s="79" t="s">
        <v>200</v>
      </c>
      <c r="C9" s="79" t="s">
        <v>201</v>
      </c>
      <c r="D9" s="79" t="s">
        <v>202</v>
      </c>
      <c r="E9" s="79" t="s">
        <v>203</v>
      </c>
      <c r="F9" s="79" t="s">
        <v>204</v>
      </c>
      <c r="G9" s="79" t="s">
        <v>205</v>
      </c>
      <c r="H9" s="80"/>
    </row>
    <row r="11" spans="1:8" x14ac:dyDescent="0.25">
      <c r="A11" s="81">
        <f>G36</f>
        <v>8.4456880760000005E-2</v>
      </c>
      <c r="B11" s="81">
        <f>NOMINAL(A11,12)</f>
        <v>8.135381935806052E-2</v>
      </c>
      <c r="C11" s="81">
        <f>B11/12</f>
        <v>6.7794849465050433E-3</v>
      </c>
      <c r="D11" s="82">
        <f>((G33+G34)/G36)</f>
        <v>0.24154337475439575</v>
      </c>
      <c r="E11" s="81">
        <f>ROUND((D11*C11),7)</f>
        <v>1.6375000000000001E-3</v>
      </c>
      <c r="F11" s="82">
        <f>((G35/G36))</f>
        <v>0.7584566252456042</v>
      </c>
      <c r="G11" s="81">
        <f>IF(D11=100,0,ROUND(C11-E11,7))</f>
        <v>5.1419999999999999E-3</v>
      </c>
      <c r="H11" s="81"/>
    </row>
    <row r="12" spans="1:8" x14ac:dyDescent="0.25">
      <c r="A12" s="81"/>
      <c r="B12" s="81"/>
      <c r="C12" s="81"/>
      <c r="D12" s="77"/>
      <c r="E12" s="77"/>
      <c r="F12" s="77"/>
      <c r="G12" s="77"/>
      <c r="H12" s="77"/>
    </row>
    <row r="13" spans="1:8" x14ac:dyDescent="0.25">
      <c r="A13" s="81"/>
      <c r="B13" s="81"/>
      <c r="C13" s="81"/>
      <c r="D13" s="77"/>
      <c r="E13" s="77"/>
      <c r="F13" s="77"/>
      <c r="G13" s="77"/>
      <c r="H13" s="77"/>
    </row>
    <row r="14" spans="1:8" x14ac:dyDescent="0.25">
      <c r="A14" s="83" t="s">
        <v>206</v>
      </c>
    </row>
    <row r="15" spans="1:8" x14ac:dyDescent="0.25">
      <c r="A15" s="78" t="s">
        <v>207</v>
      </c>
      <c r="B15" s="78" t="s">
        <v>208</v>
      </c>
    </row>
    <row r="16" spans="1:8" x14ac:dyDescent="0.25">
      <c r="A16" s="78" t="s">
        <v>209</v>
      </c>
      <c r="B16" s="78" t="s">
        <v>210</v>
      </c>
    </row>
    <row r="17" spans="1:8" x14ac:dyDescent="0.25">
      <c r="B17" s="78" t="s">
        <v>278</v>
      </c>
    </row>
    <row r="21" spans="1:8" ht="14.4" x14ac:dyDescent="0.3">
      <c r="A21"/>
      <c r="B21"/>
      <c r="C21"/>
      <c r="D21"/>
      <c r="E21"/>
      <c r="F21"/>
      <c r="G21" s="84" t="s">
        <v>211</v>
      </c>
      <c r="H21" s="84"/>
    </row>
    <row r="22" spans="1:8" ht="14.4" x14ac:dyDescent="0.3">
      <c r="A22"/>
      <c r="B22"/>
      <c r="C22"/>
      <c r="D22"/>
      <c r="E22"/>
      <c r="F22"/>
      <c r="G22"/>
      <c r="H22"/>
    </row>
    <row r="23" spans="1:8" x14ac:dyDescent="0.25">
      <c r="A23" s="149" t="str">
        <f>COMPANY</f>
        <v>DUKE ENERGY KENTUCKY, INC.</v>
      </c>
      <c r="B23" s="149"/>
      <c r="C23" s="149"/>
      <c r="D23" s="149"/>
      <c r="E23" s="149"/>
      <c r="F23" s="149"/>
      <c r="G23" s="149"/>
      <c r="H23" s="85"/>
    </row>
    <row r="24" spans="1:8" x14ac:dyDescent="0.25">
      <c r="A24" s="149" t="str">
        <f>Title</f>
        <v>ENVIRONMENTAL SURCHARGE REPORT</v>
      </c>
      <c r="B24" s="149"/>
      <c r="C24" s="149"/>
      <c r="D24" s="149"/>
      <c r="E24" s="149"/>
      <c r="F24" s="149"/>
      <c r="G24" s="149"/>
      <c r="H24" s="85"/>
    </row>
    <row r="25" spans="1:8" ht="14.4" x14ac:dyDescent="0.3">
      <c r="A25" s="5"/>
      <c r="B25" s="5"/>
      <c r="C25" s="5"/>
      <c r="D25" s="5"/>
      <c r="E25" s="5"/>
      <c r="F25" s="5"/>
      <c r="G25" s="5"/>
      <c r="H25" s="5"/>
    </row>
    <row r="26" spans="1:8" ht="14.4" x14ac:dyDescent="0.3">
      <c r="A26" s="150" t="s">
        <v>212</v>
      </c>
      <c r="B26" s="150"/>
      <c r="C26" s="150"/>
      <c r="D26" s="150"/>
      <c r="E26" s="150"/>
      <c r="F26" s="150"/>
      <c r="G26" s="150"/>
      <c r="H26" s="86"/>
    </row>
    <row r="27" spans="1:8" ht="14.4" x14ac:dyDescent="0.3">
      <c r="A27"/>
      <c r="B27"/>
      <c r="C27"/>
      <c r="D27"/>
      <c r="E27"/>
      <c r="F27"/>
      <c r="G27"/>
      <c r="H27"/>
    </row>
    <row r="28" spans="1:8" ht="14.4" x14ac:dyDescent="0.3">
      <c r="A28"/>
      <c r="B28"/>
      <c r="C28"/>
      <c r="D28"/>
      <c r="E28"/>
      <c r="F28"/>
      <c r="G28"/>
      <c r="H28"/>
    </row>
    <row r="29" spans="1:8" ht="14.4" x14ac:dyDescent="0.3">
      <c r="A29" s="87" t="s">
        <v>10</v>
      </c>
      <c r="B29" s="87"/>
      <c r="C29" s="87"/>
      <c r="D29" s="87"/>
      <c r="E29" s="87" t="s">
        <v>213</v>
      </c>
      <c r="F29" s="87" t="s">
        <v>214</v>
      </c>
      <c r="G29" s="87" t="s">
        <v>215</v>
      </c>
      <c r="H29" s="87"/>
    </row>
    <row r="30" spans="1:8" ht="14.4" x14ac:dyDescent="0.3">
      <c r="A30" s="87" t="s">
        <v>21</v>
      </c>
      <c r="B30" s="87" t="s">
        <v>216</v>
      </c>
      <c r="C30" s="87" t="s">
        <v>217</v>
      </c>
      <c r="D30" s="87" t="s">
        <v>218</v>
      </c>
      <c r="E30" s="87" t="s">
        <v>218</v>
      </c>
      <c r="F30" s="87" t="s">
        <v>219</v>
      </c>
      <c r="G30" s="87" t="s">
        <v>220</v>
      </c>
      <c r="H30" s="87"/>
    </row>
    <row r="31" spans="1:8" ht="14.4" x14ac:dyDescent="0.3">
      <c r="A31" s="88"/>
      <c r="B31" s="88"/>
      <c r="C31" s="89"/>
      <c r="D31" s="89"/>
      <c r="E31" s="89" t="s">
        <v>221</v>
      </c>
      <c r="F31" s="89" t="s">
        <v>222</v>
      </c>
      <c r="G31" s="89" t="s">
        <v>223</v>
      </c>
      <c r="H31" s="90"/>
    </row>
    <row r="32" spans="1:8" ht="14.4" x14ac:dyDescent="0.3">
      <c r="A32"/>
      <c r="B32"/>
      <c r="C32"/>
      <c r="D32"/>
      <c r="E32"/>
      <c r="F32"/>
      <c r="G32"/>
      <c r="H32"/>
    </row>
    <row r="33" spans="1:8" ht="14.4" x14ac:dyDescent="0.3">
      <c r="A33" s="86">
        <v>1</v>
      </c>
      <c r="B33" s="36" t="s">
        <v>224</v>
      </c>
      <c r="C33" s="91">
        <v>9.7720000000000001E-2</v>
      </c>
      <c r="D33" s="91">
        <v>3.083E-2</v>
      </c>
      <c r="E33" s="92">
        <f>ROUND(C33*D33,5)</f>
        <v>3.0100000000000001E-3</v>
      </c>
      <c r="F33"/>
      <c r="G33" s="92">
        <f>E33</f>
        <v>3.0100000000000001E-3</v>
      </c>
      <c r="H33" s="92"/>
    </row>
    <row r="34" spans="1:8" ht="14.4" x14ac:dyDescent="0.3">
      <c r="A34" s="86">
        <f>A33+1</f>
        <v>2</v>
      </c>
      <c r="B34" s="36" t="s">
        <v>225</v>
      </c>
      <c r="C34" s="91">
        <v>0.40977000000000002</v>
      </c>
      <c r="D34" s="91">
        <v>4.2430000000000002E-2</v>
      </c>
      <c r="E34" s="92">
        <f>ROUND(C34*D34,5)</f>
        <v>1.7389999999999999E-2</v>
      </c>
      <c r="F34"/>
      <c r="G34" s="92">
        <f>E34</f>
        <v>1.7389999999999999E-2</v>
      </c>
      <c r="H34" s="92"/>
    </row>
    <row r="35" spans="1:8" ht="14.4" x14ac:dyDescent="0.3">
      <c r="A35" s="86">
        <f t="shared" ref="A35:A36" si="0">A34+1</f>
        <v>3</v>
      </c>
      <c r="B35" s="36" t="s">
        <v>226</v>
      </c>
      <c r="C35" s="93">
        <v>0.49251</v>
      </c>
      <c r="D35" s="91">
        <v>9.7250000000000003E-2</v>
      </c>
      <c r="E35" s="94">
        <f>ROUND(C35*D35,5)</f>
        <v>4.7899999999999998E-2</v>
      </c>
      <c r="F35" s="95">
        <v>1.3373044000000001</v>
      </c>
      <c r="G35" s="94">
        <f>F35*E35</f>
        <v>6.4056880760000004E-2</v>
      </c>
      <c r="H35" s="92"/>
    </row>
    <row r="36" spans="1:8" ht="14.4" x14ac:dyDescent="0.3">
      <c r="A36" s="86">
        <f t="shared" si="0"/>
        <v>4</v>
      </c>
      <c r="B36" s="36" t="s">
        <v>227</v>
      </c>
      <c r="C36" s="96">
        <f>SUM(C33:C35)</f>
        <v>1</v>
      </c>
      <c r="D36" s="97"/>
      <c r="E36" s="96">
        <f>SUM(E33:E35)</f>
        <v>6.83E-2</v>
      </c>
      <c r="F36" s="96"/>
      <c r="G36" s="98">
        <f>SUM(G33:G35)</f>
        <v>8.4456880760000005E-2</v>
      </c>
      <c r="H36" s="96"/>
    </row>
    <row r="37" spans="1:8" ht="14.4" x14ac:dyDescent="0.3">
      <c r="A37"/>
      <c r="B37"/>
      <c r="C37"/>
      <c r="D37"/>
      <c r="E37"/>
      <c r="F37"/>
      <c r="G37"/>
      <c r="H37"/>
    </row>
    <row r="38" spans="1:8" ht="14.4" x14ac:dyDescent="0.3">
      <c r="A38" s="99"/>
      <c r="B38" s="99"/>
      <c r="C38" s="99"/>
      <c r="D38" s="99"/>
      <c r="E38" s="99"/>
      <c r="F38" s="99"/>
      <c r="G38" s="99"/>
      <c r="H38"/>
    </row>
    <row r="39" spans="1:8" ht="14.4" x14ac:dyDescent="0.3">
      <c r="A39"/>
      <c r="B39"/>
      <c r="C39"/>
      <c r="D39"/>
      <c r="E39"/>
      <c r="F39"/>
      <c r="G39"/>
      <c r="H39"/>
    </row>
    <row r="40" spans="1:8" ht="14.4" x14ac:dyDescent="0.3">
      <c r="A40"/>
      <c r="B40"/>
      <c r="C40"/>
      <c r="D40"/>
      <c r="E40"/>
      <c r="F40"/>
      <c r="G40"/>
      <c r="H40"/>
    </row>
    <row r="41" spans="1:8" ht="14.4" x14ac:dyDescent="0.3">
      <c r="A41"/>
      <c r="B41"/>
      <c r="C41"/>
      <c r="D41"/>
      <c r="E41"/>
      <c r="F41"/>
      <c r="G41"/>
      <c r="H41"/>
    </row>
  </sheetData>
  <mergeCells count="3">
    <mergeCell ref="A23:G23"/>
    <mergeCell ref="A24:G24"/>
    <mergeCell ref="A26:G26"/>
  </mergeCells>
  <pageMargins left="0.7" right="0.7" top="0.75" bottom="0.75" header="0.3" footer="0.3"/>
  <pageSetup scale="68"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089-0650-4CB0-959E-90AC18E7BA9B}">
  <sheetPr>
    <tabColor theme="7" tint="0.79998168889431442"/>
    <pageSetUpPr fitToPage="1"/>
  </sheetPr>
  <dimension ref="A1:Q33"/>
  <sheetViews>
    <sheetView topLeftCell="A7" zoomScale="80" zoomScaleNormal="80" workbookViewId="0">
      <selection activeCell="A32" sqref="A32"/>
    </sheetView>
  </sheetViews>
  <sheetFormatPr defaultColWidth="9.21875" defaultRowHeight="14.4" x14ac:dyDescent="0.3"/>
  <cols>
    <col min="1" max="1" width="12.77734375" customWidth="1"/>
    <col min="2" max="2" width="5.21875" customWidth="1"/>
    <col min="3" max="3" width="22.5546875" customWidth="1"/>
    <col min="4" max="4" width="6.21875" customWidth="1"/>
    <col min="5" max="5" width="16.21875" customWidth="1"/>
    <col min="6" max="6" width="5.5546875" customWidth="1"/>
    <col min="7" max="7" width="14" customWidth="1"/>
    <col min="8" max="8" width="8" customWidth="1"/>
    <col min="9" max="9" width="15" bestFit="1" customWidth="1"/>
    <col min="10" max="10" width="2.77734375" customWidth="1"/>
    <col min="11" max="11" width="15.21875" bestFit="1" customWidth="1"/>
    <col min="12" max="12" width="3.21875" customWidth="1"/>
    <col min="13" max="13" width="16.44140625" customWidth="1"/>
    <col min="14" max="14" width="3.77734375" customWidth="1"/>
    <col min="15" max="15" width="15" bestFit="1" customWidth="1"/>
    <col min="16" max="16" width="4.21875" customWidth="1"/>
    <col min="17" max="17" width="15.21875" bestFit="1" customWidth="1"/>
  </cols>
  <sheetData>
    <row r="1" spans="1:17" ht="31.2" x14ac:dyDescent="0.6">
      <c r="A1" s="154" t="s">
        <v>228</v>
      </c>
      <c r="B1" s="154"/>
      <c r="C1" s="154"/>
      <c r="D1" s="154"/>
      <c r="E1" s="154"/>
      <c r="F1" s="154"/>
      <c r="G1" s="154"/>
      <c r="H1" s="154"/>
      <c r="I1" s="154"/>
      <c r="J1" s="154"/>
      <c r="K1" s="154"/>
      <c r="L1" s="154"/>
      <c r="M1" s="154"/>
      <c r="O1" s="100"/>
    </row>
    <row r="2" spans="1:17" ht="31.2" x14ac:dyDescent="0.6">
      <c r="A2" s="154" t="s">
        <v>229</v>
      </c>
      <c r="B2" s="154"/>
      <c r="C2" s="154"/>
      <c r="D2" s="154"/>
      <c r="E2" s="154"/>
      <c r="F2" s="154"/>
      <c r="G2" s="154"/>
      <c r="H2" s="154"/>
      <c r="I2" s="154"/>
      <c r="J2" s="154"/>
      <c r="K2" s="154"/>
      <c r="L2" s="154"/>
      <c r="M2" s="154"/>
    </row>
    <row r="4" spans="1:17" ht="14.25" customHeight="1" x14ac:dyDescent="0.45">
      <c r="A4" s="102"/>
    </row>
    <row r="5" spans="1:17" ht="23.4" x14ac:dyDescent="0.45">
      <c r="A5" s="151" t="s">
        <v>230</v>
      </c>
      <c r="B5" s="152"/>
      <c r="C5" s="152"/>
      <c r="D5" s="152"/>
      <c r="E5" s="152"/>
      <c r="F5" s="152"/>
      <c r="G5" s="152"/>
      <c r="H5" s="152"/>
      <c r="I5" s="152"/>
      <c r="J5" s="152"/>
      <c r="K5" s="152"/>
      <c r="L5" s="152"/>
      <c r="M5" s="152"/>
      <c r="N5" s="152"/>
      <c r="O5" s="152"/>
      <c r="P5" s="152"/>
      <c r="Q5" s="152"/>
    </row>
    <row r="7" spans="1:17" x14ac:dyDescent="0.3">
      <c r="A7" s="155" t="s">
        <v>231</v>
      </c>
      <c r="B7" s="156"/>
      <c r="C7" s="156"/>
      <c r="D7" s="156"/>
      <c r="E7" s="157"/>
    </row>
    <row r="8" spans="1:17" x14ac:dyDescent="0.3">
      <c r="C8" s="103" t="s">
        <v>232</v>
      </c>
      <c r="D8" s="47"/>
      <c r="E8" s="103" t="s">
        <v>233</v>
      </c>
    </row>
    <row r="9" spans="1:17" x14ac:dyDescent="0.3">
      <c r="A9" s="59" t="s">
        <v>234</v>
      </c>
      <c r="B9" s="60"/>
      <c r="C9" s="104">
        <v>1.6115000000000001E-3</v>
      </c>
      <c r="D9" s="60" t="s">
        <v>279</v>
      </c>
      <c r="E9" s="104">
        <v>3.7981E-3</v>
      </c>
      <c r="F9" s="60" t="s">
        <v>279</v>
      </c>
    </row>
    <row r="10" spans="1:17" x14ac:dyDescent="0.3">
      <c r="A10" s="59" t="s">
        <v>235</v>
      </c>
      <c r="B10" s="60"/>
      <c r="C10" s="105">
        <v>1.5776E-3</v>
      </c>
      <c r="D10" s="60"/>
      <c r="E10" s="105">
        <v>4.0346999999999996E-3</v>
      </c>
    </row>
    <row r="11" spans="1:17" x14ac:dyDescent="0.3">
      <c r="A11" s="59" t="s">
        <v>236</v>
      </c>
      <c r="B11" s="60"/>
      <c r="C11" s="105">
        <v>1.5941E-3</v>
      </c>
      <c r="D11" s="60"/>
      <c r="E11" s="105">
        <v>3.9776999999999998E-3</v>
      </c>
    </row>
    <row r="12" spans="1:17" x14ac:dyDescent="0.3">
      <c r="A12" s="59" t="s">
        <v>237</v>
      </c>
      <c r="B12" s="60"/>
      <c r="C12" s="105">
        <v>1.5777E-3</v>
      </c>
      <c r="D12" s="60"/>
      <c r="E12" s="105">
        <v>3.9697999999999999E-3</v>
      </c>
    </row>
    <row r="14" spans="1:17" ht="23.4" x14ac:dyDescent="0.45">
      <c r="A14" s="151"/>
      <c r="B14" s="152"/>
      <c r="C14" s="152"/>
      <c r="D14" s="152"/>
      <c r="E14" s="152"/>
      <c r="F14" s="152"/>
      <c r="G14" s="152"/>
      <c r="H14" s="152"/>
      <c r="I14" s="152"/>
      <c r="J14" s="152"/>
      <c r="K14" s="152"/>
      <c r="L14" s="152"/>
      <c r="M14" s="152"/>
      <c r="N14" s="152"/>
      <c r="O14" s="152"/>
      <c r="P14" s="152"/>
      <c r="Q14" s="152"/>
    </row>
    <row r="15" spans="1:17" ht="23.4" x14ac:dyDescent="0.45">
      <c r="A15" s="127"/>
      <c r="B15" s="127"/>
      <c r="C15" s="127"/>
      <c r="D15" s="127"/>
      <c r="E15" s="127"/>
      <c r="F15" s="127"/>
      <c r="G15" s="127"/>
      <c r="H15" s="127"/>
      <c r="I15" s="127"/>
      <c r="J15" s="127"/>
      <c r="K15" s="127"/>
      <c r="L15" s="127"/>
      <c r="M15" s="127"/>
      <c r="N15" s="127"/>
      <c r="O15" s="127"/>
      <c r="P15" s="127"/>
    </row>
    <row r="16" spans="1:17" ht="25.8" x14ac:dyDescent="0.5">
      <c r="A16" s="153" t="s">
        <v>248</v>
      </c>
      <c r="B16" s="153"/>
      <c r="C16" s="153"/>
    </row>
    <row r="17" spans="1:17" x14ac:dyDescent="0.3">
      <c r="A17" s="118"/>
      <c r="C17" s="60" t="s">
        <v>177</v>
      </c>
      <c r="D17" s="60"/>
      <c r="E17" s="60" t="s">
        <v>178</v>
      </c>
      <c r="F17" s="60"/>
      <c r="G17" s="60" t="s">
        <v>249</v>
      </c>
      <c r="H17" s="60"/>
      <c r="I17" s="60" t="s">
        <v>250</v>
      </c>
      <c r="J17" s="60"/>
      <c r="K17" s="60" t="s">
        <v>251</v>
      </c>
      <c r="L17" s="60"/>
      <c r="M17" s="60" t="s">
        <v>252</v>
      </c>
      <c r="N17" s="60"/>
      <c r="O17" s="60" t="s">
        <v>253</v>
      </c>
      <c r="P17" s="60"/>
      <c r="Q17" s="60" t="s">
        <v>254</v>
      </c>
    </row>
    <row r="18" spans="1:17" x14ac:dyDescent="0.3">
      <c r="A18" s="118"/>
      <c r="C18" s="86" t="s">
        <v>255</v>
      </c>
      <c r="E18" s="86" t="s">
        <v>256</v>
      </c>
      <c r="G18" s="86" t="s">
        <v>257</v>
      </c>
      <c r="I18" s="86" t="s">
        <v>258</v>
      </c>
      <c r="K18" s="86" t="s">
        <v>259</v>
      </c>
      <c r="M18" s="87" t="s">
        <v>188</v>
      </c>
      <c r="N18" s="38"/>
      <c r="O18" s="87" t="s">
        <v>189</v>
      </c>
      <c r="Q18" s="86" t="s">
        <v>260</v>
      </c>
    </row>
    <row r="19" spans="1:17" x14ac:dyDescent="0.3">
      <c r="A19" s="118"/>
      <c r="C19" s="55" t="s">
        <v>259</v>
      </c>
      <c r="D19" s="128"/>
      <c r="E19" s="55" t="s">
        <v>261</v>
      </c>
      <c r="F19" s="128"/>
      <c r="G19" s="55" t="s">
        <v>262</v>
      </c>
      <c r="H19" s="128"/>
      <c r="I19" s="55" t="s">
        <v>263</v>
      </c>
      <c r="J19" s="128"/>
      <c r="K19" s="55" t="s">
        <v>264</v>
      </c>
      <c r="L19" s="128"/>
      <c r="M19" s="88" t="s">
        <v>265</v>
      </c>
      <c r="N19" s="129"/>
      <c r="O19" s="88" t="s">
        <v>265</v>
      </c>
      <c r="P19" s="128"/>
      <c r="Q19" s="55" t="s">
        <v>259</v>
      </c>
    </row>
    <row r="20" spans="1:17" x14ac:dyDescent="0.3">
      <c r="A20" s="53">
        <v>43101</v>
      </c>
      <c r="B20" s="60"/>
      <c r="C20" s="66">
        <f>'[8]B. Return Calculation - 2017'!Q53</f>
        <v>15736746.338422898</v>
      </c>
      <c r="D20" s="60"/>
      <c r="E20" s="130">
        <f>'D. 1 (calc - amort actuals)'!C40</f>
        <v>510525</v>
      </c>
      <c r="G20" s="131">
        <v>0</v>
      </c>
      <c r="I20" s="131">
        <v>0</v>
      </c>
      <c r="K20" s="66">
        <f>SUM(C20+E20+G20+I20)</f>
        <v>16247271.338422898</v>
      </c>
      <c r="M20" s="66">
        <f>K20*C10</f>
        <v>25631.695263495963</v>
      </c>
      <c r="O20" s="66">
        <f>K20*E10</f>
        <v>65552.865669134859</v>
      </c>
      <c r="Q20" s="66">
        <f>SUM(K20+M20+O20)</f>
        <v>16338455.899355529</v>
      </c>
    </row>
    <row r="21" spans="1:17" x14ac:dyDescent="0.3">
      <c r="A21" s="53">
        <v>43132</v>
      </c>
      <c r="B21" s="60"/>
      <c r="C21" s="66">
        <f>Q20</f>
        <v>16338455.899355529</v>
      </c>
      <c r="D21" s="60"/>
      <c r="E21" s="130">
        <f>'D. 1 (calc - amort actuals)'!C41</f>
        <v>89648</v>
      </c>
      <c r="G21" s="131">
        <v>0</v>
      </c>
      <c r="I21" s="131">
        <v>0</v>
      </c>
      <c r="K21" s="66">
        <f>SUM(C21+E21+G21+I21)</f>
        <v>16428103.899355529</v>
      </c>
      <c r="M21" s="66">
        <f>K21*C11</f>
        <v>26188.040425962648</v>
      </c>
      <c r="O21" s="66">
        <f>K21*E11</f>
        <v>65346.068880466482</v>
      </c>
      <c r="Q21" s="66">
        <f>SUM(K21+M21+O21)</f>
        <v>16519638.008661957</v>
      </c>
    </row>
    <row r="22" spans="1:17" x14ac:dyDescent="0.3">
      <c r="A22" s="53">
        <v>43160</v>
      </c>
      <c r="B22" s="60"/>
      <c r="C22" s="66">
        <f>Q21</f>
        <v>16519638.008661957</v>
      </c>
      <c r="D22" s="60"/>
      <c r="E22" s="130">
        <f>'D. 1 (calc - amort actuals)'!C42</f>
        <v>396977</v>
      </c>
      <c r="F22" s="60"/>
      <c r="G22" s="131">
        <v>-26762.87</v>
      </c>
      <c r="I22" s="131">
        <v>0</v>
      </c>
      <c r="K22" s="66">
        <f>SUM(C22+E22+G22+I22)</f>
        <v>16889852.138661955</v>
      </c>
      <c r="L22" s="118"/>
      <c r="M22" s="66">
        <f>K22*C12</f>
        <v>26647.119719166967</v>
      </c>
      <c r="N22" s="118"/>
      <c r="O22" s="66">
        <f>K22*E12</f>
        <v>67049.335020060229</v>
      </c>
      <c r="Q22" s="66">
        <f>SUM(K22+M22+O22)</f>
        <v>16983548.593401182</v>
      </c>
    </row>
    <row r="23" spans="1:17" ht="23.25" customHeight="1" x14ac:dyDescent="0.45">
      <c r="A23" s="151"/>
      <c r="B23" s="152"/>
      <c r="C23" s="152"/>
      <c r="D23" s="152"/>
      <c r="E23" s="152"/>
      <c r="F23" s="152"/>
      <c r="G23" s="152"/>
      <c r="H23" s="152"/>
      <c r="I23" s="152"/>
      <c r="J23" s="152"/>
      <c r="K23" s="152"/>
      <c r="L23" s="152"/>
      <c r="M23" s="152"/>
      <c r="N23" s="152"/>
      <c r="O23" s="152"/>
      <c r="P23" s="152"/>
      <c r="Q23" s="152"/>
    </row>
    <row r="25" spans="1:17" x14ac:dyDescent="0.3">
      <c r="A25" s="132"/>
      <c r="B25" s="132"/>
      <c r="C25" s="132"/>
      <c r="D25" s="132"/>
      <c r="E25" s="133" t="s">
        <v>266</v>
      </c>
      <c r="F25" s="132"/>
      <c r="G25" s="132"/>
      <c r="H25" s="132"/>
      <c r="I25" s="132"/>
      <c r="J25" s="132"/>
      <c r="K25" s="132"/>
      <c r="L25" s="132"/>
      <c r="M25" s="132"/>
      <c r="N25" s="132"/>
      <c r="O25" s="132"/>
    </row>
    <row r="26" spans="1:17" x14ac:dyDescent="0.3">
      <c r="A26" s="132"/>
      <c r="B26" s="132"/>
      <c r="C26" s="132"/>
      <c r="D26" s="132"/>
      <c r="E26" s="132"/>
      <c r="F26" s="132"/>
      <c r="H26" s="131"/>
    </row>
    <row r="27" spans="1:17" ht="15" customHeight="1" x14ac:dyDescent="0.3">
      <c r="B27" s="60" t="s">
        <v>279</v>
      </c>
      <c r="C27" s="132" t="s">
        <v>282</v>
      </c>
      <c r="D27" s="132"/>
      <c r="E27" s="132"/>
      <c r="F27" s="132"/>
      <c r="G27" s="132"/>
      <c r="H27" s="132"/>
      <c r="I27" s="132"/>
      <c r="J27" s="132"/>
      <c r="K27" s="132"/>
    </row>
    <row r="28" spans="1:17" x14ac:dyDescent="0.3">
      <c r="A28" s="38"/>
      <c r="C28" s="132"/>
      <c r="D28" s="132"/>
      <c r="E28" s="132"/>
      <c r="F28" s="132"/>
      <c r="G28" s="132"/>
      <c r="H28" s="132"/>
      <c r="I28" s="132"/>
      <c r="J28" s="132"/>
      <c r="K28" s="132"/>
    </row>
    <row r="30" spans="1:17" x14ac:dyDescent="0.3">
      <c r="C30" s="7"/>
      <c r="E30" s="134"/>
    </row>
    <row r="31" spans="1:17" x14ac:dyDescent="0.3">
      <c r="C31" s="7"/>
      <c r="E31" s="134"/>
    </row>
    <row r="32" spans="1:17" x14ac:dyDescent="0.3">
      <c r="C32" s="118"/>
      <c r="D32" s="118"/>
      <c r="E32" s="131"/>
    </row>
    <row r="33" spans="1:5" x14ac:dyDescent="0.3">
      <c r="A33" s="38"/>
      <c r="E33" s="131"/>
    </row>
  </sheetData>
  <mergeCells count="7">
    <mergeCell ref="A14:Q14"/>
    <mergeCell ref="A16:C16"/>
    <mergeCell ref="A23:Q23"/>
    <mergeCell ref="A1:M1"/>
    <mergeCell ref="A2:M2"/>
    <mergeCell ref="A5:Q5"/>
    <mergeCell ref="A7:E7"/>
  </mergeCells>
  <pageMargins left="0.7" right="0.7" top="0.75" bottom="0.75" header="0.3" footer="0.3"/>
  <pageSetup scale="54"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C2B2-7454-42E7-98F1-6F2870AA015C}">
  <sheetPr>
    <tabColor theme="7" tint="0.79998168889431442"/>
    <pageSetUpPr fitToPage="1"/>
  </sheetPr>
  <dimension ref="A1:Q42"/>
  <sheetViews>
    <sheetView topLeftCell="A19" zoomScale="80" zoomScaleNormal="100" workbookViewId="0">
      <selection activeCell="A41" sqref="A41"/>
    </sheetView>
  </sheetViews>
  <sheetFormatPr defaultColWidth="9.21875" defaultRowHeight="14.4" x14ac:dyDescent="0.3"/>
  <cols>
    <col min="1" max="1" width="12.77734375" customWidth="1"/>
    <col min="2" max="2" width="5.21875" customWidth="1"/>
    <col min="3" max="3" width="22.5546875" customWidth="1"/>
    <col min="4" max="4" width="6.21875" customWidth="1"/>
    <col min="5" max="5" width="16.21875" customWidth="1"/>
    <col min="6" max="6" width="5.5546875" customWidth="1"/>
    <col min="7" max="7" width="14" customWidth="1"/>
    <col min="8" max="8" width="8" customWidth="1"/>
    <col min="9" max="9" width="15" bestFit="1" customWidth="1"/>
    <col min="10" max="10" width="2.77734375" customWidth="1"/>
    <col min="11" max="11" width="23.77734375" bestFit="1" customWidth="1"/>
    <col min="12" max="12" width="3.21875" customWidth="1"/>
    <col min="13" max="13" width="16.44140625" customWidth="1"/>
    <col min="14" max="14" width="3.77734375" customWidth="1"/>
    <col min="15" max="15" width="15" bestFit="1" customWidth="1"/>
    <col min="16" max="16" width="4.21875" customWidth="1"/>
    <col min="17" max="17" width="15.21875" bestFit="1" customWidth="1"/>
  </cols>
  <sheetData>
    <row r="1" spans="1:17" ht="31.2" x14ac:dyDescent="0.6">
      <c r="A1" s="154" t="s">
        <v>228</v>
      </c>
      <c r="B1" s="154"/>
      <c r="C1" s="154"/>
      <c r="D1" s="154"/>
      <c r="E1" s="154"/>
      <c r="F1" s="154"/>
      <c r="G1" s="154"/>
      <c r="H1" s="154"/>
      <c r="I1" s="154"/>
      <c r="J1" s="154"/>
      <c r="K1" s="154"/>
      <c r="L1" s="154"/>
      <c r="M1" s="154"/>
    </row>
    <row r="2" spans="1:17" ht="31.2" x14ac:dyDescent="0.6">
      <c r="A2" s="154" t="s">
        <v>229</v>
      </c>
      <c r="B2" s="154"/>
      <c r="C2" s="154"/>
      <c r="D2" s="154"/>
      <c r="E2" s="154"/>
      <c r="F2" s="154"/>
      <c r="G2" s="154"/>
      <c r="H2" s="154"/>
      <c r="I2" s="154"/>
      <c r="J2" s="154"/>
      <c r="K2" s="154"/>
      <c r="L2" s="154"/>
      <c r="M2" s="154"/>
    </row>
    <row r="3" spans="1:17" ht="14.25" customHeight="1" x14ac:dyDescent="0.45">
      <c r="A3" s="102"/>
    </row>
    <row r="4" spans="1:17" ht="23.4" x14ac:dyDescent="0.45">
      <c r="A4" s="151" t="s">
        <v>230</v>
      </c>
      <c r="B4" s="152"/>
      <c r="C4" s="152"/>
      <c r="D4" s="152"/>
      <c r="E4" s="152"/>
      <c r="F4" s="152"/>
      <c r="G4" s="152"/>
      <c r="H4" s="152"/>
      <c r="I4" s="152"/>
      <c r="J4" s="152"/>
      <c r="K4" s="152"/>
      <c r="L4" s="152"/>
      <c r="M4" s="152"/>
      <c r="N4" s="152"/>
      <c r="O4" s="152"/>
      <c r="P4" s="152"/>
      <c r="Q4" s="152"/>
    </row>
    <row r="6" spans="1:17" x14ac:dyDescent="0.3">
      <c r="A6" s="155" t="s">
        <v>231</v>
      </c>
      <c r="B6" s="156"/>
      <c r="C6" s="156"/>
      <c r="D6" s="156"/>
      <c r="E6" s="157"/>
    </row>
    <row r="7" spans="1:17" x14ac:dyDescent="0.3">
      <c r="C7" s="103" t="s">
        <v>232</v>
      </c>
      <c r="D7" s="47"/>
      <c r="E7" s="103" t="s">
        <v>233</v>
      </c>
    </row>
    <row r="8" spans="1:17" x14ac:dyDescent="0.3">
      <c r="A8" s="59" t="s">
        <v>234</v>
      </c>
      <c r="B8" s="60"/>
      <c r="C8" s="104">
        <v>1.6115000000000001E-3</v>
      </c>
      <c r="D8" s="60" t="s">
        <v>279</v>
      </c>
      <c r="E8" s="104">
        <v>3.7981E-3</v>
      </c>
      <c r="F8" s="60" t="s">
        <v>279</v>
      </c>
    </row>
    <row r="9" spans="1:17" x14ac:dyDescent="0.3">
      <c r="A9" s="59" t="s">
        <v>235</v>
      </c>
      <c r="B9" s="60"/>
      <c r="C9" s="105">
        <v>1.3824E-3</v>
      </c>
      <c r="D9" s="60"/>
      <c r="E9" s="105">
        <v>3.7431000000000001E-3</v>
      </c>
    </row>
    <row r="10" spans="1:17" x14ac:dyDescent="0.3">
      <c r="A10" s="59" t="s">
        <v>236</v>
      </c>
      <c r="B10" s="60"/>
      <c r="C10" s="105">
        <v>1.2852E-3</v>
      </c>
      <c r="D10" s="60"/>
      <c r="E10" s="105">
        <v>3.2464999999999998E-3</v>
      </c>
    </row>
    <row r="11" spans="1:17" x14ac:dyDescent="0.3">
      <c r="A11" s="59" t="s">
        <v>237</v>
      </c>
      <c r="B11" s="60"/>
      <c r="C11" s="105">
        <v>1.2440000000000001E-3</v>
      </c>
      <c r="D11" s="60"/>
      <c r="E11" s="105">
        <v>3.4099E-3</v>
      </c>
    </row>
    <row r="12" spans="1:17" x14ac:dyDescent="0.3">
      <c r="A12" s="59" t="s">
        <v>238</v>
      </c>
      <c r="B12" s="60"/>
      <c r="C12" s="105">
        <v>1.3657000000000001E-3</v>
      </c>
      <c r="D12" s="60"/>
      <c r="E12" s="105">
        <v>3.7761000000000001E-3</v>
      </c>
    </row>
    <row r="13" spans="1:17" x14ac:dyDescent="0.3">
      <c r="A13" s="59" t="s">
        <v>239</v>
      </c>
      <c r="B13" s="60"/>
      <c r="C13" s="105">
        <v>1.4226E-3</v>
      </c>
      <c r="D13" s="60"/>
      <c r="E13" s="105">
        <v>3.8896999999999998E-3</v>
      </c>
    </row>
    <row r="14" spans="1:17" x14ac:dyDescent="0.3">
      <c r="A14" s="59" t="s">
        <v>240</v>
      </c>
      <c r="B14" s="60"/>
      <c r="C14" s="105">
        <v>1.3171999999999999E-3</v>
      </c>
      <c r="D14" s="60"/>
      <c r="E14" s="105">
        <v>3.6051999999999998E-3</v>
      </c>
    </row>
    <row r="15" spans="1:17" x14ac:dyDescent="0.3">
      <c r="A15" s="59" t="s">
        <v>241</v>
      </c>
      <c r="B15" s="60"/>
      <c r="C15" s="105">
        <v>1.2523E-3</v>
      </c>
      <c r="D15" s="60"/>
      <c r="E15" s="105">
        <v>3.3771000000000001E-3</v>
      </c>
    </row>
    <row r="16" spans="1:17" x14ac:dyDescent="0.3">
      <c r="A16" s="59" t="s">
        <v>242</v>
      </c>
      <c r="B16" s="60"/>
      <c r="C16" s="105">
        <v>1.1628000000000001E-3</v>
      </c>
      <c r="D16" s="60"/>
      <c r="E16" s="105">
        <v>3.0019000000000001E-3</v>
      </c>
    </row>
    <row r="17" spans="1:17" x14ac:dyDescent="0.3">
      <c r="A17" s="59" t="s">
        <v>243</v>
      </c>
      <c r="B17" s="60"/>
      <c r="C17" s="105">
        <v>1.0897000000000001E-3</v>
      </c>
      <c r="D17" s="60"/>
      <c r="E17" s="105">
        <v>2.6992000000000001E-3</v>
      </c>
    </row>
    <row r="18" spans="1:17" x14ac:dyDescent="0.3">
      <c r="A18" s="59" t="s">
        <v>244</v>
      </c>
      <c r="B18" s="60"/>
      <c r="C18" s="105">
        <v>1.5555E-3</v>
      </c>
      <c r="D18" s="60"/>
      <c r="E18" s="105">
        <v>3.4156E-3</v>
      </c>
    </row>
    <row r="19" spans="1:17" x14ac:dyDescent="0.3">
      <c r="A19" s="59" t="s">
        <v>245</v>
      </c>
      <c r="B19" s="60"/>
      <c r="C19" s="105">
        <v>1.6442E-3</v>
      </c>
      <c r="D19" s="60"/>
      <c r="E19" s="105">
        <v>3.7168000000000001E-3</v>
      </c>
    </row>
    <row r="21" spans="1:17" ht="23.4" x14ac:dyDescent="0.45">
      <c r="A21" s="151"/>
      <c r="B21" s="152"/>
      <c r="C21" s="152"/>
      <c r="D21" s="152"/>
      <c r="E21" s="152"/>
      <c r="F21" s="152"/>
      <c r="G21" s="152"/>
      <c r="H21" s="152"/>
      <c r="I21" s="152"/>
      <c r="J21" s="152"/>
      <c r="K21" s="152"/>
      <c r="L21" s="152"/>
      <c r="M21" s="152"/>
      <c r="N21" s="152"/>
      <c r="O21" s="152"/>
      <c r="P21" s="152"/>
      <c r="Q21" s="152"/>
    </row>
    <row r="22" spans="1:17" ht="25.8" x14ac:dyDescent="0.5">
      <c r="A22" s="153" t="s">
        <v>248</v>
      </c>
      <c r="B22" s="153"/>
      <c r="C22" s="153"/>
    </row>
    <row r="23" spans="1:17" x14ac:dyDescent="0.3">
      <c r="A23" s="118"/>
      <c r="C23" s="60" t="s">
        <v>177</v>
      </c>
      <c r="D23" s="60"/>
      <c r="E23" s="60" t="s">
        <v>178</v>
      </c>
      <c r="F23" s="60"/>
      <c r="G23" s="60" t="s">
        <v>249</v>
      </c>
      <c r="H23" s="60"/>
      <c r="I23" s="60" t="s">
        <v>250</v>
      </c>
      <c r="J23" s="60"/>
      <c r="K23" s="60" t="s">
        <v>251</v>
      </c>
      <c r="L23" s="60"/>
      <c r="M23" s="60" t="s">
        <v>252</v>
      </c>
      <c r="N23" s="60"/>
      <c r="O23" s="60" t="s">
        <v>253</v>
      </c>
      <c r="P23" s="60"/>
      <c r="Q23" s="60" t="s">
        <v>254</v>
      </c>
    </row>
    <row r="24" spans="1:17" x14ac:dyDescent="0.3">
      <c r="A24" s="118"/>
      <c r="C24" s="86" t="s">
        <v>255</v>
      </c>
      <c r="E24" s="86" t="s">
        <v>256</v>
      </c>
      <c r="G24" s="86" t="s">
        <v>257</v>
      </c>
      <c r="I24" s="86" t="s">
        <v>258</v>
      </c>
      <c r="K24" s="86" t="s">
        <v>259</v>
      </c>
      <c r="M24" s="87" t="s">
        <v>188</v>
      </c>
      <c r="N24" s="38"/>
      <c r="O24" s="87" t="s">
        <v>189</v>
      </c>
      <c r="Q24" s="86" t="s">
        <v>260</v>
      </c>
    </row>
    <row r="25" spans="1:17" x14ac:dyDescent="0.3">
      <c r="A25" s="118"/>
      <c r="C25" s="55" t="s">
        <v>259</v>
      </c>
      <c r="D25" s="128"/>
      <c r="E25" s="55" t="s">
        <v>261</v>
      </c>
      <c r="F25" s="128"/>
      <c r="G25" s="55" t="s">
        <v>262</v>
      </c>
      <c r="H25" s="128"/>
      <c r="I25" s="55" t="s">
        <v>263</v>
      </c>
      <c r="J25" s="128"/>
      <c r="K25" s="55" t="s">
        <v>264</v>
      </c>
      <c r="L25" s="128"/>
      <c r="M25" s="88" t="s">
        <v>265</v>
      </c>
      <c r="N25" s="129"/>
      <c r="O25" s="88" t="s">
        <v>265</v>
      </c>
      <c r="P25" s="128"/>
      <c r="Q25" s="55" t="s">
        <v>259</v>
      </c>
    </row>
    <row r="26" spans="1:17" x14ac:dyDescent="0.3">
      <c r="A26" s="53">
        <v>42736</v>
      </c>
      <c r="B26" s="60"/>
      <c r="C26" s="66">
        <f>'[9]B. Return Calculation - 2016'!Q53</f>
        <v>8078724.0030629328</v>
      </c>
      <c r="D26" s="60"/>
      <c r="E26" s="130">
        <f>'D. 1 (calc - amort actuals)'!C28</f>
        <v>358148</v>
      </c>
      <c r="G26" s="131">
        <v>0</v>
      </c>
      <c r="I26" s="131">
        <v>0</v>
      </c>
      <c r="K26" s="66">
        <f t="shared" ref="K26:K30" si="0">SUM(C26+E26+G26+I26)</f>
        <v>8436872.0030629337</v>
      </c>
      <c r="M26" s="66">
        <f t="shared" ref="M26:M36" si="1">K26*C9</f>
        <v>11663.131857034199</v>
      </c>
      <c r="O26" s="66">
        <f t="shared" ref="O26:O36" si="2">K26*E9</f>
        <v>31580.055594664867</v>
      </c>
      <c r="Q26" s="66">
        <f>SUM(K26+M26+O26)</f>
        <v>8480115.1905146316</v>
      </c>
    </row>
    <row r="27" spans="1:17" x14ac:dyDescent="0.3">
      <c r="A27" s="53">
        <v>42767</v>
      </c>
      <c r="B27" s="60"/>
      <c r="C27" s="66">
        <f>Q26</f>
        <v>8480115.1905146316</v>
      </c>
      <c r="D27" s="60"/>
      <c r="E27" s="130">
        <f>'D. 1 (calc - amort actuals)'!C29</f>
        <v>424021</v>
      </c>
      <c r="G27" s="131">
        <v>0</v>
      </c>
      <c r="I27" s="131">
        <v>0</v>
      </c>
      <c r="K27" s="66">
        <f t="shared" si="0"/>
        <v>8904136.1905146316</v>
      </c>
      <c r="M27" s="66">
        <f t="shared" si="1"/>
        <v>11443.595832049405</v>
      </c>
      <c r="O27" s="66">
        <f t="shared" si="2"/>
        <v>28907.278142505751</v>
      </c>
      <c r="Q27" s="66">
        <f>SUM(K27+M27+O27)</f>
        <v>8944487.0644891877</v>
      </c>
    </row>
    <row r="28" spans="1:17" x14ac:dyDescent="0.3">
      <c r="A28" s="53">
        <v>42795</v>
      </c>
      <c r="B28" s="60"/>
      <c r="C28" s="66">
        <f>Q27</f>
        <v>8944487.0644891877</v>
      </c>
      <c r="D28" s="60"/>
      <c r="E28" s="130">
        <f>'D. 1 (calc - amort actuals)'!C30</f>
        <v>692184</v>
      </c>
      <c r="F28" s="60"/>
      <c r="G28" s="131">
        <v>-26762.87</v>
      </c>
      <c r="I28" s="131">
        <v>0</v>
      </c>
      <c r="K28" s="66">
        <f t="shared" si="0"/>
        <v>9609908.1944891885</v>
      </c>
      <c r="M28" s="66">
        <f t="shared" si="1"/>
        <v>11954.725793944552</v>
      </c>
      <c r="O28" s="66">
        <f t="shared" si="2"/>
        <v>32768.825952388681</v>
      </c>
      <c r="Q28" s="66">
        <f>SUM(K28+M28+O28)</f>
        <v>9654631.7462355215</v>
      </c>
    </row>
    <row r="29" spans="1:17" x14ac:dyDescent="0.3">
      <c r="A29" s="53">
        <v>42826</v>
      </c>
      <c r="B29" s="60"/>
      <c r="C29" s="66">
        <f>Q28</f>
        <v>9654631.7462355215</v>
      </c>
      <c r="D29" s="60"/>
      <c r="E29" s="130">
        <f>'D. 1 (calc - amort actuals)'!C31</f>
        <v>254067</v>
      </c>
      <c r="G29" s="131">
        <v>0</v>
      </c>
      <c r="I29" s="131">
        <v>0</v>
      </c>
      <c r="K29" s="66">
        <f>SUM(C29+E29+G29+I29)</f>
        <v>9908698.7462355215</v>
      </c>
      <c r="M29" s="66">
        <f t="shared" si="1"/>
        <v>13532.309877733853</v>
      </c>
      <c r="O29" s="66">
        <f t="shared" si="2"/>
        <v>37416.237335659956</v>
      </c>
      <c r="Q29" s="66">
        <f t="shared" ref="Q29:Q34" si="3">SUM(K29+M29+O29)</f>
        <v>9959647.2934489157</v>
      </c>
    </row>
    <row r="30" spans="1:17" x14ac:dyDescent="0.3">
      <c r="A30" s="53">
        <v>42856</v>
      </c>
      <c r="B30" s="60"/>
      <c r="C30" s="66">
        <f t="shared" ref="C30:C37" si="4">Q29</f>
        <v>9959647.2934489157</v>
      </c>
      <c r="D30" s="60"/>
      <c r="E30" s="130">
        <f>'D. 1 (calc - amort actuals)'!C32</f>
        <v>608377</v>
      </c>
      <c r="F30" s="60"/>
      <c r="G30" s="131">
        <v>0</v>
      </c>
      <c r="I30" s="131">
        <v>0</v>
      </c>
      <c r="K30" s="66">
        <f t="shared" si="0"/>
        <v>10568024.293448916</v>
      </c>
      <c r="M30" s="66">
        <f t="shared" si="1"/>
        <v>15034.071359860427</v>
      </c>
      <c r="O30" s="66">
        <f t="shared" si="2"/>
        <v>41106.444094228245</v>
      </c>
      <c r="Q30" s="66">
        <f>SUM(K30+M30+O30)</f>
        <v>10624164.808903003</v>
      </c>
    </row>
    <row r="31" spans="1:17" x14ac:dyDescent="0.3">
      <c r="A31" s="53">
        <v>42887</v>
      </c>
      <c r="B31" s="60"/>
      <c r="C31" s="66">
        <f t="shared" si="4"/>
        <v>10624164.808903003</v>
      </c>
      <c r="D31" s="60"/>
      <c r="E31" s="130">
        <f>'D. 1 (calc - amort actuals)'!C33</f>
        <v>265619</v>
      </c>
      <c r="F31" s="60"/>
      <c r="G31" s="131">
        <v>-26762.87</v>
      </c>
      <c r="I31" s="131">
        <v>0</v>
      </c>
      <c r="K31" s="66">
        <f>SUM(C31+E31+G31+I31)</f>
        <v>10863020.938903004</v>
      </c>
      <c r="M31" s="66">
        <f t="shared" si="1"/>
        <v>14308.771180723035</v>
      </c>
      <c r="O31" s="66">
        <f t="shared" si="2"/>
        <v>39163.363088933111</v>
      </c>
      <c r="Q31" s="66">
        <f>SUM(K31+M31+O31)</f>
        <v>10916493.073172661</v>
      </c>
    </row>
    <row r="32" spans="1:17" x14ac:dyDescent="0.3">
      <c r="A32" s="53">
        <v>42917</v>
      </c>
      <c r="B32" s="60"/>
      <c r="C32" s="66">
        <f t="shared" si="4"/>
        <v>10916493.073172661</v>
      </c>
      <c r="D32" s="60"/>
      <c r="E32" s="130">
        <f>'D. 1 (calc - amort actuals)'!C34</f>
        <v>220636</v>
      </c>
      <c r="G32" s="131">
        <v>0</v>
      </c>
      <c r="I32" s="131">
        <v>0</v>
      </c>
      <c r="K32" s="66">
        <f>SUM(C32+E32+G32+I32)</f>
        <v>11137129.073172661</v>
      </c>
      <c r="M32" s="66">
        <f t="shared" si="1"/>
        <v>13947.026738334123</v>
      </c>
      <c r="O32" s="66">
        <f t="shared" si="2"/>
        <v>37611.198593011395</v>
      </c>
      <c r="Q32" s="66">
        <f>SUM(K32+M32+O32)</f>
        <v>11188687.298504006</v>
      </c>
    </row>
    <row r="33" spans="1:17" x14ac:dyDescent="0.3">
      <c r="A33" s="53">
        <v>42948</v>
      </c>
      <c r="B33" s="60"/>
      <c r="C33" s="66">
        <f t="shared" si="4"/>
        <v>11188687.298504006</v>
      </c>
      <c r="D33" s="60"/>
      <c r="E33" s="130">
        <f>'D. 1 (calc - amort actuals)'!C35</f>
        <v>272053</v>
      </c>
      <c r="G33" s="131">
        <v>0</v>
      </c>
      <c r="I33" s="131">
        <v>0</v>
      </c>
      <c r="K33" s="66">
        <f>SUM(C33+E33+G33+I33)</f>
        <v>11460740.298504006</v>
      </c>
      <c r="M33" s="66">
        <f t="shared" si="1"/>
        <v>13326.548819100459</v>
      </c>
      <c r="O33" s="66">
        <f t="shared" si="2"/>
        <v>34403.996302079177</v>
      </c>
      <c r="Q33" s="66">
        <f>SUM(K33+M33+O33)</f>
        <v>11508470.843625186</v>
      </c>
    </row>
    <row r="34" spans="1:17" x14ac:dyDescent="0.3">
      <c r="A34" s="53">
        <v>42979</v>
      </c>
      <c r="B34" s="60"/>
      <c r="C34" s="66">
        <f t="shared" si="4"/>
        <v>11508470.843625186</v>
      </c>
      <c r="D34" s="60"/>
      <c r="E34" s="130">
        <f>'D. 1 (calc - amort actuals)'!C36</f>
        <v>233743</v>
      </c>
      <c r="F34" s="60"/>
      <c r="G34" s="131">
        <v>-26762.87</v>
      </c>
      <c r="I34" s="131">
        <v>0</v>
      </c>
      <c r="K34" s="66">
        <f t="shared" ref="K34" si="5">SUM(C34+E34+G34+I34)</f>
        <v>11715450.973625187</v>
      </c>
      <c r="M34" s="66">
        <f t="shared" si="1"/>
        <v>12766.326925959367</v>
      </c>
      <c r="O34" s="66">
        <f t="shared" si="2"/>
        <v>31622.345268009107</v>
      </c>
      <c r="Q34" s="66">
        <f t="shared" si="3"/>
        <v>11759839.645819155</v>
      </c>
    </row>
    <row r="35" spans="1:17" x14ac:dyDescent="0.3">
      <c r="A35" s="53">
        <v>43009</v>
      </c>
      <c r="B35" s="60"/>
      <c r="C35" s="66">
        <f t="shared" si="4"/>
        <v>11759839.645819155</v>
      </c>
      <c r="D35" s="60"/>
      <c r="E35" s="130">
        <f>'D. 1 (calc - amort actuals)'!C37</f>
        <v>444793</v>
      </c>
      <c r="F35" s="60"/>
      <c r="G35" s="131">
        <v>0</v>
      </c>
      <c r="I35" s="131">
        <v>0</v>
      </c>
      <c r="K35" s="66">
        <f>SUM(C35+E35+G35+I35)</f>
        <v>12204632.645819155</v>
      </c>
      <c r="M35" s="66">
        <f t="shared" si="1"/>
        <v>18984.306080571696</v>
      </c>
      <c r="O35" s="66">
        <f t="shared" si="2"/>
        <v>41686.143265059909</v>
      </c>
      <c r="Q35" s="66">
        <f>SUM(K35+M35+O35)</f>
        <v>12265303.095164787</v>
      </c>
    </row>
    <row r="36" spans="1:17" x14ac:dyDescent="0.3">
      <c r="A36" s="53">
        <v>43040</v>
      </c>
      <c r="B36" s="60"/>
      <c r="C36" s="66">
        <f>Q35</f>
        <v>12265303.095164787</v>
      </c>
      <c r="D36" s="60"/>
      <c r="E36" s="130">
        <f>'D. 1 (calc - amort actuals)'!C38</f>
        <v>525770</v>
      </c>
      <c r="G36" s="131">
        <v>0</v>
      </c>
      <c r="I36" s="131">
        <v>0</v>
      </c>
      <c r="K36" s="66">
        <f>SUM(C36+E36+G36+I36)</f>
        <v>12791073.095164787</v>
      </c>
      <c r="M36" s="66">
        <f t="shared" si="1"/>
        <v>21031.082383069941</v>
      </c>
      <c r="O36" s="66">
        <f t="shared" si="2"/>
        <v>47541.86048010848</v>
      </c>
      <c r="Q36" s="66">
        <f>SUM(K36+M36+O36)</f>
        <v>12859646.038027966</v>
      </c>
    </row>
    <row r="37" spans="1:17" x14ac:dyDescent="0.3">
      <c r="A37" s="53">
        <v>43070</v>
      </c>
      <c r="B37" s="60"/>
      <c r="C37" s="66">
        <f t="shared" si="4"/>
        <v>12859646.038027966</v>
      </c>
      <c r="D37" s="60"/>
      <c r="E37" s="130">
        <f>'D. 1 (calc - amort actuals)'!C39</f>
        <v>2482493</v>
      </c>
      <c r="F37" s="60"/>
      <c r="G37" s="131">
        <v>-26762.87</v>
      </c>
      <c r="I37" s="131">
        <v>0</v>
      </c>
      <c r="K37" s="66">
        <f>SUM(C37+E37+G37+I37)</f>
        <v>15315376.168027967</v>
      </c>
      <c r="L37" s="118"/>
      <c r="M37" s="66">
        <f>K37*C8</f>
        <v>24680.72869477707</v>
      </c>
      <c r="N37" s="118"/>
      <c r="O37" s="66">
        <f>K37*E8</f>
        <v>58169.330223787023</v>
      </c>
      <c r="Q37" s="66">
        <f>SUM(K37+M37+O37)</f>
        <v>15398226.226946533</v>
      </c>
    </row>
    <row r="38" spans="1:17" ht="23.4" x14ac:dyDescent="0.45">
      <c r="A38" s="151"/>
      <c r="B38" s="152"/>
      <c r="C38" s="152"/>
      <c r="D38" s="152"/>
      <c r="E38" s="152"/>
      <c r="F38" s="152"/>
      <c r="G38" s="152"/>
      <c r="H38" s="152"/>
      <c r="I38" s="152"/>
      <c r="J38" s="152"/>
      <c r="K38" s="152"/>
      <c r="L38" s="152"/>
      <c r="M38" s="152"/>
      <c r="N38" s="152"/>
      <c r="O38" s="152"/>
      <c r="P38" s="152"/>
      <c r="Q38" s="152"/>
    </row>
    <row r="39" spans="1:17" x14ac:dyDescent="0.3">
      <c r="E39" s="133" t="s">
        <v>266</v>
      </c>
    </row>
    <row r="40" spans="1:17" x14ac:dyDescent="0.3">
      <c r="A40" s="132"/>
      <c r="B40" s="132"/>
      <c r="C40" s="132"/>
      <c r="D40" s="132"/>
      <c r="E40" s="132"/>
      <c r="F40" s="132"/>
      <c r="G40" s="132"/>
      <c r="H40" s="132"/>
      <c r="I40" s="132"/>
      <c r="J40" s="132"/>
      <c r="K40" s="132"/>
      <c r="L40" s="132"/>
      <c r="M40" s="132"/>
      <c r="N40" s="132"/>
      <c r="O40" s="132"/>
    </row>
    <row r="42" spans="1:17" x14ac:dyDescent="0.3">
      <c r="B42" s="60" t="s">
        <v>279</v>
      </c>
      <c r="C42" s="132" t="s">
        <v>282</v>
      </c>
    </row>
  </sheetData>
  <mergeCells count="7">
    <mergeCell ref="A21:Q21"/>
    <mergeCell ref="A22:C22"/>
    <mergeCell ref="A38:Q38"/>
    <mergeCell ref="A1:M1"/>
    <mergeCell ref="A2:M2"/>
    <mergeCell ref="A4:Q4"/>
    <mergeCell ref="A6:E6"/>
  </mergeCells>
  <pageMargins left="0.7" right="0.7" top="0.75" bottom="0.75" header="0.3" footer="0.3"/>
  <pageSetup scale="4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ECC6F-F523-4303-A53D-DF064BF334E0}">
  <sheetPr>
    <tabColor theme="7" tint="0.79998168889431442"/>
    <pageSetUpPr fitToPage="1"/>
  </sheetPr>
  <dimension ref="A1:Q43"/>
  <sheetViews>
    <sheetView topLeftCell="A17" zoomScale="80" zoomScaleNormal="80" workbookViewId="0">
      <selection sqref="A1:M1"/>
    </sheetView>
  </sheetViews>
  <sheetFormatPr defaultColWidth="9.21875" defaultRowHeight="14.4" x14ac:dyDescent="0.3"/>
  <cols>
    <col min="1" max="1" width="12.77734375" customWidth="1"/>
    <col min="2" max="2" width="5.21875" customWidth="1"/>
    <col min="3" max="3" width="22.5546875" customWidth="1"/>
    <col min="4" max="4" width="6.21875" customWidth="1"/>
    <col min="5" max="5" width="16.21875" customWidth="1"/>
    <col min="6" max="6" width="5.5546875" customWidth="1"/>
    <col min="7" max="7" width="14" customWidth="1"/>
    <col min="8" max="8" width="8" customWidth="1"/>
    <col min="9" max="9" width="15" bestFit="1" customWidth="1"/>
    <col min="10" max="10" width="2.77734375" customWidth="1"/>
    <col min="11" max="11" width="14" bestFit="1" customWidth="1"/>
    <col min="12" max="12" width="3.21875" customWidth="1"/>
    <col min="13" max="13" width="16.44140625" customWidth="1"/>
    <col min="14" max="14" width="3.77734375" customWidth="1"/>
    <col min="15" max="15" width="15" bestFit="1" customWidth="1"/>
    <col min="16" max="16" width="4.21875" customWidth="1"/>
    <col min="17" max="17" width="19" customWidth="1"/>
  </cols>
  <sheetData>
    <row r="1" spans="1:17" ht="31.2" x14ac:dyDescent="0.6">
      <c r="A1" s="154" t="s">
        <v>228</v>
      </c>
      <c r="B1" s="154"/>
      <c r="C1" s="154"/>
      <c r="D1" s="154"/>
      <c r="E1" s="154"/>
      <c r="F1" s="154"/>
      <c r="G1" s="154"/>
      <c r="H1" s="154"/>
      <c r="I1" s="154"/>
      <c r="J1" s="154"/>
      <c r="K1" s="154"/>
      <c r="L1" s="154"/>
      <c r="M1" s="154"/>
    </row>
    <row r="2" spans="1:17" ht="31.2" x14ac:dyDescent="0.6">
      <c r="A2" s="154" t="s">
        <v>229</v>
      </c>
      <c r="B2" s="154"/>
      <c r="C2" s="154"/>
      <c r="D2" s="154"/>
      <c r="E2" s="154"/>
      <c r="F2" s="154"/>
      <c r="G2" s="154"/>
      <c r="H2" s="154"/>
      <c r="I2" s="154"/>
      <c r="J2" s="154"/>
      <c r="K2" s="154"/>
      <c r="L2" s="154"/>
      <c r="M2" s="154"/>
    </row>
    <row r="3" spans="1:17" ht="14.25" customHeight="1" x14ac:dyDescent="0.45">
      <c r="A3" s="102"/>
    </row>
    <row r="4" spans="1:17" ht="23.4" x14ac:dyDescent="0.45">
      <c r="A4" s="151" t="s">
        <v>230</v>
      </c>
      <c r="B4" s="152"/>
      <c r="C4" s="152"/>
      <c r="D4" s="152"/>
      <c r="E4" s="152"/>
      <c r="F4" s="152"/>
      <c r="G4" s="152"/>
      <c r="H4" s="152"/>
      <c r="I4" s="152"/>
      <c r="J4" s="152"/>
      <c r="K4" s="152"/>
      <c r="L4" s="152"/>
      <c r="M4" s="152"/>
      <c r="N4" s="152"/>
      <c r="O4" s="152"/>
      <c r="P4" s="152"/>
      <c r="Q4" s="152"/>
    </row>
    <row r="6" spans="1:17" x14ac:dyDescent="0.3">
      <c r="A6" s="155" t="s">
        <v>231</v>
      </c>
      <c r="B6" s="156"/>
      <c r="C6" s="156"/>
      <c r="D6" s="156"/>
      <c r="E6" s="157"/>
    </row>
    <row r="7" spans="1:17" x14ac:dyDescent="0.3">
      <c r="C7" s="103" t="s">
        <v>232</v>
      </c>
      <c r="D7" s="47"/>
      <c r="E7" s="103" t="s">
        <v>233</v>
      </c>
    </row>
    <row r="8" spans="1:17" x14ac:dyDescent="0.3">
      <c r="A8" s="59" t="s">
        <v>234</v>
      </c>
      <c r="B8" s="60"/>
      <c r="C8" s="104">
        <v>1.5039000000000001E-3</v>
      </c>
      <c r="D8" s="60" t="s">
        <v>279</v>
      </c>
      <c r="E8" s="104">
        <v>4.0597999999999997E-3</v>
      </c>
      <c r="F8" s="60" t="s">
        <v>279</v>
      </c>
    </row>
    <row r="9" spans="1:17" x14ac:dyDescent="0.3">
      <c r="A9" s="59" t="s">
        <v>235</v>
      </c>
      <c r="B9" s="60"/>
      <c r="C9" s="105">
        <v>4.994E-4</v>
      </c>
      <c r="D9" s="60"/>
      <c r="E9" s="105">
        <v>0</v>
      </c>
    </row>
    <row r="10" spans="1:17" x14ac:dyDescent="0.3">
      <c r="A10" s="59" t="s">
        <v>236</v>
      </c>
      <c r="B10" s="60"/>
      <c r="C10" s="105">
        <v>1.5560000000000001E-3</v>
      </c>
      <c r="D10" s="60"/>
      <c r="E10" s="105">
        <v>3.2525000000000002E-3</v>
      </c>
    </row>
    <row r="11" spans="1:17" x14ac:dyDescent="0.3">
      <c r="A11" s="59" t="s">
        <v>237</v>
      </c>
      <c r="B11" s="60"/>
      <c r="C11" s="105">
        <v>1.7504E-3</v>
      </c>
      <c r="D11" s="60"/>
      <c r="E11" s="105">
        <v>3.8295E-3</v>
      </c>
    </row>
    <row r="12" spans="1:17" x14ac:dyDescent="0.3">
      <c r="A12" s="59" t="s">
        <v>238</v>
      </c>
      <c r="B12" s="60"/>
      <c r="C12" s="105">
        <v>1.5528E-3</v>
      </c>
      <c r="D12" s="60"/>
      <c r="E12" s="105">
        <v>4.1000000000000003E-3</v>
      </c>
    </row>
    <row r="13" spans="1:17" x14ac:dyDescent="0.3">
      <c r="A13" s="59" t="s">
        <v>239</v>
      </c>
      <c r="B13" s="60"/>
      <c r="C13" s="105">
        <v>1.5528E-3</v>
      </c>
      <c r="D13" s="60"/>
      <c r="E13" s="105">
        <v>4.1000000000000003E-3</v>
      </c>
    </row>
    <row r="14" spans="1:17" x14ac:dyDescent="0.3">
      <c r="A14" s="59" t="s">
        <v>240</v>
      </c>
      <c r="B14" s="60"/>
      <c r="C14" s="105">
        <v>1.5528E-3</v>
      </c>
      <c r="D14" s="60"/>
      <c r="E14" s="105">
        <v>4.1000000000000003E-3</v>
      </c>
    </row>
    <row r="15" spans="1:17" x14ac:dyDescent="0.3">
      <c r="A15" s="59" t="s">
        <v>241</v>
      </c>
      <c r="B15" s="60"/>
      <c r="C15" s="105">
        <v>1.5449000000000001E-3</v>
      </c>
      <c r="D15" s="60"/>
      <c r="E15" s="105">
        <v>4.1159999999999999E-3</v>
      </c>
    </row>
    <row r="16" spans="1:17" x14ac:dyDescent="0.3">
      <c r="A16" s="59" t="s">
        <v>242</v>
      </c>
      <c r="B16" s="60"/>
      <c r="C16" s="105">
        <v>1.5363E-3</v>
      </c>
      <c r="D16" s="60"/>
      <c r="E16" s="105">
        <v>4.1326999999999996E-3</v>
      </c>
    </row>
    <row r="17" spans="1:17" x14ac:dyDescent="0.3">
      <c r="A17" s="59" t="s">
        <v>243</v>
      </c>
      <c r="B17" s="60"/>
      <c r="C17" s="105">
        <v>1.5283E-3</v>
      </c>
      <c r="D17" s="60"/>
      <c r="E17" s="105">
        <v>4.1488000000000002E-3</v>
      </c>
    </row>
    <row r="18" spans="1:17" x14ac:dyDescent="0.3">
      <c r="A18" s="59" t="s">
        <v>244</v>
      </c>
      <c r="B18" s="60"/>
      <c r="C18" s="105">
        <v>1.5280000000000001E-3</v>
      </c>
      <c r="D18" s="60"/>
      <c r="E18" s="105">
        <v>4.1733999999999999E-3</v>
      </c>
    </row>
    <row r="19" spans="1:17" x14ac:dyDescent="0.3">
      <c r="A19" s="59" t="s">
        <v>245</v>
      </c>
      <c r="B19" s="60"/>
      <c r="C19" s="105">
        <v>1.5123000000000001E-3</v>
      </c>
      <c r="D19" s="60"/>
      <c r="E19" s="105">
        <v>4.019E-3</v>
      </c>
    </row>
    <row r="21" spans="1:17" ht="23.4" x14ac:dyDescent="0.45">
      <c r="A21" s="151"/>
      <c r="B21" s="152"/>
      <c r="C21" s="152"/>
      <c r="D21" s="152"/>
      <c r="E21" s="152"/>
      <c r="F21" s="152"/>
      <c r="G21" s="152"/>
      <c r="H21" s="152"/>
      <c r="I21" s="152"/>
      <c r="J21" s="152"/>
      <c r="K21" s="152"/>
      <c r="L21" s="152"/>
      <c r="M21" s="152"/>
      <c r="N21" s="152"/>
      <c r="O21" s="152"/>
      <c r="P21" s="152"/>
      <c r="Q21" s="152"/>
    </row>
    <row r="22" spans="1:17" ht="23.4" x14ac:dyDescent="0.45">
      <c r="A22" s="127"/>
      <c r="B22" s="127"/>
      <c r="C22" s="127"/>
      <c r="D22" s="127"/>
      <c r="E22" s="127"/>
      <c r="F22" s="127"/>
      <c r="G22" s="127"/>
      <c r="H22" s="127"/>
      <c r="I22" s="127"/>
      <c r="J22" s="127"/>
      <c r="K22" s="127"/>
      <c r="L22" s="127"/>
      <c r="M22" s="127"/>
      <c r="N22" s="127"/>
      <c r="O22" s="127"/>
      <c r="P22" s="127"/>
    </row>
    <row r="23" spans="1:17" ht="25.8" x14ac:dyDescent="0.5">
      <c r="A23" s="153" t="s">
        <v>248</v>
      </c>
      <c r="B23" s="153"/>
      <c r="C23" s="153"/>
    </row>
    <row r="24" spans="1:17" x14ac:dyDescent="0.3">
      <c r="A24" s="118"/>
      <c r="C24" s="60" t="s">
        <v>177</v>
      </c>
      <c r="D24" s="60"/>
      <c r="E24" s="60" t="s">
        <v>178</v>
      </c>
      <c r="F24" s="60"/>
      <c r="G24" s="60" t="s">
        <v>249</v>
      </c>
      <c r="H24" s="60"/>
      <c r="I24" s="60" t="s">
        <v>250</v>
      </c>
      <c r="J24" s="60"/>
      <c r="K24" s="60" t="s">
        <v>251</v>
      </c>
      <c r="L24" s="60"/>
      <c r="M24" s="60" t="s">
        <v>252</v>
      </c>
      <c r="N24" s="60"/>
      <c r="O24" s="60" t="s">
        <v>253</v>
      </c>
      <c r="P24" s="60"/>
      <c r="Q24" s="60" t="s">
        <v>254</v>
      </c>
    </row>
    <row r="25" spans="1:17" x14ac:dyDescent="0.3">
      <c r="A25" s="118"/>
      <c r="C25" s="86" t="s">
        <v>255</v>
      </c>
      <c r="E25" s="86" t="s">
        <v>256</v>
      </c>
      <c r="G25" s="86" t="s">
        <v>257</v>
      </c>
      <c r="I25" s="86" t="s">
        <v>258</v>
      </c>
      <c r="K25" s="86" t="s">
        <v>259</v>
      </c>
      <c r="M25" s="87" t="s">
        <v>188</v>
      </c>
      <c r="N25" s="38"/>
      <c r="O25" s="87" t="s">
        <v>189</v>
      </c>
      <c r="Q25" s="86" t="s">
        <v>260</v>
      </c>
    </row>
    <row r="26" spans="1:17" x14ac:dyDescent="0.3">
      <c r="A26" s="118"/>
      <c r="C26" s="55" t="s">
        <v>259</v>
      </c>
      <c r="D26" s="128"/>
      <c r="E26" s="55" t="s">
        <v>267</v>
      </c>
      <c r="F26" s="128"/>
      <c r="G26" s="55" t="s">
        <v>262</v>
      </c>
      <c r="H26" s="128"/>
      <c r="I26" s="55" t="s">
        <v>263</v>
      </c>
      <c r="J26" s="128"/>
      <c r="K26" s="55" t="s">
        <v>264</v>
      </c>
      <c r="L26" s="128"/>
      <c r="M26" s="88" t="s">
        <v>265</v>
      </c>
      <c r="N26" s="129"/>
      <c r="O26" s="88" t="s">
        <v>265</v>
      </c>
      <c r="P26" s="128"/>
      <c r="Q26" s="55" t="s">
        <v>259</v>
      </c>
    </row>
    <row r="27" spans="1:17" x14ac:dyDescent="0.3">
      <c r="A27" s="53">
        <v>42370</v>
      </c>
      <c r="B27" s="60"/>
      <c r="C27" s="66">
        <f>'I. Return Calculation - 2015'!Q44</f>
        <v>3022049.3998496528</v>
      </c>
      <c r="D27" s="60"/>
      <c r="E27" s="130">
        <f>'D. 1 (calc - amort actuals)'!C16</f>
        <v>606189</v>
      </c>
      <c r="G27" s="131">
        <v>0</v>
      </c>
      <c r="I27" s="131">
        <v>0</v>
      </c>
      <c r="K27" s="66">
        <f>SUM(C27+E27+G27+I27)</f>
        <v>3628238.3998496528</v>
      </c>
      <c r="M27" s="66">
        <f t="shared" ref="M27:M37" si="0">K27*C9</f>
        <v>1811.9422568849166</v>
      </c>
      <c r="O27" s="66">
        <f t="shared" ref="O27:O37" si="1">K27*E9</f>
        <v>0</v>
      </c>
      <c r="Q27" s="66">
        <f>SUM(K27+M27+O27)</f>
        <v>3630050.3421065379</v>
      </c>
    </row>
    <row r="28" spans="1:17" x14ac:dyDescent="0.3">
      <c r="A28" s="53">
        <v>42401</v>
      </c>
      <c r="B28" s="60"/>
      <c r="C28" s="66">
        <f>Q27</f>
        <v>3630050.3421065379</v>
      </c>
      <c r="D28" s="60"/>
      <c r="E28" s="130">
        <f>'D. 1 (calc - amort actuals)'!C17</f>
        <v>442002</v>
      </c>
      <c r="G28" s="131">
        <v>0</v>
      </c>
      <c r="I28" s="131">
        <v>0</v>
      </c>
      <c r="K28" s="66">
        <f>SUM(C28+E28+G28+I28)</f>
        <v>4072052.3421065379</v>
      </c>
      <c r="M28" s="66">
        <f t="shared" si="0"/>
        <v>6336.1134443177734</v>
      </c>
      <c r="O28" s="66">
        <f t="shared" si="1"/>
        <v>13244.350242701516</v>
      </c>
      <c r="Q28" s="66">
        <f>SUM(K28+M28+O28)</f>
        <v>4091632.8057935569</v>
      </c>
    </row>
    <row r="29" spans="1:17" x14ac:dyDescent="0.3">
      <c r="A29" s="53">
        <v>42430</v>
      </c>
      <c r="B29" s="60"/>
      <c r="C29" s="66">
        <f>Q28</f>
        <v>4091632.8057935569</v>
      </c>
      <c r="D29" s="60"/>
      <c r="E29" s="130">
        <f>'D. 1 (calc - amort actuals)'!C18</f>
        <v>439342</v>
      </c>
      <c r="F29" s="60"/>
      <c r="G29" s="131">
        <v>-26762.87</v>
      </c>
      <c r="I29" s="131">
        <v>0</v>
      </c>
      <c r="K29" s="66">
        <f t="shared" ref="K29:K35" si="2">SUM(C29+E29+G29+I29)</f>
        <v>4504211.9357935572</v>
      </c>
      <c r="M29" s="66">
        <f t="shared" si="0"/>
        <v>7884.1725724130429</v>
      </c>
      <c r="O29" s="66">
        <f t="shared" si="1"/>
        <v>17248.879608121428</v>
      </c>
      <c r="Q29" s="66">
        <f t="shared" ref="Q29:Q35" si="3">SUM(K29+M29+O29)</f>
        <v>4529344.9879740924</v>
      </c>
    </row>
    <row r="30" spans="1:17" x14ac:dyDescent="0.3">
      <c r="A30" s="53">
        <v>42461</v>
      </c>
      <c r="B30" s="60"/>
      <c r="C30" s="66">
        <f>Q29</f>
        <v>4529344.9879740924</v>
      </c>
      <c r="D30" s="60"/>
      <c r="E30" s="130">
        <f>'D. 1 (calc - amort actuals)'!C19</f>
        <v>574465</v>
      </c>
      <c r="G30" s="131">
        <v>0</v>
      </c>
      <c r="I30" s="131">
        <v>0</v>
      </c>
      <c r="K30" s="66">
        <f>SUM(C30+E30+G30+I30)</f>
        <v>5103809.9879740924</v>
      </c>
      <c r="M30" s="66">
        <f t="shared" si="0"/>
        <v>7925.1961493261706</v>
      </c>
      <c r="O30" s="66">
        <f t="shared" si="1"/>
        <v>20925.620950693781</v>
      </c>
      <c r="Q30" s="66">
        <f t="shared" si="3"/>
        <v>5132660.8050741125</v>
      </c>
    </row>
    <row r="31" spans="1:17" x14ac:dyDescent="0.3">
      <c r="A31" s="53">
        <v>42491</v>
      </c>
      <c r="B31" s="60"/>
      <c r="C31" s="66">
        <f t="shared" ref="C31:C36" si="4">Q30</f>
        <v>5132660.8050741125</v>
      </c>
      <c r="D31" s="60"/>
      <c r="E31" s="130">
        <f>'D. 1 (calc - amort actuals)'!C20</f>
        <v>689740</v>
      </c>
      <c r="F31" s="60"/>
      <c r="G31" s="131">
        <v>0</v>
      </c>
      <c r="I31" s="131">
        <v>0</v>
      </c>
      <c r="K31" s="66">
        <f>SUM(C31+E31+G31+I31)</f>
        <v>5822400.8050741125</v>
      </c>
      <c r="M31" s="66">
        <f t="shared" si="0"/>
        <v>9041.0239701190822</v>
      </c>
      <c r="O31" s="66">
        <f t="shared" si="1"/>
        <v>23871.843300803863</v>
      </c>
      <c r="Q31" s="66">
        <f>SUM(K31+M31+O31)</f>
        <v>5855313.6723450348</v>
      </c>
    </row>
    <row r="32" spans="1:17" x14ac:dyDescent="0.3">
      <c r="A32" s="53">
        <v>42522</v>
      </c>
      <c r="B32" s="60"/>
      <c r="C32" s="66">
        <f>Q31</f>
        <v>5855313.6723450348</v>
      </c>
      <c r="D32" s="60"/>
      <c r="E32" s="130">
        <f>'D. 1 (calc - amort actuals)'!C21</f>
        <v>253487</v>
      </c>
      <c r="F32" s="60"/>
      <c r="G32" s="131">
        <v>-26762.87</v>
      </c>
      <c r="I32" s="131">
        <v>0</v>
      </c>
      <c r="K32" s="66">
        <f>SUM(C32+E32+G32+I32)</f>
        <v>6082037.8023450347</v>
      </c>
      <c r="M32" s="66">
        <f t="shared" si="0"/>
        <v>9444.1882994813695</v>
      </c>
      <c r="O32" s="66">
        <f t="shared" si="1"/>
        <v>24936.354989614643</v>
      </c>
      <c r="Q32" s="66">
        <f>SUM(K32+M32+O32)</f>
        <v>6116418.3456341308</v>
      </c>
    </row>
    <row r="33" spans="1:17" x14ac:dyDescent="0.3">
      <c r="A33" s="53">
        <v>42552</v>
      </c>
      <c r="B33" s="60"/>
      <c r="C33" s="66">
        <f>Q32</f>
        <v>6116418.3456341308</v>
      </c>
      <c r="D33" s="60"/>
      <c r="E33" s="130">
        <f>'D. 1 (calc - amort actuals)'!C22</f>
        <v>686453</v>
      </c>
      <c r="G33" s="131"/>
      <c r="I33" s="131">
        <v>0</v>
      </c>
      <c r="K33" s="66">
        <f>SUM(C33+E33+G33+I33)</f>
        <v>6802871.3456341308</v>
      </c>
      <c r="M33" s="66">
        <f t="shared" si="0"/>
        <v>10509.755941870169</v>
      </c>
      <c r="O33" s="66">
        <f t="shared" si="1"/>
        <v>28000.618458630081</v>
      </c>
      <c r="Q33" s="66">
        <f>SUM(K33+M33+O33)</f>
        <v>6841381.7200346319</v>
      </c>
    </row>
    <row r="34" spans="1:17" x14ac:dyDescent="0.3">
      <c r="A34" s="53">
        <v>42583</v>
      </c>
      <c r="B34" s="60"/>
      <c r="C34" s="66">
        <f>Q33</f>
        <v>6841381.7200346319</v>
      </c>
      <c r="D34" s="60"/>
      <c r="E34" s="130">
        <f>'D. 1 (calc - amort actuals)'!C23</f>
        <v>-595035</v>
      </c>
      <c r="G34" s="131"/>
      <c r="I34" s="131">
        <v>0</v>
      </c>
      <c r="K34" s="66">
        <f>SUM(C34+E34+G34+I34)</f>
        <v>6246346.7200346319</v>
      </c>
      <c r="M34" s="66">
        <f t="shared" si="0"/>
        <v>9596.2624659892044</v>
      </c>
      <c r="O34" s="66">
        <f t="shared" si="1"/>
        <v>25814.27708988712</v>
      </c>
      <c r="Q34" s="66">
        <f>SUM(K34+M34+O34)</f>
        <v>6281757.2595905084</v>
      </c>
    </row>
    <row r="35" spans="1:17" x14ac:dyDescent="0.3">
      <c r="A35" s="53">
        <v>42614</v>
      </c>
      <c r="B35" s="60"/>
      <c r="C35" s="66">
        <f>Q34</f>
        <v>6281757.2595905084</v>
      </c>
      <c r="D35" s="60"/>
      <c r="E35" s="130">
        <f>'D. 1 (calc - amort actuals)'!C24</f>
        <v>622110</v>
      </c>
      <c r="F35" s="60"/>
      <c r="G35" s="131">
        <v>-26762.87</v>
      </c>
      <c r="I35" s="131">
        <v>0</v>
      </c>
      <c r="K35" s="66">
        <f t="shared" si="2"/>
        <v>6877104.3895905083</v>
      </c>
      <c r="M35" s="66">
        <f t="shared" si="0"/>
        <v>10510.278638611175</v>
      </c>
      <c r="O35" s="66">
        <f t="shared" si="1"/>
        <v>28531.730691533103</v>
      </c>
      <c r="Q35" s="66">
        <f t="shared" si="3"/>
        <v>6916146.3989206534</v>
      </c>
    </row>
    <row r="36" spans="1:17" x14ac:dyDescent="0.3">
      <c r="A36" s="53">
        <v>42644</v>
      </c>
      <c r="B36" s="60"/>
      <c r="C36" s="66">
        <f t="shared" si="4"/>
        <v>6916146.3989206534</v>
      </c>
      <c r="D36" s="60"/>
      <c r="E36" s="130">
        <f>'D. 1 (calc - amort actuals)'!C25</f>
        <v>43214</v>
      </c>
      <c r="F36" s="60"/>
      <c r="G36" s="131"/>
      <c r="I36" s="131">
        <v>0</v>
      </c>
      <c r="K36" s="66">
        <f>SUM(C36+E36+G36+I36)</f>
        <v>6959360.3989206534</v>
      </c>
      <c r="M36" s="66">
        <f t="shared" si="0"/>
        <v>10633.90268955076</v>
      </c>
      <c r="O36" s="66">
        <f t="shared" si="1"/>
        <v>29044.194688855452</v>
      </c>
      <c r="Q36" s="66">
        <f>SUM(K36+M36+O36)</f>
        <v>6999038.4962990601</v>
      </c>
    </row>
    <row r="37" spans="1:17" x14ac:dyDescent="0.3">
      <c r="A37" s="53">
        <v>42675</v>
      </c>
      <c r="B37" s="60"/>
      <c r="C37" s="66">
        <f>Q36</f>
        <v>6999038.4962990601</v>
      </c>
      <c r="D37" s="60"/>
      <c r="E37" s="130">
        <f>'D. 1 (calc - amort actuals)'!C26</f>
        <v>354616</v>
      </c>
      <c r="G37" s="131"/>
      <c r="I37" s="131">
        <v>0</v>
      </c>
      <c r="K37" s="66">
        <f>SUM(C37+E37+G37+I37)</f>
        <v>7353654.4962990601</v>
      </c>
      <c r="M37" s="66">
        <f t="shared" si="0"/>
        <v>11120.93169475307</v>
      </c>
      <c r="O37" s="66">
        <f t="shared" si="1"/>
        <v>29554.337420625921</v>
      </c>
      <c r="Q37" s="66">
        <f>SUM(K37+M37+O37)</f>
        <v>7394329.7654144391</v>
      </c>
    </row>
    <row r="38" spans="1:17" x14ac:dyDescent="0.3">
      <c r="A38" s="53">
        <v>42705</v>
      </c>
      <c r="B38" s="60"/>
      <c r="C38" s="66">
        <f>Q37</f>
        <v>7394329.7654144391</v>
      </c>
      <c r="D38" s="60"/>
      <c r="E38" s="130">
        <f>'D. 1 (calc - amort actuals)'!C27</f>
        <v>370229</v>
      </c>
      <c r="F38" s="60"/>
      <c r="G38" s="131">
        <v>-26762.87</v>
      </c>
      <c r="I38" s="131">
        <v>0</v>
      </c>
      <c r="K38" s="66">
        <f>SUM(C38+E38+G38+I38)</f>
        <v>7737795.895414439</v>
      </c>
      <c r="M38" s="135">
        <f>K38*C8</f>
        <v>11636.871247113775</v>
      </c>
      <c r="N38" s="136"/>
      <c r="O38" s="135">
        <f>K38*E8</f>
        <v>31413.903776203537</v>
      </c>
      <c r="Q38" s="66">
        <f>SUM(K38+M38+O38)</f>
        <v>7780846.670437756</v>
      </c>
    </row>
    <row r="39" spans="1:17" ht="23.4" x14ac:dyDescent="0.45">
      <c r="A39" s="151"/>
      <c r="B39" s="152"/>
      <c r="C39" s="152"/>
      <c r="D39" s="152"/>
      <c r="E39" s="152"/>
      <c r="F39" s="152"/>
      <c r="G39" s="152"/>
      <c r="H39" s="152"/>
      <c r="I39" s="152"/>
      <c r="J39" s="152"/>
      <c r="K39" s="152"/>
      <c r="L39" s="152"/>
      <c r="M39" s="152"/>
      <c r="N39" s="152"/>
      <c r="O39" s="152"/>
      <c r="P39" s="152"/>
      <c r="Q39" s="152"/>
    </row>
    <row r="40" spans="1:17" ht="16.5" customHeight="1" x14ac:dyDescent="0.3">
      <c r="E40" s="133" t="s">
        <v>266</v>
      </c>
    </row>
    <row r="43" spans="1:17" x14ac:dyDescent="0.3">
      <c r="B43" s="60" t="s">
        <v>279</v>
      </c>
      <c r="C43" s="132" t="s">
        <v>282</v>
      </c>
    </row>
  </sheetData>
  <mergeCells count="7">
    <mergeCell ref="A21:Q21"/>
    <mergeCell ref="A23:C23"/>
    <mergeCell ref="A39:Q39"/>
    <mergeCell ref="A1:M1"/>
    <mergeCell ref="A2:M2"/>
    <mergeCell ref="A4:Q4"/>
    <mergeCell ref="A6:E6"/>
  </mergeCells>
  <pageMargins left="0.7" right="0.7" top="0.75" bottom="0.75" header="0.3" footer="0.3"/>
  <pageSetup scale="43" orientation="landscape" horizontalDpi="4294967293" verticalDpi="4294967293"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93956-2CD9-4CCE-B746-6EB6EE5CB5B8}">
  <sheetPr>
    <tabColor theme="7" tint="0.79998168889431442"/>
    <pageSetUpPr fitToPage="1"/>
  </sheetPr>
  <dimension ref="A1:Q47"/>
  <sheetViews>
    <sheetView tabSelected="1" zoomScale="80" zoomScaleNormal="80" workbookViewId="0">
      <selection activeCell="E23" sqref="E23"/>
    </sheetView>
  </sheetViews>
  <sheetFormatPr defaultColWidth="9.21875" defaultRowHeight="14.4" x14ac:dyDescent="0.3"/>
  <cols>
    <col min="1" max="1" width="12.77734375" customWidth="1"/>
    <col min="2" max="2" width="5.21875" customWidth="1"/>
    <col min="3" max="3" width="22.5546875" customWidth="1"/>
    <col min="4" max="4" width="6.21875" customWidth="1"/>
    <col min="5" max="5" width="16.21875" customWidth="1"/>
    <col min="6" max="6" width="5.5546875" customWidth="1"/>
    <col min="7" max="7" width="14" customWidth="1"/>
    <col min="8" max="8" width="8" customWidth="1"/>
    <col min="9" max="9" width="15" bestFit="1" customWidth="1"/>
    <col min="10" max="10" width="2.77734375" customWidth="1"/>
    <col min="11" max="11" width="14" bestFit="1" customWidth="1"/>
    <col min="12" max="12" width="3.21875" customWidth="1"/>
    <col min="13" max="13" width="16.44140625" customWidth="1"/>
    <col min="14" max="14" width="3.77734375" customWidth="1"/>
    <col min="15" max="15" width="15" bestFit="1" customWidth="1"/>
    <col min="16" max="16" width="4.21875" customWidth="1"/>
    <col min="17" max="17" width="17.77734375" customWidth="1"/>
  </cols>
  <sheetData>
    <row r="1" spans="1:17" ht="31.2" x14ac:dyDescent="0.6">
      <c r="A1" s="154" t="s">
        <v>228</v>
      </c>
      <c r="B1" s="154"/>
      <c r="C1" s="154"/>
      <c r="D1" s="154"/>
      <c r="E1" s="154"/>
      <c r="F1" s="154"/>
      <c r="G1" s="154"/>
      <c r="H1" s="154"/>
      <c r="I1" s="154"/>
      <c r="J1" s="154"/>
      <c r="K1" s="154"/>
      <c r="L1" s="154"/>
      <c r="M1" s="154"/>
    </row>
    <row r="2" spans="1:17" ht="31.2" x14ac:dyDescent="0.6">
      <c r="A2" s="154" t="s">
        <v>229</v>
      </c>
      <c r="B2" s="154"/>
      <c r="C2" s="154"/>
      <c r="D2" s="154"/>
      <c r="E2" s="154"/>
      <c r="F2" s="154"/>
      <c r="G2" s="154"/>
      <c r="H2" s="154"/>
      <c r="I2" s="154"/>
      <c r="J2" s="154"/>
      <c r="K2" s="154"/>
      <c r="L2" s="154"/>
      <c r="M2" s="154"/>
    </row>
    <row r="4" spans="1:17" ht="23.4" x14ac:dyDescent="0.45">
      <c r="A4" s="151" t="s">
        <v>230</v>
      </c>
      <c r="B4" s="152"/>
      <c r="C4" s="152"/>
      <c r="D4" s="152"/>
      <c r="E4" s="152"/>
      <c r="F4" s="152"/>
      <c r="G4" s="152"/>
      <c r="H4" s="152"/>
      <c r="I4" s="152"/>
      <c r="J4" s="152"/>
      <c r="K4" s="152"/>
      <c r="L4" s="152"/>
      <c r="M4" s="152"/>
      <c r="N4" s="152"/>
      <c r="O4" s="152"/>
      <c r="P4" s="152"/>
      <c r="Q4" s="152"/>
    </row>
    <row r="6" spans="1:17" x14ac:dyDescent="0.3">
      <c r="A6" s="155" t="s">
        <v>231</v>
      </c>
      <c r="B6" s="156"/>
      <c r="C6" s="156"/>
      <c r="D6" s="156"/>
      <c r="E6" s="157"/>
    </row>
    <row r="7" spans="1:17" x14ac:dyDescent="0.3">
      <c r="C7" s="103" t="s">
        <v>232</v>
      </c>
      <c r="D7" s="60"/>
      <c r="E7" s="103" t="s">
        <v>233</v>
      </c>
      <c r="F7" s="60"/>
    </row>
    <row r="8" spans="1:17" x14ac:dyDescent="0.3">
      <c r="A8" s="59" t="s">
        <v>268</v>
      </c>
      <c r="B8" s="60"/>
      <c r="C8" s="104">
        <v>7.6270000000000005E-4</v>
      </c>
      <c r="D8" s="60" t="s">
        <v>279</v>
      </c>
      <c r="E8" s="104">
        <v>1.3511E-3</v>
      </c>
      <c r="F8" s="60" t="s">
        <v>279</v>
      </c>
    </row>
    <row r="9" spans="1:17" x14ac:dyDescent="0.3">
      <c r="A9" s="59" t="s">
        <v>235</v>
      </c>
      <c r="C9" s="105"/>
      <c r="E9" s="105"/>
    </row>
    <row r="10" spans="1:17" hidden="1" x14ac:dyDescent="0.3">
      <c r="A10" s="59" t="s">
        <v>236</v>
      </c>
      <c r="C10" s="105"/>
      <c r="E10" s="105"/>
    </row>
    <row r="11" spans="1:17" hidden="1" x14ac:dyDescent="0.3">
      <c r="A11" s="59" t="s">
        <v>237</v>
      </c>
      <c r="C11" s="105"/>
      <c r="E11" s="105"/>
    </row>
    <row r="12" spans="1:17" hidden="1" x14ac:dyDescent="0.3">
      <c r="A12" s="59" t="s">
        <v>238</v>
      </c>
      <c r="C12" s="105"/>
      <c r="E12" s="105"/>
    </row>
    <row r="13" spans="1:17" hidden="1" x14ac:dyDescent="0.3">
      <c r="A13" s="59" t="s">
        <v>239</v>
      </c>
      <c r="C13" s="105"/>
      <c r="E13" s="105"/>
    </row>
    <row r="14" spans="1:17" hidden="1" x14ac:dyDescent="0.3">
      <c r="A14" s="59" t="s">
        <v>240</v>
      </c>
      <c r="C14" s="105"/>
      <c r="E14" s="105"/>
    </row>
    <row r="15" spans="1:17" hidden="1" x14ac:dyDescent="0.3">
      <c r="A15" s="59" t="s">
        <v>241</v>
      </c>
      <c r="C15" s="105"/>
      <c r="E15" s="105"/>
    </row>
    <row r="16" spans="1:17" hidden="1" x14ac:dyDescent="0.3">
      <c r="A16" s="59" t="s">
        <v>242</v>
      </c>
      <c r="C16" s="105"/>
      <c r="E16" s="105"/>
    </row>
    <row r="17" spans="1:17" hidden="1" x14ac:dyDescent="0.3">
      <c r="A17" s="59" t="s">
        <v>243</v>
      </c>
      <c r="C17" s="105"/>
      <c r="E17" s="105"/>
    </row>
    <row r="18" spans="1:17" hidden="1" x14ac:dyDescent="0.3">
      <c r="A18" s="59" t="s">
        <v>244</v>
      </c>
      <c r="C18" s="105"/>
      <c r="E18" s="105"/>
    </row>
    <row r="19" spans="1:17" hidden="1" x14ac:dyDescent="0.3">
      <c r="A19" s="59" t="s">
        <v>245</v>
      </c>
      <c r="C19" s="105"/>
      <c r="E19" s="105"/>
    </row>
    <row r="21" spans="1:17" x14ac:dyDescent="0.3">
      <c r="A21" s="158" t="s">
        <v>246</v>
      </c>
      <c r="B21" s="159"/>
      <c r="C21" s="160"/>
      <c r="L21" s="101"/>
      <c r="M21" s="101"/>
      <c r="O21" s="101"/>
    </row>
    <row r="22" spans="1:17" x14ac:dyDescent="0.3">
      <c r="A22" s="106"/>
      <c r="B22" s="107"/>
      <c r="C22" s="108"/>
      <c r="E22" s="86"/>
      <c r="F22" s="86"/>
      <c r="G22" s="86"/>
      <c r="H22" s="60"/>
      <c r="L22" s="101"/>
      <c r="M22" s="101"/>
      <c r="O22" s="101"/>
    </row>
    <row r="23" spans="1:17" ht="13.5" customHeight="1" x14ac:dyDescent="0.3">
      <c r="A23" s="109"/>
      <c r="B23" s="110"/>
      <c r="C23" s="111" t="s">
        <v>247</v>
      </c>
      <c r="D23" s="87"/>
      <c r="G23" s="112"/>
      <c r="H23" s="113"/>
      <c r="I23" s="87"/>
      <c r="J23" s="87"/>
      <c r="L23" s="61"/>
      <c r="M23" s="61"/>
      <c r="O23" s="61"/>
    </row>
    <row r="24" spans="1:17" x14ac:dyDescent="0.3">
      <c r="A24" s="114" t="s">
        <v>188</v>
      </c>
      <c r="B24" s="115"/>
      <c r="C24" s="116">
        <v>7.7019999999999996E-4</v>
      </c>
      <c r="D24" s="60" t="s">
        <v>279</v>
      </c>
      <c r="E24" s="118"/>
      <c r="F24" s="1"/>
      <c r="G24" s="119"/>
      <c r="H24" s="120"/>
      <c r="I24" s="119"/>
      <c r="J24" s="117"/>
      <c r="K24" s="121"/>
      <c r="L24" s="122"/>
      <c r="M24" s="122"/>
      <c r="N24" s="121"/>
      <c r="O24" s="122"/>
    </row>
    <row r="25" spans="1:17" x14ac:dyDescent="0.3">
      <c r="A25" s="123" t="s">
        <v>189</v>
      </c>
      <c r="B25" s="124"/>
      <c r="C25" s="125">
        <v>1.6896000000000001E-3</v>
      </c>
      <c r="D25" s="60" t="s">
        <v>279</v>
      </c>
      <c r="E25" s="118"/>
      <c r="F25" s="1"/>
      <c r="G25" s="119"/>
      <c r="H25" s="120"/>
      <c r="L25" s="126"/>
      <c r="M25" s="126"/>
      <c r="O25" s="126"/>
    </row>
    <row r="26" spans="1:17" x14ac:dyDescent="0.3">
      <c r="M26" s="101"/>
    </row>
    <row r="27" spans="1:17" ht="23.4" x14ac:dyDescent="0.45">
      <c r="A27" s="151"/>
      <c r="B27" s="152"/>
      <c r="C27" s="152"/>
      <c r="D27" s="152"/>
      <c r="E27" s="152"/>
      <c r="F27" s="152"/>
      <c r="G27" s="152"/>
      <c r="H27" s="152"/>
      <c r="I27" s="152"/>
      <c r="J27" s="152"/>
      <c r="K27" s="152"/>
      <c r="L27" s="152"/>
      <c r="M27" s="152"/>
      <c r="N27" s="152"/>
      <c r="O27" s="152"/>
      <c r="P27" s="152"/>
      <c r="Q27" s="152"/>
    </row>
    <row r="28" spans="1:17" ht="23.4" x14ac:dyDescent="0.45">
      <c r="A28" s="127"/>
      <c r="B28" s="127"/>
      <c r="C28" s="127"/>
      <c r="D28" s="127"/>
      <c r="E28" s="127"/>
      <c r="F28" s="127"/>
      <c r="G28" s="127"/>
      <c r="H28" s="127"/>
      <c r="I28" s="127"/>
      <c r="J28" s="127"/>
      <c r="K28" s="127"/>
      <c r="L28" s="127"/>
      <c r="M28" s="127"/>
      <c r="N28" s="127"/>
      <c r="O28" s="127"/>
      <c r="P28" s="127"/>
    </row>
    <row r="29" spans="1:17" ht="25.8" x14ac:dyDescent="0.5">
      <c r="A29" s="153" t="s">
        <v>248</v>
      </c>
      <c r="B29" s="153"/>
      <c r="C29" s="153"/>
    </row>
    <row r="30" spans="1:17" x14ac:dyDescent="0.3">
      <c r="A30" s="118"/>
      <c r="C30" s="60" t="s">
        <v>177</v>
      </c>
      <c r="D30" s="60"/>
      <c r="E30" s="60" t="s">
        <v>178</v>
      </c>
      <c r="F30" s="60"/>
      <c r="G30" s="60" t="s">
        <v>249</v>
      </c>
      <c r="H30" s="60"/>
      <c r="I30" s="60" t="s">
        <v>250</v>
      </c>
      <c r="J30" s="60"/>
      <c r="K30" s="60" t="s">
        <v>251</v>
      </c>
      <c r="L30" s="60"/>
      <c r="M30" s="60" t="s">
        <v>252</v>
      </c>
      <c r="N30" s="60"/>
      <c r="O30" s="60" t="s">
        <v>253</v>
      </c>
      <c r="P30" s="60"/>
      <c r="Q30" s="60" t="s">
        <v>254</v>
      </c>
    </row>
    <row r="31" spans="1:17" x14ac:dyDescent="0.3">
      <c r="A31" s="118"/>
      <c r="C31" s="86" t="s">
        <v>255</v>
      </c>
      <c r="E31" s="86" t="s">
        <v>256</v>
      </c>
      <c r="G31" s="86" t="s">
        <v>257</v>
      </c>
      <c r="I31" s="86" t="s">
        <v>258</v>
      </c>
      <c r="K31" s="86" t="s">
        <v>259</v>
      </c>
      <c r="M31" s="87" t="s">
        <v>188</v>
      </c>
      <c r="N31" s="38"/>
      <c r="O31" s="87" t="s">
        <v>189</v>
      </c>
      <c r="Q31" s="86" t="s">
        <v>260</v>
      </c>
    </row>
    <row r="32" spans="1:17" x14ac:dyDescent="0.3">
      <c r="A32" s="118"/>
      <c r="C32" s="55" t="s">
        <v>259</v>
      </c>
      <c r="D32" s="128"/>
      <c r="E32" s="55" t="s">
        <v>267</v>
      </c>
      <c r="F32" s="128"/>
      <c r="G32" s="55" t="s">
        <v>262</v>
      </c>
      <c r="H32" s="128"/>
      <c r="I32" s="55" t="s">
        <v>263</v>
      </c>
      <c r="J32" s="128"/>
      <c r="K32" s="55" t="s">
        <v>264</v>
      </c>
      <c r="L32" s="128"/>
      <c r="M32" s="88" t="s">
        <v>265</v>
      </c>
      <c r="N32" s="129"/>
      <c r="O32" s="88" t="s">
        <v>265</v>
      </c>
      <c r="P32" s="128"/>
      <c r="Q32" s="55" t="s">
        <v>259</v>
      </c>
    </row>
    <row r="33" spans="1:17" x14ac:dyDescent="0.3">
      <c r="A33" s="53">
        <v>42005</v>
      </c>
      <c r="B33" s="1"/>
      <c r="C33" s="66">
        <v>0</v>
      </c>
      <c r="E33" s="131">
        <v>0</v>
      </c>
      <c r="G33" s="131">
        <v>0</v>
      </c>
      <c r="I33" s="131">
        <v>0</v>
      </c>
      <c r="K33" s="66">
        <f t="shared" ref="K33:K43" si="0">SUM(C33+E33+G33+I33)</f>
        <v>0</v>
      </c>
      <c r="M33" s="66">
        <f t="shared" ref="M33:M43" si="1">K33*$C$24</f>
        <v>0</v>
      </c>
      <c r="O33" s="66">
        <f t="shared" ref="O33:O42" si="2">K33*$C$25</f>
        <v>0</v>
      </c>
      <c r="Q33" s="66">
        <f>SUM(K33+M33+O33)</f>
        <v>0</v>
      </c>
    </row>
    <row r="34" spans="1:17" x14ac:dyDescent="0.3">
      <c r="A34" s="118" t="s">
        <v>269</v>
      </c>
      <c r="C34" s="66">
        <f>Q33</f>
        <v>0</v>
      </c>
      <c r="E34" s="131">
        <v>0</v>
      </c>
      <c r="G34" s="131">
        <v>0</v>
      </c>
      <c r="I34" s="131">
        <v>0</v>
      </c>
      <c r="K34" s="66">
        <f t="shared" si="0"/>
        <v>0</v>
      </c>
      <c r="M34" s="66">
        <f t="shared" si="1"/>
        <v>0</v>
      </c>
      <c r="O34" s="66">
        <f t="shared" si="2"/>
        <v>0</v>
      </c>
      <c r="Q34" s="66">
        <f t="shared" ref="Q34:Q44" si="3">SUM(K34+M34+O34)</f>
        <v>0</v>
      </c>
    </row>
    <row r="35" spans="1:17" x14ac:dyDescent="0.3">
      <c r="A35" s="118" t="s">
        <v>236</v>
      </c>
      <c r="C35" s="66">
        <f t="shared" ref="C35:C44" si="4">Q34</f>
        <v>0</v>
      </c>
      <c r="E35" s="131">
        <v>0</v>
      </c>
      <c r="G35" s="131">
        <v>0</v>
      </c>
      <c r="I35" s="131">
        <v>0</v>
      </c>
      <c r="K35" s="66">
        <f t="shared" si="0"/>
        <v>0</v>
      </c>
      <c r="M35" s="66">
        <f t="shared" si="1"/>
        <v>0</v>
      </c>
      <c r="O35" s="66">
        <f t="shared" si="2"/>
        <v>0</v>
      </c>
      <c r="Q35" s="66">
        <f t="shared" si="3"/>
        <v>0</v>
      </c>
    </row>
    <row r="36" spans="1:17" x14ac:dyDescent="0.3">
      <c r="A36" s="118" t="s">
        <v>237</v>
      </c>
      <c r="C36" s="66">
        <f t="shared" si="4"/>
        <v>0</v>
      </c>
      <c r="E36" s="131">
        <v>0</v>
      </c>
      <c r="G36" s="131">
        <v>0</v>
      </c>
      <c r="I36" s="131">
        <v>0</v>
      </c>
      <c r="K36" s="66">
        <f t="shared" si="0"/>
        <v>0</v>
      </c>
      <c r="M36" s="66">
        <f t="shared" si="1"/>
        <v>0</v>
      </c>
      <c r="O36" s="66">
        <f t="shared" si="2"/>
        <v>0</v>
      </c>
      <c r="Q36" s="66">
        <f t="shared" si="3"/>
        <v>0</v>
      </c>
    </row>
    <row r="37" spans="1:17" x14ac:dyDescent="0.3">
      <c r="A37" s="118" t="s">
        <v>270</v>
      </c>
      <c r="B37" s="60"/>
      <c r="C37" s="66">
        <f t="shared" si="4"/>
        <v>0</v>
      </c>
      <c r="D37" s="60"/>
      <c r="E37" s="130">
        <f>'D. 1 (calc - amort actuals)'!C8</f>
        <v>9740</v>
      </c>
      <c r="F37" s="60"/>
      <c r="G37" s="131">
        <v>0</v>
      </c>
      <c r="I37" s="131">
        <v>0</v>
      </c>
      <c r="K37" s="66">
        <f>SUM(C37+E37+G37+I37)</f>
        <v>9740</v>
      </c>
      <c r="M37" s="66">
        <f>K37*$C$24</f>
        <v>7.5017480000000001</v>
      </c>
      <c r="O37" s="66">
        <f>K37*$C$25</f>
        <v>16.456704000000002</v>
      </c>
      <c r="Q37" s="66">
        <f>SUM(K37+M37+O37)</f>
        <v>9763.9584520000008</v>
      </c>
    </row>
    <row r="38" spans="1:17" x14ac:dyDescent="0.3">
      <c r="A38" s="118" t="s">
        <v>271</v>
      </c>
      <c r="B38" s="60"/>
      <c r="C38" s="66">
        <f>Q37</f>
        <v>9763.9584520000008</v>
      </c>
      <c r="D38" s="60"/>
      <c r="E38" s="130">
        <f>'D. 1 (calc - amort actuals)'!C9</f>
        <v>670221</v>
      </c>
      <c r="F38" s="60"/>
      <c r="G38" s="131">
        <v>-812018.38</v>
      </c>
      <c r="I38" s="131">
        <v>0</v>
      </c>
      <c r="K38" s="66">
        <f t="shared" si="0"/>
        <v>-132033.42154799995</v>
      </c>
      <c r="M38" s="66">
        <f>K38*$C$24</f>
        <v>-101.69214127626957</v>
      </c>
      <c r="O38" s="66">
        <f t="shared" si="2"/>
        <v>-223.08366904750073</v>
      </c>
      <c r="Q38" s="66">
        <f>SUM(K38+M38+O38)</f>
        <v>-132358.19735832373</v>
      </c>
    </row>
    <row r="39" spans="1:17" x14ac:dyDescent="0.3">
      <c r="A39" s="118" t="s">
        <v>240</v>
      </c>
      <c r="C39" s="66">
        <f>Q38</f>
        <v>-132358.19735832373</v>
      </c>
      <c r="D39" s="60"/>
      <c r="E39" s="130">
        <f>'D. 1 (calc - amort actuals)'!C10</f>
        <v>275373</v>
      </c>
      <c r="G39" s="131">
        <v>0</v>
      </c>
      <c r="I39" s="131">
        <v>0</v>
      </c>
      <c r="K39" s="66">
        <f t="shared" si="0"/>
        <v>143014.80264167627</v>
      </c>
      <c r="M39" s="66">
        <f t="shared" si="1"/>
        <v>110.15000099461906</v>
      </c>
      <c r="O39" s="66">
        <f t="shared" si="2"/>
        <v>241.63781054337625</v>
      </c>
      <c r="Q39" s="66">
        <f t="shared" si="3"/>
        <v>143366.59045321427</v>
      </c>
    </row>
    <row r="40" spans="1:17" x14ac:dyDescent="0.3">
      <c r="A40" s="118" t="s">
        <v>272</v>
      </c>
      <c r="C40" s="66">
        <f t="shared" si="4"/>
        <v>143366.59045321427</v>
      </c>
      <c r="D40" s="60"/>
      <c r="E40" s="130">
        <f>'D. 1 (calc - amort actuals)'!C11</f>
        <v>378643</v>
      </c>
      <c r="G40" s="131">
        <v>0</v>
      </c>
      <c r="I40" s="131">
        <v>0</v>
      </c>
      <c r="K40" s="66">
        <f t="shared" si="0"/>
        <v>522009.59045321424</v>
      </c>
      <c r="M40" s="66">
        <f>K40*$C$24</f>
        <v>402.05178656706562</v>
      </c>
      <c r="O40" s="66">
        <f t="shared" si="2"/>
        <v>881.98740402975079</v>
      </c>
      <c r="Q40" s="66">
        <f>SUM(K40+M40+O40)</f>
        <v>523293.62964381109</v>
      </c>
    </row>
    <row r="41" spans="1:17" x14ac:dyDescent="0.3">
      <c r="A41" s="118" t="s">
        <v>273</v>
      </c>
      <c r="C41" s="66">
        <f t="shared" si="4"/>
        <v>523293.62964381109</v>
      </c>
      <c r="D41" s="60"/>
      <c r="E41" s="130">
        <f>'D. 1 (calc - amort actuals)'!C12</f>
        <v>835446</v>
      </c>
      <c r="F41" s="60"/>
      <c r="G41" s="131">
        <v>-27067.279999999999</v>
      </c>
      <c r="I41" s="131">
        <v>0</v>
      </c>
      <c r="K41" s="66">
        <f t="shared" si="0"/>
        <v>1331672.3496438111</v>
      </c>
      <c r="M41" s="66">
        <f t="shared" si="1"/>
        <v>1025.6540436956632</v>
      </c>
      <c r="O41" s="66">
        <f t="shared" si="2"/>
        <v>2249.9936019581833</v>
      </c>
      <c r="Q41" s="66">
        <f t="shared" si="3"/>
        <v>1334947.997289465</v>
      </c>
    </row>
    <row r="42" spans="1:17" x14ac:dyDescent="0.3">
      <c r="A42" s="118" t="s">
        <v>274</v>
      </c>
      <c r="C42" s="66">
        <f t="shared" si="4"/>
        <v>1334947.997289465</v>
      </c>
      <c r="D42" s="60"/>
      <c r="E42" s="130">
        <f>'D. 1 (calc - amort actuals)'!C13</f>
        <v>388994</v>
      </c>
      <c r="G42" s="131">
        <v>0</v>
      </c>
      <c r="I42" s="131">
        <v>0</v>
      </c>
      <c r="K42" s="66">
        <f t="shared" si="0"/>
        <v>1723941.997289465</v>
      </c>
      <c r="M42" s="66">
        <f t="shared" si="1"/>
        <v>1327.7801263123458</v>
      </c>
      <c r="O42" s="66">
        <f t="shared" si="2"/>
        <v>2912.7723986202805</v>
      </c>
      <c r="Q42" s="66">
        <f t="shared" si="3"/>
        <v>1728182.5498143977</v>
      </c>
    </row>
    <row r="43" spans="1:17" x14ac:dyDescent="0.3">
      <c r="A43" s="118" t="s">
        <v>275</v>
      </c>
      <c r="C43" s="66">
        <f>Q42</f>
        <v>1728182.5498143977</v>
      </c>
      <c r="D43" s="60"/>
      <c r="E43" s="130">
        <f>'D. 1 (calc - amort actuals)'!C14</f>
        <v>366466</v>
      </c>
      <c r="G43" s="131">
        <v>0</v>
      </c>
      <c r="I43" s="131">
        <v>0</v>
      </c>
      <c r="K43" s="66">
        <f t="shared" si="0"/>
        <v>2094648.5498143977</v>
      </c>
      <c r="M43" s="66">
        <f t="shared" si="1"/>
        <v>1613.2983130670491</v>
      </c>
      <c r="O43" s="66">
        <f>K43*$C$25</f>
        <v>3539.1181897664064</v>
      </c>
      <c r="Q43" s="66">
        <f t="shared" si="3"/>
        <v>2099800.9663172313</v>
      </c>
    </row>
    <row r="44" spans="1:17" x14ac:dyDescent="0.3">
      <c r="A44" s="118" t="s">
        <v>276</v>
      </c>
      <c r="C44" s="66">
        <f t="shared" si="4"/>
        <v>2099800.9663172313</v>
      </c>
      <c r="D44" s="60"/>
      <c r="E44" s="130">
        <f>'D. 1 (calc - amort actuals)'!C15</f>
        <v>933200</v>
      </c>
      <c r="F44" s="60"/>
      <c r="G44" s="131">
        <v>-17326.099999999999</v>
      </c>
      <c r="I44" s="131">
        <v>0</v>
      </c>
      <c r="K44" s="66">
        <f>SUM(C44+E44+G44+I44)</f>
        <v>3015674.8663172312</v>
      </c>
      <c r="M44" s="66">
        <f>K44*C8</f>
        <v>2300.0552205401523</v>
      </c>
      <c r="O44" s="66">
        <f>K44*E8</f>
        <v>4074.4783118812111</v>
      </c>
      <c r="Q44" s="66">
        <f t="shared" si="3"/>
        <v>3022049.3998496528</v>
      </c>
    </row>
    <row r="45" spans="1:17" ht="23.4" x14ac:dyDescent="0.45">
      <c r="A45" s="151"/>
      <c r="B45" s="152"/>
      <c r="C45" s="152"/>
      <c r="D45" s="152"/>
      <c r="E45" s="152"/>
      <c r="F45" s="152"/>
      <c r="G45" s="152"/>
      <c r="H45" s="152"/>
      <c r="I45" s="152"/>
      <c r="J45" s="152"/>
      <c r="K45" s="152"/>
      <c r="L45" s="152"/>
      <c r="M45" s="152"/>
      <c r="N45" s="152"/>
      <c r="O45" s="152"/>
      <c r="P45" s="152"/>
      <c r="Q45" s="152"/>
    </row>
    <row r="47" spans="1:17" x14ac:dyDescent="0.3">
      <c r="B47" s="60" t="s">
        <v>279</v>
      </c>
      <c r="C47" s="132" t="s">
        <v>282</v>
      </c>
    </row>
  </sheetData>
  <mergeCells count="8">
    <mergeCell ref="A21:C21"/>
    <mergeCell ref="A27:Q27"/>
    <mergeCell ref="A29:C29"/>
    <mergeCell ref="A45:Q45"/>
    <mergeCell ref="A1:M1"/>
    <mergeCell ref="A2:M2"/>
    <mergeCell ref="A4:Q4"/>
    <mergeCell ref="A6:E6"/>
  </mergeCells>
  <pageMargins left="0.7" right="0.7" top="0.75" bottom="0.75" header="0.3" footer="0.3"/>
  <pageSetup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A623DE911B2841AAB5707FA07B0260" ma:contentTypeVersion="4" ma:contentTypeDescription="Create a new document." ma:contentTypeScope="" ma:versionID="ab255df186e40f3d384e2f29ea7ae37d">
  <xsd:schema xmlns:xsd="http://www.w3.org/2001/XMLSchema" xmlns:xs="http://www.w3.org/2001/XMLSchema" xmlns:p="http://schemas.microsoft.com/office/2006/metadata/properties" xmlns:ns2="2612a682-5ffb-4b9c-9555-017618935178" xmlns:ns3="3c9d8c27-8a6d-4d9e-a15e-ef5d28c114af" targetNamespace="http://schemas.microsoft.com/office/2006/metadata/properties" ma:root="true" ma:fieldsID="147db5eb7ec7a17abbdcc7f7c35c2451" ns2:_="" ns3:_="">
    <xsd:import namespace="2612a682-5ffb-4b9c-9555-017618935178"/>
    <xsd:import namespace="3c9d8c27-8a6d-4d9e-a15e-ef5d28c114af"/>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2a682-5ffb-4b9c-9555-017618935178"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9d8c27-8a6d-4d9e-a15e-ef5d28c114a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2612a682-5ffb-4b9c-9555-017618935178">Raiford</Witness>
  </documentManagement>
</p:properties>
</file>

<file path=customXml/itemProps1.xml><?xml version="1.0" encoding="utf-8"?>
<ds:datastoreItem xmlns:ds="http://schemas.openxmlformats.org/officeDocument/2006/customXml" ds:itemID="{20351DFE-C81D-4880-A0CF-2311FC1F70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2a682-5ffb-4b9c-9555-017618935178"/>
    <ds:schemaRef ds:uri="3c9d8c27-8a6d-4d9e-a15e-ef5d28c114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2480C6-6642-41B9-8EF9-A5E38FDB3817}">
  <ds:schemaRefs>
    <ds:schemaRef ds:uri="http://schemas.microsoft.com/sharepoint/v3/contenttype/forms"/>
  </ds:schemaRefs>
</ds:datastoreItem>
</file>

<file path=customXml/itemProps3.xml><?xml version="1.0" encoding="utf-8"?>
<ds:datastoreItem xmlns:ds="http://schemas.openxmlformats.org/officeDocument/2006/customXml" ds:itemID="{C9934CA1-F69D-4D4A-9287-FD717E6B869E}">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3c9d8c27-8a6d-4d9e-a15e-ef5d28c114af"/>
    <ds:schemaRef ds:uri="2612a682-5ffb-4b9c-9555-017618935178"/>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DR-02-002</vt:lpstr>
      <vt:lpstr>B. Response to A&amp;B &gt;&gt;</vt:lpstr>
      <vt:lpstr>C. ESM RECOVERY TEMPLATE</vt:lpstr>
      <vt:lpstr>D. 1 (calc - amort actuals)</vt:lpstr>
      <vt:lpstr>E. WACC</vt:lpstr>
      <vt:lpstr>F. Return Calculation - 2018</vt:lpstr>
      <vt:lpstr>G. Return Calculation - 2017</vt:lpstr>
      <vt:lpstr>H. Return Calculation - 2016</vt:lpstr>
      <vt:lpstr>I. Return Calculation - 2015</vt:lpstr>
      <vt:lpstr>AROamortization</vt:lpstr>
      <vt:lpstr>'E. WACC'!Print_Area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Carrying Charge Calculations</dc:subject>
  <dc:creator>Evans, Bill</dc:creator>
  <cp:lastModifiedBy>D'Ascenzo, Rocco</cp:lastModifiedBy>
  <cp:lastPrinted>2020-09-09T18:13:55Z</cp:lastPrinted>
  <dcterms:created xsi:type="dcterms:W3CDTF">2020-09-04T13:33:19Z</dcterms:created>
  <dcterms:modified xsi:type="dcterms:W3CDTF">2020-09-11T12:44:37Z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0x01010080A623DE911B2841AAB5707FA07B0260</vt:lpwstr>
  </property>
</Properties>
</file>