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235" windowWidth="20115" windowHeight="5835" tabRatio="701" firstSheet="8" activeTab="13"/>
  </bookViews>
  <sheets>
    <sheet name="RevReq" sheetId="35" r:id="rId1"/>
    <sheet name="Adj List" sheetId="48" r:id="rId2"/>
    <sheet name="Adj BS" sheetId="50" r:id="rId3"/>
    <sheet name="Adj IS" sheetId="36" r:id="rId4"/>
    <sheet name="1.01 FAC" sheetId="6" r:id="rId5"/>
    <sheet name="1.02 ES" sheetId="17" r:id="rId6"/>
    <sheet name="1.03 MRSM" sheetId="56" r:id="rId7"/>
    <sheet name="1.04 NFPPA" sheetId="55" r:id="rId8"/>
    <sheet name="1.05 RC" sheetId="28" r:id="rId9"/>
    <sheet name="1.06 CUST" sheetId="33" r:id="rId10"/>
    <sheet name="1.07 Depr" sheetId="39" r:id="rId11"/>
    <sheet name="1.08 DonaAdsDues" sheetId="57" r:id="rId12"/>
    <sheet name="1.09 Dir" sheetId="58" r:id="rId13"/>
    <sheet name="1.10 Life Ins" sheetId="63" r:id="rId14"/>
    <sheet name="1.11 401K" sheetId="60" r:id="rId15"/>
    <sheet name="1.12 Health" sheetId="61" r:id="rId16"/>
    <sheet name="1.13 Labor" sheetId="59" r:id="rId17"/>
  </sheets>
  <definedNames>
    <definedName name="_xlnm.Print_Area" localSheetId="4">'1.01 FAC'!$A$1:$H$34</definedName>
    <definedName name="_xlnm.Print_Area" localSheetId="5">'1.02 ES'!$A$1:$H$34</definedName>
    <definedName name="_xlnm.Print_Area" localSheetId="6">'1.03 MRSM'!$A$1:$H$34</definedName>
    <definedName name="_xlnm.Print_Area" localSheetId="7">'1.04 NFPPA'!$A$1:$H$34</definedName>
    <definedName name="_xlnm.Print_Area" localSheetId="8">'1.05 RC'!$A$1:$E$26</definedName>
    <definedName name="_xlnm.Print_Area" localSheetId="9">'1.06 CUST'!$A$1:$J$59</definedName>
    <definedName name="_xlnm.Print_Area" localSheetId="10">'1.07 Depr'!$A$1:$I$108</definedName>
    <definedName name="_xlnm.Print_Area" localSheetId="11">'1.08 DonaAdsDues'!$A$1:$N$27</definedName>
    <definedName name="_xlnm.Print_Area" localSheetId="12">'1.09 Dir'!$A$1:$K$26</definedName>
    <definedName name="_xlnm.Print_Area" localSheetId="13">'1.10 Life Ins'!$A$1:$G$92</definedName>
    <definedName name="_xlnm.Print_Area" localSheetId="14">'1.11 401K'!$A$1:$N$38</definedName>
    <definedName name="_xlnm.Print_Area" localSheetId="15">'1.12 Health'!$A$1:$G$72</definedName>
    <definedName name="_xlnm.Print_Area" localSheetId="16">'1.13 Labor'!$A$1:$T$40</definedName>
    <definedName name="_xlnm.Print_Area" localSheetId="2">'Adj BS'!$A$1:$F$68</definedName>
    <definedName name="_xlnm.Print_Area" localSheetId="3">'Adj IS'!$A$1:$U$42</definedName>
    <definedName name="_xlnm.Print_Area" localSheetId="1">'Adj List'!$A$1:$G$27</definedName>
    <definedName name="_xlnm.Print_Area" localSheetId="0">RevReq!$A$1:$F$67</definedName>
    <definedName name="_xlnm.Print_Titles" localSheetId="9">'1.06 CUST'!$1:$11</definedName>
    <definedName name="_xlnm.Print_Titles" localSheetId="10">'1.07 Depr'!$4:$10</definedName>
    <definedName name="_xlnm.Print_Titles" localSheetId="13">'1.10 Life Ins'!$1:$11</definedName>
  </definedNames>
  <calcPr calcId="145621" iterate="1"/>
</workbook>
</file>

<file path=xl/calcChain.xml><?xml version="1.0" encoding="utf-8"?>
<calcChain xmlns="http://schemas.openxmlformats.org/spreadsheetml/2006/main">
  <c r="H78" i="39" l="1"/>
  <c r="E76" i="39"/>
  <c r="D76" i="39"/>
  <c r="E73" i="39"/>
  <c r="D73" i="39"/>
  <c r="E68" i="39"/>
  <c r="D68" i="39"/>
  <c r="E65" i="39"/>
  <c r="D65" i="39"/>
  <c r="E54" i="39"/>
  <c r="D54" i="39"/>
  <c r="E48" i="39"/>
  <c r="D48" i="39"/>
  <c r="D78" i="39" s="1"/>
  <c r="E35" i="39"/>
  <c r="E78" i="39" s="1"/>
  <c r="D35" i="39"/>
  <c r="E14" i="48"/>
  <c r="N24" i="57"/>
  <c r="G89" i="39" l="1"/>
  <c r="I89" i="39" s="1"/>
  <c r="E89" i="39"/>
  <c r="D89" i="39"/>
  <c r="G75" i="39"/>
  <c r="I75" i="39" s="1"/>
  <c r="G74" i="39"/>
  <c r="G72" i="39"/>
  <c r="I72" i="39" s="1"/>
  <c r="G71" i="39"/>
  <c r="I71" i="39" s="1"/>
  <c r="G70" i="39"/>
  <c r="I70" i="39" s="1"/>
  <c r="G69" i="39"/>
  <c r="G67" i="39"/>
  <c r="I67" i="39" s="1"/>
  <c r="G66" i="39"/>
  <c r="G64" i="39"/>
  <c r="I64" i="39" s="1"/>
  <c r="G63" i="39"/>
  <c r="I63" i="39" s="1"/>
  <c r="G62" i="39"/>
  <c r="I62" i="39" s="1"/>
  <c r="G61" i="39"/>
  <c r="I61" i="39" s="1"/>
  <c r="G60" i="39"/>
  <c r="I60" i="39" s="1"/>
  <c r="G59" i="39"/>
  <c r="I59" i="39" s="1"/>
  <c r="G58" i="39"/>
  <c r="I58" i="39" s="1"/>
  <c r="G57" i="39"/>
  <c r="I57" i="39" s="1"/>
  <c r="G56" i="39"/>
  <c r="I56" i="39" s="1"/>
  <c r="G55" i="39"/>
  <c r="G53" i="39"/>
  <c r="I53" i="39" s="1"/>
  <c r="G52" i="39"/>
  <c r="I52" i="39" s="1"/>
  <c r="G51" i="39"/>
  <c r="I51" i="39" s="1"/>
  <c r="G50" i="39"/>
  <c r="I50" i="39" s="1"/>
  <c r="G49" i="39"/>
  <c r="G47" i="39"/>
  <c r="I47" i="39" s="1"/>
  <c r="G46" i="39"/>
  <c r="I46" i="39" s="1"/>
  <c r="G45" i="39"/>
  <c r="I45" i="39" s="1"/>
  <c r="G44" i="39"/>
  <c r="I44" i="39" s="1"/>
  <c r="G43" i="39"/>
  <c r="I43" i="39" s="1"/>
  <c r="G42" i="39"/>
  <c r="I42" i="39" s="1"/>
  <c r="G41" i="39"/>
  <c r="I41" i="39" s="1"/>
  <c r="G40" i="39"/>
  <c r="I40" i="39" s="1"/>
  <c r="G39" i="39"/>
  <c r="I39" i="39" s="1"/>
  <c r="G38" i="39"/>
  <c r="I38" i="39" s="1"/>
  <c r="G37" i="39"/>
  <c r="I37" i="39" s="1"/>
  <c r="G36" i="39"/>
  <c r="G34" i="39"/>
  <c r="I34" i="39" s="1"/>
  <c r="G33" i="39"/>
  <c r="I33" i="39" s="1"/>
  <c r="G32" i="39"/>
  <c r="I32" i="39" s="1"/>
  <c r="G31" i="39"/>
  <c r="I31" i="39" s="1"/>
  <c r="G30" i="39"/>
  <c r="I30" i="39" s="1"/>
  <c r="G29" i="39"/>
  <c r="I29" i="39" s="1"/>
  <c r="G28" i="39"/>
  <c r="I28" i="39" s="1"/>
  <c r="G27" i="39"/>
  <c r="I55" i="39" l="1"/>
  <c r="G65" i="39"/>
  <c r="I65" i="39" s="1"/>
  <c r="I69" i="39"/>
  <c r="G73" i="39"/>
  <c r="I73" i="39" s="1"/>
  <c r="I74" i="39"/>
  <c r="G76" i="39"/>
  <c r="I76" i="39" s="1"/>
  <c r="I66" i="39"/>
  <c r="G68" i="39"/>
  <c r="I68" i="39" s="1"/>
  <c r="I49" i="39"/>
  <c r="G54" i="39"/>
  <c r="I54" i="39" s="1"/>
  <c r="I36" i="39"/>
  <c r="G48" i="39"/>
  <c r="I48" i="39" s="1"/>
  <c r="G35" i="39"/>
  <c r="I27" i="39"/>
  <c r="F98" i="39"/>
  <c r="I35" i="39" l="1"/>
  <c r="G78" i="39"/>
  <c r="I78" i="39" s="1"/>
  <c r="E50" i="35"/>
  <c r="E40" i="35"/>
  <c r="E36" i="35"/>
  <c r="E34" i="35"/>
  <c r="E33" i="35"/>
  <c r="E32" i="35"/>
  <c r="E26" i="35"/>
  <c r="E25" i="35"/>
  <c r="E24" i="35"/>
  <c r="E23" i="35"/>
  <c r="E18" i="35"/>
  <c r="E17" i="35"/>
  <c r="E16" i="35"/>
  <c r="E15" i="35"/>
  <c r="E14" i="35"/>
  <c r="E9" i="35"/>
  <c r="O23" i="36"/>
  <c r="M23" i="36"/>
  <c r="L23" i="36"/>
  <c r="G23" i="36"/>
  <c r="F17" i="36"/>
  <c r="E17" i="36"/>
  <c r="F10" i="36"/>
  <c r="E10" i="36"/>
  <c r="O6" i="36"/>
  <c r="N6" i="36"/>
  <c r="O4" i="36"/>
  <c r="N4" i="36"/>
  <c r="M4" i="36"/>
  <c r="L4" i="36"/>
  <c r="K4" i="36"/>
  <c r="J4" i="36"/>
  <c r="I4" i="36"/>
  <c r="H4" i="36"/>
  <c r="G4" i="36"/>
  <c r="F4" i="36"/>
  <c r="E4" i="36"/>
  <c r="D4" i="36"/>
  <c r="C6" i="36"/>
  <c r="C4" i="36"/>
  <c r="E16" i="48"/>
  <c r="A5" i="63"/>
  <c r="A4" i="63"/>
  <c r="F80" i="63"/>
  <c r="G80" i="63" s="1"/>
  <c r="E80" i="63"/>
  <c r="D80" i="63"/>
  <c r="F79" i="63"/>
  <c r="G79" i="63" s="1"/>
  <c r="E79" i="63"/>
  <c r="D79" i="63"/>
  <c r="B79" i="63"/>
  <c r="D78" i="63"/>
  <c r="F78" i="63" s="1"/>
  <c r="B78" i="63"/>
  <c r="D77" i="63"/>
  <c r="B77" i="63"/>
  <c r="F76" i="63"/>
  <c r="E76" i="63"/>
  <c r="D76" i="63"/>
  <c r="B76" i="63"/>
  <c r="F75" i="63"/>
  <c r="G75" i="63" s="1"/>
  <c r="E75" i="63"/>
  <c r="D75" i="63"/>
  <c r="B75" i="63"/>
  <c r="D74" i="63"/>
  <c r="F74" i="63" s="1"/>
  <c r="B74" i="63"/>
  <c r="D73" i="63"/>
  <c r="B73" i="63"/>
  <c r="F72" i="63"/>
  <c r="E72" i="63"/>
  <c r="D72" i="63"/>
  <c r="B72" i="63"/>
  <c r="F71" i="63"/>
  <c r="G71" i="63" s="1"/>
  <c r="E71" i="63"/>
  <c r="D71" i="63"/>
  <c r="B71" i="63"/>
  <c r="D70" i="63"/>
  <c r="F70" i="63" s="1"/>
  <c r="B70" i="63"/>
  <c r="D69" i="63"/>
  <c r="B69" i="63"/>
  <c r="F68" i="63"/>
  <c r="G68" i="63" s="1"/>
  <c r="E68" i="63"/>
  <c r="D68" i="63"/>
  <c r="B68" i="63"/>
  <c r="F67" i="63"/>
  <c r="G67" i="63" s="1"/>
  <c r="E67" i="63"/>
  <c r="D67" i="63"/>
  <c r="B67" i="63"/>
  <c r="D66" i="63"/>
  <c r="F66" i="63" s="1"/>
  <c r="B66" i="63"/>
  <c r="D65" i="63"/>
  <c r="B65" i="63"/>
  <c r="F64" i="63"/>
  <c r="G64" i="63" s="1"/>
  <c r="E64" i="63"/>
  <c r="D64" i="63"/>
  <c r="B64" i="63"/>
  <c r="F63" i="63"/>
  <c r="G63" i="63" s="1"/>
  <c r="E63" i="63"/>
  <c r="D63" i="63"/>
  <c r="B63" i="63"/>
  <c r="D62" i="63"/>
  <c r="F62" i="63" s="1"/>
  <c r="B62" i="63"/>
  <c r="D61" i="63"/>
  <c r="B61" i="63"/>
  <c r="F60" i="63"/>
  <c r="E60" i="63"/>
  <c r="D60" i="63"/>
  <c r="B60" i="63"/>
  <c r="F59" i="63"/>
  <c r="G59" i="63" s="1"/>
  <c r="E59" i="63"/>
  <c r="D59" i="63"/>
  <c r="B59" i="63"/>
  <c r="D58" i="63"/>
  <c r="F58" i="63" s="1"/>
  <c r="B58" i="63"/>
  <c r="D57" i="63"/>
  <c r="B57" i="63"/>
  <c r="F56" i="63"/>
  <c r="E56" i="63"/>
  <c r="D56" i="63"/>
  <c r="B56" i="63"/>
  <c r="F55" i="63"/>
  <c r="G55" i="63" s="1"/>
  <c r="E55" i="63"/>
  <c r="D55" i="63"/>
  <c r="B55" i="63"/>
  <c r="D54" i="63"/>
  <c r="F54" i="63" s="1"/>
  <c r="B54" i="63"/>
  <c r="D53" i="63"/>
  <c r="B53" i="63"/>
  <c r="F52" i="63"/>
  <c r="G52" i="63" s="1"/>
  <c r="E52" i="63"/>
  <c r="D52" i="63"/>
  <c r="B52" i="63"/>
  <c r="F51" i="63"/>
  <c r="G51" i="63" s="1"/>
  <c r="E51" i="63"/>
  <c r="D51" i="63"/>
  <c r="B51" i="63"/>
  <c r="D50" i="63"/>
  <c r="F50" i="63" s="1"/>
  <c r="B50" i="63"/>
  <c r="D49" i="63"/>
  <c r="B49" i="63"/>
  <c r="F48" i="63"/>
  <c r="G48" i="63" s="1"/>
  <c r="E48" i="63"/>
  <c r="D48" i="63"/>
  <c r="B48" i="63"/>
  <c r="F47" i="63"/>
  <c r="G47" i="63" s="1"/>
  <c r="E47" i="63"/>
  <c r="D47" i="63"/>
  <c r="B47" i="63"/>
  <c r="D46" i="63"/>
  <c r="F46" i="63" s="1"/>
  <c r="B46" i="63"/>
  <c r="D45" i="63"/>
  <c r="B45" i="63"/>
  <c r="F44" i="63"/>
  <c r="E44" i="63"/>
  <c r="D44" i="63"/>
  <c r="B44" i="63"/>
  <c r="F43" i="63"/>
  <c r="G43" i="63" s="1"/>
  <c r="E43" i="63"/>
  <c r="D43" i="63"/>
  <c r="B43" i="63"/>
  <c r="D42" i="63"/>
  <c r="F42" i="63" s="1"/>
  <c r="B42" i="63"/>
  <c r="D41" i="63"/>
  <c r="B41" i="63"/>
  <c r="E40" i="63"/>
  <c r="D40" i="63"/>
  <c r="F40" i="63" s="1"/>
  <c r="G40" i="63" s="1"/>
  <c r="B40" i="63"/>
  <c r="F39" i="63"/>
  <c r="G39" i="63" s="1"/>
  <c r="E39" i="63"/>
  <c r="D39" i="63"/>
  <c r="B39" i="63"/>
  <c r="F38" i="63"/>
  <c r="D38" i="63"/>
  <c r="E38" i="63" s="1"/>
  <c r="G38" i="63" s="1"/>
  <c r="B38" i="63"/>
  <c r="D37" i="63"/>
  <c r="B37" i="63"/>
  <c r="E36" i="63"/>
  <c r="D36" i="63"/>
  <c r="F36" i="63" s="1"/>
  <c r="B36" i="63"/>
  <c r="F35" i="63"/>
  <c r="G35" i="63" s="1"/>
  <c r="E35" i="63"/>
  <c r="D35" i="63"/>
  <c r="B35" i="63"/>
  <c r="F34" i="63"/>
  <c r="G34" i="63" s="1"/>
  <c r="D34" i="63"/>
  <c r="E34" i="63" s="1"/>
  <c r="B34" i="63"/>
  <c r="D33" i="63"/>
  <c r="B33" i="63"/>
  <c r="D32" i="63"/>
  <c r="F32" i="63" s="1"/>
  <c r="B32" i="63"/>
  <c r="F31" i="63"/>
  <c r="G31" i="63" s="1"/>
  <c r="E31" i="63"/>
  <c r="D31" i="63"/>
  <c r="B31" i="63"/>
  <c r="F30" i="63"/>
  <c r="D30" i="63"/>
  <c r="E30" i="63" s="1"/>
  <c r="G30" i="63" s="1"/>
  <c r="B30" i="63"/>
  <c r="D29" i="63"/>
  <c r="B29" i="63"/>
  <c r="E28" i="63"/>
  <c r="D28" i="63"/>
  <c r="F28" i="63" s="1"/>
  <c r="B28" i="63"/>
  <c r="F27" i="63"/>
  <c r="G27" i="63" s="1"/>
  <c r="E27" i="63"/>
  <c r="D27" i="63"/>
  <c r="B27" i="63"/>
  <c r="G26" i="63"/>
  <c r="F26" i="63"/>
  <c r="D26" i="63"/>
  <c r="E26" i="63" s="1"/>
  <c r="B26" i="63"/>
  <c r="G25" i="63"/>
  <c r="E25" i="63"/>
  <c r="D25" i="63"/>
  <c r="F25" i="63" s="1"/>
  <c r="B25" i="63"/>
  <c r="F24" i="63"/>
  <c r="G24" i="63" s="1"/>
  <c r="E24" i="63"/>
  <c r="D24" i="63"/>
  <c r="B24" i="63"/>
  <c r="F23" i="63"/>
  <c r="E23" i="63"/>
  <c r="D23" i="63"/>
  <c r="B23" i="63"/>
  <c r="G23" i="63" s="1"/>
  <c r="D22" i="63"/>
  <c r="E22" i="63" s="1"/>
  <c r="B22" i="63"/>
  <c r="D21" i="63"/>
  <c r="F21" i="63" s="1"/>
  <c r="B21" i="63"/>
  <c r="F20" i="63"/>
  <c r="D20" i="63"/>
  <c r="E20" i="63" s="1"/>
  <c r="B20" i="63"/>
  <c r="F19" i="63"/>
  <c r="E19" i="63"/>
  <c r="D19" i="63"/>
  <c r="B19" i="63"/>
  <c r="G19" i="63" s="1"/>
  <c r="D18" i="63"/>
  <c r="E18" i="63" s="1"/>
  <c r="B18" i="63"/>
  <c r="D17" i="63"/>
  <c r="F17" i="63" s="1"/>
  <c r="B17" i="63"/>
  <c r="D16" i="63"/>
  <c r="F16" i="63" s="1"/>
  <c r="B16" i="63"/>
  <c r="F15" i="63"/>
  <c r="G15" i="63" s="1"/>
  <c r="E15" i="63"/>
  <c r="D15" i="63"/>
  <c r="B15" i="63"/>
  <c r="F14" i="63"/>
  <c r="G14" i="63" s="1"/>
  <c r="D14" i="63"/>
  <c r="E14" i="63" s="1"/>
  <c r="B14" i="63"/>
  <c r="E13" i="63"/>
  <c r="D13" i="63"/>
  <c r="F13" i="63" s="1"/>
  <c r="G13" i="63" s="1"/>
  <c r="B13" i="63"/>
  <c r="E12" i="63"/>
  <c r="D12" i="63"/>
  <c r="F12" i="63" s="1"/>
  <c r="G12" i="63" s="1"/>
  <c r="B12" i="63"/>
  <c r="G54" i="63" l="1"/>
  <c r="G17" i="63"/>
  <c r="G70" i="63"/>
  <c r="G16" i="63"/>
  <c r="F33" i="63"/>
  <c r="G33" i="63" s="1"/>
  <c r="E33" i="63"/>
  <c r="F45" i="63"/>
  <c r="E45" i="63"/>
  <c r="F61" i="63"/>
  <c r="G61" i="63" s="1"/>
  <c r="E61" i="63"/>
  <c r="F77" i="63"/>
  <c r="E77" i="63"/>
  <c r="E16" i="63"/>
  <c r="E17" i="63"/>
  <c r="F18" i="63"/>
  <c r="G18" i="63" s="1"/>
  <c r="F49" i="63"/>
  <c r="G49" i="63" s="1"/>
  <c r="E49" i="63"/>
  <c r="G56" i="63"/>
  <c r="F65" i="63"/>
  <c r="G65" i="63" s="1"/>
  <c r="E65" i="63"/>
  <c r="G72" i="63"/>
  <c r="B81" i="63"/>
  <c r="E21" i="63"/>
  <c r="G21" i="63" s="1"/>
  <c r="F22" i="63"/>
  <c r="G22" i="63" s="1"/>
  <c r="F29" i="63"/>
  <c r="E29" i="63"/>
  <c r="E32" i="63"/>
  <c r="G32" i="63" s="1"/>
  <c r="F37" i="63"/>
  <c r="G37" i="63" s="1"/>
  <c r="E37" i="63"/>
  <c r="G44" i="63"/>
  <c r="F53" i="63"/>
  <c r="G53" i="63" s="1"/>
  <c r="E53" i="63"/>
  <c r="G60" i="63"/>
  <c r="F69" i="63"/>
  <c r="E69" i="63"/>
  <c r="G76" i="63"/>
  <c r="G20" i="63"/>
  <c r="G28" i="63"/>
  <c r="G36" i="63"/>
  <c r="F41" i="63"/>
  <c r="G41" i="63" s="1"/>
  <c r="E41" i="63"/>
  <c r="F57" i="63"/>
  <c r="E57" i="63"/>
  <c r="F73" i="63"/>
  <c r="G73" i="63" s="1"/>
  <c r="E73" i="63"/>
  <c r="E42" i="63"/>
  <c r="G42" i="63" s="1"/>
  <c r="E46" i="63"/>
  <c r="G46" i="63" s="1"/>
  <c r="E50" i="63"/>
  <c r="G50" i="63" s="1"/>
  <c r="E54" i="63"/>
  <c r="E58" i="63"/>
  <c r="G58" i="63" s="1"/>
  <c r="E62" i="63"/>
  <c r="G62" i="63" s="1"/>
  <c r="E66" i="63"/>
  <c r="G66" i="63" s="1"/>
  <c r="E70" i="63"/>
  <c r="E74" i="63"/>
  <c r="G74" i="63" s="1"/>
  <c r="E78" i="63"/>
  <c r="G78" i="63" s="1"/>
  <c r="G81" i="63" l="1"/>
  <c r="G57" i="63"/>
  <c r="G69" i="63"/>
  <c r="G86" i="63"/>
  <c r="G83" i="63"/>
  <c r="G88" i="63" s="1"/>
  <c r="G90" i="63" s="1"/>
  <c r="G77" i="63"/>
  <c r="G45" i="63"/>
  <c r="G29" i="63"/>
  <c r="G19" i="48" l="1"/>
  <c r="E19" i="48"/>
  <c r="E17" i="48"/>
  <c r="E11" i="48"/>
  <c r="E10" i="48"/>
  <c r="D10" i="48"/>
  <c r="E9" i="48"/>
  <c r="D9" i="48"/>
  <c r="A12" i="39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F20" i="61" l="1"/>
  <c r="G20" i="61" s="1"/>
  <c r="F21" i="61"/>
  <c r="G21" i="61" s="1"/>
  <c r="F22" i="61"/>
  <c r="G22" i="61" s="1"/>
  <c r="F19" i="61"/>
  <c r="G19" i="61" s="1"/>
  <c r="D62" i="61"/>
  <c r="E62" i="61" s="1"/>
  <c r="D63" i="61"/>
  <c r="E63" i="61" s="1"/>
  <c r="D64" i="61"/>
  <c r="E64" i="61" s="1"/>
  <c r="D61" i="61"/>
  <c r="E61" i="61" s="1"/>
  <c r="D41" i="61"/>
  <c r="F41" i="61" s="1"/>
  <c r="G41" i="61" s="1"/>
  <c r="D42" i="61"/>
  <c r="E42" i="61" s="1"/>
  <c r="D43" i="61"/>
  <c r="F43" i="61" s="1"/>
  <c r="G43" i="61" s="1"/>
  <c r="D40" i="61"/>
  <c r="E40" i="61" s="1"/>
  <c r="B4" i="61"/>
  <c r="B3" i="61"/>
  <c r="C65" i="61"/>
  <c r="C58" i="61"/>
  <c r="G57" i="61"/>
  <c r="E57" i="61"/>
  <c r="G56" i="61"/>
  <c r="E56" i="61"/>
  <c r="G55" i="61"/>
  <c r="E55" i="61"/>
  <c r="G54" i="61"/>
  <c r="E54" i="61"/>
  <c r="C44" i="61"/>
  <c r="C37" i="61"/>
  <c r="G36" i="61"/>
  <c r="E36" i="61"/>
  <c r="G35" i="61"/>
  <c r="E35" i="61"/>
  <c r="G34" i="61"/>
  <c r="E34" i="61"/>
  <c r="G33" i="61"/>
  <c r="E33" i="61"/>
  <c r="E37" i="61" s="1"/>
  <c r="C23" i="61"/>
  <c r="E22" i="61"/>
  <c r="E21" i="61"/>
  <c r="E20" i="61"/>
  <c r="E19" i="61"/>
  <c r="C16" i="61"/>
  <c r="G15" i="61"/>
  <c r="E15" i="61"/>
  <c r="G14" i="61"/>
  <c r="E14" i="61"/>
  <c r="G13" i="61"/>
  <c r="E13" i="61"/>
  <c r="G12" i="61"/>
  <c r="G16" i="61" s="1"/>
  <c r="E12" i="61"/>
  <c r="A34" i="59"/>
  <c r="A35" i="59"/>
  <c r="A36" i="59"/>
  <c r="A13" i="59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5" i="60"/>
  <c r="A4" i="60"/>
  <c r="M30" i="60"/>
  <c r="L30" i="60"/>
  <c r="K30" i="60"/>
  <c r="J30" i="60"/>
  <c r="I30" i="60"/>
  <c r="H30" i="60"/>
  <c r="G30" i="60"/>
  <c r="F30" i="60"/>
  <c r="E30" i="60"/>
  <c r="D30" i="60"/>
  <c r="C30" i="60"/>
  <c r="B30" i="60"/>
  <c r="M29" i="60"/>
  <c r="L29" i="60"/>
  <c r="K29" i="60"/>
  <c r="J29" i="60"/>
  <c r="I29" i="60"/>
  <c r="H29" i="60"/>
  <c r="G29" i="60"/>
  <c r="F29" i="60"/>
  <c r="E29" i="60"/>
  <c r="D29" i="60"/>
  <c r="C29" i="60"/>
  <c r="B29" i="60"/>
  <c r="N29" i="60" s="1"/>
  <c r="M28" i="60"/>
  <c r="L28" i="60"/>
  <c r="K28" i="60"/>
  <c r="J28" i="60"/>
  <c r="I28" i="60"/>
  <c r="H28" i="60"/>
  <c r="G28" i="60"/>
  <c r="F28" i="60"/>
  <c r="E28" i="60"/>
  <c r="D28" i="60"/>
  <c r="C28" i="60"/>
  <c r="B28" i="60"/>
  <c r="N28" i="60" s="1"/>
  <c r="M27" i="60"/>
  <c r="L27" i="60"/>
  <c r="K27" i="60"/>
  <c r="J27" i="60"/>
  <c r="I27" i="60"/>
  <c r="H27" i="60"/>
  <c r="G27" i="60"/>
  <c r="F27" i="60"/>
  <c r="E27" i="60"/>
  <c r="D27" i="60"/>
  <c r="C27" i="60"/>
  <c r="B27" i="60"/>
  <c r="N27" i="60" s="1"/>
  <c r="M26" i="60"/>
  <c r="L26" i="60"/>
  <c r="K26" i="60"/>
  <c r="J26" i="60"/>
  <c r="I26" i="60"/>
  <c r="H26" i="60"/>
  <c r="G26" i="60"/>
  <c r="F26" i="60"/>
  <c r="E26" i="60"/>
  <c r="D26" i="60"/>
  <c r="C26" i="60"/>
  <c r="B26" i="60"/>
  <c r="N26" i="60" s="1"/>
  <c r="M25" i="60"/>
  <c r="L25" i="60"/>
  <c r="K25" i="60"/>
  <c r="J25" i="60"/>
  <c r="I25" i="60"/>
  <c r="H25" i="60"/>
  <c r="G25" i="60"/>
  <c r="F25" i="60"/>
  <c r="E25" i="60"/>
  <c r="D25" i="60"/>
  <c r="C25" i="60"/>
  <c r="B25" i="60"/>
  <c r="N25" i="60" s="1"/>
  <c r="M24" i="60"/>
  <c r="L24" i="60"/>
  <c r="K24" i="60"/>
  <c r="J24" i="60"/>
  <c r="I24" i="60"/>
  <c r="H24" i="60"/>
  <c r="G24" i="60"/>
  <c r="F24" i="60"/>
  <c r="E24" i="60"/>
  <c r="D24" i="60"/>
  <c r="C24" i="60"/>
  <c r="B24" i="60"/>
  <c r="N24" i="60" s="1"/>
  <c r="M23" i="60"/>
  <c r="L23" i="60"/>
  <c r="K23" i="60"/>
  <c r="J23" i="60"/>
  <c r="I23" i="60"/>
  <c r="H23" i="60"/>
  <c r="G23" i="60"/>
  <c r="F23" i="60"/>
  <c r="E23" i="60"/>
  <c r="D23" i="60"/>
  <c r="C23" i="60"/>
  <c r="B23" i="60"/>
  <c r="N23" i="60" s="1"/>
  <c r="F22" i="60"/>
  <c r="E22" i="60"/>
  <c r="D22" i="60"/>
  <c r="C22" i="60"/>
  <c r="B22" i="60"/>
  <c r="M21" i="60"/>
  <c r="L21" i="60"/>
  <c r="K21" i="60"/>
  <c r="J21" i="60"/>
  <c r="I21" i="60"/>
  <c r="H21" i="60"/>
  <c r="G21" i="60"/>
  <c r="F21" i="60"/>
  <c r="E21" i="60"/>
  <c r="D21" i="60"/>
  <c r="C21" i="60"/>
  <c r="B21" i="60"/>
  <c r="M20" i="60"/>
  <c r="L20" i="60"/>
  <c r="K20" i="60"/>
  <c r="J20" i="60"/>
  <c r="I20" i="60"/>
  <c r="H20" i="60"/>
  <c r="G20" i="60"/>
  <c r="F20" i="60"/>
  <c r="E20" i="60"/>
  <c r="D20" i="60"/>
  <c r="C20" i="60"/>
  <c r="B20" i="60"/>
  <c r="M19" i="60"/>
  <c r="L19" i="60"/>
  <c r="K19" i="60"/>
  <c r="J19" i="60"/>
  <c r="I19" i="60"/>
  <c r="H19" i="60"/>
  <c r="G19" i="60"/>
  <c r="F19" i="60"/>
  <c r="E19" i="60"/>
  <c r="D19" i="60"/>
  <c r="C19" i="60"/>
  <c r="B19" i="60"/>
  <c r="M18" i="60"/>
  <c r="L18" i="60"/>
  <c r="K18" i="60"/>
  <c r="J18" i="60"/>
  <c r="I18" i="60"/>
  <c r="H18" i="60"/>
  <c r="G18" i="60"/>
  <c r="F18" i="60"/>
  <c r="E18" i="60"/>
  <c r="D18" i="60"/>
  <c r="C18" i="60"/>
  <c r="B18" i="60"/>
  <c r="M17" i="60"/>
  <c r="L17" i="60"/>
  <c r="K17" i="60"/>
  <c r="J17" i="60"/>
  <c r="I17" i="60"/>
  <c r="H17" i="60"/>
  <c r="G17" i="60"/>
  <c r="F17" i="60"/>
  <c r="E17" i="60"/>
  <c r="D17" i="60"/>
  <c r="C17" i="60"/>
  <c r="B17" i="60"/>
  <c r="M16" i="60"/>
  <c r="L16" i="60"/>
  <c r="K16" i="60"/>
  <c r="J16" i="60"/>
  <c r="I16" i="60"/>
  <c r="H16" i="60"/>
  <c r="G16" i="60"/>
  <c r="F16" i="60"/>
  <c r="E16" i="60"/>
  <c r="D16" i="60"/>
  <c r="C16" i="60"/>
  <c r="B16" i="60"/>
  <c r="M15" i="60"/>
  <c r="L15" i="60"/>
  <c r="K15" i="60"/>
  <c r="J15" i="60"/>
  <c r="I15" i="60"/>
  <c r="H15" i="60"/>
  <c r="G15" i="60"/>
  <c r="F15" i="60"/>
  <c r="E15" i="60"/>
  <c r="D15" i="60"/>
  <c r="C15" i="60"/>
  <c r="B15" i="60"/>
  <c r="M14" i="60"/>
  <c r="L14" i="60"/>
  <c r="K14" i="60"/>
  <c r="J14" i="60"/>
  <c r="I14" i="60"/>
  <c r="H14" i="60"/>
  <c r="G14" i="60"/>
  <c r="F14" i="60"/>
  <c r="E14" i="60"/>
  <c r="D14" i="60"/>
  <c r="C14" i="60"/>
  <c r="B14" i="60"/>
  <c r="M13" i="60"/>
  <c r="L13" i="60"/>
  <c r="K13" i="60"/>
  <c r="J13" i="60"/>
  <c r="I13" i="60"/>
  <c r="H13" i="60"/>
  <c r="G13" i="60"/>
  <c r="F13" i="60"/>
  <c r="E13" i="60"/>
  <c r="D13" i="60"/>
  <c r="C13" i="60"/>
  <c r="B13" i="60"/>
  <c r="M12" i="60"/>
  <c r="L12" i="60"/>
  <c r="K12" i="60"/>
  <c r="J12" i="60"/>
  <c r="I12" i="60"/>
  <c r="H12" i="60"/>
  <c r="G12" i="60"/>
  <c r="F12" i="60"/>
  <c r="E12" i="60"/>
  <c r="D12" i="60"/>
  <c r="C12" i="60"/>
  <c r="B12" i="60"/>
  <c r="M11" i="60"/>
  <c r="L11" i="60"/>
  <c r="L31" i="60" s="1"/>
  <c r="K11" i="60"/>
  <c r="J11" i="60"/>
  <c r="I11" i="60"/>
  <c r="H11" i="60"/>
  <c r="H31" i="60" s="1"/>
  <c r="G11" i="60"/>
  <c r="F11" i="60"/>
  <c r="E11" i="60"/>
  <c r="D11" i="60"/>
  <c r="D31" i="60" s="1"/>
  <c r="C11" i="60"/>
  <c r="B11" i="60"/>
  <c r="A4" i="59"/>
  <c r="A3" i="59"/>
  <c r="O34" i="59"/>
  <c r="Q34" i="59" s="1"/>
  <c r="K34" i="59"/>
  <c r="P33" i="59"/>
  <c r="O33" i="59"/>
  <c r="J33" i="59"/>
  <c r="I33" i="59"/>
  <c r="P32" i="59"/>
  <c r="O32" i="59"/>
  <c r="J32" i="59"/>
  <c r="I32" i="59"/>
  <c r="P31" i="59"/>
  <c r="O31" i="59"/>
  <c r="J31" i="59"/>
  <c r="I31" i="59"/>
  <c r="P30" i="59"/>
  <c r="O30" i="59"/>
  <c r="J30" i="59"/>
  <c r="I30" i="59"/>
  <c r="Q29" i="59"/>
  <c r="I29" i="59"/>
  <c r="K29" i="59" s="1"/>
  <c r="O28" i="59"/>
  <c r="I28" i="59"/>
  <c r="G28" i="59"/>
  <c r="P28" i="59" s="1"/>
  <c r="O27" i="59"/>
  <c r="I27" i="59"/>
  <c r="G27" i="59"/>
  <c r="P27" i="59" s="1"/>
  <c r="O26" i="59"/>
  <c r="I26" i="59"/>
  <c r="G26" i="59"/>
  <c r="J26" i="59" s="1"/>
  <c r="O25" i="59"/>
  <c r="Q25" i="59" s="1"/>
  <c r="I25" i="59"/>
  <c r="K25" i="59" s="1"/>
  <c r="O24" i="59"/>
  <c r="I24" i="59"/>
  <c r="G24" i="59"/>
  <c r="J24" i="59" s="1"/>
  <c r="K24" i="59" s="1"/>
  <c r="P23" i="59"/>
  <c r="O23" i="59"/>
  <c r="J23" i="59"/>
  <c r="I23" i="59"/>
  <c r="O22" i="59"/>
  <c r="I22" i="59"/>
  <c r="G22" i="59"/>
  <c r="P22" i="59" s="1"/>
  <c r="Q21" i="59"/>
  <c r="J21" i="59"/>
  <c r="I21" i="59"/>
  <c r="O20" i="59"/>
  <c r="Q20" i="59" s="1"/>
  <c r="I20" i="59"/>
  <c r="K20" i="59" s="1"/>
  <c r="O19" i="59"/>
  <c r="Q19" i="59" s="1"/>
  <c r="J19" i="59"/>
  <c r="I19" i="59"/>
  <c r="O18" i="59"/>
  <c r="I18" i="59"/>
  <c r="G18" i="59"/>
  <c r="P18" i="59" s="1"/>
  <c r="O17" i="59"/>
  <c r="Q17" i="59" s="1"/>
  <c r="J17" i="59"/>
  <c r="I17" i="59"/>
  <c r="O16" i="59"/>
  <c r="Q16" i="59" s="1"/>
  <c r="I16" i="59"/>
  <c r="K16" i="59" s="1"/>
  <c r="O15" i="59"/>
  <c r="Q15" i="59" s="1"/>
  <c r="J15" i="59"/>
  <c r="I15" i="59"/>
  <c r="O14" i="59"/>
  <c r="Q14" i="59" s="1"/>
  <c r="I14" i="59"/>
  <c r="K14" i="59" s="1"/>
  <c r="O13" i="59"/>
  <c r="Q13" i="59" s="1"/>
  <c r="I13" i="59"/>
  <c r="K13" i="59" s="1"/>
  <c r="I12" i="59"/>
  <c r="K12" i="59" s="1"/>
  <c r="S12" i="59" s="1"/>
  <c r="F10" i="59"/>
  <c r="G10" i="59" s="1"/>
  <c r="I10" i="59" s="1"/>
  <c r="J10" i="59" s="1"/>
  <c r="K10" i="59" s="1"/>
  <c r="M10" i="59" s="1"/>
  <c r="O10" i="59" s="1"/>
  <c r="P10" i="59" s="1"/>
  <c r="Q10" i="59" s="1"/>
  <c r="S10" i="59" s="1"/>
  <c r="T10" i="59" s="1"/>
  <c r="J17" i="58"/>
  <c r="I16" i="58"/>
  <c r="I17" i="58" s="1"/>
  <c r="H16" i="58"/>
  <c r="H17" i="58" s="1"/>
  <c r="G16" i="58"/>
  <c r="F16" i="58"/>
  <c r="E16" i="58"/>
  <c r="K16" i="58" s="1"/>
  <c r="D16" i="58"/>
  <c r="C16" i="58"/>
  <c r="G15" i="58"/>
  <c r="F15" i="58"/>
  <c r="K15" i="58" s="1"/>
  <c r="E15" i="58"/>
  <c r="G14" i="58"/>
  <c r="F14" i="58"/>
  <c r="E14" i="58"/>
  <c r="D14" i="58"/>
  <c r="C14" i="58"/>
  <c r="K14" i="58" s="1"/>
  <c r="D13" i="58"/>
  <c r="K13" i="58" s="1"/>
  <c r="G12" i="58"/>
  <c r="K12" i="58" s="1"/>
  <c r="G11" i="58"/>
  <c r="F11" i="58"/>
  <c r="D11" i="58"/>
  <c r="K11" i="58" s="1"/>
  <c r="G10" i="58"/>
  <c r="G17" i="58" s="1"/>
  <c r="F10" i="58"/>
  <c r="E10" i="58"/>
  <c r="D10" i="58"/>
  <c r="D17" i="58" s="1"/>
  <c r="C10" i="58"/>
  <c r="K10" i="58" s="1"/>
  <c r="A5" i="57"/>
  <c r="A4" i="57"/>
  <c r="L24" i="57"/>
  <c r="K24" i="57"/>
  <c r="J24" i="57"/>
  <c r="F24" i="57"/>
  <c r="C24" i="57"/>
  <c r="E24" i="57"/>
  <c r="G24" i="57"/>
  <c r="I24" i="57"/>
  <c r="B24" i="57"/>
  <c r="H24" i="57"/>
  <c r="F17" i="58" l="1"/>
  <c r="G37" i="61"/>
  <c r="G58" i="61"/>
  <c r="E16" i="61"/>
  <c r="E58" i="61"/>
  <c r="F61" i="61"/>
  <c r="G61" i="61" s="1"/>
  <c r="F62" i="61"/>
  <c r="G62" i="61" s="1"/>
  <c r="E41" i="61"/>
  <c r="F40" i="61"/>
  <c r="G40" i="61" s="1"/>
  <c r="F42" i="61"/>
  <c r="G42" i="61" s="1"/>
  <c r="F63" i="61"/>
  <c r="G63" i="61" s="1"/>
  <c r="E43" i="61"/>
  <c r="F64" i="61"/>
  <c r="G64" i="61" s="1"/>
  <c r="G23" i="61"/>
  <c r="G25" i="61" s="1"/>
  <c r="E23" i="61"/>
  <c r="E65" i="61"/>
  <c r="Q23" i="59"/>
  <c r="S14" i="59"/>
  <c r="K15" i="59"/>
  <c r="S15" i="59" s="1"/>
  <c r="Q18" i="59"/>
  <c r="K21" i="59"/>
  <c r="S21" i="59" s="1"/>
  <c r="J27" i="59"/>
  <c r="J28" i="59"/>
  <c r="K31" i="59"/>
  <c r="K32" i="59"/>
  <c r="K33" i="59"/>
  <c r="K28" i="59"/>
  <c r="Q33" i="59"/>
  <c r="K19" i="59"/>
  <c r="S19" i="59" s="1"/>
  <c r="Q22" i="59"/>
  <c r="J18" i="59"/>
  <c r="K23" i="59"/>
  <c r="K30" i="59"/>
  <c r="J22" i="59"/>
  <c r="K22" i="59" s="1"/>
  <c r="S22" i="59" s="1"/>
  <c r="S25" i="59"/>
  <c r="Q27" i="59"/>
  <c r="Q28" i="59"/>
  <c r="S28" i="59" s="1"/>
  <c r="Q30" i="59"/>
  <c r="P24" i="59"/>
  <c r="Q24" i="59" s="1"/>
  <c r="S24" i="59" s="1"/>
  <c r="P26" i="59"/>
  <c r="Q26" i="59" s="1"/>
  <c r="S26" i="59" s="1"/>
  <c r="S13" i="59"/>
  <c r="K26" i="59"/>
  <c r="S29" i="59"/>
  <c r="S34" i="59"/>
  <c r="S16" i="59"/>
  <c r="K17" i="59"/>
  <c r="K18" i="59"/>
  <c r="S18" i="59" s="1"/>
  <c r="S23" i="59"/>
  <c r="K27" i="59"/>
  <c r="Q31" i="59"/>
  <c r="Q32" i="59"/>
  <c r="N30" i="60"/>
  <c r="N22" i="60"/>
  <c r="E31" i="60"/>
  <c r="M31" i="60"/>
  <c r="B31" i="60"/>
  <c r="F31" i="60"/>
  <c r="J31" i="60"/>
  <c r="N12" i="60"/>
  <c r="N13" i="60"/>
  <c r="N14" i="60"/>
  <c r="N15" i="60"/>
  <c r="N16" i="60"/>
  <c r="N17" i="60"/>
  <c r="N18" i="60"/>
  <c r="N19" i="60"/>
  <c r="N20" i="60"/>
  <c r="N21" i="60"/>
  <c r="I31" i="60"/>
  <c r="C31" i="60"/>
  <c r="G31" i="60"/>
  <c r="K31" i="60"/>
  <c r="N11" i="60"/>
  <c r="S17" i="59"/>
  <c r="S20" i="59"/>
  <c r="E17" i="58"/>
  <c r="C17" i="58"/>
  <c r="M24" i="57"/>
  <c r="D24" i="57"/>
  <c r="K17" i="58" l="1"/>
  <c r="K22" i="58" s="1"/>
  <c r="K24" i="58" s="1"/>
  <c r="E15" i="48" s="1"/>
  <c r="E44" i="61"/>
  <c r="G65" i="61"/>
  <c r="G67" i="61" s="1"/>
  <c r="G44" i="61"/>
  <c r="G46" i="61" s="1"/>
  <c r="S31" i="59"/>
  <c r="S33" i="59"/>
  <c r="S32" i="59"/>
  <c r="S27" i="59"/>
  <c r="S30" i="59"/>
  <c r="N31" i="60"/>
  <c r="N34" i="60" s="1"/>
  <c r="N36" i="60" s="1"/>
  <c r="G69" i="61" l="1"/>
  <c r="E18" i="48" s="1"/>
  <c r="D19" i="35" s="1"/>
  <c r="E19" i="35" s="1"/>
  <c r="N23" i="36"/>
  <c r="S36" i="59"/>
  <c r="F25" i="6"/>
  <c r="H25" i="56"/>
  <c r="H27" i="56" s="1"/>
  <c r="H31" i="56" s="1"/>
  <c r="F25" i="56"/>
  <c r="F27" i="56" s="1"/>
  <c r="F31" i="56" s="1"/>
  <c r="C14" i="56"/>
  <c r="C15" i="56" s="1"/>
  <c r="C16" i="56" s="1"/>
  <c r="C17" i="56" s="1"/>
  <c r="C18" i="56" s="1"/>
  <c r="C19" i="56" s="1"/>
  <c r="C20" i="56" s="1"/>
  <c r="C21" i="56" s="1"/>
  <c r="C22" i="56" s="1"/>
  <c r="C23" i="56" s="1"/>
  <c r="C24" i="56" s="1"/>
  <c r="A5" i="56"/>
  <c r="A4" i="56"/>
  <c r="H25" i="55"/>
  <c r="H27" i="55" s="1"/>
  <c r="H31" i="55" s="1"/>
  <c r="F25" i="55"/>
  <c r="F27" i="55" s="1"/>
  <c r="F31" i="55" s="1"/>
  <c r="C14" i="55"/>
  <c r="C15" i="55" s="1"/>
  <c r="C16" i="55" s="1"/>
  <c r="C17" i="55" s="1"/>
  <c r="C18" i="55" s="1"/>
  <c r="C19" i="55" s="1"/>
  <c r="C20" i="55" s="1"/>
  <c r="C21" i="55" s="1"/>
  <c r="C22" i="55" s="1"/>
  <c r="C23" i="55" s="1"/>
  <c r="C24" i="55" s="1"/>
  <c r="A5" i="55"/>
  <c r="A4" i="55"/>
  <c r="G18" i="48" l="1"/>
  <c r="A13" i="28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4" i="39" l="1"/>
  <c r="A3" i="39"/>
  <c r="A9" i="50" l="1"/>
  <c r="A10" i="50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F61" i="50"/>
  <c r="F63" i="50"/>
  <c r="F19" i="50"/>
  <c r="F17" i="50"/>
  <c r="E21" i="50"/>
  <c r="D21" i="50"/>
  <c r="F14" i="50"/>
  <c r="E12" i="50"/>
  <c r="D46" i="36" l="1"/>
  <c r="E46" i="36"/>
  <c r="F46" i="36"/>
  <c r="H46" i="36"/>
  <c r="I46" i="36"/>
  <c r="J46" i="36"/>
  <c r="K46" i="36"/>
  <c r="L46" i="36"/>
  <c r="M46" i="36"/>
  <c r="C46" i="36"/>
  <c r="M6" i="36"/>
  <c r="L6" i="36"/>
  <c r="K6" i="36"/>
  <c r="J6" i="36"/>
  <c r="I6" i="36"/>
  <c r="H6" i="36"/>
  <c r="G6" i="36"/>
  <c r="F6" i="36"/>
  <c r="E6" i="36"/>
  <c r="D6" i="36"/>
  <c r="U18" i="36"/>
  <c r="U19" i="36"/>
  <c r="U20" i="36"/>
  <c r="U21" i="36"/>
  <c r="U22" i="36"/>
  <c r="F40" i="35"/>
  <c r="E103" i="39" l="1"/>
  <c r="E105" i="39" s="1"/>
  <c r="E106" i="39" s="1"/>
  <c r="E108" i="39" s="1"/>
  <c r="D103" i="39"/>
  <c r="D108" i="39" s="1"/>
  <c r="H79" i="39"/>
  <c r="H92" i="39" s="1"/>
  <c r="E23" i="39"/>
  <c r="D23" i="39"/>
  <c r="G22" i="39"/>
  <c r="I22" i="39" s="1"/>
  <c r="G21" i="39"/>
  <c r="I21" i="39" s="1"/>
  <c r="G20" i="39"/>
  <c r="I20" i="39" s="1"/>
  <c r="G19" i="39"/>
  <c r="I19" i="39" s="1"/>
  <c r="G18" i="39"/>
  <c r="I18" i="39" s="1"/>
  <c r="G17" i="39"/>
  <c r="I17" i="39" s="1"/>
  <c r="G16" i="39"/>
  <c r="I16" i="39" s="1"/>
  <c r="G15" i="39"/>
  <c r="I15" i="39" s="1"/>
  <c r="G14" i="39"/>
  <c r="I14" i="39" s="1"/>
  <c r="I23" i="39" l="1"/>
  <c r="E79" i="39"/>
  <c r="E92" i="39" s="1"/>
  <c r="G23" i="39"/>
  <c r="D79" i="39"/>
  <c r="D92" i="39" s="1"/>
  <c r="F100" i="39"/>
  <c r="F99" i="39"/>
  <c r="F101" i="39"/>
  <c r="F102" i="39"/>
  <c r="F105" i="39"/>
  <c r="F106" i="39" s="1"/>
  <c r="F103" i="39" l="1"/>
  <c r="I90" i="39" s="1"/>
  <c r="I79" i="39"/>
  <c r="G79" i="39"/>
  <c r="G92" i="39" s="1"/>
  <c r="I92" i="39" l="1"/>
  <c r="F108" i="39"/>
  <c r="K23" i="36"/>
  <c r="E13" i="48" l="1"/>
  <c r="D22" i="35" s="1"/>
  <c r="E22" i="35" s="1"/>
  <c r="F14" i="35"/>
  <c r="F15" i="35"/>
  <c r="F16" i="35"/>
  <c r="F17" i="35"/>
  <c r="F18" i="35"/>
  <c r="F23" i="35"/>
  <c r="F25" i="35"/>
  <c r="F26" i="35"/>
  <c r="F32" i="35"/>
  <c r="F33" i="35"/>
  <c r="F34" i="35"/>
  <c r="F36" i="35"/>
  <c r="F24" i="35" l="1"/>
  <c r="F46" i="35" s="1"/>
  <c r="F9" i="35" l="1"/>
  <c r="B1" i="36"/>
  <c r="A1" i="50"/>
  <c r="A5" i="33"/>
  <c r="A4" i="33"/>
  <c r="A4" i="28"/>
  <c r="A3" i="28"/>
  <c r="A5" i="17"/>
  <c r="A4" i="17"/>
  <c r="A5" i="6"/>
  <c r="A4" i="6"/>
  <c r="E46" i="35" l="1"/>
  <c r="C15" i="17" l="1"/>
  <c r="C16" i="17" s="1"/>
  <c r="C17" i="17" s="1"/>
  <c r="C18" i="17" s="1"/>
  <c r="C19" i="17" s="1"/>
  <c r="C20" i="17" s="1"/>
  <c r="C21" i="17" s="1"/>
  <c r="C22" i="17" s="1"/>
  <c r="C23" i="17" s="1"/>
  <c r="C24" i="17" s="1"/>
  <c r="C14" i="17"/>
  <c r="C15" i="6"/>
  <c r="C16" i="6"/>
  <c r="C17" i="6" s="1"/>
  <c r="C18" i="6" s="1"/>
  <c r="C19" i="6" s="1"/>
  <c r="C20" i="6" s="1"/>
  <c r="C21" i="6" s="1"/>
  <c r="C22" i="6" s="1"/>
  <c r="C23" i="6" s="1"/>
  <c r="C24" i="6" s="1"/>
  <c r="C14" i="6"/>
  <c r="A1" i="48"/>
  <c r="C61" i="35" l="1"/>
  <c r="C55" i="35"/>
  <c r="C51" i="35"/>
  <c r="C46" i="35"/>
  <c r="C10" i="35" l="1"/>
  <c r="C20" i="35" l="1"/>
  <c r="F67" i="50" l="1"/>
  <c r="F66" i="50"/>
  <c r="F62" i="50"/>
  <c r="F60" i="50"/>
  <c r="F59" i="50"/>
  <c r="F58" i="50"/>
  <c r="F56" i="50"/>
  <c r="F53" i="50"/>
  <c r="F52" i="50"/>
  <c r="F51" i="50"/>
  <c r="F50" i="50"/>
  <c r="F49" i="50"/>
  <c r="F46" i="50"/>
  <c r="F45" i="50"/>
  <c r="F44" i="50"/>
  <c r="F42" i="50"/>
  <c r="F41" i="50"/>
  <c r="F36" i="50"/>
  <c r="F35" i="50"/>
  <c r="F32" i="50"/>
  <c r="F31" i="50"/>
  <c r="F30" i="50"/>
  <c r="F29" i="50"/>
  <c r="F28" i="50"/>
  <c r="F27" i="50"/>
  <c r="F26" i="50"/>
  <c r="F25" i="50"/>
  <c r="F24" i="50"/>
  <c r="F23" i="50"/>
  <c r="F20" i="50"/>
  <c r="F18" i="50"/>
  <c r="F16" i="50"/>
  <c r="F15" i="50"/>
  <c r="F11" i="50"/>
  <c r="F9" i="50"/>
  <c r="F8" i="50"/>
  <c r="E64" i="50"/>
  <c r="E68" i="50" s="1"/>
  <c r="E54" i="50"/>
  <c r="E47" i="50"/>
  <c r="E33" i="50"/>
  <c r="E38" i="50" s="1"/>
  <c r="D64" i="50"/>
  <c r="D54" i="50"/>
  <c r="D47" i="50"/>
  <c r="D33" i="50"/>
  <c r="F21" i="50" l="1"/>
  <c r="D68" i="50"/>
  <c r="F64" i="50"/>
  <c r="F54" i="50"/>
  <c r="F47" i="50"/>
  <c r="F33" i="50"/>
  <c r="D10" i="50"/>
  <c r="D12" i="50" s="1"/>
  <c r="D38" i="50" l="1"/>
  <c r="F10" i="50"/>
  <c r="F68" i="50"/>
  <c r="F12" i="50" l="1"/>
  <c r="F38" i="50" s="1"/>
  <c r="A8" i="50"/>
  <c r="D6" i="50"/>
  <c r="E6" i="50" s="1"/>
  <c r="C6" i="35"/>
  <c r="D5" i="48" l="1"/>
  <c r="E5" i="48" s="1"/>
  <c r="F5" i="48" s="1"/>
  <c r="G5" i="48" s="1"/>
  <c r="U39" i="36" l="1"/>
  <c r="U37" i="36"/>
  <c r="U35" i="36"/>
  <c r="U30" i="36"/>
  <c r="U29" i="36"/>
  <c r="T44" i="36" l="1"/>
  <c r="T40" i="36"/>
  <c r="T24" i="36"/>
  <c r="T31" i="36" s="1"/>
  <c r="T45" i="36" l="1"/>
  <c r="T47" i="36" s="1"/>
  <c r="T33" i="36"/>
  <c r="T42" i="36" s="1"/>
  <c r="T48" i="36" l="1"/>
  <c r="A8" i="35" l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U27" i="36" l="1"/>
  <c r="I26" i="36" l="1"/>
  <c r="U26" i="36" s="1"/>
  <c r="F22" i="35"/>
  <c r="U28" i="36"/>
  <c r="A12" i="28" l="1"/>
  <c r="E13" i="28" l="1"/>
  <c r="R40" i="36" l="1"/>
  <c r="S40" i="36"/>
  <c r="Q40" i="36"/>
  <c r="P40" i="36"/>
  <c r="N40" i="36"/>
  <c r="M40" i="36"/>
  <c r="L40" i="36"/>
  <c r="K40" i="36"/>
  <c r="J40" i="36"/>
  <c r="I40" i="36"/>
  <c r="H40" i="36"/>
  <c r="F40" i="36"/>
  <c r="E40" i="36"/>
  <c r="D40" i="36"/>
  <c r="C40" i="36"/>
  <c r="P24" i="36"/>
  <c r="P31" i="36" s="1"/>
  <c r="O24" i="36"/>
  <c r="O31" i="36" s="1"/>
  <c r="L24" i="36"/>
  <c r="L31" i="36" s="1"/>
  <c r="L45" i="36" s="1"/>
  <c r="L47" i="36" s="1"/>
  <c r="K24" i="36"/>
  <c r="K31" i="36" s="1"/>
  <c r="K45" i="36" s="1"/>
  <c r="K47" i="36" s="1"/>
  <c r="G24" i="36"/>
  <c r="G31" i="36" s="1"/>
  <c r="G45" i="36" s="1"/>
  <c r="P12" i="36"/>
  <c r="O12" i="36"/>
  <c r="N12" i="36"/>
  <c r="M12" i="36"/>
  <c r="L12" i="36"/>
  <c r="K12" i="36"/>
  <c r="J12" i="36"/>
  <c r="I12" i="36"/>
  <c r="G12" i="36"/>
  <c r="E12" i="36"/>
  <c r="A8" i="36"/>
  <c r="A9" i="36" s="1"/>
  <c r="A10" i="36" s="1"/>
  <c r="A11" i="36" s="1"/>
  <c r="A12" i="36" s="1"/>
  <c r="A13" i="36" s="1"/>
  <c r="A14" i="36" s="1"/>
  <c r="G44" i="36" l="1"/>
  <c r="K44" i="36"/>
  <c r="L44" i="36"/>
  <c r="E44" i="36"/>
  <c r="I44" i="36"/>
  <c r="M44" i="36"/>
  <c r="P45" i="36"/>
  <c r="O44" i="36"/>
  <c r="J44" i="36"/>
  <c r="N44" i="36"/>
  <c r="G16" i="48"/>
  <c r="P44" i="36"/>
  <c r="L33" i="36"/>
  <c r="L42" i="36" s="1"/>
  <c r="P33" i="36"/>
  <c r="P42" i="36" s="1"/>
  <c r="A15" i="36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G33" i="36"/>
  <c r="K33" i="36"/>
  <c r="K42" i="36" s="1"/>
  <c r="O33" i="36"/>
  <c r="G15" i="48" l="1"/>
  <c r="L48" i="36"/>
  <c r="P47" i="36"/>
  <c r="P48" i="36" s="1"/>
  <c r="K48" i="36"/>
  <c r="A34" i="36"/>
  <c r="A35" i="36" s="1"/>
  <c r="A37" i="36" s="1"/>
  <c r="A38" i="36" s="1"/>
  <c r="A39" i="36" s="1"/>
  <c r="A40" i="36" s="1"/>
  <c r="A41" i="36" s="1"/>
  <c r="A42" i="36" s="1"/>
  <c r="C28" i="35" l="1"/>
  <c r="J44" i="33"/>
  <c r="G56" i="33"/>
  <c r="F39" i="33" s="1"/>
  <c r="G35" i="33"/>
  <c r="H35" i="33"/>
  <c r="I35" i="33"/>
  <c r="F35" i="33"/>
  <c r="C52" i="35" l="1"/>
  <c r="C47" i="35"/>
  <c r="C30" i="35"/>
  <c r="C41" i="35" s="1"/>
  <c r="G39" i="33"/>
  <c r="C38" i="35" l="1"/>
  <c r="H39" i="33"/>
  <c r="C48" i="35" l="1"/>
  <c r="C53" i="35"/>
  <c r="C43" i="35"/>
  <c r="C42" i="35"/>
  <c r="I39" i="33"/>
  <c r="C56" i="35" l="1"/>
  <c r="C57" i="35"/>
  <c r="C58" i="35" l="1"/>
  <c r="C64" i="35" s="1"/>
  <c r="C63" i="35"/>
  <c r="G25" i="33"/>
  <c r="G27" i="33" s="1"/>
  <c r="H25" i="33"/>
  <c r="H27" i="33" s="1"/>
  <c r="I25" i="33"/>
  <c r="I30" i="33" s="1"/>
  <c r="F25" i="33"/>
  <c r="F27" i="33" s="1"/>
  <c r="F30" i="33" l="1"/>
  <c r="F31" i="33" s="1"/>
  <c r="F40" i="33" s="1"/>
  <c r="H30" i="33"/>
  <c r="H31" i="33" s="1"/>
  <c r="G30" i="33"/>
  <c r="G31" i="33" s="1"/>
  <c r="I27" i="33"/>
  <c r="I31" i="33" s="1"/>
  <c r="H40" i="33" l="1"/>
  <c r="H36" i="33"/>
  <c r="G36" i="33"/>
  <c r="G40" i="33"/>
  <c r="J31" i="33"/>
  <c r="F36" i="33"/>
  <c r="I36" i="33"/>
  <c r="I40" i="33"/>
  <c r="E15" i="28"/>
  <c r="E17" i="28" s="1"/>
  <c r="E21" i="28" s="1"/>
  <c r="E23" i="28" s="1"/>
  <c r="G9" i="48" l="1"/>
  <c r="M24" i="36"/>
  <c r="M31" i="36" s="1"/>
  <c r="J40" i="33"/>
  <c r="J36" i="33"/>
  <c r="G46" i="33" l="1"/>
  <c r="G48" i="33" s="1"/>
  <c r="F46" i="33"/>
  <c r="F48" i="33" s="1"/>
  <c r="G17" i="48"/>
  <c r="M45" i="36"/>
  <c r="M47" i="36" s="1"/>
  <c r="E24" i="36"/>
  <c r="E31" i="36" s="1"/>
  <c r="F27" i="48"/>
  <c r="S24" i="36"/>
  <c r="S31" i="36" s="1"/>
  <c r="N24" i="36"/>
  <c r="N31" i="36" s="1"/>
  <c r="M33" i="36"/>
  <c r="M42" i="36" s="1"/>
  <c r="I24" i="36"/>
  <c r="D12" i="48" l="1"/>
  <c r="E12" i="48"/>
  <c r="J46" i="33"/>
  <c r="J48" i="33" s="1"/>
  <c r="G10" i="48"/>
  <c r="U15" i="36"/>
  <c r="F24" i="36"/>
  <c r="F31" i="36" s="1"/>
  <c r="F45" i="36" s="1"/>
  <c r="J23" i="36"/>
  <c r="F19" i="35"/>
  <c r="G11" i="48"/>
  <c r="E35" i="35"/>
  <c r="E51" i="35" s="1"/>
  <c r="E45" i="36"/>
  <c r="E47" i="36" s="1"/>
  <c r="E33" i="36"/>
  <c r="E42" i="36" s="1"/>
  <c r="G14" i="48"/>
  <c r="S45" i="36"/>
  <c r="I31" i="36"/>
  <c r="I45" i="36" s="1"/>
  <c r="I47" i="36" s="1"/>
  <c r="S12" i="36"/>
  <c r="N45" i="36"/>
  <c r="N47" i="36" s="1"/>
  <c r="N33" i="36"/>
  <c r="N42" i="36" s="1"/>
  <c r="M48" i="36"/>
  <c r="O40" i="36"/>
  <c r="O45" i="36" s="1"/>
  <c r="D8" i="35" l="1"/>
  <c r="E8" i="35" s="1"/>
  <c r="H11" i="36"/>
  <c r="G12" i="48"/>
  <c r="H16" i="36"/>
  <c r="D13" i="35"/>
  <c r="E13" i="35" s="1"/>
  <c r="E27" i="48"/>
  <c r="U9" i="36"/>
  <c r="F12" i="36"/>
  <c r="G40" i="36"/>
  <c r="U40" i="36" s="1"/>
  <c r="U38" i="36"/>
  <c r="E48" i="36"/>
  <c r="F35" i="35"/>
  <c r="F33" i="48"/>
  <c r="J24" i="36"/>
  <c r="J31" i="36" s="1"/>
  <c r="U23" i="36"/>
  <c r="I33" i="36"/>
  <c r="S44" i="36"/>
  <c r="S47" i="36" s="1"/>
  <c r="S33" i="36"/>
  <c r="S42" i="36" s="1"/>
  <c r="N48" i="36"/>
  <c r="O42" i="36"/>
  <c r="O47" i="36"/>
  <c r="H24" i="36" l="1"/>
  <c r="H31" i="36" s="1"/>
  <c r="H45" i="36" s="1"/>
  <c r="U16" i="36"/>
  <c r="H12" i="36"/>
  <c r="U11" i="36"/>
  <c r="E61" i="35"/>
  <c r="E55" i="35"/>
  <c r="F44" i="36"/>
  <c r="F47" i="36" s="1"/>
  <c r="F33" i="36"/>
  <c r="F42" i="36" s="1"/>
  <c r="F36" i="48"/>
  <c r="J45" i="36"/>
  <c r="J47" i="36" s="1"/>
  <c r="J33" i="36"/>
  <c r="J42" i="36" s="1"/>
  <c r="G46" i="36"/>
  <c r="G42" i="36"/>
  <c r="W40" i="36"/>
  <c r="G13" i="48"/>
  <c r="I42" i="36"/>
  <c r="S48" i="36"/>
  <c r="O48" i="36"/>
  <c r="H33" i="36" l="1"/>
  <c r="H42" i="36" s="1"/>
  <c r="H44" i="36"/>
  <c r="H47" i="36" s="1"/>
  <c r="F48" i="36"/>
  <c r="F37" i="48"/>
  <c r="J48" i="36"/>
  <c r="U46" i="36"/>
  <c r="W46" i="36" s="1"/>
  <c r="G47" i="36"/>
  <c r="G48" i="36" s="1"/>
  <c r="F34" i="48"/>
  <c r="I48" i="36"/>
  <c r="H48" i="36" l="1"/>
  <c r="H25" i="17"/>
  <c r="H27" i="17" s="1"/>
  <c r="H31" i="17" s="1"/>
  <c r="F25" i="17"/>
  <c r="F27" i="17" s="1"/>
  <c r="F31" i="17" s="1"/>
  <c r="H25" i="6"/>
  <c r="H27" i="6" s="1"/>
  <c r="H31" i="6" s="1"/>
  <c r="E7" i="48" s="1"/>
  <c r="F27" i="6"/>
  <c r="F31" i="6" s="1"/>
  <c r="D7" i="48" s="1"/>
  <c r="R12" i="36" l="1"/>
  <c r="D8" i="48"/>
  <c r="D10" i="36" s="1"/>
  <c r="D12" i="36" s="1"/>
  <c r="D44" i="36" s="1"/>
  <c r="D27" i="48"/>
  <c r="C10" i="36"/>
  <c r="C12" i="36" s="1"/>
  <c r="C44" i="36" s="1"/>
  <c r="C17" i="36"/>
  <c r="C24" i="36" s="1"/>
  <c r="C31" i="36" s="1"/>
  <c r="G7" i="48"/>
  <c r="R24" i="36"/>
  <c r="R31" i="36" s="1"/>
  <c r="R33" i="36" s="1"/>
  <c r="R42" i="36" s="1"/>
  <c r="E8" i="48"/>
  <c r="R44" i="36"/>
  <c r="Q24" i="36"/>
  <c r="Q12" i="36"/>
  <c r="U10" i="36" l="1"/>
  <c r="D10" i="35"/>
  <c r="D33" i="48" s="1"/>
  <c r="C45" i="36"/>
  <c r="C47" i="36" s="1"/>
  <c r="C33" i="36"/>
  <c r="C42" i="36" s="1"/>
  <c r="D17" i="36"/>
  <c r="R45" i="36"/>
  <c r="G8" i="48"/>
  <c r="G27" i="48" s="1"/>
  <c r="R47" i="36"/>
  <c r="R48" i="36" s="1"/>
  <c r="Q31" i="36"/>
  <c r="Q33" i="36" s="1"/>
  <c r="U12" i="36"/>
  <c r="Q44" i="36"/>
  <c r="C48" i="36" l="1"/>
  <c r="D36" i="48"/>
  <c r="F13" i="35"/>
  <c r="F20" i="35" s="1"/>
  <c r="F28" i="35" s="1"/>
  <c r="F47" i="35" s="1"/>
  <c r="D20" i="35"/>
  <c r="D28" i="35" s="1"/>
  <c r="D24" i="36"/>
  <c r="U17" i="36"/>
  <c r="U44" i="36"/>
  <c r="D34" i="48"/>
  <c r="Q42" i="36"/>
  <c r="Q45" i="36"/>
  <c r="D37" i="48" l="1"/>
  <c r="D30" i="35"/>
  <c r="D38" i="35" s="1"/>
  <c r="G33" i="48" s="1"/>
  <c r="E33" i="48"/>
  <c r="E34" i="48" s="1"/>
  <c r="W44" i="36"/>
  <c r="D31" i="36"/>
  <c r="U24" i="36"/>
  <c r="W12" i="36"/>
  <c r="E31" i="48"/>
  <c r="E10" i="35"/>
  <c r="Q47" i="36"/>
  <c r="G34" i="48" l="1"/>
  <c r="D45" i="36"/>
  <c r="D33" i="36"/>
  <c r="U31" i="36"/>
  <c r="Q48" i="36"/>
  <c r="D42" i="36" l="1"/>
  <c r="U42" i="36" s="1"/>
  <c r="U33" i="36"/>
  <c r="D47" i="36"/>
  <c r="U45" i="36"/>
  <c r="W45" i="36" s="1"/>
  <c r="W31" i="36"/>
  <c r="E36" i="48"/>
  <c r="E37" i="48" s="1"/>
  <c r="E20" i="35"/>
  <c r="D48" i="36" l="1"/>
  <c r="U47" i="36"/>
  <c r="W42" i="36"/>
  <c r="G36" i="48"/>
  <c r="G37" i="48" s="1"/>
  <c r="E28" i="35"/>
  <c r="E52" i="35" s="1"/>
  <c r="E47" i="35" l="1"/>
  <c r="U48" i="36"/>
  <c r="W47" i="36"/>
  <c r="E30" i="35"/>
  <c r="E38" i="35" s="1"/>
  <c r="E53" i="35" s="1"/>
  <c r="E57" i="35" l="1"/>
  <c r="E58" i="35" s="1"/>
  <c r="E64" i="35" s="1"/>
  <c r="E56" i="35"/>
  <c r="E41" i="35"/>
  <c r="E48" i="35"/>
  <c r="E43" i="35"/>
  <c r="E42" i="35"/>
  <c r="E63" i="35" l="1"/>
  <c r="C67" i="35" l="1"/>
  <c r="F8" i="35"/>
  <c r="F10" i="35" s="1"/>
  <c r="F30" i="35" s="1"/>
  <c r="F38" i="35" s="1"/>
  <c r="F66" i="35" s="1"/>
  <c r="F67" i="35" s="1"/>
  <c r="F41" i="35" l="1"/>
  <c r="F42" i="35"/>
  <c r="F43" i="35"/>
  <c r="F48" i="35"/>
</calcChain>
</file>

<file path=xl/comments1.xml><?xml version="1.0" encoding="utf-8"?>
<comments xmlns="http://schemas.openxmlformats.org/spreadsheetml/2006/main">
  <authors>
    <author>Erica Hall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Erica Hall:</t>
        </r>
        <r>
          <rPr>
            <sz val="9"/>
            <color indexed="81"/>
            <rFont val="Tahoma"/>
            <family val="2"/>
          </rPr>
          <t xml:space="preserve">
ADVT 06 &amp; ADVT 09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Erica Hall:</t>
        </r>
        <r>
          <rPr>
            <sz val="9"/>
            <color indexed="81"/>
            <rFont val="Tahoma"/>
            <family val="2"/>
          </rPr>
          <t xml:space="preserve">
ADVT 06 &amp; ADVT 09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Erica Hall:</t>
        </r>
        <r>
          <rPr>
            <sz val="9"/>
            <color indexed="81"/>
            <rFont val="Tahoma"/>
            <family val="2"/>
          </rPr>
          <t xml:space="preserve">
ADVT 06
</t>
        </r>
      </text>
    </comment>
  </commentList>
</comments>
</file>

<file path=xl/comments2.xml><?xml version="1.0" encoding="utf-8"?>
<comments xmlns="http://schemas.openxmlformats.org/spreadsheetml/2006/main">
  <authors>
    <author>Brian Frasure</author>
  </authors>
  <commentList>
    <comment ref="D23" author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REHIRED 2017</t>
        </r>
      </text>
    </comment>
  </commentList>
</comments>
</file>

<file path=xl/sharedStrings.xml><?xml version="1.0" encoding="utf-8"?>
<sst xmlns="http://schemas.openxmlformats.org/spreadsheetml/2006/main" count="696" uniqueCount="385">
  <si>
    <t>Line</t>
  </si>
  <si>
    <t>Description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</si>
  <si>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</si>
  <si>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</si>
  <si>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</si>
  <si>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</si>
  <si>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</si>
  <si>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</si>
  <si>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</si>
  <si>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</si>
  <si>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</si>
  <si>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</si>
  <si>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</si>
  <si>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</si>
  <si>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</si>
  <si>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Adjustment</t>
  </si>
  <si>
    <t>Year</t>
  </si>
  <si>
    <t>Month</t>
  </si>
  <si>
    <t>(1)</t>
  </si>
  <si>
    <t>(3)</t>
  </si>
  <si>
    <t>(2)</t>
  </si>
  <si>
    <t>#</t>
  </si>
  <si>
    <t>Subtotal</t>
  </si>
  <si>
    <t>Revenue</t>
  </si>
  <si>
    <t>Expense</t>
  </si>
  <si>
    <t>(4)</t>
  </si>
  <si>
    <t>Reference Schedule:  1.02</t>
  </si>
  <si>
    <t>Reference Schedule:  1.01</t>
  </si>
  <si>
    <t>Reference Schedule:  1.08</t>
  </si>
  <si>
    <t>Depreciation</t>
  </si>
  <si>
    <t>Donations</t>
  </si>
  <si>
    <t>Rate Case Expenses</t>
  </si>
  <si>
    <t>G&amp;T Capital Credits</t>
  </si>
  <si>
    <t xml:space="preserve">Revenue </t>
  </si>
  <si>
    <t>Total Cost of Electric Service</t>
  </si>
  <si>
    <t>Non-Operating Margins - Interest</t>
  </si>
  <si>
    <t>Non-Operating Margins - Other</t>
  </si>
  <si>
    <t>Test Year Amount</t>
  </si>
  <si>
    <t>Pro Forma Year Amount</t>
  </si>
  <si>
    <t>This adjustment removes the FAC revenues and expenses from the test period.</t>
  </si>
  <si>
    <t>This adjustment removes the Envionmental Surcharge revenues and expenses from the test period.</t>
  </si>
  <si>
    <t>Item</t>
  </si>
  <si>
    <t>Total Amount</t>
  </si>
  <si>
    <t>Amortization Period (Years)</t>
  </si>
  <si>
    <t>Total</t>
  </si>
  <si>
    <t>Annual Amortization Amount</t>
  </si>
  <si>
    <t>This adjustment estimates the rate case costs amortized over a 3 year period, consistent with standard Commission practice.</t>
  </si>
  <si>
    <t>Year-End Customers</t>
  </si>
  <si>
    <t>(5)</t>
  </si>
  <si>
    <t>(6)</t>
  </si>
  <si>
    <t>(7)</t>
  </si>
  <si>
    <t>(8)</t>
  </si>
  <si>
    <t>Average</t>
  </si>
  <si>
    <t>Total kWh</t>
  </si>
  <si>
    <t>Average kWh</t>
  </si>
  <si>
    <t>Year-End kWh Adjustment</t>
  </si>
  <si>
    <t>Current Base Rate Revenue</t>
  </si>
  <si>
    <t>Average Revenue per kWh</t>
  </si>
  <si>
    <t>Year End Revenue Adj</t>
  </si>
  <si>
    <t>Revenue Adjustment</t>
  </si>
  <si>
    <t>Expense Adjustment</t>
  </si>
  <si>
    <t>Year End Expense Adj</t>
  </si>
  <si>
    <t>Total Purchased Power Expense</t>
  </si>
  <si>
    <t>Less Environmental Surcharge</t>
  </si>
  <si>
    <t>Less Fuel Adjustment Clause</t>
  </si>
  <si>
    <t>Adjusted Purchased Power Expense</t>
  </si>
  <si>
    <t>Total Purchased Power kWh</t>
  </si>
  <si>
    <t>End of Period Increase over Avg</t>
  </si>
  <si>
    <t>For Expense Adjustment:</t>
  </si>
  <si>
    <t>Avg Adj Purchase Exp per kWh</t>
  </si>
  <si>
    <t>Net Rev</t>
  </si>
  <si>
    <t>Interest on LTD</t>
  </si>
  <si>
    <t>TIER</t>
  </si>
  <si>
    <t>Operating Revenues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</si>
  <si>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</si>
  <si>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</si>
  <si>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</si>
  <si>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</si>
  <si>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</si>
  <si>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</si>
  <si>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</si>
  <si>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</si>
  <si>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</si>
  <si>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</si>
  <si>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</si>
  <si>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- Other</t>
  </si>
  <si>
    <t>Other Deductions</t>
  </si>
  <si>
    <t>Utility Operating Margins</t>
  </si>
  <si>
    <t>Other Capital Credits</t>
  </si>
  <si>
    <t>Net Margins</t>
  </si>
  <si>
    <t>TIER excluding GTCC</t>
  </si>
  <si>
    <t>OTIER</t>
  </si>
  <si>
    <t>Rate</t>
  </si>
  <si>
    <t>Operating Revenues:</t>
  </si>
  <si>
    <t>Services</t>
  </si>
  <si>
    <t>Total Revenues</t>
  </si>
  <si>
    <t xml:space="preserve">        Base Rates</t>
  </si>
  <si>
    <t xml:space="preserve">    Total Operating Expenses</t>
  </si>
  <si>
    <t>Total Non-Operating Margins</t>
  </si>
  <si>
    <t>Interest on Long Term Debt</t>
  </si>
  <si>
    <t>Interest Expense - Other</t>
  </si>
  <si>
    <t>Base Rates</t>
  </si>
  <si>
    <t>Other Electric Revenue</t>
  </si>
  <si>
    <t>Distribution - Operations</t>
  </si>
  <si>
    <t>Distribution - Maintenance</t>
  </si>
  <si>
    <t>Consumer Accounts</t>
  </si>
  <si>
    <t>Sales</t>
  </si>
  <si>
    <t>Administrative and General</t>
  </si>
  <si>
    <t>Consulting - Catalyst Consulting LLC</t>
  </si>
  <si>
    <t>Actual Test Yr</t>
  </si>
  <si>
    <t>Pro Forma Test Yr</t>
  </si>
  <si>
    <t>Expense Adj</t>
  </si>
  <si>
    <t>Revenue Adj</t>
  </si>
  <si>
    <t>Net Adj</t>
  </si>
  <si>
    <t>Check</t>
  </si>
  <si>
    <t>Reference Schedule:  1.05</t>
  </si>
  <si>
    <t>Reference Schedule:  1.04</t>
  </si>
  <si>
    <t>Reference Schedule:  1.03</t>
  </si>
  <si>
    <t>Reference Schedule:  1.09</t>
  </si>
  <si>
    <t>Reference Schedule:  1.10</t>
  </si>
  <si>
    <t>Environmental Surcharge</t>
  </si>
  <si>
    <t xml:space="preserve">Fuel Adjustment Clause </t>
  </si>
  <si>
    <t>Transportation</t>
  </si>
  <si>
    <t>Meters</t>
  </si>
  <si>
    <t>Administrative &amp; General</t>
  </si>
  <si>
    <t>580-589</t>
  </si>
  <si>
    <t>Operations</t>
  </si>
  <si>
    <t>590-598</t>
  </si>
  <si>
    <t>Maintenance</t>
  </si>
  <si>
    <t>901-905</t>
  </si>
  <si>
    <t>920-935</t>
  </si>
  <si>
    <t>Pro Forma Adj</t>
  </si>
  <si>
    <t>A</t>
  </si>
  <si>
    <t>B</t>
  </si>
  <si>
    <t>Alloc</t>
  </si>
  <si>
    <t>Labor $</t>
  </si>
  <si>
    <t>Test Yr Ending Bal</t>
  </si>
  <si>
    <t>Normalized Expense</t>
  </si>
  <si>
    <t>Test Year Expense</t>
  </si>
  <si>
    <t>Acct #</t>
  </si>
  <si>
    <t>Fully Depr Items</t>
  </si>
  <si>
    <t>Distribution Plant</t>
  </si>
  <si>
    <t>Station equipment</t>
  </si>
  <si>
    <t>Poles, towers &amp; fixtures</t>
  </si>
  <si>
    <t>Overhead conductors &amp; devices</t>
  </si>
  <si>
    <t>Underground conductor &amp; devices</t>
  </si>
  <si>
    <t>Line transformers</t>
  </si>
  <si>
    <t>Land</t>
  </si>
  <si>
    <t>General Plant</t>
  </si>
  <si>
    <t>Transporation Charged to Clearing</t>
  </si>
  <si>
    <t>Allocation of Clearing to O&amp;M</t>
  </si>
  <si>
    <t>Depr $</t>
  </si>
  <si>
    <t>Distribution &amp; General Subtotal</t>
  </si>
  <si>
    <t>Total Operating Revenue</t>
  </si>
  <si>
    <t>Total Sales of Electric Energy</t>
  </si>
  <si>
    <t>Cash Receipts from Lenders</t>
  </si>
  <si>
    <t>Pro Forma Amount</t>
  </si>
  <si>
    <t>Variance</t>
  </si>
  <si>
    <t>Summary of Pro Forma Adjustments</t>
  </si>
  <si>
    <t>Fuel Adjustment Clause</t>
  </si>
  <si>
    <t>Non-Operating Income</t>
  </si>
  <si>
    <t>Net Margin</t>
  </si>
  <si>
    <t>This adjustment adjusts the test year expenses and revenues to reflect the number of customers at the end of the test year.</t>
  </si>
  <si>
    <t>Reference Schedule</t>
  </si>
  <si>
    <t>Summary of Adjustments to Test Year Statement of Operations</t>
  </si>
  <si>
    <t>Summary of Adjustments to Test Year Balance Sheet</t>
  </si>
  <si>
    <t>Assets and Other Debits</t>
  </si>
  <si>
    <t>Total Utility Plant in Service</t>
  </si>
  <si>
    <t>Construction Work in Progress</t>
  </si>
  <si>
    <t>Accum Provision for Depr and Amort</t>
  </si>
  <si>
    <t>Net Utility Plant</t>
  </si>
  <si>
    <t>Investment in Assoc Org - Patr Capital</t>
  </si>
  <si>
    <t>Investment in Assoc Org - Other Gen Fnd</t>
  </si>
  <si>
    <t>Investment in Assoc Org - Non Gen Fnd</t>
  </si>
  <si>
    <t>Other Investment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</si>
  <si>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</si>
  <si>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</si>
  <si>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</si>
  <si>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</si>
  <si>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</si>
  <si>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Other (Net)</t>
  </si>
  <si>
    <t>Accts Receivable - Sales Energy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</si>
  <si>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</si>
  <si>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</si>
  <si>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</si>
  <si>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</si>
  <si>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</si>
  <si>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</si>
  <si>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</si>
  <si>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</si>
  <si>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</si>
  <si>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</si>
  <si>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</si>
  <si>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Current Year</t>
  </si>
  <si>
    <t>Non-Operating Margins</t>
  </si>
  <si>
    <t>Other Margins &amp; Equities</t>
  </si>
  <si>
    <t>Total Margins &amp; Equities</t>
  </si>
  <si>
    <t>Long Term Debt - FFB - RUS GUAR</t>
  </si>
  <si>
    <t>Long Term Debt - Other (Net)</t>
  </si>
  <si>
    <t>Long Term Debt - RUS -Econ Dev - Net</t>
  </si>
  <si>
    <t>Total Long Term Debt</t>
  </si>
  <si>
    <t>Accum Operating Provisions</t>
  </si>
  <si>
    <t>Notes Payable</t>
  </si>
  <si>
    <t>Accounts Payable</t>
  </si>
  <si>
    <t>Consumer Deposits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</si>
  <si>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</si>
  <si>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</si>
  <si>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</si>
  <si>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</si>
  <si>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</si>
  <si>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Pro Forma Adjs</t>
  </si>
  <si>
    <t>Statement of Operations &amp; Revenue Requirement</t>
  </si>
  <si>
    <t>Income(Loss) from Equity Investments</t>
  </si>
  <si>
    <t>29a</t>
  </si>
  <si>
    <t>Income(Loss) from Equity Invstmts</t>
  </si>
  <si>
    <t>For the 12 Months Ended December 31, 2019</t>
  </si>
  <si>
    <t>Target TIER</t>
  </si>
  <si>
    <t>Margins at Target TIER</t>
  </si>
  <si>
    <t>Revenue Requirement</t>
  </si>
  <si>
    <t>Revenue Deficiency (Excess)</t>
  </si>
  <si>
    <t>Target OTIER</t>
  </si>
  <si>
    <t>Margins at Target OTIER</t>
  </si>
  <si>
    <t>Needed Sales of Electric  Energy</t>
  </si>
  <si>
    <t>Increase</t>
  </si>
  <si>
    <t>Cap on Increase</t>
  </si>
  <si>
    <t>Capped Increase Amount</t>
  </si>
  <si>
    <t xml:space="preserve">Permissible Increase </t>
  </si>
  <si>
    <t>Life Insurance Premiums</t>
  </si>
  <si>
    <t xml:space="preserve">Test Period </t>
  </si>
  <si>
    <t>Street Lighting / signal systems</t>
  </si>
  <si>
    <t>Depreciation Expense Normalization</t>
  </si>
  <si>
    <t>Advertising &amp; Donations</t>
  </si>
  <si>
    <t>Actual Test Year</t>
  </si>
  <si>
    <t>Directors Expense</t>
  </si>
  <si>
    <t>Year-End Customer Normalization</t>
  </si>
  <si>
    <t>A+B</t>
  </si>
  <si>
    <t>Balance Sheet Accounts</t>
  </si>
  <si>
    <t>This adjustment normalizes depreciation expenses by replacing test year actual expenses with test year end balances, less any fully depreciated items, at approved depreciation rates.</t>
  </si>
  <si>
    <t>907-912</t>
  </si>
  <si>
    <t>Capital</t>
  </si>
  <si>
    <t>Pro Forma Adjustments</t>
  </si>
  <si>
    <t>Checks</t>
  </si>
  <si>
    <t>Sum from Rev Req page</t>
  </si>
  <si>
    <t>Sum from Adj IS page</t>
  </si>
  <si>
    <t>Var from Adj List</t>
  </si>
  <si>
    <t>Non Oper Adj</t>
  </si>
  <si>
    <t xml:space="preserve">Reference Schedule &gt;     </t>
  </si>
  <si>
    <t xml:space="preserve">Item  &gt;     </t>
  </si>
  <si>
    <t>Proposed Rates</t>
  </si>
  <si>
    <t>Increase $</t>
  </si>
  <si>
    <t>Increase %</t>
  </si>
  <si>
    <t>Investment in Subsidiary Companies</t>
  </si>
  <si>
    <t>Investment in Economic Development Projects</t>
  </si>
  <si>
    <t>Special Funds</t>
  </si>
  <si>
    <t>Current Maturities LTD</t>
  </si>
  <si>
    <t>Current Maturities LTD - Econ Dev</t>
  </si>
  <si>
    <t>Reference Schedule:  1.06</t>
  </si>
  <si>
    <t>Reference Schedule:  1.07</t>
  </si>
  <si>
    <t>Reference Schedule:  1.11</t>
  </si>
  <si>
    <t>MEADE COUNTY R.E.C.C.</t>
  </si>
  <si>
    <t>Member Rate Stability Mechanism</t>
  </si>
  <si>
    <t>Non-Smelter Non-FAC PPA</t>
  </si>
  <si>
    <t>Member Revenue Stability Mechanism</t>
  </si>
  <si>
    <t>Security Lights</t>
  </si>
  <si>
    <t>Less MRSM &amp; NFPPA</t>
  </si>
  <si>
    <t>Wages &amp; Salaries</t>
  </si>
  <si>
    <t>Legal - Brite &amp; Hopkins PLLC</t>
  </si>
  <si>
    <t xml:space="preserve">   Total Utility Plant</t>
  </si>
  <si>
    <t>MEADE COUNTY RURAL ELECTRIC COOPERATIVE CORPORATION</t>
  </si>
  <si>
    <t>Donations, Promotional Advertising &amp; Dues</t>
  </si>
  <si>
    <t>Member Newsletter</t>
  </si>
  <si>
    <t>Certain Annual Meeting Expenses</t>
  </si>
  <si>
    <t>Sponsorships/Memberships</t>
  </si>
  <si>
    <t>Frankfort &amp; Washington Youth Tours</t>
  </si>
  <si>
    <t>NRECA dues</t>
  </si>
  <si>
    <t>KEC dues</t>
  </si>
  <si>
    <t>426.40</t>
  </si>
  <si>
    <t>930.20</t>
  </si>
  <si>
    <t>EXP ADJ</t>
  </si>
  <si>
    <t>C</t>
  </si>
  <si>
    <t>E</t>
  </si>
  <si>
    <t>F</t>
  </si>
  <si>
    <t>G</t>
  </si>
  <si>
    <t>H</t>
  </si>
  <si>
    <t>I</t>
  </si>
  <si>
    <t>J</t>
  </si>
  <si>
    <t>L</t>
  </si>
  <si>
    <t>This adjustment removes charitable donations, promotional advertising expenses, and dues from the revenue requirement consistent with standard Commission practices.</t>
  </si>
  <si>
    <t>Directors Expenses</t>
  </si>
  <si>
    <t>Rhodes</t>
  </si>
  <si>
    <t>Sipes</t>
  </si>
  <si>
    <t>Barr</t>
  </si>
  <si>
    <t>Creech</t>
  </si>
  <si>
    <t>Wilson</t>
  </si>
  <si>
    <t>Sills</t>
  </si>
  <si>
    <t>Butler</t>
  </si>
  <si>
    <t>Brite</t>
  </si>
  <si>
    <t>NRECA Annual Conference</t>
  </si>
  <si>
    <t>NRECA Director Training</t>
  </si>
  <si>
    <t>KEC Committee Meetings</t>
  </si>
  <si>
    <t>KEC Annual Meeting</t>
  </si>
  <si>
    <t>BREC Annual Meeting</t>
  </si>
  <si>
    <t>AD&amp;D Insurance</t>
  </si>
  <si>
    <t>This adjustment removes certain Director expenses consistent with recent Commission orders and standard Commission practices.</t>
  </si>
  <si>
    <t>Hours Worked</t>
  </si>
  <si>
    <t>Actual Test Year Wages</t>
  </si>
  <si>
    <t>2020 Wage Rate</t>
  </si>
  <si>
    <t>Pro Forma Wages at 2,080 Hours</t>
  </si>
  <si>
    <t>Pro Forma Adjustment</t>
  </si>
  <si>
    <t>ID</t>
  </si>
  <si>
    <t>Actual ID</t>
  </si>
  <si>
    <t>Regular</t>
  </si>
  <si>
    <t>Overtime</t>
  </si>
  <si>
    <t>&lt; Hide &gt;</t>
  </si>
  <si>
    <t>401(k) Contribution Match Expense</t>
  </si>
  <si>
    <t>Empl #</t>
  </si>
  <si>
    <t>Test Year 401k Match Expense</t>
  </si>
  <si>
    <t>Pro Forma 401k Match Expense</t>
  </si>
  <si>
    <t>This adjustment removes the utility contribution for the least generous plans for for employees participating in multiple benefit packages.</t>
  </si>
  <si>
    <t>Reservations for 2020 NRECA Conf</t>
  </si>
  <si>
    <t>Notes</t>
  </si>
  <si>
    <t>Retired</t>
  </si>
  <si>
    <t>Hired during test year</t>
  </si>
  <si>
    <t xml:space="preserve">Terminated </t>
  </si>
  <si>
    <t>Note</t>
  </si>
  <si>
    <t>This adjustment normalizes actual test year labor to 2020 wages rates and headcount.</t>
  </si>
  <si>
    <t>Health Insurance Premiums</t>
  </si>
  <si>
    <t>Option</t>
  </si>
  <si>
    <t>Total Cost $</t>
  </si>
  <si>
    <t>Employee %</t>
  </si>
  <si>
    <t>Employee $</t>
  </si>
  <si>
    <t>Utility %</t>
  </si>
  <si>
    <t>Utility $</t>
  </si>
  <si>
    <t>Normalized Test Year</t>
  </si>
  <si>
    <t>Employee</t>
  </si>
  <si>
    <t>Employee &amp; Spouse</t>
  </si>
  <si>
    <t>Employee &amp; Child(ren)</t>
  </si>
  <si>
    <t>Employee &amp; Family</t>
  </si>
  <si>
    <t>Pro Forma Year</t>
  </si>
  <si>
    <t>Dental Insurance Premiums</t>
  </si>
  <si>
    <t>Vision Insurance Premiums</t>
  </si>
  <si>
    <t>Grand Total Adjustment for Medical, Dental and Vision Insurance</t>
  </si>
  <si>
    <t>This adjustment normalizes utility contributions to employee premiums for medical, dental and vision insurance to the amounts specified by the U.S. Bureau of Labor &amp; Statistics pursuant to the requirements of the Streamlined Rate Procedure set forth in Case No. 2018-00407. See report published Sept. 2019 at</t>
  </si>
  <si>
    <t>https://www.bls.gov/ncs/ebs/benefits/2019/ownership/private/table10a.pdf</t>
  </si>
  <si>
    <t>Retirement Plan Contributions</t>
  </si>
  <si>
    <t>Health, Dental &amp; Vision Insurance Premiums</t>
  </si>
  <si>
    <t>Life Insurance</t>
  </si>
  <si>
    <t>D</t>
  </si>
  <si>
    <t>(D * 2)</t>
  </si>
  <si>
    <t>((F-E)/F)*B</t>
  </si>
  <si>
    <t>Total Premium</t>
  </si>
  <si>
    <t>Ending 2019 Rate</t>
  </si>
  <si>
    <t>Ending 2019 Salary</t>
  </si>
  <si>
    <t>Lesser of $50k or Salary</t>
  </si>
  <si>
    <t>Coverage - 2x Salary</t>
  </si>
  <si>
    <t>Amount to Exclude</t>
  </si>
  <si>
    <t>Allowed Total</t>
  </si>
  <si>
    <t>This adjustment removes Life insurance premiums for coverage above the lesser of an employee's annual salary or $50,000 from the test period.</t>
  </si>
  <si>
    <t>Rate Riders</t>
  </si>
  <si>
    <t xml:space="preserve">        Rate Riders</t>
  </si>
  <si>
    <t>Reference Schedule:  1.12</t>
  </si>
  <si>
    <t>Operating Margins - Prior Year</t>
  </si>
  <si>
    <t>Long Term Debt - REA (Net)</t>
  </si>
  <si>
    <t>Long Term Debt - Other - REA GUAR</t>
  </si>
  <si>
    <t>Reference Schedule: 1.13</t>
  </si>
  <si>
    <t>Structures and improvements</t>
  </si>
  <si>
    <t>Office furniture &amp; equipment</t>
  </si>
  <si>
    <t>Stores Equipment</t>
  </si>
  <si>
    <t>Tools, shop and garage</t>
  </si>
  <si>
    <t>Laboratory Equipment</t>
  </si>
  <si>
    <t>Communications</t>
  </si>
  <si>
    <t>Miscellaneous</t>
  </si>
  <si>
    <t>Employee Gifts &amp; Legislative</t>
  </si>
  <si>
    <t>K</t>
  </si>
  <si>
    <t>M</t>
  </si>
  <si>
    <t>N</t>
  </si>
  <si>
    <t>Econ Dev</t>
  </si>
  <si>
    <t>Promo Ads</t>
  </si>
  <si>
    <t>subtotal</t>
  </si>
  <si>
    <t>Residential Rate 1</t>
  </si>
  <si>
    <t>Small Comm Rate 2</t>
  </si>
  <si>
    <t>3 Phase Rate 3</t>
  </si>
  <si>
    <t>3 Ph 0-999 KVA TOD Rate 3A</t>
  </si>
  <si>
    <t>This adjustment removes the MRSM revenues and expenses from the test period.</t>
  </si>
  <si>
    <t>This adjustment removes the Non-Smelter Non-FAC PPA revenues and expenses from the test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</si>
</sst>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* #,##0.00000_);_(* \(#,##0.00000\);_(* &quot;-&quot;??_);_(@_)"/>
    <numFmt numFmtId="168" formatCode="0.0%"/>
    <numFmt numFmtId="169" formatCode="\(#\)"/>
    <numFmt numFmtId="170" formatCode="_(* #,##0.0_);_(* \(#,##0.0\);_(* &quot;-&quot;??_);_(@_)"/>
    <numFmt numFmtId="171" formatCode="m/d/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sz val="12"/>
      <name val="P-TIMES"/>
    </font>
    <font>
      <sz val="11"/>
      <name val="P-TIMES"/>
    </font>
    <font>
      <u/>
      <sz val="1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0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4" fillId="0" borderId="0" xfId="3" applyFont="1" applyAlignment="1">
      <alignment horizontal="right"/>
    </xf>
    <xf numFmtId="0" fontId="5" fillId="0" borderId="0" xfId="3" applyFont="1"/>
    <xf numFmtId="0" fontId="4" fillId="0" borderId="0" xfId="3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164" fontId="5" fillId="0" borderId="0" xfId="1" applyNumberFormat="1" applyFont="1"/>
    <xf numFmtId="0" fontId="5" fillId="0" borderId="0" xfId="0" applyFont="1" applyAlignment="1">
      <alignment horizontal="left"/>
    </xf>
    <xf numFmtId="0" fontId="5" fillId="0" borderId="3" xfId="0" applyFont="1" applyBorder="1"/>
    <xf numFmtId="0" fontId="5" fillId="0" borderId="0" xfId="0" applyFont="1" applyBorder="1"/>
    <xf numFmtId="164" fontId="5" fillId="0" borderId="0" xfId="1" applyNumberFormat="1" applyFont="1" applyFill="1" applyBorder="1"/>
    <xf numFmtId="0" fontId="5" fillId="0" borderId="2" xfId="0" applyFont="1" applyBorder="1"/>
    <xf numFmtId="164" fontId="5" fillId="0" borderId="2" xfId="1" applyNumberFormat="1" applyFont="1" applyBorder="1"/>
    <xf numFmtId="165" fontId="5" fillId="0" borderId="0" xfId="2" applyNumberFormat="1" applyFont="1"/>
    <xf numFmtId="165" fontId="5" fillId="0" borderId="0" xfId="0" applyNumberFormat="1" applyFont="1"/>
    <xf numFmtId="165" fontId="5" fillId="0" borderId="0" xfId="2" applyNumberFormat="1" applyFont="1" applyFill="1"/>
    <xf numFmtId="0" fontId="5" fillId="0" borderId="0" xfId="0" applyFont="1" applyFill="1"/>
    <xf numFmtId="164" fontId="5" fillId="0" borderId="0" xfId="0" applyNumberFormat="1" applyFont="1"/>
    <xf numFmtId="43" fontId="5" fillId="0" borderId="0" xfId="2" applyFont="1"/>
    <xf numFmtId="2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65" fontId="5" fillId="0" borderId="0" xfId="2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164" fontId="5" fillId="0" borderId="3" xfId="1" applyNumberFormat="1" applyFont="1" applyFill="1" applyBorder="1"/>
    <xf numFmtId="165" fontId="2" fillId="0" borderId="0" xfId="2" applyNumberFormat="1" applyFont="1" applyFill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 applyProtection="1"/>
    <xf numFmtId="164" fontId="2" fillId="0" borderId="0" xfId="1" applyNumberFormat="1" applyFont="1" applyBorder="1" applyProtection="1"/>
    <xf numFmtId="168" fontId="2" fillId="0" borderId="0" xfId="5" applyNumberFormat="1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9" fontId="2" fillId="0" borderId="1" xfId="0" quotePrefix="1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3" fillId="0" borderId="0" xfId="0" applyFont="1" applyAlignment="1" applyProtection="1">
      <alignment horizontal="left"/>
    </xf>
    <xf numFmtId="164" fontId="2" fillId="0" borderId="0" xfId="1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168" fontId="2" fillId="0" borderId="2" xfId="5" applyNumberFormat="1" applyFont="1" applyBorder="1" applyProtection="1"/>
    <xf numFmtId="0" fontId="13" fillId="0" borderId="0" xfId="0" applyFont="1" applyAlignment="1" applyProtection="1">
      <alignment horizontal="right" wrapText="1"/>
    </xf>
    <xf numFmtId="41" fontId="2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7" xfId="1" applyNumberFormat="1" applyFont="1" applyBorder="1" applyAlignment="1" applyProtection="1">
      <alignment horizontal="center"/>
    </xf>
    <xf numFmtId="37" fontId="7" fillId="0" borderId="0" xfId="4" applyNumberFormat="1" applyFont="1" applyFill="1" applyProtection="1"/>
    <xf numFmtId="0" fontId="5" fillId="0" borderId="0" xfId="0" applyFont="1" applyFill="1" applyAlignment="1">
      <alignment horizontal="center"/>
    </xf>
    <xf numFmtId="0" fontId="2" fillId="0" borderId="3" xfId="0" applyFont="1" applyFill="1" applyBorder="1"/>
    <xf numFmtId="165" fontId="2" fillId="0" borderId="2" xfId="2" applyNumberFormat="1" applyFont="1" applyFill="1" applyBorder="1"/>
    <xf numFmtId="0" fontId="5" fillId="0" borderId="3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wrapText="1"/>
    </xf>
    <xf numFmtId="169" fontId="2" fillId="0" borderId="0" xfId="0" quotePrefix="1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165" fontId="2" fillId="0" borderId="3" xfId="2" applyNumberFormat="1" applyFont="1" applyFill="1" applyBorder="1"/>
    <xf numFmtId="0" fontId="8" fillId="0" borderId="0" xfId="0" applyFont="1" applyFill="1" applyAlignment="1">
      <alignment horizontal="right"/>
    </xf>
    <xf numFmtId="0" fontId="5" fillId="0" borderId="2" xfId="0" applyFont="1" applyFill="1" applyBorder="1"/>
    <xf numFmtId="0" fontId="0" fillId="0" borderId="0" xfId="0" applyFill="1" applyAlignment="1">
      <alignment horizontal="center"/>
    </xf>
    <xf numFmtId="0" fontId="7" fillId="0" borderId="0" xfId="4" applyFont="1" applyFill="1" applyAlignment="1">
      <alignment horizontal="centerContinuous"/>
    </xf>
    <xf numFmtId="0" fontId="7" fillId="0" borderId="0" xfId="4" applyFont="1" applyFill="1" applyAlignment="1">
      <alignment horizontal="right"/>
    </xf>
    <xf numFmtId="0" fontId="7" fillId="0" borderId="0" xfId="4" applyFont="1" applyFill="1"/>
    <xf numFmtId="0" fontId="11" fillId="0" borderId="0" xfId="4" applyFont="1" applyFill="1"/>
    <xf numFmtId="0" fontId="7" fillId="0" borderId="0" xfId="4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2" fontId="7" fillId="0" borderId="0" xfId="4" applyNumberFormat="1" applyFont="1" applyFill="1" applyAlignment="1">
      <alignment horizontal="center"/>
    </xf>
    <xf numFmtId="0" fontId="12" fillId="0" borderId="0" xfId="4" applyFont="1" applyFill="1" applyAlignment="1">
      <alignment horizontal="centerContinuous"/>
    </xf>
    <xf numFmtId="0" fontId="7" fillId="0" borderId="1" xfId="4" applyFont="1" applyFill="1" applyBorder="1" applyAlignment="1">
      <alignment horizontal="center" wrapText="1"/>
    </xf>
    <xf numFmtId="0" fontId="11" fillId="0" borderId="1" xfId="4" applyFont="1" applyFill="1" applyBorder="1" applyAlignment="1">
      <alignment horizontal="center" wrapText="1"/>
    </xf>
    <xf numFmtId="0" fontId="12" fillId="0" borderId="0" xfId="4" applyFont="1" applyFill="1"/>
    <xf numFmtId="165" fontId="7" fillId="0" borderId="0" xfId="2" applyNumberFormat="1" applyFont="1" applyFill="1"/>
    <xf numFmtId="37" fontId="7" fillId="0" borderId="1" xfId="4" applyNumberFormat="1" applyFont="1" applyFill="1" applyBorder="1" applyProtection="1"/>
    <xf numFmtId="0" fontId="7" fillId="0" borderId="5" xfId="4" applyFont="1" applyFill="1" applyBorder="1"/>
    <xf numFmtId="37" fontId="7" fillId="0" borderId="5" xfId="4" applyNumberFormat="1" applyFont="1" applyFill="1" applyBorder="1" applyProtection="1"/>
    <xf numFmtId="37" fontId="7" fillId="0" borderId="0" xfId="4" applyNumberFormat="1" applyFont="1" applyFill="1" applyAlignment="1" applyProtection="1">
      <alignment horizontal="right"/>
    </xf>
    <xf numFmtId="0" fontId="7" fillId="0" borderId="6" xfId="4" applyFont="1" applyFill="1" applyBorder="1"/>
    <xf numFmtId="37" fontId="7" fillId="0" borderId="6" xfId="4" applyNumberFormat="1" applyFont="1" applyFill="1" applyBorder="1" applyProtection="1"/>
    <xf numFmtId="37" fontId="7" fillId="0" borderId="0" xfId="4" applyNumberFormat="1" applyFont="1" applyFill="1"/>
    <xf numFmtId="0" fontId="18" fillId="0" borderId="0" xfId="4" applyFont="1" applyFill="1" applyAlignment="1">
      <alignment horizontal="centerContinuous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5" fillId="0" borderId="2" xfId="2" applyNumberFormat="1" applyFont="1" applyBorder="1" applyAlignment="1">
      <alignment vertical="center"/>
    </xf>
    <xf numFmtId="168" fontId="2" fillId="0" borderId="0" xfId="5" applyNumberFormat="1" applyFont="1" applyFill="1" applyBorder="1" applyProtection="1"/>
    <xf numFmtId="168" fontId="2" fillId="0" borderId="3" xfId="5" applyNumberFormat="1" applyFont="1" applyFill="1" applyBorder="1" applyProtection="1"/>
    <xf numFmtId="0" fontId="5" fillId="0" borderId="0" xfId="0" applyFont="1" applyFill="1" applyBorder="1"/>
    <xf numFmtId="0" fontId="0" fillId="0" borderId="0" xfId="0" applyFont="1" applyFill="1"/>
    <xf numFmtId="0" fontId="14" fillId="0" borderId="1" xfId="0" applyFont="1" applyFill="1" applyBorder="1" applyAlignment="1">
      <alignment horizontal="center"/>
    </xf>
    <xf numFmtId="169" fontId="14" fillId="0" borderId="1" xfId="0" quotePrefix="1" applyNumberFormat="1" applyFont="1" applyBorder="1" applyAlignment="1">
      <alignment horizontal="center"/>
    </xf>
    <xf numFmtId="0" fontId="17" fillId="0" borderId="0" xfId="0" applyFont="1" applyFill="1"/>
    <xf numFmtId="0" fontId="4" fillId="0" borderId="0" xfId="0" applyFont="1" applyFill="1" applyAlignment="1"/>
    <xf numFmtId="165" fontId="2" fillId="0" borderId="0" xfId="2" applyNumberFormat="1" applyFont="1" applyProtection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165" fontId="4" fillId="0" borderId="0" xfId="2" applyNumberFormat="1" applyFont="1" applyFill="1" applyAlignment="1"/>
    <xf numFmtId="165" fontId="4" fillId="0" borderId="0" xfId="2" applyNumberFormat="1" applyFont="1" applyFill="1" applyAlignment="1">
      <alignment horizontal="center"/>
    </xf>
    <xf numFmtId="165" fontId="2" fillId="0" borderId="3" xfId="2" applyNumberFormat="1" applyFont="1" applyBorder="1" applyProtection="1"/>
    <xf numFmtId="165" fontId="0" fillId="0" borderId="0" xfId="2" applyNumberFormat="1" applyFont="1" applyFill="1"/>
    <xf numFmtId="165" fontId="2" fillId="0" borderId="0" xfId="2" applyNumberFormat="1" applyFont="1" applyBorder="1" applyProtection="1"/>
    <xf numFmtId="165" fontId="2" fillId="0" borderId="2" xfId="2" applyNumberFormat="1" applyFont="1" applyBorder="1" applyProtection="1"/>
    <xf numFmtId="0" fontId="14" fillId="0" borderId="0" xfId="0" applyFont="1" applyFill="1" applyAlignment="1"/>
    <xf numFmtId="165" fontId="20" fillId="0" borderId="0" xfId="0" applyNumberFormat="1" applyFont="1" applyFill="1"/>
    <xf numFmtId="165" fontId="2" fillId="0" borderId="8" xfId="2" applyNumberFormat="1" applyFont="1" applyFill="1" applyBorder="1"/>
    <xf numFmtId="43" fontId="2" fillId="0" borderId="0" xfId="2" applyNumberFormat="1" applyFont="1" applyFill="1"/>
    <xf numFmtId="0" fontId="20" fillId="0" borderId="0" xfId="0" applyFont="1" applyFill="1"/>
    <xf numFmtId="10" fontId="2" fillId="0" borderId="0" xfId="5" applyNumberFormat="1" applyFont="1" applyFill="1"/>
    <xf numFmtId="165" fontId="2" fillId="0" borderId="0" xfId="2" applyNumberFormat="1" applyFont="1" applyFill="1" applyBorder="1"/>
    <xf numFmtId="10" fontId="2" fillId="0" borderId="0" xfId="5" applyNumberFormat="1" applyFont="1" applyFill="1" applyBorder="1"/>
    <xf numFmtId="165" fontId="2" fillId="0" borderId="3" xfId="0" applyNumberFormat="1" applyFont="1" applyFill="1" applyBorder="1"/>
    <xf numFmtId="0" fontId="21" fillId="0" borderId="0" xfId="0" applyFont="1" applyFill="1"/>
    <xf numFmtId="0" fontId="2" fillId="0" borderId="1" xfId="0" applyFont="1" applyFill="1" applyBorder="1"/>
    <xf numFmtId="10" fontId="2" fillId="0" borderId="1" xfId="0" applyNumberFormat="1" applyFont="1" applyFill="1" applyBorder="1"/>
    <xf numFmtId="0" fontId="14" fillId="0" borderId="0" xfId="0" applyFont="1" applyFill="1" applyAlignment="1">
      <alignment horizontal="center" wrapText="1"/>
    </xf>
    <xf numFmtId="10" fontId="2" fillId="0" borderId="0" xfId="5" applyNumberFormat="1" applyFont="1" applyBorder="1" applyProtection="1"/>
    <xf numFmtId="164" fontId="2" fillId="0" borderId="3" xfId="1" applyNumberFormat="1" applyFont="1" applyBorder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center"/>
    </xf>
    <xf numFmtId="0" fontId="14" fillId="0" borderId="0" xfId="0" applyFont="1" applyFill="1" applyAlignment="1">
      <alignment horizontal="center"/>
    </xf>
    <xf numFmtId="43" fontId="2" fillId="0" borderId="0" xfId="2" applyFont="1" applyBorder="1" applyAlignment="1" applyProtection="1">
      <alignment horizontal="left"/>
    </xf>
    <xf numFmtId="43" fontId="2" fillId="0" borderId="0" xfId="2" applyFont="1" applyBorder="1" applyAlignment="1" applyProtection="1">
      <alignment horizontal="center"/>
    </xf>
    <xf numFmtId="43" fontId="2" fillId="0" borderId="8" xfId="2" applyFont="1" applyBorder="1" applyAlignment="1" applyProtection="1">
      <alignment horizontal="left"/>
    </xf>
    <xf numFmtId="0" fontId="2" fillId="0" borderId="8" xfId="0" applyFont="1" applyBorder="1" applyProtection="1"/>
    <xf numFmtId="41" fontId="2" fillId="0" borderId="8" xfId="0" applyNumberFormat="1" applyFont="1" applyBorder="1" applyProtection="1"/>
    <xf numFmtId="10" fontId="2" fillId="0" borderId="8" xfId="0" applyNumberFormat="1" applyFont="1" applyFill="1" applyBorder="1" applyProtection="1"/>
    <xf numFmtId="165" fontId="2" fillId="0" borderId="0" xfId="2" applyNumberFormat="1" applyFont="1" applyFill="1" applyAlignment="1">
      <alignment horizontal="right"/>
    </xf>
    <xf numFmtId="43" fontId="2" fillId="2" borderId="0" xfId="2" applyNumberFormat="1" applyFont="1" applyFill="1"/>
    <xf numFmtId="165" fontId="2" fillId="2" borderId="0" xfId="2" applyNumberFormat="1" applyFont="1" applyFill="1"/>
    <xf numFmtId="0" fontId="20" fillId="2" borderId="0" xfId="0" applyFont="1" applyFill="1"/>
    <xf numFmtId="165" fontId="2" fillId="2" borderId="3" xfId="0" applyNumberFormat="1" applyFont="1" applyFill="1" applyBorder="1"/>
    <xf numFmtId="10" fontId="2" fillId="2" borderId="1" xfId="0" applyNumberFormat="1" applyFont="1" applyFill="1" applyBorder="1"/>
    <xf numFmtId="0" fontId="7" fillId="0" borderId="1" xfId="4" applyFont="1" applyFill="1" applyBorder="1" applyAlignment="1">
      <alignment horizontal="right" vertical="center"/>
    </xf>
    <xf numFmtId="37" fontId="5" fillId="0" borderId="0" xfId="0" applyNumberFormat="1" applyFont="1"/>
    <xf numFmtId="10" fontId="2" fillId="0" borderId="0" xfId="0" applyNumberFormat="1" applyFont="1" applyFill="1" applyBorder="1"/>
    <xf numFmtId="164" fontId="2" fillId="0" borderId="0" xfId="1" applyNumberFormat="1" applyFont="1" applyFill="1" applyBorder="1"/>
    <xf numFmtId="0" fontId="22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3" applyFont="1"/>
    <xf numFmtId="0" fontId="23" fillId="0" borderId="0" xfId="0" applyFont="1"/>
    <xf numFmtId="0" fontId="23" fillId="0" borderId="0" xfId="0" applyFont="1" applyAlignment="1">
      <alignment horizontal="center" wrapText="1"/>
    </xf>
    <xf numFmtId="0" fontId="24" fillId="0" borderId="0" xfId="0" applyFont="1"/>
    <xf numFmtId="0" fontId="23" fillId="0" borderId="0" xfId="0" quotePrefix="1" applyFont="1" applyAlignment="1">
      <alignment horizontal="center"/>
    </xf>
    <xf numFmtId="2" fontId="23" fillId="0" borderId="0" xfId="0" quotePrefix="1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164" fontId="24" fillId="0" borderId="0" xfId="1" applyNumberFormat="1" applyFont="1" applyProtection="1">
      <protection locked="0"/>
    </xf>
    <xf numFmtId="164" fontId="24" fillId="0" borderId="0" xfId="2" applyNumberFormat="1" applyFont="1" applyProtection="1">
      <protection locked="0"/>
    </xf>
    <xf numFmtId="164" fontId="24" fillId="0" borderId="0" xfId="2" applyNumberFormat="1" applyFont="1" applyFill="1" applyBorder="1" applyAlignment="1" applyProtection="1">
      <protection locked="0"/>
    </xf>
    <xf numFmtId="164" fontId="24" fillId="0" borderId="1" xfId="2" applyNumberFormat="1" applyFont="1" applyFill="1" applyBorder="1" applyAlignment="1" applyProtection="1">
      <protection locked="0"/>
    </xf>
    <xf numFmtId="164" fontId="24" fillId="0" borderId="1" xfId="1" applyNumberFormat="1" applyFont="1" applyBorder="1" applyProtection="1">
      <protection locked="0"/>
    </xf>
    <xf numFmtId="164" fontId="24" fillId="0" borderId="1" xfId="2" applyNumberFormat="1" applyFont="1" applyBorder="1" applyProtection="1">
      <protection locked="0"/>
    </xf>
    <xf numFmtId="164" fontId="24" fillId="0" borderId="0" xfId="1" applyNumberFormat="1" applyFont="1" applyFill="1"/>
    <xf numFmtId="164" fontId="24" fillId="0" borderId="0" xfId="1" applyNumberFormat="1" applyFont="1" applyFill="1" applyBorder="1"/>
    <xf numFmtId="165" fontId="24" fillId="0" borderId="0" xfId="2" applyNumberFormat="1" applyFont="1"/>
    <xf numFmtId="164" fontId="24" fillId="0" borderId="0" xfId="0" applyNumberFormat="1" applyFont="1"/>
    <xf numFmtId="2" fontId="24" fillId="0" borderId="0" xfId="0" applyNumberFormat="1" applyFont="1"/>
    <xf numFmtId="43" fontId="24" fillId="0" borderId="0" xfId="2" applyNumberFormat="1" applyFont="1"/>
    <xf numFmtId="0" fontId="24" fillId="0" borderId="0" xfId="0" applyFont="1" applyAlignment="1">
      <alignment horizontal="center"/>
    </xf>
    <xf numFmtId="44" fontId="24" fillId="0" borderId="0" xfId="1" applyFont="1"/>
    <xf numFmtId="43" fontId="24" fillId="0" borderId="0" xfId="2" applyFont="1"/>
    <xf numFmtId="0" fontId="24" fillId="0" borderId="1" xfId="0" applyFont="1" applyBorder="1"/>
    <xf numFmtId="0" fontId="14" fillId="0" borderId="0" xfId="3" applyFont="1" applyAlignment="1">
      <alignment horizontal="right"/>
    </xf>
    <xf numFmtId="0" fontId="2" fillId="0" borderId="0" xfId="3" applyFon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2" fillId="4" borderId="0" xfId="3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169" fontId="2" fillId="3" borderId="1" xfId="0" quotePrefix="1" applyNumberFormat="1" applyFont="1" applyFill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3" fontId="2" fillId="0" borderId="0" xfId="2" applyFont="1"/>
    <xf numFmtId="43" fontId="2" fillId="4" borderId="0" xfId="2" applyFont="1" applyFill="1"/>
    <xf numFmtId="41" fontId="2" fillId="0" borderId="0" xfId="2" applyNumberFormat="1" applyFont="1"/>
    <xf numFmtId="0" fontId="2" fillId="0" borderId="0" xfId="0" applyFont="1" applyAlignment="1">
      <alignment horizontal="left"/>
    </xf>
    <xf numFmtId="2" fontId="2" fillId="0" borderId="0" xfId="0" applyNumberFormat="1" applyFont="1"/>
    <xf numFmtId="37" fontId="2" fillId="0" borderId="0" xfId="0" applyNumberFormat="1" applyFont="1"/>
    <xf numFmtId="164" fontId="2" fillId="0" borderId="0" xfId="1" applyNumberFormat="1" applyFont="1"/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43" fontId="14" fillId="0" borderId="3" xfId="2" applyFont="1" applyBorder="1"/>
    <xf numFmtId="41" fontId="14" fillId="0" borderId="3" xfId="2" applyNumberFormat="1" applyFont="1" applyBorder="1"/>
    <xf numFmtId="38" fontId="14" fillId="0" borderId="3" xfId="2" applyNumberFormat="1" applyFont="1" applyBorder="1"/>
    <xf numFmtId="164" fontId="2" fillId="0" borderId="3" xfId="1" applyNumberFormat="1" applyFont="1" applyBorder="1"/>
    <xf numFmtId="164" fontId="24" fillId="0" borderId="0" xfId="1" applyNumberFormat="1" applyFont="1"/>
    <xf numFmtId="165" fontId="24" fillId="0" borderId="1" xfId="2" applyNumberFormat="1" applyFont="1" applyBorder="1"/>
    <xf numFmtId="0" fontId="24" fillId="0" borderId="0" xfId="0" applyFont="1" applyBorder="1" applyAlignment="1">
      <alignment horizontal="center"/>
    </xf>
    <xf numFmtId="164" fontId="24" fillId="0" borderId="3" xfId="0" applyNumberFormat="1" applyFont="1" applyBorder="1"/>
    <xf numFmtId="0" fontId="24" fillId="0" borderId="3" xfId="0" applyFont="1" applyBorder="1"/>
    <xf numFmtId="0" fontId="5" fillId="0" borderId="0" xfId="0" applyFont="1" applyAlignment="1">
      <alignment horizontal="center" vertical="top" wrapText="1"/>
    </xf>
    <xf numFmtId="0" fontId="9" fillId="0" borderId="0" xfId="0" applyFont="1"/>
    <xf numFmtId="0" fontId="4" fillId="0" borderId="1" xfId="0" applyFont="1" applyBorder="1" applyAlignment="1">
      <alignment horizontal="center"/>
    </xf>
    <xf numFmtId="44" fontId="5" fillId="0" borderId="0" xfId="1" applyFont="1"/>
    <xf numFmtId="44" fontId="5" fillId="0" borderId="3" xfId="1" applyFont="1" applyBorder="1"/>
    <xf numFmtId="44" fontId="5" fillId="0" borderId="0" xfId="2" applyNumberFormat="1" applyFont="1" applyBorder="1"/>
    <xf numFmtId="44" fontId="5" fillId="0" borderId="2" xfId="2" applyNumberFormat="1" applyFont="1" applyBorder="1"/>
    <xf numFmtId="0" fontId="13" fillId="0" borderId="0" xfId="0" applyFont="1" applyAlignment="1">
      <alignment horizontal="center"/>
    </xf>
    <xf numFmtId="0" fontId="2" fillId="0" borderId="1" xfId="0" applyFont="1" applyBorder="1" applyAlignment="1"/>
    <xf numFmtId="0" fontId="0" fillId="0" borderId="0" xfId="0" applyAlignment="1">
      <alignment horizontal="right"/>
    </xf>
    <xf numFmtId="171" fontId="14" fillId="0" borderId="0" xfId="0" quotePrefix="1" applyNumberFormat="1" applyFont="1" applyAlignment="1">
      <alignment horizontal="center" wrapText="1"/>
    </xf>
    <xf numFmtId="0" fontId="14" fillId="0" borderId="0" xfId="0" quotePrefix="1" applyFont="1" applyAlignment="1">
      <alignment horizontal="center" wrapText="1"/>
    </xf>
    <xf numFmtId="0" fontId="4" fillId="0" borderId="1" xfId="0" quotePrefix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6" fillId="0" borderId="0" xfId="0" applyFont="1"/>
    <xf numFmtId="171" fontId="6" fillId="0" borderId="0" xfId="0" applyNumberFormat="1" applyFont="1" applyAlignment="1">
      <alignment horizontal="left"/>
    </xf>
    <xf numFmtId="171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center" wrapText="1"/>
    </xf>
    <xf numFmtId="9" fontId="2" fillId="0" borderId="0" xfId="5" applyFont="1" applyFill="1" applyAlignment="1"/>
    <xf numFmtId="165" fontId="2" fillId="0" borderId="0" xfId="2" applyNumberFormat="1" applyFont="1" applyFill="1" applyAlignment="1"/>
    <xf numFmtId="165" fontId="2" fillId="0" borderId="1" xfId="2" applyNumberFormat="1" applyFont="1" applyFill="1" applyBorder="1" applyAlignment="1">
      <alignment horizontal="right"/>
    </xf>
    <xf numFmtId="9" fontId="2" fillId="0" borderId="1" xfId="5" applyFont="1" applyFill="1" applyBorder="1" applyAlignment="1"/>
    <xf numFmtId="165" fontId="2" fillId="0" borderId="1" xfId="2" applyNumberFormat="1" applyFont="1" applyFill="1" applyBorder="1" applyAlignment="1"/>
    <xf numFmtId="165" fontId="2" fillId="0" borderId="3" xfId="2" applyNumberFormat="1" applyFont="1" applyFill="1" applyBorder="1" applyAlignment="1">
      <alignment horizontal="right"/>
    </xf>
    <xf numFmtId="165" fontId="2" fillId="0" borderId="3" xfId="2" applyNumberFormat="1" applyFont="1" applyFill="1" applyBorder="1" applyAlignment="1"/>
    <xf numFmtId="165" fontId="6" fillId="0" borderId="0" xfId="2" applyNumberFormat="1" applyFont="1" applyFill="1" applyAlignment="1"/>
    <xf numFmtId="0" fontId="6" fillId="0" borderId="0" xfId="0" applyFont="1" applyAlignment="1">
      <alignment horizontal="left"/>
    </xf>
    <xf numFmtId="0" fontId="14" fillId="0" borderId="2" xfId="0" applyFont="1" applyBorder="1"/>
    <xf numFmtId="165" fontId="2" fillId="0" borderId="2" xfId="2" applyNumberFormat="1" applyFont="1" applyFill="1" applyBorder="1" applyAlignment="1">
      <alignment horizontal="right"/>
    </xf>
    <xf numFmtId="165" fontId="2" fillId="0" borderId="2" xfId="2" applyNumberFormat="1" applyFont="1" applyFill="1" applyBorder="1" applyAlignment="1"/>
    <xf numFmtId="0" fontId="2" fillId="0" borderId="0" xfId="0" applyFont="1" applyAlignment="1">
      <alignment horizontal="right"/>
    </xf>
    <xf numFmtId="9" fontId="0" fillId="0" borderId="0" xfId="0" applyNumberFormat="1"/>
    <xf numFmtId="0" fontId="28" fillId="0" borderId="0" xfId="0" applyFont="1" applyAlignment="1">
      <alignment horizontal="right"/>
    </xf>
    <xf numFmtId="0" fontId="28" fillId="0" borderId="0" xfId="0" applyFont="1"/>
    <xf numFmtId="0" fontId="29" fillId="0" borderId="0" xfId="13" applyFont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4" fontId="5" fillId="0" borderId="0" xfId="0" applyNumberFormat="1" applyFont="1"/>
    <xf numFmtId="44" fontId="5" fillId="0" borderId="0" xfId="1" applyFont="1" applyFill="1"/>
    <xf numFmtId="44" fontId="5" fillId="0" borderId="1" xfId="1" applyFont="1" applyBorder="1"/>
    <xf numFmtId="44" fontId="4" fillId="0" borderId="3" xfId="0" applyNumberFormat="1" applyFont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0" fontId="2" fillId="0" borderId="0" xfId="0" applyNumberFormat="1" applyFont="1" applyFill="1" applyAlignment="1">
      <alignment horizontal="right"/>
    </xf>
    <xf numFmtId="10" fontId="2" fillId="0" borderId="3" xfId="5" applyNumberFormat="1" applyFont="1" applyFill="1" applyBorder="1" applyProtection="1"/>
    <xf numFmtId="2" fontId="2" fillId="0" borderId="0" xfId="2" applyNumberFormat="1" applyFont="1" applyBorder="1" applyAlignment="1" applyProtection="1">
      <alignment horizontal="center"/>
    </xf>
    <xf numFmtId="2" fontId="23" fillId="0" borderId="0" xfId="0" applyNumberFormat="1" applyFont="1" applyAlignment="1">
      <alignment horizontal="center"/>
    </xf>
    <xf numFmtId="41" fontId="2" fillId="0" borderId="3" xfId="0" applyNumberFormat="1" applyFont="1" applyBorder="1" applyProtection="1"/>
    <xf numFmtId="1" fontId="2" fillId="0" borderId="0" xfId="2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" fillId="0" borderId="1" xfId="0" quotePrefix="1" applyFont="1" applyBorder="1" applyAlignment="1">
      <alignment horizontal="left"/>
    </xf>
    <xf numFmtId="43" fontId="20" fillId="0" borderId="0" xfId="2" applyFont="1" applyFill="1"/>
    <xf numFmtId="0" fontId="2" fillId="0" borderId="0" xfId="0" applyFont="1" applyFill="1" applyAlignment="1">
      <alignment horizontal="center"/>
    </xf>
    <xf numFmtId="0" fontId="30" fillId="0" borderId="0" xfId="0" applyFont="1" applyFill="1"/>
    <xf numFmtId="0" fontId="13" fillId="0" borderId="0" xfId="0" applyFont="1" applyFill="1"/>
    <xf numFmtId="43" fontId="20" fillId="0" borderId="0" xfId="0" applyNumberFormat="1" applyFont="1" applyFill="1"/>
    <xf numFmtId="0" fontId="2" fillId="0" borderId="8" xfId="0" applyFont="1" applyFill="1" applyBorder="1"/>
    <xf numFmtId="0" fontId="2" fillId="0" borderId="2" xfId="0" applyFont="1" applyFill="1" applyBorder="1"/>
    <xf numFmtId="0" fontId="20" fillId="0" borderId="0" xfId="0" applyFont="1" applyFill="1" applyAlignment="1">
      <alignment horizontal="center"/>
    </xf>
    <xf numFmtId="165" fontId="2" fillId="0" borderId="0" xfId="2" applyNumberFormat="1" applyFont="1" applyFill="1" applyProtection="1"/>
    <xf numFmtId="0" fontId="14" fillId="0" borderId="0" xfId="3" applyFont="1" applyAlignment="1"/>
    <xf numFmtId="0" fontId="2" fillId="0" borderId="1" xfId="0" quotePrefix="1" applyFont="1" applyBorder="1" applyAlignment="1">
      <alignment horizontal="center"/>
    </xf>
    <xf numFmtId="164" fontId="2" fillId="0" borderId="0" xfId="1" applyNumberFormat="1" applyFont="1" applyBorder="1"/>
    <xf numFmtId="164" fontId="2" fillId="0" borderId="2" xfId="0" applyNumberFormat="1" applyFont="1" applyBorder="1"/>
    <xf numFmtId="164" fontId="2" fillId="0" borderId="2" xfId="1" applyNumberFormat="1" applyFont="1" applyBorder="1"/>
    <xf numFmtId="164" fontId="2" fillId="0" borderId="0" xfId="1" applyNumberFormat="1" applyFont="1" applyFill="1"/>
    <xf numFmtId="165" fontId="2" fillId="0" borderId="0" xfId="2" applyNumberFormat="1" applyFont="1"/>
    <xf numFmtId="165" fontId="2" fillId="2" borderId="0" xfId="0" applyNumberFormat="1" applyFont="1" applyFill="1"/>
    <xf numFmtId="0" fontId="2" fillId="2" borderId="0" xfId="0" applyFont="1" applyFill="1"/>
    <xf numFmtId="165" fontId="2" fillId="0" borderId="3" xfId="2" applyNumberFormat="1" applyFont="1" applyBorder="1"/>
    <xf numFmtId="165" fontId="2" fillId="0" borderId="0" xfId="2" applyNumberFormat="1" applyFont="1" applyBorder="1"/>
    <xf numFmtId="165" fontId="2" fillId="0" borderId="0" xfId="0" applyNumberFormat="1" applyFont="1"/>
    <xf numFmtId="0" fontId="14" fillId="0" borderId="0" xfId="0" applyFont="1" applyBorder="1"/>
    <xf numFmtId="166" fontId="2" fillId="0" borderId="0" xfId="1" applyNumberFormat="1" applyFont="1" applyBorder="1"/>
    <xf numFmtId="167" fontId="2" fillId="0" borderId="0" xfId="2" applyNumberFormat="1" applyFont="1" applyBorder="1"/>
    <xf numFmtId="170" fontId="2" fillId="0" borderId="0" xfId="0" applyNumberFormat="1" applyFont="1"/>
    <xf numFmtId="0" fontId="2" fillId="0" borderId="4" xfId="0" applyFont="1" applyBorder="1"/>
    <xf numFmtId="164" fontId="2" fillId="0" borderId="4" xfId="1" applyNumberFormat="1" applyFont="1" applyBorder="1"/>
    <xf numFmtId="164" fontId="1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14" fillId="0" borderId="1" xfId="0" applyFont="1" applyBorder="1"/>
    <xf numFmtId="0" fontId="13" fillId="0" borderId="0" xfId="0" applyFont="1" applyAlignment="1">
      <alignment horizontal="left"/>
    </xf>
    <xf numFmtId="41" fontId="2" fillId="0" borderId="0" xfId="0" applyNumberFormat="1" applyFont="1" applyFill="1" applyBorder="1" applyProtection="1"/>
    <xf numFmtId="10" fontId="2" fillId="0" borderId="0" xfId="5" applyNumberFormat="1" applyFont="1" applyFill="1" applyBorder="1" applyProtection="1"/>
    <xf numFmtId="41" fontId="2" fillId="0" borderId="0" xfId="0" applyNumberFormat="1" applyFont="1" applyBorder="1"/>
    <xf numFmtId="41" fontId="2" fillId="0" borderId="3" xfId="0" applyNumberFormat="1" applyFont="1" applyBorder="1"/>
    <xf numFmtId="41" fontId="2" fillId="0" borderId="3" xfId="0" applyNumberFormat="1" applyFont="1" applyFill="1" applyBorder="1"/>
    <xf numFmtId="0" fontId="13" fillId="0" borderId="0" xfId="0" applyFont="1" applyBorder="1" applyAlignment="1">
      <alignment horizontal="left"/>
    </xf>
    <xf numFmtId="41" fontId="2" fillId="2" borderId="0" xfId="0" applyNumberFormat="1" applyFont="1" applyFill="1" applyBorder="1" applyProtection="1"/>
    <xf numFmtId="41" fontId="2" fillId="0" borderId="8" xfId="0" applyNumberFormat="1" applyFont="1" applyFill="1" applyBorder="1" applyProtection="1"/>
    <xf numFmtId="41" fontId="2" fillId="0" borderId="3" xfId="0" applyNumberFormat="1" applyFont="1" applyFill="1" applyBorder="1" applyProtection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1" fontId="2" fillId="0" borderId="8" xfId="0" applyNumberFormat="1" applyFont="1" applyBorder="1"/>
    <xf numFmtId="41" fontId="2" fillId="0" borderId="0" xfId="0" applyNumberFormat="1" applyFont="1"/>
    <xf numFmtId="0" fontId="2" fillId="0" borderId="0" xfId="0" applyFont="1" applyBorder="1" applyAlignment="1">
      <alignment horizontal="right"/>
    </xf>
    <xf numFmtId="10" fontId="2" fillId="0" borderId="0" xfId="0" applyNumberFormat="1" applyFont="1" applyFill="1" applyBorder="1" applyProtection="1"/>
    <xf numFmtId="164" fontId="2" fillId="0" borderId="8" xfId="1" applyNumberFormat="1" applyFont="1" applyBorder="1"/>
    <xf numFmtId="41" fontId="2" fillId="0" borderId="2" xfId="0" applyNumberFormat="1" applyFont="1" applyBorder="1"/>
    <xf numFmtId="41" fontId="14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4" applyFont="1" applyFill="1" applyAlignment="1">
      <alignment horizontal="center"/>
    </xf>
    <xf numFmtId="0" fontId="14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3" applyFont="1" applyAlignment="1">
      <alignment horizontal="center"/>
    </xf>
    <xf numFmtId="0" fontId="6" fillId="0" borderId="0" xfId="0" applyFont="1" applyFill="1" applyAlignment="1">
      <alignment horizontal="center"/>
    </xf>
    <xf numFmtId="0" fontId="2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4">
    <cellStyle name="Comma" xfId="2" builtinId="3"/>
    <cellStyle name="Comma 2" xfId="6"/>
    <cellStyle name="Comma 3" xfId="9"/>
    <cellStyle name="Currency" xfId="1" builtinId="4"/>
    <cellStyle name="Currency 2" xfId="7"/>
    <cellStyle name="Currency 3" xfId="10"/>
    <cellStyle name="Hyperlink" xfId="13" builtinId="8"/>
    <cellStyle name="Normal" xfId="0" builtinId="0"/>
    <cellStyle name="Normal 2" xfId="3"/>
    <cellStyle name="Normal 3" xfId="4"/>
    <cellStyle name="Normal 4" xfId="8"/>
    <cellStyle name="Normal 5" xfId="11"/>
    <cellStyle name="Percent" xfId="5" builtinId="5"/>
    <cellStyle name="Percent 2" xfId="12"/>
  </cellStyles>
  <dxfs count="16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CC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bls.gov/ncs/ebs/benefits/2019/ownership/private/table10a.pdf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71"/>
  <sheetViews>
    <sheetView topLeftCell="A50" zoomScaleNormal="100" workbookViewId="0">
      <selection activeCell="I62" sqref="I62"/>
    </sheetView>
  </sheetViews>
  <sheetFormatPr defaultRowHeight="15"/>
  <cols>
    <col min="1" max="1" width="9.140625" style="263"/>
    <col min="2" max="2" width="37.28515625" style="115" customWidth="1"/>
    <col min="3" max="3" width="12.42578125" style="115" customWidth="1"/>
    <col min="4" max="4" width="13.140625" style="115" customWidth="1"/>
    <col min="5" max="6" width="13.42578125" style="115" customWidth="1"/>
    <col min="7" max="7" width="9.140625" style="115"/>
    <col min="8" max="8" width="14.28515625" style="115" bestFit="1" customWidth="1"/>
    <col min="9" max="9" width="11.28515625" style="115" bestFit="1" customWidth="1"/>
    <col min="10" max="16384" width="9.140625" style="115"/>
  </cols>
  <sheetData>
    <row r="1" spans="1:9">
      <c r="A1" s="111" t="s">
        <v>259</v>
      </c>
      <c r="B1" s="111"/>
      <c r="C1" s="111"/>
      <c r="D1" s="111"/>
      <c r="E1" s="111"/>
      <c r="F1" s="111"/>
      <c r="H1" s="256"/>
    </row>
    <row r="2" spans="1:9">
      <c r="A2" s="111" t="s">
        <v>211</v>
      </c>
      <c r="B2" s="111"/>
      <c r="C2" s="111"/>
      <c r="D2" s="111"/>
      <c r="E2" s="111"/>
      <c r="F2" s="111"/>
      <c r="H2" s="256"/>
    </row>
    <row r="3" spans="1:9">
      <c r="A3" s="111" t="s">
        <v>215</v>
      </c>
      <c r="B3" s="111"/>
      <c r="C3" s="111"/>
      <c r="D3" s="111"/>
      <c r="E3" s="111"/>
      <c r="F3" s="111"/>
      <c r="H3" s="256"/>
    </row>
    <row r="4" spans="1:9">
      <c r="A4" s="257"/>
      <c r="B4" s="36"/>
      <c r="C4" s="127"/>
      <c r="D4" s="127"/>
      <c r="E4" s="127"/>
      <c r="F4" s="36"/>
      <c r="H4" s="256"/>
    </row>
    <row r="5" spans="1:9" ht="41.25" customHeight="1">
      <c r="A5" s="127" t="s">
        <v>0</v>
      </c>
      <c r="B5" s="127" t="s">
        <v>1</v>
      </c>
      <c r="C5" s="123" t="s">
        <v>232</v>
      </c>
      <c r="D5" s="123" t="s">
        <v>240</v>
      </c>
      <c r="E5" s="123" t="s">
        <v>110</v>
      </c>
      <c r="F5" s="123" t="s">
        <v>248</v>
      </c>
      <c r="H5" s="256"/>
    </row>
    <row r="6" spans="1:9" s="258" customFormat="1">
      <c r="A6" s="98" t="s">
        <v>21</v>
      </c>
      <c r="B6" s="99">
        <v>1</v>
      </c>
      <c r="C6" s="99">
        <f>B6+1</f>
        <v>2</v>
      </c>
      <c r="D6" s="99" t="s">
        <v>19</v>
      </c>
      <c r="E6" s="99" t="s">
        <v>25</v>
      </c>
      <c r="F6" s="99" t="s">
        <v>48</v>
      </c>
      <c r="G6" s="115"/>
      <c r="H6" s="256"/>
      <c r="I6" s="115"/>
    </row>
    <row r="7" spans="1:9">
      <c r="A7" s="257">
        <v>1</v>
      </c>
      <c r="B7" s="259" t="s">
        <v>73</v>
      </c>
      <c r="C7" s="112"/>
      <c r="D7" s="112"/>
      <c r="E7" s="112"/>
      <c r="F7" s="112"/>
      <c r="H7" s="256"/>
    </row>
    <row r="8" spans="1:9">
      <c r="A8" s="257">
        <f>A7+1</f>
        <v>2</v>
      </c>
      <c r="B8" s="36" t="s">
        <v>154</v>
      </c>
      <c r="C8" s="33">
        <v>54025672.210000001</v>
      </c>
      <c r="D8" s="33">
        <f>'Adj List'!D7+'Adj List'!D8+'Adj List'!D9+'Adj List'!D10+'Adj List'!D12</f>
        <v>-2038112.6100000003</v>
      </c>
      <c r="E8" s="33">
        <f>C8+D8</f>
        <v>51987559.600000001</v>
      </c>
      <c r="F8" s="33">
        <f>E8+C66</f>
        <v>53392084.791666664</v>
      </c>
      <c r="H8" s="256"/>
    </row>
    <row r="9" spans="1:9">
      <c r="A9" s="257">
        <f t="shared" ref="A9:A67" si="0">A8+1</f>
        <v>3</v>
      </c>
      <c r="B9" s="36" t="s">
        <v>102</v>
      </c>
      <c r="C9" s="33">
        <v>1314164.1200000001</v>
      </c>
      <c r="D9" s="33">
        <v>0</v>
      </c>
      <c r="E9" s="33">
        <f>C9+D9</f>
        <v>1314164.1200000001</v>
      </c>
      <c r="F9" s="33">
        <f>E9</f>
        <v>1314164.1200000001</v>
      </c>
    </row>
    <row r="10" spans="1:9">
      <c r="A10" s="257">
        <f t="shared" si="0"/>
        <v>4</v>
      </c>
      <c r="B10" s="59" t="s">
        <v>153</v>
      </c>
      <c r="C10" s="67">
        <f>SUM(C8:C9)</f>
        <v>55339836.329999998</v>
      </c>
      <c r="D10" s="67">
        <f>SUM(D8:D9)</f>
        <v>-2038112.6100000003</v>
      </c>
      <c r="E10" s="67">
        <f>SUM(E8:E9)</f>
        <v>53301723.719999999</v>
      </c>
      <c r="F10" s="67">
        <f>SUM(F8:F9)</f>
        <v>54706248.911666662</v>
      </c>
      <c r="H10" s="260"/>
      <c r="I10" s="260"/>
    </row>
    <row r="11" spans="1:9">
      <c r="A11" s="257">
        <f t="shared" si="0"/>
        <v>5</v>
      </c>
      <c r="B11" s="36"/>
      <c r="C11" s="33"/>
      <c r="D11" s="33"/>
      <c r="E11" s="33"/>
      <c r="F11" s="33"/>
      <c r="H11" s="260"/>
    </row>
    <row r="12" spans="1:9">
      <c r="A12" s="257">
        <f t="shared" si="0"/>
        <v>6</v>
      </c>
      <c r="B12" s="259" t="s">
        <v>74</v>
      </c>
      <c r="C12" s="33"/>
      <c r="D12" s="33"/>
      <c r="E12" s="33"/>
      <c r="F12" s="33"/>
    </row>
    <row r="13" spans="1:9">
      <c r="A13" s="257">
        <f t="shared" si="0"/>
        <v>7</v>
      </c>
      <c r="B13" s="36" t="s">
        <v>75</v>
      </c>
      <c r="C13" s="33">
        <v>39211840.719999999</v>
      </c>
      <c r="D13" s="33">
        <f>'Adj List'!E7+'Adj List'!E8+'Adj List'!E9+'Adj List'!E10+'Adj List'!E12</f>
        <v>-1950232.36</v>
      </c>
      <c r="E13" s="33">
        <f t="shared" ref="E13:E19" si="1">C13+D13</f>
        <v>37261608.359999999</v>
      </c>
      <c r="F13" s="33">
        <f>E13</f>
        <v>37261608.359999999</v>
      </c>
    </row>
    <row r="14" spans="1:9">
      <c r="A14" s="257">
        <f t="shared" si="0"/>
        <v>8</v>
      </c>
      <c r="B14" s="36" t="s">
        <v>76</v>
      </c>
      <c r="C14" s="33">
        <v>2745562.18</v>
      </c>
      <c r="D14" s="33">
        <v>0</v>
      </c>
      <c r="E14" s="33">
        <f t="shared" si="1"/>
        <v>2745562.18</v>
      </c>
      <c r="F14" s="33">
        <f t="shared" ref="F14:F19" si="2">E14</f>
        <v>2745562.18</v>
      </c>
    </row>
    <row r="15" spans="1:9">
      <c r="A15" s="257">
        <f t="shared" si="0"/>
        <v>9</v>
      </c>
      <c r="B15" s="36" t="s">
        <v>77</v>
      </c>
      <c r="C15" s="33">
        <v>3272525.94</v>
      </c>
      <c r="D15" s="33">
        <v>0</v>
      </c>
      <c r="E15" s="33">
        <f t="shared" si="1"/>
        <v>3272525.94</v>
      </c>
      <c r="F15" s="33">
        <f t="shared" si="2"/>
        <v>3272525.94</v>
      </c>
    </row>
    <row r="16" spans="1:9">
      <c r="A16" s="257">
        <f t="shared" si="0"/>
        <v>10</v>
      </c>
      <c r="B16" s="36" t="s">
        <v>78</v>
      </c>
      <c r="C16" s="33">
        <v>1675739.51</v>
      </c>
      <c r="D16" s="33">
        <v>0</v>
      </c>
      <c r="E16" s="33">
        <f t="shared" si="1"/>
        <v>1675739.51</v>
      </c>
      <c r="F16" s="33">
        <f t="shared" si="2"/>
        <v>1675739.51</v>
      </c>
    </row>
    <row r="17" spans="1:9">
      <c r="A17" s="257">
        <f t="shared" si="0"/>
        <v>11</v>
      </c>
      <c r="B17" s="36" t="s">
        <v>79</v>
      </c>
      <c r="C17" s="33">
        <v>264169.65000000002</v>
      </c>
      <c r="D17" s="33">
        <v>0</v>
      </c>
      <c r="E17" s="33">
        <f t="shared" si="1"/>
        <v>264169.65000000002</v>
      </c>
      <c r="F17" s="33">
        <f t="shared" si="2"/>
        <v>264169.65000000002</v>
      </c>
    </row>
    <row r="18" spans="1:9">
      <c r="A18" s="257">
        <f t="shared" si="0"/>
        <v>12</v>
      </c>
      <c r="B18" s="36" t="s">
        <v>80</v>
      </c>
      <c r="C18" s="33">
        <v>-1882.19</v>
      </c>
      <c r="D18" s="33">
        <v>0</v>
      </c>
      <c r="E18" s="33">
        <f t="shared" si="1"/>
        <v>-1882.19</v>
      </c>
      <c r="F18" s="33">
        <f t="shared" si="2"/>
        <v>-1882.19</v>
      </c>
    </row>
    <row r="19" spans="1:9">
      <c r="A19" s="257">
        <f t="shared" si="0"/>
        <v>13</v>
      </c>
      <c r="B19" s="36" t="s">
        <v>81</v>
      </c>
      <c r="C19" s="33">
        <v>1581808.45</v>
      </c>
      <c r="D19" s="33">
        <f>'Adj List'!E11+'Adj List'!E14+'Adj List'!E15+'Adj List'!E16+'Adj List'!E17+'Adj List'!E18+'Adj List'!E19</f>
        <v>-336407.855353744</v>
      </c>
      <c r="E19" s="33">
        <f t="shared" si="1"/>
        <v>1245400.594646256</v>
      </c>
      <c r="F19" s="33">
        <f t="shared" si="2"/>
        <v>1245400.594646256</v>
      </c>
    </row>
    <row r="20" spans="1:9">
      <c r="A20" s="257">
        <f t="shared" si="0"/>
        <v>14</v>
      </c>
      <c r="B20" s="59" t="s">
        <v>82</v>
      </c>
      <c r="C20" s="67">
        <f>SUM(C13:C19)</f>
        <v>48749764.259999998</v>
      </c>
      <c r="D20" s="67">
        <f>SUM(D13:D19)</f>
        <v>-2286640.2153537441</v>
      </c>
      <c r="E20" s="67">
        <f>SUM(E13:E19)</f>
        <v>46463124.044646248</v>
      </c>
      <c r="F20" s="67">
        <f>SUM(F13:F19)</f>
        <v>46463124.044646248</v>
      </c>
    </row>
    <row r="21" spans="1:9">
      <c r="A21" s="257">
        <f t="shared" si="0"/>
        <v>15</v>
      </c>
      <c r="C21" s="33"/>
      <c r="D21" s="33"/>
      <c r="E21" s="33"/>
      <c r="F21" s="33"/>
    </row>
    <row r="22" spans="1:9">
      <c r="A22" s="257">
        <f t="shared" si="0"/>
        <v>16</v>
      </c>
      <c r="B22" s="36" t="s">
        <v>83</v>
      </c>
      <c r="C22" s="33">
        <v>4378967.99</v>
      </c>
      <c r="D22" s="33">
        <f>'Adj List'!E13</f>
        <v>-186543.25999999978</v>
      </c>
      <c r="E22" s="33">
        <f>C22+D22</f>
        <v>4192424.7300000004</v>
      </c>
      <c r="F22" s="33">
        <f>E22</f>
        <v>4192424.7300000004</v>
      </c>
    </row>
    <row r="23" spans="1:9">
      <c r="A23" s="257">
        <f t="shared" si="0"/>
        <v>17</v>
      </c>
      <c r="B23" s="36" t="s">
        <v>84</v>
      </c>
      <c r="C23" s="33">
        <v>72295.350000000006</v>
      </c>
      <c r="D23" s="33">
        <v>0</v>
      </c>
      <c r="E23" s="33">
        <f>C23+D23</f>
        <v>72295.350000000006</v>
      </c>
      <c r="F23" s="33">
        <f t="shared" ref="F23:F26" si="3">E23</f>
        <v>72295.350000000006</v>
      </c>
    </row>
    <row r="24" spans="1:9">
      <c r="A24" s="257">
        <f t="shared" si="0"/>
        <v>18</v>
      </c>
      <c r="B24" s="36" t="s">
        <v>71</v>
      </c>
      <c r="C24" s="33">
        <v>2127309.0099999998</v>
      </c>
      <c r="D24" s="33">
        <v>0</v>
      </c>
      <c r="E24" s="33">
        <f>C24+D24</f>
        <v>2127309.0099999998</v>
      </c>
      <c r="F24" s="33">
        <f t="shared" si="3"/>
        <v>2127309.0099999998</v>
      </c>
    </row>
    <row r="25" spans="1:9">
      <c r="A25" s="257">
        <f t="shared" si="0"/>
        <v>19</v>
      </c>
      <c r="B25" s="36" t="s">
        <v>85</v>
      </c>
      <c r="C25" s="33">
        <v>32232.45</v>
      </c>
      <c r="D25" s="33">
        <v>0</v>
      </c>
      <c r="E25" s="33">
        <f>C25+D25</f>
        <v>32232.45</v>
      </c>
      <c r="F25" s="33">
        <f t="shared" si="3"/>
        <v>32232.45</v>
      </c>
    </row>
    <row r="26" spans="1:9">
      <c r="A26" s="257">
        <f t="shared" si="0"/>
        <v>20</v>
      </c>
      <c r="B26" s="36" t="s">
        <v>86</v>
      </c>
      <c r="C26" s="33">
        <v>28427.41</v>
      </c>
      <c r="D26" s="33">
        <v>0</v>
      </c>
      <c r="E26" s="33">
        <f>C26+D26</f>
        <v>28427.41</v>
      </c>
      <c r="F26" s="33">
        <f t="shared" si="3"/>
        <v>28427.41</v>
      </c>
    </row>
    <row r="27" spans="1:9">
      <c r="A27" s="257">
        <f t="shared" si="0"/>
        <v>21</v>
      </c>
      <c r="C27" s="33"/>
      <c r="D27" s="33"/>
      <c r="E27" s="33"/>
      <c r="F27" s="33"/>
    </row>
    <row r="28" spans="1:9">
      <c r="A28" s="257">
        <f t="shared" si="0"/>
        <v>22</v>
      </c>
      <c r="B28" s="261" t="s">
        <v>34</v>
      </c>
      <c r="C28" s="113">
        <f>SUM(C20:C26)</f>
        <v>55388996.469999999</v>
      </c>
      <c r="D28" s="113">
        <f>SUM(D20:D26)</f>
        <v>-2473183.4753537439</v>
      </c>
      <c r="E28" s="113">
        <f>SUM(E20:E26)</f>
        <v>52915812.994646251</v>
      </c>
      <c r="F28" s="113">
        <f>SUM(F20:F26)</f>
        <v>52915812.994646251</v>
      </c>
      <c r="H28" s="112"/>
      <c r="I28" s="112"/>
    </row>
    <row r="29" spans="1:9">
      <c r="A29" s="257">
        <f t="shared" si="0"/>
        <v>23</v>
      </c>
      <c r="C29" s="33"/>
      <c r="D29" s="33"/>
      <c r="E29" s="33"/>
      <c r="F29" s="33"/>
    </row>
    <row r="30" spans="1:9" ht="15.75" thickBot="1">
      <c r="A30" s="257">
        <f t="shared" si="0"/>
        <v>24</v>
      </c>
      <c r="B30" s="262" t="s">
        <v>87</v>
      </c>
      <c r="C30" s="60">
        <f>C10-C28</f>
        <v>-49160.140000000596</v>
      </c>
      <c r="D30" s="60">
        <f>D10-D28</f>
        <v>435070.86535374355</v>
      </c>
      <c r="E30" s="60">
        <f>E10-E28</f>
        <v>385910.72535374761</v>
      </c>
      <c r="F30" s="60">
        <f>F10-F28</f>
        <v>1790435.9170204103</v>
      </c>
      <c r="H30" s="112"/>
    </row>
    <row r="31" spans="1:9" ht="15.75" thickTop="1">
      <c r="A31" s="257">
        <f t="shared" si="0"/>
        <v>25</v>
      </c>
      <c r="C31" s="33"/>
      <c r="D31" s="33"/>
      <c r="E31" s="33"/>
      <c r="F31" s="33"/>
    </row>
    <row r="32" spans="1:9">
      <c r="A32" s="257">
        <f t="shared" si="0"/>
        <v>26</v>
      </c>
      <c r="B32" s="36" t="s">
        <v>35</v>
      </c>
      <c r="C32" s="33">
        <v>461866</v>
      </c>
      <c r="D32" s="33">
        <v>0</v>
      </c>
      <c r="E32" s="33">
        <f>C32+D32</f>
        <v>461866</v>
      </c>
      <c r="F32" s="33">
        <f>E32</f>
        <v>461866</v>
      </c>
    </row>
    <row r="33" spans="1:6">
      <c r="A33" s="257">
        <f t="shared" si="0"/>
        <v>27</v>
      </c>
      <c r="B33" s="36" t="s">
        <v>212</v>
      </c>
      <c r="C33" s="33">
        <v>0</v>
      </c>
      <c r="D33" s="33">
        <v>0</v>
      </c>
      <c r="E33" s="33">
        <f>C33+D33</f>
        <v>0</v>
      </c>
      <c r="F33" s="33">
        <f t="shared" ref="F33:F36" si="4">E33</f>
        <v>0</v>
      </c>
    </row>
    <row r="34" spans="1:6">
      <c r="A34" s="257">
        <f t="shared" si="0"/>
        <v>28</v>
      </c>
      <c r="B34" s="36" t="s">
        <v>36</v>
      </c>
      <c r="C34" s="33">
        <v>20453.53</v>
      </c>
      <c r="D34" s="33">
        <v>0</v>
      </c>
      <c r="E34" s="33">
        <f>C34+D34</f>
        <v>20453.53</v>
      </c>
      <c r="F34" s="33">
        <f t="shared" si="4"/>
        <v>20453.53</v>
      </c>
    </row>
    <row r="35" spans="1:6">
      <c r="A35" s="257">
        <f t="shared" si="0"/>
        <v>29</v>
      </c>
      <c r="B35" s="36" t="s">
        <v>32</v>
      </c>
      <c r="C35" s="33">
        <v>0</v>
      </c>
      <c r="D35" s="33">
        <v>0</v>
      </c>
      <c r="E35" s="134">
        <f>C35+D35</f>
        <v>0</v>
      </c>
      <c r="F35" s="134">
        <f t="shared" si="4"/>
        <v>0</v>
      </c>
    </row>
    <row r="36" spans="1:6">
      <c r="A36" s="257">
        <f t="shared" si="0"/>
        <v>30</v>
      </c>
      <c r="B36" s="36" t="s">
        <v>88</v>
      </c>
      <c r="C36" s="33">
        <v>58045.73</v>
      </c>
      <c r="D36" s="33">
        <v>0</v>
      </c>
      <c r="E36" s="33">
        <f>C36+D36</f>
        <v>58045.73</v>
      </c>
      <c r="F36" s="33">
        <f t="shared" si="4"/>
        <v>58045.73</v>
      </c>
    </row>
    <row r="37" spans="1:6">
      <c r="A37" s="257">
        <f t="shared" si="0"/>
        <v>31</v>
      </c>
      <c r="B37" s="36"/>
      <c r="C37" s="33"/>
      <c r="D37" s="33"/>
      <c r="E37" s="33"/>
      <c r="F37" s="33"/>
    </row>
    <row r="38" spans="1:6" ht="15.75" thickBot="1">
      <c r="A38" s="257">
        <f t="shared" si="0"/>
        <v>32</v>
      </c>
      <c r="B38" s="262" t="s">
        <v>89</v>
      </c>
      <c r="C38" s="60">
        <f>C30+SUM(C32:C36)</f>
        <v>491205.11999999941</v>
      </c>
      <c r="D38" s="60">
        <f>D30+SUM(D32:D36)</f>
        <v>435070.86535374355</v>
      </c>
      <c r="E38" s="60">
        <f>E30+SUM(E32:E36)</f>
        <v>926275.98535374762</v>
      </c>
      <c r="F38" s="60">
        <f>F30+SUM(F32:F36)</f>
        <v>2330801.1770204101</v>
      </c>
    </row>
    <row r="39" spans="1:6" ht="15.75" thickTop="1">
      <c r="A39" s="257">
        <f t="shared" si="0"/>
        <v>33</v>
      </c>
      <c r="B39" s="36"/>
      <c r="C39" s="33"/>
      <c r="D39" s="33"/>
      <c r="E39" s="33"/>
      <c r="F39" s="33"/>
    </row>
    <row r="40" spans="1:6">
      <c r="A40" s="257">
        <f t="shared" si="0"/>
        <v>34</v>
      </c>
      <c r="B40" s="36" t="s">
        <v>155</v>
      </c>
      <c r="C40" s="33">
        <v>13876.09</v>
      </c>
      <c r="D40" s="33">
        <v>0</v>
      </c>
      <c r="E40" s="33">
        <f>C40+D40</f>
        <v>13876.09</v>
      </c>
      <c r="F40" s="33">
        <f t="shared" ref="F40" si="5">D40+E40</f>
        <v>13876.09</v>
      </c>
    </row>
    <row r="41" spans="1:6">
      <c r="A41" s="257">
        <f t="shared" si="0"/>
        <v>35</v>
      </c>
      <c r="B41" s="36" t="s">
        <v>91</v>
      </c>
      <c r="C41" s="114">
        <f>(C30+C40+C24)/C24</f>
        <v>0.98341376366379396</v>
      </c>
      <c r="D41" s="135"/>
      <c r="E41" s="114">
        <f>(E30+E40+E24)/E24</f>
        <v>1.1879307676855784</v>
      </c>
      <c r="F41" s="114">
        <f>(F30+F40+F24)/F24</f>
        <v>1.8481663916895694</v>
      </c>
    </row>
    <row r="42" spans="1:6">
      <c r="A42" s="257">
        <f t="shared" si="0"/>
        <v>36</v>
      </c>
      <c r="B42" s="36" t="s">
        <v>72</v>
      </c>
      <c r="C42" s="114">
        <f>(C38+C24)/C24</f>
        <v>1.2309044514412126</v>
      </c>
      <c r="D42" s="135"/>
      <c r="E42" s="114">
        <f>(E38+E24)/E24</f>
        <v>1.4354214554629972</v>
      </c>
      <c r="F42" s="114">
        <f>(F38+F24)/F24</f>
        <v>2.0956570794669882</v>
      </c>
    </row>
    <row r="43" spans="1:6">
      <c r="A43" s="257">
        <f t="shared" si="0"/>
        <v>37</v>
      </c>
      <c r="B43" s="36" t="s">
        <v>90</v>
      </c>
      <c r="C43" s="114">
        <f>(C24+C38-C35)/C24</f>
        <v>1.2309044514412126</v>
      </c>
      <c r="D43" s="135"/>
      <c r="E43" s="114">
        <f>(E24+E38-E35)/E24</f>
        <v>1.4354214554629972</v>
      </c>
      <c r="F43" s="114">
        <f>(F24+F38-F35)/F24</f>
        <v>2.0956570794669882</v>
      </c>
    </row>
    <row r="44" spans="1:6" ht="14.25" customHeight="1">
      <c r="A44" s="257">
        <f t="shared" si="0"/>
        <v>38</v>
      </c>
      <c r="B44" s="36"/>
    </row>
    <row r="45" spans="1:6" hidden="1">
      <c r="A45" s="257"/>
      <c r="B45" s="36" t="s">
        <v>216</v>
      </c>
      <c r="C45" s="114">
        <v>2</v>
      </c>
      <c r="D45" s="114"/>
      <c r="E45" s="114">
        <v>3</v>
      </c>
      <c r="F45" s="114">
        <v>4</v>
      </c>
    </row>
    <row r="46" spans="1:6" hidden="1">
      <c r="A46" s="257"/>
      <c r="B46" s="36" t="s">
        <v>217</v>
      </c>
      <c r="C46" s="33">
        <f>C45*C24-C24</f>
        <v>2127309.0099999998</v>
      </c>
      <c r="D46" s="33"/>
      <c r="E46" s="33">
        <f>E45*E24-E24</f>
        <v>4254618.0199999996</v>
      </c>
      <c r="F46" s="33">
        <f>F45*F24-F24</f>
        <v>6381927.0299999993</v>
      </c>
    </row>
    <row r="47" spans="1:6" hidden="1">
      <c r="A47" s="257"/>
      <c r="B47" s="36" t="s">
        <v>218</v>
      </c>
      <c r="C47" s="33">
        <f>C28+C46</f>
        <v>57516305.479999997</v>
      </c>
      <c r="D47" s="33"/>
      <c r="E47" s="33">
        <f>E28+E46</f>
        <v>57170431.014646247</v>
      </c>
      <c r="F47" s="33">
        <f>F28+F46</f>
        <v>59297740.024646252</v>
      </c>
    </row>
    <row r="48" spans="1:6" hidden="1">
      <c r="A48" s="257"/>
      <c r="B48" s="36" t="s">
        <v>219</v>
      </c>
      <c r="C48" s="33">
        <f>C46-C38</f>
        <v>1636103.8900000004</v>
      </c>
      <c r="D48" s="33"/>
      <c r="E48" s="33">
        <f>E46-E38</f>
        <v>3328342.0346462522</v>
      </c>
      <c r="F48" s="33">
        <f>F46-F38</f>
        <v>4051125.8529795893</v>
      </c>
    </row>
    <row r="49" spans="1:6" hidden="1">
      <c r="A49" s="257"/>
      <c r="B49" s="36"/>
      <c r="C49" s="33"/>
      <c r="D49" s="33"/>
      <c r="E49" s="33"/>
      <c r="F49" s="33"/>
    </row>
    <row r="50" spans="1:6">
      <c r="A50" s="257">
        <f>A44+1</f>
        <v>39</v>
      </c>
      <c r="B50" s="36" t="s">
        <v>220</v>
      </c>
      <c r="C50" s="114">
        <v>1.85</v>
      </c>
      <c r="D50" s="135"/>
      <c r="E50" s="114">
        <f>C50</f>
        <v>1.85</v>
      </c>
      <c r="F50" s="135"/>
    </row>
    <row r="51" spans="1:6">
      <c r="A51" s="257">
        <f t="shared" si="0"/>
        <v>40</v>
      </c>
      <c r="B51" s="36" t="s">
        <v>221</v>
      </c>
      <c r="C51" s="33">
        <f>C50*C24-C24-C40+SUM(C32:C36)</f>
        <v>2334701.8284999998</v>
      </c>
      <c r="D51" s="136"/>
      <c r="E51" s="33">
        <f>E50*E24-E24-E40+SUM(E32:E36)</f>
        <v>2334701.8284999998</v>
      </c>
      <c r="F51" s="136"/>
    </row>
    <row r="52" spans="1:6">
      <c r="A52" s="257">
        <f t="shared" si="0"/>
        <v>41</v>
      </c>
      <c r="B52" s="36" t="s">
        <v>218</v>
      </c>
      <c r="C52" s="33">
        <f>C28+C51</f>
        <v>57723698.298500001</v>
      </c>
      <c r="D52" s="136"/>
      <c r="E52" s="33">
        <f>E28+E51</f>
        <v>55250514.823146254</v>
      </c>
      <c r="F52" s="136"/>
    </row>
    <row r="53" spans="1:6">
      <c r="A53" s="257">
        <f t="shared" si="0"/>
        <v>42</v>
      </c>
      <c r="B53" s="36" t="s">
        <v>219</v>
      </c>
      <c r="C53" s="33">
        <f>C51-C38</f>
        <v>1843496.7085000004</v>
      </c>
      <c r="D53" s="136"/>
      <c r="E53" s="33">
        <f>E51-E38</f>
        <v>1408425.8431462522</v>
      </c>
      <c r="F53" s="136"/>
    </row>
    <row r="54" spans="1:6">
      <c r="A54" s="257">
        <f t="shared" si="0"/>
        <v>43</v>
      </c>
      <c r="D54" s="33"/>
      <c r="F54" s="33"/>
    </row>
    <row r="55" spans="1:6">
      <c r="A55" s="257">
        <f t="shared" si="0"/>
        <v>44</v>
      </c>
      <c r="B55" s="36" t="s">
        <v>154</v>
      </c>
      <c r="C55" s="33">
        <f>C8</f>
        <v>54025672.210000001</v>
      </c>
      <c r="D55" s="135"/>
      <c r="E55" s="33">
        <f>E8</f>
        <v>51987559.600000001</v>
      </c>
      <c r="F55" s="135"/>
    </row>
    <row r="56" spans="1:6">
      <c r="A56" s="257">
        <f t="shared" si="0"/>
        <v>45</v>
      </c>
      <c r="B56" s="36" t="s">
        <v>222</v>
      </c>
      <c r="C56" s="33">
        <f>C55+C53</f>
        <v>55869168.918499999</v>
      </c>
      <c r="D56" s="135"/>
      <c r="E56" s="33">
        <f>E55+E53</f>
        <v>53395985.443146251</v>
      </c>
      <c r="F56" s="135"/>
    </row>
    <row r="57" spans="1:6">
      <c r="A57" s="257">
        <f t="shared" si="0"/>
        <v>46</v>
      </c>
      <c r="B57" s="37" t="s">
        <v>223</v>
      </c>
      <c r="C57" s="117">
        <f>C53</f>
        <v>1843496.7085000004</v>
      </c>
      <c r="D57" s="135"/>
      <c r="E57" s="117">
        <f>E53</f>
        <v>1408425.8431462522</v>
      </c>
      <c r="F57" s="135"/>
    </row>
    <row r="58" spans="1:6">
      <c r="A58" s="257">
        <f t="shared" si="0"/>
        <v>47</v>
      </c>
      <c r="B58" s="37" t="s">
        <v>223</v>
      </c>
      <c r="C58" s="118">
        <f>C57/C55</f>
        <v>3.4122605662993938E-2</v>
      </c>
      <c r="D58" s="137"/>
      <c r="E58" s="118">
        <f>E57/E55</f>
        <v>2.7091593719399211E-2</v>
      </c>
      <c r="F58" s="137"/>
    </row>
    <row r="59" spans="1:6">
      <c r="A59" s="257">
        <f t="shared" si="0"/>
        <v>48</v>
      </c>
      <c r="D59" s="114"/>
      <c r="F59" s="114"/>
    </row>
    <row r="60" spans="1:6">
      <c r="A60" s="257">
        <f t="shared" si="0"/>
        <v>49</v>
      </c>
      <c r="B60" s="36" t="s">
        <v>224</v>
      </c>
      <c r="C60" s="116">
        <v>0.04</v>
      </c>
      <c r="D60" s="136"/>
      <c r="E60" s="116">
        <v>0.04</v>
      </c>
      <c r="F60" s="136"/>
    </row>
    <row r="61" spans="1:6">
      <c r="A61" s="257">
        <f t="shared" si="0"/>
        <v>50</v>
      </c>
      <c r="B61" s="36" t="s">
        <v>225</v>
      </c>
      <c r="C61" s="33">
        <f>C60*C8</f>
        <v>2161026.8884000001</v>
      </c>
      <c r="D61" s="136"/>
      <c r="E61" s="33">
        <f>E60*E8</f>
        <v>2079502.3840000001</v>
      </c>
      <c r="F61" s="136"/>
    </row>
    <row r="62" spans="1:6">
      <c r="A62" s="257">
        <f t="shared" si="0"/>
        <v>51</v>
      </c>
    </row>
    <row r="63" spans="1:6">
      <c r="A63" s="257">
        <f t="shared" si="0"/>
        <v>52</v>
      </c>
      <c r="B63" s="59" t="s">
        <v>226</v>
      </c>
      <c r="C63" s="119">
        <f>MIN(C57,C61)</f>
        <v>1843496.7085000004</v>
      </c>
      <c r="D63" s="138"/>
      <c r="E63" s="119">
        <f>MIN(E57,E61)</f>
        <v>1408425.8431462522</v>
      </c>
      <c r="F63" s="138"/>
    </row>
    <row r="64" spans="1:6">
      <c r="A64" s="257">
        <f t="shared" si="0"/>
        <v>53</v>
      </c>
      <c r="B64" s="121" t="s">
        <v>226</v>
      </c>
      <c r="C64" s="122">
        <f>MIN(C58,C60)</f>
        <v>3.4122605662993938E-2</v>
      </c>
      <c r="D64" s="139"/>
      <c r="E64" s="122">
        <f>MIN(E58,E60)</f>
        <v>2.7091593719399211E-2</v>
      </c>
      <c r="F64" s="139"/>
    </row>
    <row r="65" spans="1:6">
      <c r="A65" s="257">
        <f t="shared" si="0"/>
        <v>54</v>
      </c>
      <c r="B65" s="120"/>
    </row>
    <row r="66" spans="1:6">
      <c r="A66" s="257">
        <f t="shared" si="0"/>
        <v>55</v>
      </c>
      <c r="B66" s="36" t="s">
        <v>249</v>
      </c>
      <c r="C66" s="143">
        <v>1404525.1916666627</v>
      </c>
      <c r="F66" s="143">
        <f>F38-E38</f>
        <v>1404525.1916666625</v>
      </c>
    </row>
    <row r="67" spans="1:6">
      <c r="A67" s="257">
        <f t="shared" si="0"/>
        <v>56</v>
      </c>
      <c r="B67" s="36" t="s">
        <v>250</v>
      </c>
      <c r="C67" s="245">
        <f>C66/C8</f>
        <v>2.599736632997764E-2</v>
      </c>
      <c r="F67" s="142">
        <f>F66/C8</f>
        <v>2.5997366329977636E-2</v>
      </c>
    </row>
    <row r="69" spans="1:6">
      <c r="E69" s="112"/>
      <c r="F69" s="112"/>
    </row>
    <row r="71" spans="1:6">
      <c r="C71" s="144"/>
    </row>
  </sheetData>
  <printOptions horizontalCentered="1"/>
  <pageMargins left="0.7" right="0.7" top="0.75" bottom="0.75" header="0.3" footer="0.3"/>
  <pageSetup scale="73" orientation="portrait" r:id="rId1"/>
  <headerFooter>
    <oddFooter>&amp;R&amp;"Times New Roman,Regular"&amp;12Exhibit JW-2
Page &amp;P of &amp;N</oddFooter>
  </headerFooter>
  <ignoredErrors>
    <ignoredError sqref="C43 F41 F8 F10 E52:E64 C67:F67 D66:F66" evalError="1"/>
    <ignoredError sqref="E20 E28 E30" formula="1"/>
    <ignoredError sqref="J6 D6:F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J59"/>
  <sheetViews>
    <sheetView topLeftCell="A37" zoomScaleNormal="100" workbookViewId="0">
      <selection activeCell="I62" sqref="I62"/>
    </sheetView>
  </sheetViews>
  <sheetFormatPr defaultRowHeight="12.75"/>
  <cols>
    <col min="1" max="1" width="5.85546875" style="3" customWidth="1"/>
    <col min="2" max="2" width="2.28515625" style="3" customWidth="1"/>
    <col min="3" max="3" width="13.28515625" style="3" customWidth="1"/>
    <col min="4" max="4" width="10.85546875" style="3" customWidth="1"/>
    <col min="5" max="5" width="2.5703125" style="3" customWidth="1"/>
    <col min="6" max="7" width="12.5703125" style="3" bestFit="1" customWidth="1"/>
    <col min="8" max="8" width="11.28515625" style="3" bestFit="1" customWidth="1"/>
    <col min="9" max="9" width="11.5703125" style="3" bestFit="1" customWidth="1"/>
    <col min="10" max="10" width="11.7109375" style="3" customWidth="1"/>
    <col min="11" max="16384" width="9.140625" style="3"/>
  </cols>
  <sheetData>
    <row r="1" spans="1:10">
      <c r="J1" s="171" t="s">
        <v>256</v>
      </c>
    </row>
    <row r="2" spans="1:10" ht="20.25" customHeight="1">
      <c r="J2" s="171"/>
    </row>
    <row r="3" spans="1:10">
      <c r="G3" s="171"/>
    </row>
    <row r="4" spans="1:10">
      <c r="A4" s="311" t="str">
        <f>RevReq!A1</f>
        <v>MEADE COUNTY R.E.C.C.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>
      <c r="A5" s="311" t="str">
        <f>RevReq!A3</f>
        <v>For the 12 Months Ended December 31, 2019</v>
      </c>
      <c r="B5" s="311"/>
      <c r="C5" s="311"/>
      <c r="D5" s="311"/>
      <c r="E5" s="311"/>
      <c r="F5" s="311"/>
      <c r="G5" s="311"/>
      <c r="H5" s="311"/>
      <c r="I5" s="311"/>
      <c r="J5" s="311"/>
    </row>
    <row r="7" spans="1:10" s="172" customFormat="1" ht="15" customHeight="1">
      <c r="A7" s="312" t="s">
        <v>47</v>
      </c>
      <c r="B7" s="312"/>
      <c r="C7" s="312"/>
      <c r="D7" s="312"/>
      <c r="E7" s="312"/>
      <c r="F7" s="312"/>
      <c r="G7" s="312"/>
      <c r="H7" s="312"/>
      <c r="I7" s="312"/>
      <c r="J7" s="312"/>
    </row>
    <row r="9" spans="1:10" ht="38.25">
      <c r="A9" s="251" t="s">
        <v>0</v>
      </c>
      <c r="C9" s="251" t="s">
        <v>16</v>
      </c>
      <c r="D9" s="251" t="s">
        <v>17</v>
      </c>
      <c r="E9" s="251"/>
      <c r="F9" s="253" t="s">
        <v>379</v>
      </c>
      <c r="G9" s="253" t="s">
        <v>380</v>
      </c>
      <c r="H9" s="253" t="s">
        <v>381</v>
      </c>
      <c r="I9" s="253" t="s">
        <v>382</v>
      </c>
      <c r="J9" s="251" t="s">
        <v>44</v>
      </c>
    </row>
    <row r="10" spans="1:10">
      <c r="A10" s="252" t="s">
        <v>21</v>
      </c>
      <c r="C10" s="266" t="s">
        <v>18</v>
      </c>
      <c r="D10" s="266" t="s">
        <v>20</v>
      </c>
      <c r="E10" s="251"/>
      <c r="F10" s="266" t="s">
        <v>19</v>
      </c>
      <c r="G10" s="266" t="s">
        <v>25</v>
      </c>
      <c r="H10" s="266" t="s">
        <v>48</v>
      </c>
      <c r="I10" s="266" t="s">
        <v>49</v>
      </c>
      <c r="J10" s="266" t="s">
        <v>50</v>
      </c>
    </row>
    <row r="11" spans="1:10">
      <c r="A11" s="251"/>
    </row>
    <row r="12" spans="1:10">
      <c r="A12" s="251"/>
    </row>
    <row r="13" spans="1:10">
      <c r="A13" s="251">
        <v>1</v>
      </c>
      <c r="C13" s="251">
        <v>2019</v>
      </c>
      <c r="D13" s="251" t="s">
        <v>6</v>
      </c>
      <c r="E13" s="188"/>
      <c r="F13" s="271">
        <v>27583</v>
      </c>
      <c r="G13" s="271">
        <v>1682</v>
      </c>
      <c r="H13" s="271">
        <v>396</v>
      </c>
      <c r="I13" s="271">
        <v>5</v>
      </c>
      <c r="J13" s="272"/>
    </row>
    <row r="14" spans="1:10">
      <c r="A14" s="251">
        <v>2</v>
      </c>
      <c r="C14" s="251">
        <v>2019</v>
      </c>
      <c r="D14" s="251" t="s">
        <v>7</v>
      </c>
      <c r="E14" s="188"/>
      <c r="F14" s="271">
        <v>27635</v>
      </c>
      <c r="G14" s="271">
        <v>1682</v>
      </c>
      <c r="H14" s="271">
        <v>396</v>
      </c>
      <c r="I14" s="271">
        <v>5</v>
      </c>
      <c r="J14" s="273"/>
    </row>
    <row r="15" spans="1:10">
      <c r="A15" s="251">
        <v>3</v>
      </c>
      <c r="C15" s="251">
        <v>2019</v>
      </c>
      <c r="D15" s="251" t="s">
        <v>8</v>
      </c>
      <c r="E15" s="188"/>
      <c r="F15" s="271">
        <v>27636</v>
      </c>
      <c r="G15" s="271">
        <v>1701</v>
      </c>
      <c r="H15" s="271">
        <v>398</v>
      </c>
      <c r="I15" s="271">
        <v>6</v>
      </c>
      <c r="J15" s="273"/>
    </row>
    <row r="16" spans="1:10">
      <c r="A16" s="251">
        <v>4</v>
      </c>
      <c r="C16" s="251">
        <v>2019</v>
      </c>
      <c r="D16" s="251" t="s">
        <v>9</v>
      </c>
      <c r="E16" s="188"/>
      <c r="F16" s="271">
        <v>27599</v>
      </c>
      <c r="G16" s="271">
        <v>1694</v>
      </c>
      <c r="H16" s="271">
        <v>397</v>
      </c>
      <c r="I16" s="271">
        <v>4</v>
      </c>
      <c r="J16" s="273"/>
    </row>
    <row r="17" spans="1:10">
      <c r="A17" s="251">
        <v>5</v>
      </c>
      <c r="C17" s="251">
        <v>2019</v>
      </c>
      <c r="D17" s="251" t="s">
        <v>10</v>
      </c>
      <c r="E17" s="188"/>
      <c r="F17" s="271">
        <v>27670</v>
      </c>
      <c r="G17" s="271">
        <v>1693</v>
      </c>
      <c r="H17" s="271">
        <v>397</v>
      </c>
      <c r="I17" s="271">
        <v>5</v>
      </c>
      <c r="J17" s="273"/>
    </row>
    <row r="18" spans="1:10">
      <c r="A18" s="251">
        <v>6</v>
      </c>
      <c r="C18" s="251">
        <v>2019</v>
      </c>
      <c r="D18" s="251" t="s">
        <v>11</v>
      </c>
      <c r="E18" s="188"/>
      <c r="F18" s="271">
        <v>27727</v>
      </c>
      <c r="G18" s="271">
        <v>1710</v>
      </c>
      <c r="H18" s="271">
        <v>398</v>
      </c>
      <c r="I18" s="271">
        <v>3</v>
      </c>
      <c r="J18" s="273"/>
    </row>
    <row r="19" spans="1:10">
      <c r="A19" s="251">
        <v>7</v>
      </c>
      <c r="C19" s="251">
        <v>2019</v>
      </c>
      <c r="D19" s="251" t="s">
        <v>12</v>
      </c>
      <c r="E19" s="188"/>
      <c r="F19" s="271">
        <v>27760</v>
      </c>
      <c r="G19" s="271">
        <v>1706</v>
      </c>
      <c r="H19" s="271">
        <v>397</v>
      </c>
      <c r="I19" s="271">
        <v>4</v>
      </c>
      <c r="J19" s="273"/>
    </row>
    <row r="20" spans="1:10">
      <c r="A20" s="251">
        <v>8</v>
      </c>
      <c r="C20" s="251">
        <v>2019</v>
      </c>
      <c r="D20" s="251" t="s">
        <v>13</v>
      </c>
      <c r="E20" s="188"/>
      <c r="F20" s="271">
        <v>27765</v>
      </c>
      <c r="G20" s="271">
        <v>1709</v>
      </c>
      <c r="H20" s="271">
        <v>396</v>
      </c>
      <c r="I20" s="271">
        <v>4</v>
      </c>
      <c r="J20" s="273"/>
    </row>
    <row r="21" spans="1:10">
      <c r="A21" s="251">
        <v>9</v>
      </c>
      <c r="C21" s="251">
        <v>2019</v>
      </c>
      <c r="D21" s="251" t="s">
        <v>2</v>
      </c>
      <c r="E21" s="188"/>
      <c r="F21" s="271">
        <v>27792</v>
      </c>
      <c r="G21" s="271">
        <v>1702</v>
      </c>
      <c r="H21" s="271">
        <v>398</v>
      </c>
      <c r="I21" s="271">
        <v>4</v>
      </c>
      <c r="J21" s="273"/>
    </row>
    <row r="22" spans="1:10">
      <c r="A22" s="251">
        <v>10</v>
      </c>
      <c r="C22" s="251">
        <v>2019</v>
      </c>
      <c r="D22" s="251" t="s">
        <v>3</v>
      </c>
      <c r="E22" s="188"/>
      <c r="F22" s="271">
        <v>27781</v>
      </c>
      <c r="G22" s="271">
        <v>1698</v>
      </c>
      <c r="H22" s="271">
        <v>396</v>
      </c>
      <c r="I22" s="271">
        <v>4</v>
      </c>
      <c r="J22" s="273"/>
    </row>
    <row r="23" spans="1:10">
      <c r="A23" s="251">
        <v>11</v>
      </c>
      <c r="C23" s="251">
        <v>2019</v>
      </c>
      <c r="D23" s="251" t="s">
        <v>4</v>
      </c>
      <c r="E23" s="188"/>
      <c r="F23" s="271">
        <v>27853</v>
      </c>
      <c r="G23" s="271">
        <v>1705</v>
      </c>
      <c r="H23" s="271">
        <v>394</v>
      </c>
      <c r="I23" s="271">
        <v>4</v>
      </c>
      <c r="J23" s="273"/>
    </row>
    <row r="24" spans="1:10">
      <c r="A24" s="251">
        <v>12</v>
      </c>
      <c r="C24" s="251">
        <v>2019</v>
      </c>
      <c r="D24" s="251" t="s">
        <v>5</v>
      </c>
      <c r="E24" s="188"/>
      <c r="F24" s="271">
        <v>27795</v>
      </c>
      <c r="G24" s="271">
        <v>1702</v>
      </c>
      <c r="H24" s="271">
        <v>395</v>
      </c>
      <c r="I24" s="271">
        <v>4</v>
      </c>
      <c r="J24" s="273"/>
    </row>
    <row r="25" spans="1:10">
      <c r="A25" s="251">
        <v>13</v>
      </c>
      <c r="C25" s="5" t="s">
        <v>52</v>
      </c>
      <c r="D25" s="49"/>
      <c r="E25" s="267"/>
      <c r="F25" s="274">
        <f>ROUND(AVERAGE(F13:F24),0)</f>
        <v>27716</v>
      </c>
      <c r="G25" s="274">
        <f>ROUND(AVERAGE(G13:G24),0)</f>
        <v>1699</v>
      </c>
      <c r="H25" s="274">
        <f>ROUND(AVERAGE(H13:H24),0)</f>
        <v>397</v>
      </c>
      <c r="I25" s="274">
        <f>ROUND(AVERAGE(I13:I24),0)</f>
        <v>4</v>
      </c>
      <c r="J25" s="273"/>
    </row>
    <row r="26" spans="1:10">
      <c r="A26" s="251">
        <v>14</v>
      </c>
      <c r="C26" s="2"/>
    </row>
    <row r="27" spans="1:10">
      <c r="A27" s="251">
        <v>15</v>
      </c>
      <c r="C27" s="30" t="s">
        <v>67</v>
      </c>
      <c r="E27" s="267"/>
      <c r="F27" s="275">
        <f>F24-F25</f>
        <v>79</v>
      </c>
      <c r="G27" s="275">
        <f>G24-G25</f>
        <v>3</v>
      </c>
      <c r="H27" s="275">
        <f>H24-H25</f>
        <v>-2</v>
      </c>
      <c r="I27" s="275">
        <f>I24-I25</f>
        <v>0</v>
      </c>
      <c r="J27" s="273"/>
    </row>
    <row r="28" spans="1:10">
      <c r="A28" s="251">
        <v>16</v>
      </c>
      <c r="C28" s="2"/>
      <c r="D28" s="27"/>
      <c r="E28" s="267"/>
      <c r="F28" s="267"/>
      <c r="G28" s="267"/>
    </row>
    <row r="29" spans="1:10">
      <c r="A29" s="251">
        <v>17</v>
      </c>
      <c r="C29" s="2" t="s">
        <v>53</v>
      </c>
      <c r="D29" s="27"/>
      <c r="E29" s="267"/>
      <c r="F29" s="275">
        <v>334594628</v>
      </c>
      <c r="G29" s="275">
        <v>24557917</v>
      </c>
      <c r="H29" s="275">
        <v>72854700</v>
      </c>
      <c r="I29" s="275">
        <v>668885</v>
      </c>
      <c r="J29" s="273"/>
    </row>
    <row r="30" spans="1:10">
      <c r="A30" s="251">
        <v>18</v>
      </c>
      <c r="C30" s="2" t="s">
        <v>54</v>
      </c>
      <c r="D30" s="27"/>
      <c r="E30" s="267"/>
      <c r="F30" s="275">
        <f>F29/F25</f>
        <v>12072.255303795642</v>
      </c>
      <c r="G30" s="275">
        <f>G29/G25</f>
        <v>14454.336080047087</v>
      </c>
      <c r="H30" s="275">
        <f>H29/H25</f>
        <v>183513.09823677581</v>
      </c>
      <c r="I30" s="275">
        <f>I29/I25</f>
        <v>167221.25</v>
      </c>
      <c r="J30" s="273"/>
    </row>
    <row r="31" spans="1:10">
      <c r="A31" s="251">
        <v>19</v>
      </c>
      <c r="C31" s="2" t="s">
        <v>55</v>
      </c>
      <c r="D31" s="27"/>
      <c r="E31" s="267"/>
      <c r="F31" s="275">
        <f>F30*F27</f>
        <v>953708.16899985576</v>
      </c>
      <c r="G31" s="275">
        <f>G30*G27</f>
        <v>43363.008240141266</v>
      </c>
      <c r="H31" s="275">
        <f>H30*H27</f>
        <v>-367026.19647355162</v>
      </c>
      <c r="I31" s="275">
        <f>I30*I27</f>
        <v>0</v>
      </c>
      <c r="J31" s="276">
        <f>SUM(F31:I31)</f>
        <v>630044.9807664454</v>
      </c>
    </row>
    <row r="32" spans="1:10">
      <c r="A32" s="251">
        <v>20</v>
      </c>
      <c r="C32" s="2"/>
      <c r="D32" s="27"/>
      <c r="E32" s="267"/>
      <c r="F32" s="267"/>
      <c r="G32" s="267"/>
    </row>
    <row r="33" spans="1:10">
      <c r="A33" s="251">
        <v>21</v>
      </c>
      <c r="C33" s="277" t="s">
        <v>59</v>
      </c>
      <c r="D33" s="27"/>
      <c r="E33" s="267"/>
      <c r="F33" s="267"/>
      <c r="G33" s="267"/>
    </row>
    <row r="34" spans="1:10">
      <c r="A34" s="251">
        <v>22</v>
      </c>
      <c r="C34" s="2" t="s">
        <v>56</v>
      </c>
      <c r="D34" s="27"/>
      <c r="E34" s="267"/>
      <c r="F34" s="267">
        <v>38385532</v>
      </c>
      <c r="G34" s="267">
        <v>3067174</v>
      </c>
      <c r="H34" s="188">
        <v>8178912</v>
      </c>
      <c r="I34" s="188">
        <v>73795</v>
      </c>
      <c r="J34" s="273"/>
    </row>
    <row r="35" spans="1:10">
      <c r="A35" s="251">
        <v>23</v>
      </c>
      <c r="C35" s="2" t="s">
        <v>57</v>
      </c>
      <c r="D35" s="27"/>
      <c r="E35" s="267"/>
      <c r="F35" s="278">
        <f>F34/F29</f>
        <v>0.11472249937019312</v>
      </c>
      <c r="G35" s="278">
        <f>G34/G29</f>
        <v>0.12489552758077975</v>
      </c>
      <c r="H35" s="278">
        <f>H34/H29</f>
        <v>0.11226334059436111</v>
      </c>
      <c r="I35" s="278">
        <f>I34/I29</f>
        <v>0.11032539225726395</v>
      </c>
      <c r="J35" s="273"/>
    </row>
    <row r="36" spans="1:10">
      <c r="A36" s="251">
        <v>24</v>
      </c>
      <c r="C36" s="2" t="s">
        <v>58</v>
      </c>
      <c r="D36" s="27"/>
      <c r="E36" s="267"/>
      <c r="F36" s="267">
        <f>F35*F31</f>
        <v>109411.78481743399</v>
      </c>
      <c r="G36" s="267">
        <f>G35*G31</f>
        <v>5415.845791642143</v>
      </c>
      <c r="H36" s="267">
        <f>H35*H31</f>
        <v>-41203.586901763221</v>
      </c>
      <c r="I36" s="267">
        <f>I35*I31</f>
        <v>0</v>
      </c>
      <c r="J36" s="276">
        <f>SUM(F36:I36)</f>
        <v>73624.043707312914</v>
      </c>
    </row>
    <row r="37" spans="1:10">
      <c r="A37" s="251">
        <v>25</v>
      </c>
      <c r="C37" s="2"/>
      <c r="D37" s="27"/>
      <c r="E37" s="267"/>
      <c r="F37" s="267"/>
      <c r="G37" s="267"/>
      <c r="H37" s="267"/>
      <c r="I37" s="267"/>
    </row>
    <row r="38" spans="1:10">
      <c r="A38" s="251">
        <v>26</v>
      </c>
      <c r="C38" s="277" t="s">
        <v>60</v>
      </c>
      <c r="D38" s="27"/>
      <c r="E38" s="267"/>
      <c r="F38" s="267"/>
      <c r="G38" s="267"/>
      <c r="H38" s="267"/>
      <c r="I38" s="267"/>
    </row>
    <row r="39" spans="1:10">
      <c r="A39" s="251">
        <v>27</v>
      </c>
      <c r="C39" s="2" t="s">
        <v>69</v>
      </c>
      <c r="D39" s="27"/>
      <c r="E39" s="267"/>
      <c r="F39" s="279">
        <f>G56/G57</f>
        <v>7.8581257172365609E-2</v>
      </c>
      <c r="G39" s="279">
        <f>F39</f>
        <v>7.8581257172365609E-2</v>
      </c>
      <c r="H39" s="279">
        <f>G39</f>
        <v>7.8581257172365609E-2</v>
      </c>
      <c r="I39" s="279">
        <f>H39</f>
        <v>7.8581257172365609E-2</v>
      </c>
      <c r="J39" s="273"/>
    </row>
    <row r="40" spans="1:10">
      <c r="A40" s="251">
        <v>28</v>
      </c>
      <c r="C40" s="2" t="s">
        <v>61</v>
      </c>
      <c r="D40" s="27"/>
      <c r="E40" s="267"/>
      <c r="F40" s="267">
        <f>F39*F31</f>
        <v>74943.586895563581</v>
      </c>
      <c r="G40" s="267">
        <f>G39*G31</f>
        <v>3407.5197022859497</v>
      </c>
      <c r="H40" s="267">
        <f>H39*H31</f>
        <v>-28841.379934083347</v>
      </c>
      <c r="I40" s="267">
        <f>I39*I31</f>
        <v>0</v>
      </c>
      <c r="J40" s="280">
        <f>SUM(F40:I40)</f>
        <v>49509.726663766181</v>
      </c>
    </row>
    <row r="41" spans="1:10" ht="13.5" thickBot="1">
      <c r="A41" s="251">
        <v>29</v>
      </c>
      <c r="C41" s="281"/>
      <c r="D41" s="31"/>
      <c r="E41" s="282"/>
      <c r="F41" s="282"/>
      <c r="G41" s="282"/>
      <c r="H41" s="282"/>
      <c r="I41" s="282"/>
      <c r="J41" s="281"/>
    </row>
    <row r="42" spans="1:10" ht="13.5" thickTop="1">
      <c r="A42" s="251">
        <v>30</v>
      </c>
      <c r="C42" s="2"/>
      <c r="D42" s="27"/>
      <c r="E42" s="267"/>
    </row>
    <row r="43" spans="1:10">
      <c r="A43" s="251">
        <v>31</v>
      </c>
      <c r="C43" s="2"/>
      <c r="D43" s="2"/>
      <c r="E43" s="267"/>
      <c r="F43" s="283" t="s">
        <v>33</v>
      </c>
      <c r="G43" s="283" t="s">
        <v>24</v>
      </c>
      <c r="J43" s="283" t="s">
        <v>70</v>
      </c>
    </row>
    <row r="44" spans="1:10">
      <c r="A44" s="251">
        <v>32</v>
      </c>
      <c r="C44" s="2" t="s">
        <v>37</v>
      </c>
      <c r="D44" s="2"/>
      <c r="E44" s="267"/>
      <c r="F44" s="143">
        <v>0</v>
      </c>
      <c r="G44" s="143">
        <v>0</v>
      </c>
      <c r="J44" s="284">
        <f>F44-G44</f>
        <v>0</v>
      </c>
    </row>
    <row r="45" spans="1:10">
      <c r="A45" s="251">
        <v>33</v>
      </c>
      <c r="C45" s="2"/>
      <c r="D45" s="2"/>
      <c r="E45" s="267"/>
      <c r="F45" s="267"/>
    </row>
    <row r="46" spans="1:10">
      <c r="A46" s="251">
        <v>34</v>
      </c>
      <c r="C46" s="3" t="s">
        <v>38</v>
      </c>
      <c r="E46" s="188"/>
      <c r="F46" s="188">
        <f>J36</f>
        <v>73624.043707312914</v>
      </c>
      <c r="G46" s="188">
        <f>J40</f>
        <v>49509.726663766181</v>
      </c>
      <c r="J46" s="284">
        <f>F46-G46</f>
        <v>24114.317043546733</v>
      </c>
    </row>
    <row r="47" spans="1:10">
      <c r="A47" s="251">
        <v>35</v>
      </c>
    </row>
    <row r="48" spans="1:10" ht="13.5" thickBot="1">
      <c r="A48" s="251">
        <v>36</v>
      </c>
      <c r="C48" s="4" t="s">
        <v>15</v>
      </c>
      <c r="D48" s="4"/>
      <c r="E48" s="268"/>
      <c r="F48" s="269">
        <f>ROUND(F46-F44,2)</f>
        <v>73624.039999999994</v>
      </c>
      <c r="G48" s="269">
        <f>ROUND(G46-G44,2)</f>
        <v>49509.73</v>
      </c>
      <c r="J48" s="269">
        <f>ROUND(J46-J44,2)</f>
        <v>24114.32</v>
      </c>
    </row>
    <row r="49" spans="1:10" ht="13.5" thickTop="1">
      <c r="A49" s="251">
        <v>37</v>
      </c>
    </row>
    <row r="50" spans="1:10">
      <c r="A50" s="251">
        <v>38</v>
      </c>
    </row>
    <row r="51" spans="1:10">
      <c r="A51" s="251">
        <v>39</v>
      </c>
      <c r="C51" s="214" t="s">
        <v>68</v>
      </c>
      <c r="G51" s="285" t="s">
        <v>228</v>
      </c>
    </row>
    <row r="52" spans="1:10">
      <c r="A52" s="251">
        <v>40</v>
      </c>
      <c r="C52" s="2" t="s">
        <v>62</v>
      </c>
      <c r="D52" s="27"/>
      <c r="E52" s="267"/>
      <c r="G52" s="267">
        <v>39211840.719999999</v>
      </c>
    </row>
    <row r="53" spans="1:10">
      <c r="A53" s="251">
        <v>41</v>
      </c>
      <c r="C53" s="2" t="s">
        <v>64</v>
      </c>
      <c r="D53" s="27"/>
      <c r="E53" s="267"/>
      <c r="G53" s="267">
        <v>-432113</v>
      </c>
    </row>
    <row r="54" spans="1:10">
      <c r="A54" s="251">
        <v>42</v>
      </c>
      <c r="C54" s="2" t="s">
        <v>63</v>
      </c>
      <c r="D54" s="27"/>
      <c r="E54" s="267"/>
      <c r="G54" s="267">
        <v>-3166370</v>
      </c>
    </row>
    <row r="55" spans="1:10">
      <c r="A55" s="251">
        <v>43</v>
      </c>
      <c r="C55" s="2" t="s">
        <v>264</v>
      </c>
      <c r="D55" s="27"/>
      <c r="E55" s="267"/>
      <c r="G55" s="267">
        <v>1598742</v>
      </c>
    </row>
    <row r="56" spans="1:10">
      <c r="A56" s="251">
        <v>44</v>
      </c>
      <c r="C56" s="2" t="s">
        <v>65</v>
      </c>
      <c r="D56" s="27"/>
      <c r="E56" s="267"/>
      <c r="G56" s="267">
        <f>SUM(G52:G55)</f>
        <v>37212099.719999999</v>
      </c>
    </row>
    <row r="57" spans="1:10">
      <c r="A57" s="251">
        <v>45</v>
      </c>
      <c r="C57" s="2" t="s">
        <v>66</v>
      </c>
      <c r="D57" s="27"/>
      <c r="E57" s="267"/>
      <c r="G57" s="275">
        <v>473549305</v>
      </c>
    </row>
    <row r="59" spans="1:10" ht="27" customHeight="1">
      <c r="C59" s="313" t="s">
        <v>162</v>
      </c>
      <c r="D59" s="313"/>
      <c r="E59" s="313"/>
      <c r="F59" s="313"/>
      <c r="G59" s="313"/>
      <c r="H59" s="313"/>
      <c r="I59" s="313"/>
      <c r="J59" s="45"/>
    </row>
  </sheetData>
  <mergeCells count="4">
    <mergeCell ref="A4:J4"/>
    <mergeCell ref="A5:J5"/>
    <mergeCell ref="A7:J7"/>
    <mergeCell ref="C59:I59"/>
  </mergeCells>
  <printOptions horizontalCentered="1"/>
  <pageMargins left="0.25" right="0.25" top="0.75" bottom="0.75" header="0.5" footer="0.25"/>
  <pageSetup scale="72" orientation="portrait" r:id="rId1"/>
  <headerFooter alignWithMargins="0">
    <oddFooter>&amp;R&amp;"Times New Roman,Regular"Exhibit JW-2
Page &amp;P of &amp;N</oddFooter>
  </headerFooter>
  <ignoredErrors>
    <ignoredError sqref="C10:J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112"/>
  <sheetViews>
    <sheetView zoomScaleNormal="100" workbookViewId="0">
      <selection activeCell="I62" sqref="I62"/>
    </sheetView>
  </sheetViews>
  <sheetFormatPr defaultRowHeight="12.75"/>
  <cols>
    <col min="1" max="1" width="5.85546875" style="3" customWidth="1"/>
    <col min="2" max="2" width="11.140625" style="3" customWidth="1"/>
    <col min="3" max="3" width="30.5703125" style="3" bestFit="1" customWidth="1"/>
    <col min="4" max="4" width="12.28515625" style="3" customWidth="1"/>
    <col min="5" max="8" width="10.28515625" style="3" bestFit="1" customWidth="1"/>
    <col min="9" max="9" width="11.5703125" style="3" customWidth="1"/>
    <col min="10" max="16384" width="9.140625" style="3"/>
  </cols>
  <sheetData>
    <row r="1" spans="1:9">
      <c r="F1" s="171"/>
      <c r="I1" s="171" t="s">
        <v>257</v>
      </c>
    </row>
    <row r="2" spans="1:9" ht="20.25" customHeight="1">
      <c r="F2" s="171"/>
    </row>
    <row r="3" spans="1:9">
      <c r="A3" s="311" t="str">
        <f>RevReq!A1</f>
        <v>MEADE COUNTY R.E.C.C.</v>
      </c>
      <c r="B3" s="311"/>
      <c r="C3" s="311"/>
      <c r="D3" s="311"/>
      <c r="E3" s="311"/>
      <c r="F3" s="311"/>
      <c r="G3" s="311"/>
      <c r="H3" s="311"/>
      <c r="I3" s="311"/>
    </row>
    <row r="4" spans="1:9">
      <c r="A4" s="311" t="str">
        <f>RevReq!A3</f>
        <v>For the 12 Months Ended December 31, 2019</v>
      </c>
      <c r="B4" s="311"/>
      <c r="C4" s="311"/>
      <c r="D4" s="311"/>
      <c r="E4" s="311"/>
      <c r="F4" s="311"/>
      <c r="G4" s="311"/>
      <c r="H4" s="311"/>
      <c r="I4" s="311"/>
    </row>
    <row r="6" spans="1:9" s="172" customFormat="1" ht="15" customHeight="1">
      <c r="A6" s="316" t="s">
        <v>29</v>
      </c>
      <c r="B6" s="316"/>
      <c r="C6" s="316"/>
      <c r="D6" s="316"/>
      <c r="E6" s="316"/>
      <c r="F6" s="316"/>
      <c r="G6" s="316"/>
      <c r="H6" s="316"/>
      <c r="I6" s="316"/>
    </row>
    <row r="8" spans="1:9" s="253" customFormat="1" ht="38.25" customHeight="1">
      <c r="A8" s="253" t="s">
        <v>0</v>
      </c>
      <c r="B8" s="253" t="s">
        <v>139</v>
      </c>
      <c r="C8" s="253" t="s">
        <v>1</v>
      </c>
      <c r="D8" s="253" t="s">
        <v>136</v>
      </c>
      <c r="E8" s="253" t="s">
        <v>140</v>
      </c>
      <c r="F8" s="253" t="s">
        <v>92</v>
      </c>
      <c r="G8" s="253" t="s">
        <v>137</v>
      </c>
      <c r="H8" s="253" t="s">
        <v>138</v>
      </c>
      <c r="I8" s="253" t="s">
        <v>131</v>
      </c>
    </row>
    <row r="9" spans="1:9">
      <c r="A9" s="252" t="s">
        <v>21</v>
      </c>
      <c r="B9" s="266" t="s">
        <v>18</v>
      </c>
      <c r="C9" s="266" t="s">
        <v>20</v>
      </c>
      <c r="D9" s="266" t="s">
        <v>19</v>
      </c>
      <c r="E9" s="266" t="s">
        <v>25</v>
      </c>
      <c r="F9" s="266" t="s">
        <v>48</v>
      </c>
      <c r="G9" s="266" t="s">
        <v>49</v>
      </c>
      <c r="H9" s="266" t="s">
        <v>50</v>
      </c>
      <c r="I9" s="266" t="s">
        <v>51</v>
      </c>
    </row>
    <row r="10" spans="1:9">
      <c r="A10" s="251"/>
    </row>
    <row r="11" spans="1:9">
      <c r="A11" s="251">
        <v>1</v>
      </c>
      <c r="B11" s="286" t="s">
        <v>141</v>
      </c>
    </row>
    <row r="12" spans="1:9">
      <c r="A12" s="27">
        <f>A11+1</f>
        <v>2</v>
      </c>
      <c r="B12" s="129"/>
      <c r="D12" s="54"/>
    </row>
    <row r="13" spans="1:9">
      <c r="A13" s="27">
        <f t="shared" ref="A13:A76" si="0">A12+1</f>
        <v>3</v>
      </c>
      <c r="B13" s="247">
        <v>360</v>
      </c>
      <c r="C13" s="38" t="s">
        <v>147</v>
      </c>
      <c r="D13" s="54">
        <v>248272.96</v>
      </c>
      <c r="E13" s="54"/>
      <c r="F13" s="124"/>
      <c r="G13" s="54"/>
      <c r="H13" s="54"/>
      <c r="I13" s="54"/>
    </row>
    <row r="14" spans="1:9">
      <c r="A14" s="27">
        <f t="shared" si="0"/>
        <v>4</v>
      </c>
      <c r="B14" s="247">
        <v>362</v>
      </c>
      <c r="C14" s="38" t="s">
        <v>142</v>
      </c>
      <c r="D14" s="54">
        <v>11771751.34</v>
      </c>
      <c r="E14" s="287">
        <v>0</v>
      </c>
      <c r="F14" s="288">
        <v>2.3E-2</v>
      </c>
      <c r="G14" s="54">
        <f t="shared" ref="G14:G22" si="1">ROUND(((+D14-E14)*F14),2)</f>
        <v>270750.28000000003</v>
      </c>
      <c r="H14" s="287">
        <v>268395.96000000008</v>
      </c>
      <c r="I14" s="289">
        <f>G14-H14</f>
        <v>2354.3199999999488</v>
      </c>
    </row>
    <row r="15" spans="1:9">
      <c r="A15" s="27">
        <f t="shared" si="0"/>
        <v>5</v>
      </c>
      <c r="B15" s="247">
        <v>364</v>
      </c>
      <c r="C15" s="38" t="s">
        <v>143</v>
      </c>
      <c r="D15" s="54">
        <v>51614685.840000004</v>
      </c>
      <c r="E15" s="287">
        <v>0</v>
      </c>
      <c r="F15" s="288">
        <v>4.1500000000000002E-2</v>
      </c>
      <c r="G15" s="54">
        <f t="shared" si="1"/>
        <v>2142009.46</v>
      </c>
      <c r="H15" s="287">
        <v>2147416.2799999998</v>
      </c>
      <c r="I15" s="289">
        <f t="shared" ref="I15:I22" si="2">G15-H15</f>
        <v>-5406.8199999998324</v>
      </c>
    </row>
    <row r="16" spans="1:9">
      <c r="A16" s="27">
        <f t="shared" si="0"/>
        <v>6</v>
      </c>
      <c r="B16" s="247">
        <v>365</v>
      </c>
      <c r="C16" s="38" t="s">
        <v>144</v>
      </c>
      <c r="D16" s="54">
        <v>20580829.210000001</v>
      </c>
      <c r="E16" s="287">
        <v>0</v>
      </c>
      <c r="F16" s="288">
        <v>3.0099999999999998E-2</v>
      </c>
      <c r="G16" s="54">
        <f t="shared" si="1"/>
        <v>619482.96</v>
      </c>
      <c r="H16" s="287">
        <v>612964.65999999992</v>
      </c>
      <c r="I16" s="289">
        <f t="shared" si="2"/>
        <v>6518.3000000000466</v>
      </c>
    </row>
    <row r="17" spans="1:9">
      <c r="A17" s="27">
        <f t="shared" si="0"/>
        <v>7</v>
      </c>
      <c r="B17" s="247">
        <v>367</v>
      </c>
      <c r="C17" s="38" t="s">
        <v>145</v>
      </c>
      <c r="D17" s="54">
        <v>3784025.09</v>
      </c>
      <c r="E17" s="287">
        <v>0</v>
      </c>
      <c r="F17" s="288">
        <v>3.0800000000000001E-2</v>
      </c>
      <c r="G17" s="54">
        <f t="shared" si="1"/>
        <v>116547.97</v>
      </c>
      <c r="H17" s="287">
        <v>113715.67000000001</v>
      </c>
      <c r="I17" s="289">
        <f t="shared" si="2"/>
        <v>2832.2999999999884</v>
      </c>
    </row>
    <row r="18" spans="1:9">
      <c r="A18" s="27">
        <f t="shared" si="0"/>
        <v>8</v>
      </c>
      <c r="B18" s="247">
        <v>368</v>
      </c>
      <c r="C18" s="38" t="s">
        <v>146</v>
      </c>
      <c r="D18" s="54">
        <v>15976025.57</v>
      </c>
      <c r="E18" s="287">
        <v>0</v>
      </c>
      <c r="F18" s="288">
        <v>2.1000000000000001E-2</v>
      </c>
      <c r="G18" s="54">
        <f t="shared" si="1"/>
        <v>335496.53999999998</v>
      </c>
      <c r="H18" s="287">
        <v>342244.92999999993</v>
      </c>
      <c r="I18" s="289">
        <f t="shared" si="2"/>
        <v>-6748.3899999999558</v>
      </c>
    </row>
    <row r="19" spans="1:9">
      <c r="A19" s="27">
        <f t="shared" si="0"/>
        <v>9</v>
      </c>
      <c r="B19" s="247">
        <v>369</v>
      </c>
      <c r="C19" s="38" t="s">
        <v>94</v>
      </c>
      <c r="D19" s="54">
        <v>4417660.0999999996</v>
      </c>
      <c r="E19" s="287">
        <v>0</v>
      </c>
      <c r="F19" s="288">
        <v>3.4299999999999997E-2</v>
      </c>
      <c r="G19" s="54">
        <f t="shared" si="1"/>
        <v>151525.74</v>
      </c>
      <c r="H19" s="287">
        <v>152378.54999999999</v>
      </c>
      <c r="I19" s="289">
        <f t="shared" si="2"/>
        <v>-852.80999999999767</v>
      </c>
    </row>
    <row r="20" spans="1:9">
      <c r="A20" s="27">
        <f t="shared" si="0"/>
        <v>10</v>
      </c>
      <c r="B20" s="247">
        <v>370</v>
      </c>
      <c r="C20" s="38" t="s">
        <v>123</v>
      </c>
      <c r="D20" s="54">
        <v>5815586.8300000001</v>
      </c>
      <c r="E20" s="287">
        <v>0</v>
      </c>
      <c r="F20" s="288">
        <v>6.6699999999999995E-2</v>
      </c>
      <c r="G20" s="54">
        <f t="shared" si="1"/>
        <v>387899.64</v>
      </c>
      <c r="H20" s="287">
        <v>392564.99</v>
      </c>
      <c r="I20" s="289">
        <f t="shared" si="2"/>
        <v>-4665.3499999999767</v>
      </c>
    </row>
    <row r="21" spans="1:9">
      <c r="A21" s="27">
        <f t="shared" si="0"/>
        <v>11</v>
      </c>
      <c r="B21" s="247">
        <v>371</v>
      </c>
      <c r="C21" s="38" t="s">
        <v>263</v>
      </c>
      <c r="D21" s="54">
        <v>4087561.6</v>
      </c>
      <c r="E21" s="287">
        <v>0</v>
      </c>
      <c r="F21" s="288">
        <v>3.7600000000000001E-2</v>
      </c>
      <c r="G21" s="54">
        <f t="shared" si="1"/>
        <v>153692.32</v>
      </c>
      <c r="H21" s="287">
        <v>148385.76999999999</v>
      </c>
      <c r="I21" s="289">
        <f t="shared" si="2"/>
        <v>5306.5500000000175</v>
      </c>
    </row>
    <row r="22" spans="1:9">
      <c r="A22" s="27">
        <f t="shared" si="0"/>
        <v>12</v>
      </c>
      <c r="B22" s="247">
        <v>373</v>
      </c>
      <c r="C22" s="38" t="s">
        <v>229</v>
      </c>
      <c r="D22" s="54">
        <v>118205.35</v>
      </c>
      <c r="E22" s="287">
        <v>118205</v>
      </c>
      <c r="F22" s="288">
        <v>3.0300000000000001E-2</v>
      </c>
      <c r="G22" s="54">
        <f t="shared" si="1"/>
        <v>0.01</v>
      </c>
      <c r="H22" s="287">
        <v>0</v>
      </c>
      <c r="I22" s="289">
        <f t="shared" si="2"/>
        <v>0.01</v>
      </c>
    </row>
    <row r="23" spans="1:9">
      <c r="A23" s="27">
        <f t="shared" si="0"/>
        <v>13</v>
      </c>
      <c r="B23" s="2"/>
      <c r="C23" s="213" t="s">
        <v>22</v>
      </c>
      <c r="D23" s="290">
        <f>SUM(D12:D22)</f>
        <v>118414603.88999997</v>
      </c>
      <c r="E23" s="291">
        <f>SUM(E14:E22)</f>
        <v>118205</v>
      </c>
      <c r="F23" s="290"/>
      <c r="G23" s="290">
        <f>SUM(G14:G22)</f>
        <v>4177404.92</v>
      </c>
      <c r="H23" s="290">
        <v>4178066.8100000005</v>
      </c>
      <c r="I23" s="290">
        <f>SUM(I14:I22)</f>
        <v>-661.88999999976136</v>
      </c>
    </row>
    <row r="24" spans="1:9">
      <c r="A24" s="27">
        <f t="shared" si="0"/>
        <v>14</v>
      </c>
      <c r="B24" s="2"/>
      <c r="C24" s="2"/>
      <c r="D24" s="2"/>
      <c r="E24" s="2"/>
      <c r="F24" s="2"/>
      <c r="G24" s="2"/>
      <c r="H24" s="2"/>
      <c r="I24" s="2"/>
    </row>
    <row r="25" spans="1:9">
      <c r="A25" s="27">
        <f t="shared" si="0"/>
        <v>15</v>
      </c>
      <c r="B25" s="292" t="s">
        <v>148</v>
      </c>
      <c r="C25" s="2"/>
      <c r="D25" s="2"/>
      <c r="E25" s="2"/>
      <c r="F25" s="2"/>
      <c r="G25" s="2"/>
      <c r="H25" s="2"/>
      <c r="I25" s="2"/>
    </row>
    <row r="26" spans="1:9">
      <c r="A26" s="27">
        <f t="shared" si="0"/>
        <v>16</v>
      </c>
      <c r="B26" s="247">
        <v>389</v>
      </c>
      <c r="C26" s="38" t="s">
        <v>147</v>
      </c>
      <c r="D26" s="54">
        <v>293644.03000000003</v>
      </c>
      <c r="E26" s="54"/>
      <c r="F26" s="55"/>
      <c r="G26" s="54"/>
      <c r="H26" s="54"/>
      <c r="I26" s="267"/>
    </row>
    <row r="27" spans="1:9">
      <c r="A27" s="27">
        <f t="shared" si="0"/>
        <v>17</v>
      </c>
      <c r="B27" s="247">
        <v>390.1</v>
      </c>
      <c r="C27" s="38" t="s">
        <v>365</v>
      </c>
      <c r="D27" s="54">
        <v>1296422.24</v>
      </c>
      <c r="E27" s="287">
        <v>437262.67</v>
      </c>
      <c r="F27" s="288">
        <v>2.5000000000000001E-2</v>
      </c>
      <c r="G27" s="54">
        <f t="shared" ref="G27:G75" si="3">ROUND(((+D27-E27)*F27),2)</f>
        <v>21478.99</v>
      </c>
      <c r="H27" s="293"/>
      <c r="I27" s="289">
        <f t="shared" ref="I27:I75" si="4">G27-H27</f>
        <v>21478.99</v>
      </c>
    </row>
    <row r="28" spans="1:9">
      <c r="A28" s="27">
        <f t="shared" si="0"/>
        <v>18</v>
      </c>
      <c r="B28" s="247"/>
      <c r="D28" s="54">
        <v>461454.75</v>
      </c>
      <c r="E28" s="287">
        <v>213386.86999999997</v>
      </c>
      <c r="F28" s="288">
        <v>0.03</v>
      </c>
      <c r="G28" s="54">
        <f t="shared" si="3"/>
        <v>7442.04</v>
      </c>
      <c r="H28" s="293"/>
      <c r="I28" s="289">
        <f t="shared" si="4"/>
        <v>7442.04</v>
      </c>
    </row>
    <row r="29" spans="1:9">
      <c r="A29" s="27">
        <f t="shared" si="0"/>
        <v>19</v>
      </c>
      <c r="B29" s="247"/>
      <c r="D29" s="54">
        <v>1550867.8900000001</v>
      </c>
      <c r="E29" s="287">
        <v>1516362.55</v>
      </c>
      <c r="F29" s="288">
        <v>0.06</v>
      </c>
      <c r="G29" s="54">
        <f t="shared" si="3"/>
        <v>2070.3200000000002</v>
      </c>
      <c r="H29" s="293"/>
      <c r="I29" s="289">
        <f t="shared" si="4"/>
        <v>2070.3200000000002</v>
      </c>
    </row>
    <row r="30" spans="1:9">
      <c r="A30" s="27">
        <f t="shared" si="0"/>
        <v>20</v>
      </c>
      <c r="B30" s="247"/>
      <c r="D30" s="54">
        <v>126027.67</v>
      </c>
      <c r="E30" s="287">
        <v>19395.150000000001</v>
      </c>
      <c r="F30" s="288">
        <v>6.6699999999999995E-2</v>
      </c>
      <c r="G30" s="54">
        <f t="shared" si="3"/>
        <v>7112.39</v>
      </c>
      <c r="H30" s="293"/>
      <c r="I30" s="289">
        <f t="shared" si="4"/>
        <v>7112.39</v>
      </c>
    </row>
    <row r="31" spans="1:9">
      <c r="A31" s="27">
        <f t="shared" si="0"/>
        <v>21</v>
      </c>
      <c r="B31" s="247"/>
      <c r="D31" s="54">
        <v>28632.19</v>
      </c>
      <c r="E31" s="287">
        <v>28632.19</v>
      </c>
      <c r="F31" s="288">
        <v>0.1</v>
      </c>
      <c r="G31" s="54">
        <f t="shared" si="3"/>
        <v>0</v>
      </c>
      <c r="H31" s="293"/>
      <c r="I31" s="289">
        <f t="shared" si="4"/>
        <v>0</v>
      </c>
    </row>
    <row r="32" spans="1:9">
      <c r="A32" s="27">
        <f t="shared" si="0"/>
        <v>22</v>
      </c>
      <c r="B32" s="247"/>
      <c r="D32" s="54">
        <v>59592.609999999993</v>
      </c>
      <c r="E32" s="287">
        <v>50845.939999999995</v>
      </c>
      <c r="F32" s="288">
        <v>0.2</v>
      </c>
      <c r="G32" s="54">
        <f t="shared" si="3"/>
        <v>1749.33</v>
      </c>
      <c r="H32" s="293"/>
      <c r="I32" s="289">
        <f t="shared" si="4"/>
        <v>1749.33</v>
      </c>
    </row>
    <row r="33" spans="1:9">
      <c r="A33" s="27">
        <f t="shared" si="0"/>
        <v>23</v>
      </c>
      <c r="B33" s="247"/>
      <c r="D33" s="54">
        <v>10879.06</v>
      </c>
      <c r="E33" s="287">
        <v>10879.06</v>
      </c>
      <c r="F33" s="288">
        <v>0.33339999999999997</v>
      </c>
      <c r="G33" s="54">
        <f t="shared" si="3"/>
        <v>0</v>
      </c>
      <c r="H33" s="293"/>
      <c r="I33" s="289">
        <f t="shared" si="4"/>
        <v>0</v>
      </c>
    </row>
    <row r="34" spans="1:9">
      <c r="A34" s="27">
        <f t="shared" si="0"/>
        <v>24</v>
      </c>
      <c r="B34" s="247"/>
      <c r="D34" s="54">
        <v>1877.62</v>
      </c>
      <c r="E34" s="287">
        <v>1877.62</v>
      </c>
      <c r="F34" s="288">
        <v>0.33360000000000001</v>
      </c>
      <c r="G34" s="54">
        <f t="shared" si="3"/>
        <v>0</v>
      </c>
      <c r="H34" s="293"/>
      <c r="I34" s="289">
        <f t="shared" si="4"/>
        <v>0</v>
      </c>
    </row>
    <row r="35" spans="1:9">
      <c r="A35" s="27">
        <f t="shared" si="0"/>
        <v>25</v>
      </c>
      <c r="B35" s="247"/>
      <c r="C35" s="230" t="s">
        <v>378</v>
      </c>
      <c r="D35" s="132">
        <f>SUM(D27:D34)</f>
        <v>3535754.03</v>
      </c>
      <c r="E35" s="132">
        <f t="shared" ref="E35:G35" si="5">SUM(E27:E34)</f>
        <v>2278642.0499999998</v>
      </c>
      <c r="F35" s="132"/>
      <c r="G35" s="132">
        <f t="shared" si="5"/>
        <v>39853.070000000007</v>
      </c>
      <c r="H35" s="294">
        <v>60664.73</v>
      </c>
      <c r="I35" s="132">
        <f>G35-H35</f>
        <v>-20811.659999999996</v>
      </c>
    </row>
    <row r="36" spans="1:9">
      <c r="A36" s="27">
        <f t="shared" si="0"/>
        <v>26</v>
      </c>
      <c r="B36" s="247">
        <v>391.1</v>
      </c>
      <c r="C36" s="38" t="s">
        <v>366</v>
      </c>
      <c r="D36" s="54">
        <v>80331.340000000026</v>
      </c>
      <c r="E36" s="287">
        <v>80331.340000000026</v>
      </c>
      <c r="F36" s="288">
        <v>0.06</v>
      </c>
      <c r="G36" s="54">
        <f t="shared" si="3"/>
        <v>0</v>
      </c>
      <c r="H36" s="293"/>
      <c r="I36" s="289">
        <f t="shared" si="4"/>
        <v>0</v>
      </c>
    </row>
    <row r="37" spans="1:9">
      <c r="A37" s="27">
        <f t="shared" si="0"/>
        <v>27</v>
      </c>
      <c r="B37" s="247"/>
      <c r="D37" s="54">
        <v>6427.4699999999993</v>
      </c>
      <c r="E37" s="287">
        <v>6219.5899999999992</v>
      </c>
      <c r="F37" s="288">
        <v>6.6699999999999995E-2</v>
      </c>
      <c r="G37" s="54">
        <f t="shared" si="3"/>
        <v>13.87</v>
      </c>
      <c r="H37" s="293"/>
      <c r="I37" s="289">
        <f t="shared" si="4"/>
        <v>13.87</v>
      </c>
    </row>
    <row r="38" spans="1:9">
      <c r="A38" s="27">
        <f t="shared" si="0"/>
        <v>28</v>
      </c>
      <c r="B38" s="247"/>
      <c r="D38" s="54">
        <v>2544</v>
      </c>
      <c r="E38" s="287">
        <v>2544</v>
      </c>
      <c r="F38" s="288">
        <v>0.12959999999999999</v>
      </c>
      <c r="G38" s="54">
        <f t="shared" si="3"/>
        <v>0</v>
      </c>
      <c r="H38" s="293"/>
      <c r="I38" s="289">
        <f t="shared" si="4"/>
        <v>0</v>
      </c>
    </row>
    <row r="39" spans="1:9">
      <c r="A39" s="27">
        <f t="shared" si="0"/>
        <v>29</v>
      </c>
      <c r="B39" s="247"/>
      <c r="D39" s="54">
        <v>2247.9899999999998</v>
      </c>
      <c r="E39" s="287">
        <v>419.68</v>
      </c>
      <c r="F39" s="288">
        <v>0.14000000000000001</v>
      </c>
      <c r="G39" s="54">
        <f t="shared" si="3"/>
        <v>255.96</v>
      </c>
      <c r="H39" s="293"/>
      <c r="I39" s="289">
        <f t="shared" si="4"/>
        <v>255.96</v>
      </c>
    </row>
    <row r="40" spans="1:9">
      <c r="A40" s="27">
        <f t="shared" si="0"/>
        <v>30</v>
      </c>
      <c r="B40" s="247"/>
      <c r="D40" s="54">
        <v>132740.93</v>
      </c>
      <c r="E40" s="287">
        <v>70244.479999999981</v>
      </c>
      <c r="F40" s="288">
        <v>0.14280000000000001</v>
      </c>
      <c r="G40" s="54">
        <f t="shared" si="3"/>
        <v>8924.49</v>
      </c>
      <c r="H40" s="293"/>
      <c r="I40" s="289">
        <f t="shared" si="4"/>
        <v>8924.49</v>
      </c>
    </row>
    <row r="41" spans="1:9">
      <c r="A41" s="27">
        <f t="shared" si="0"/>
        <v>31</v>
      </c>
      <c r="B41" s="247"/>
      <c r="D41" s="54">
        <v>8930.99</v>
      </c>
      <c r="E41" s="287">
        <v>8930.99</v>
      </c>
      <c r="F41" s="288">
        <v>0.1429</v>
      </c>
      <c r="G41" s="54">
        <f t="shared" si="3"/>
        <v>0</v>
      </c>
      <c r="H41" s="293"/>
      <c r="I41" s="289">
        <f t="shared" si="4"/>
        <v>0</v>
      </c>
    </row>
    <row r="42" spans="1:9">
      <c r="A42" s="27">
        <f t="shared" si="0"/>
        <v>32</v>
      </c>
      <c r="B42" s="247"/>
      <c r="D42" s="54">
        <v>388404.08000000007</v>
      </c>
      <c r="E42" s="287">
        <v>269204.23999999993</v>
      </c>
      <c r="F42" s="288">
        <v>0.2</v>
      </c>
      <c r="G42" s="54">
        <f t="shared" si="3"/>
        <v>23839.97</v>
      </c>
      <c r="H42" s="293"/>
      <c r="I42" s="289">
        <f t="shared" si="4"/>
        <v>23839.97</v>
      </c>
    </row>
    <row r="43" spans="1:9">
      <c r="A43" s="27">
        <f t="shared" si="0"/>
        <v>33</v>
      </c>
      <c r="B43" s="247"/>
      <c r="D43" s="54">
        <v>3871.12</v>
      </c>
      <c r="E43" s="287">
        <v>2209.04</v>
      </c>
      <c r="F43" s="288">
        <v>0.25</v>
      </c>
      <c r="G43" s="54">
        <f t="shared" si="3"/>
        <v>415.52</v>
      </c>
      <c r="H43" s="293"/>
      <c r="I43" s="289">
        <f t="shared" si="4"/>
        <v>415.52</v>
      </c>
    </row>
    <row r="44" spans="1:9">
      <c r="A44" s="27">
        <f t="shared" si="0"/>
        <v>34</v>
      </c>
      <c r="B44" s="247"/>
      <c r="D44" s="54">
        <v>16030.380000000001</v>
      </c>
      <c r="E44" s="287">
        <v>16030.380000000001</v>
      </c>
      <c r="F44" s="288">
        <v>0.3332</v>
      </c>
      <c r="G44" s="54">
        <f t="shared" si="3"/>
        <v>0</v>
      </c>
      <c r="H44" s="293"/>
      <c r="I44" s="289">
        <f t="shared" si="4"/>
        <v>0</v>
      </c>
    </row>
    <row r="45" spans="1:9">
      <c r="A45" s="27">
        <f t="shared" si="0"/>
        <v>35</v>
      </c>
      <c r="B45" s="247"/>
      <c r="D45" s="54">
        <v>355139.90999999986</v>
      </c>
      <c r="E45" s="287">
        <v>339786.79</v>
      </c>
      <c r="F45" s="288">
        <v>0.33339999999999997</v>
      </c>
      <c r="G45" s="54">
        <f t="shared" si="3"/>
        <v>5118.7299999999996</v>
      </c>
      <c r="H45" s="293"/>
      <c r="I45" s="289">
        <f t="shared" si="4"/>
        <v>5118.7299999999996</v>
      </c>
    </row>
    <row r="46" spans="1:9">
      <c r="A46" s="27">
        <f t="shared" si="0"/>
        <v>36</v>
      </c>
      <c r="B46" s="247"/>
      <c r="D46" s="54">
        <v>85013.28</v>
      </c>
      <c r="E46" s="287">
        <v>85013.28</v>
      </c>
      <c r="F46" s="288">
        <v>0.33360000000000001</v>
      </c>
      <c r="G46" s="54">
        <f t="shared" si="3"/>
        <v>0</v>
      </c>
      <c r="H46" s="293"/>
      <c r="I46" s="289">
        <f t="shared" si="4"/>
        <v>0</v>
      </c>
    </row>
    <row r="47" spans="1:9">
      <c r="A47" s="27">
        <f t="shared" si="0"/>
        <v>37</v>
      </c>
      <c r="B47" s="247"/>
      <c r="D47" s="54">
        <v>2388.8000000000002</v>
      </c>
      <c r="E47" s="287">
        <v>2388.8000000000002</v>
      </c>
      <c r="F47" s="288">
        <v>1</v>
      </c>
      <c r="G47" s="54">
        <f t="shared" si="3"/>
        <v>0</v>
      </c>
      <c r="H47" s="293"/>
      <c r="I47" s="289">
        <f t="shared" si="4"/>
        <v>0</v>
      </c>
    </row>
    <row r="48" spans="1:9">
      <c r="A48" s="27">
        <f t="shared" si="0"/>
        <v>38</v>
      </c>
      <c r="B48" s="247"/>
      <c r="C48" s="230" t="s">
        <v>378</v>
      </c>
      <c r="D48" s="132">
        <f>SUM(D36:D47)</f>
        <v>1084070.29</v>
      </c>
      <c r="E48" s="132">
        <f t="shared" ref="E48:G48" si="6">SUM(E36:E47)</f>
        <v>883322.61</v>
      </c>
      <c r="F48" s="132"/>
      <c r="G48" s="132">
        <f t="shared" si="6"/>
        <v>38568.539999999994</v>
      </c>
      <c r="H48" s="294">
        <v>86183.22</v>
      </c>
      <c r="I48" s="132">
        <f>G48-H48</f>
        <v>-47614.680000000008</v>
      </c>
    </row>
    <row r="49" spans="1:9">
      <c r="A49" s="27">
        <f t="shared" si="0"/>
        <v>39</v>
      </c>
      <c r="B49" s="247">
        <v>393.1</v>
      </c>
      <c r="C49" s="38" t="s">
        <v>367</v>
      </c>
      <c r="D49" s="54">
        <v>24443.729999999996</v>
      </c>
      <c r="E49" s="287">
        <v>24443.729999999996</v>
      </c>
      <c r="F49" s="288">
        <v>0.06</v>
      </c>
      <c r="G49" s="54">
        <f t="shared" si="3"/>
        <v>0</v>
      </c>
      <c r="H49" s="293"/>
      <c r="I49" s="289">
        <f t="shared" si="4"/>
        <v>0</v>
      </c>
    </row>
    <row r="50" spans="1:9">
      <c r="A50" s="27">
        <f t="shared" si="0"/>
        <v>40</v>
      </c>
      <c r="B50" s="247"/>
      <c r="D50" s="54">
        <v>13268.3</v>
      </c>
      <c r="E50" s="287">
        <v>5891.76</v>
      </c>
      <c r="F50" s="288">
        <v>6.6600000000000006E-2</v>
      </c>
      <c r="G50" s="54">
        <f t="shared" si="3"/>
        <v>491.28</v>
      </c>
      <c r="H50" s="293"/>
      <c r="I50" s="289">
        <f t="shared" si="4"/>
        <v>491.28</v>
      </c>
    </row>
    <row r="51" spans="1:9">
      <c r="A51" s="27">
        <f t="shared" si="0"/>
        <v>41</v>
      </c>
      <c r="B51" s="247"/>
      <c r="D51" s="54">
        <v>3228.5</v>
      </c>
      <c r="E51" s="287">
        <v>3228.5</v>
      </c>
      <c r="F51" s="288">
        <v>0.14280000000000001</v>
      </c>
      <c r="G51" s="54">
        <f t="shared" si="3"/>
        <v>0</v>
      </c>
      <c r="H51" s="293"/>
      <c r="I51" s="289">
        <f t="shared" si="4"/>
        <v>0</v>
      </c>
    </row>
    <row r="52" spans="1:9">
      <c r="A52" s="27">
        <f t="shared" si="0"/>
        <v>42</v>
      </c>
      <c r="B52" s="247"/>
      <c r="D52" s="54">
        <v>3037.01</v>
      </c>
      <c r="E52" s="287">
        <v>3037.01</v>
      </c>
      <c r="F52" s="288">
        <v>0.23880000000000001</v>
      </c>
      <c r="G52" s="54">
        <f t="shared" si="3"/>
        <v>0</v>
      </c>
      <c r="H52" s="293"/>
      <c r="I52" s="289">
        <f t="shared" si="4"/>
        <v>0</v>
      </c>
    </row>
    <row r="53" spans="1:9">
      <c r="A53" s="27">
        <f t="shared" si="0"/>
        <v>43</v>
      </c>
      <c r="B53" s="247"/>
      <c r="D53" s="54">
        <v>4490.6799999999994</v>
      </c>
      <c r="E53" s="287">
        <v>3621.0099999999998</v>
      </c>
      <c r="F53" s="288">
        <v>0.25</v>
      </c>
      <c r="G53" s="54">
        <f t="shared" si="3"/>
        <v>217.42</v>
      </c>
      <c r="H53" s="293"/>
      <c r="I53" s="289">
        <f t="shared" si="4"/>
        <v>217.42</v>
      </c>
    </row>
    <row r="54" spans="1:9">
      <c r="A54" s="27">
        <f t="shared" si="0"/>
        <v>44</v>
      </c>
      <c r="B54" s="247"/>
      <c r="C54" s="230" t="s">
        <v>378</v>
      </c>
      <c r="D54" s="132">
        <f>SUM(D49:D53)</f>
        <v>48468.22</v>
      </c>
      <c r="E54" s="132">
        <f t="shared" ref="E54:G54" si="7">SUM(E49:E53)</f>
        <v>40222.01</v>
      </c>
      <c r="F54" s="132"/>
      <c r="G54" s="132">
        <f t="shared" si="7"/>
        <v>708.69999999999993</v>
      </c>
      <c r="H54" s="294">
        <v>1305.2</v>
      </c>
      <c r="I54" s="132">
        <f>G54-H54</f>
        <v>-596.50000000000011</v>
      </c>
    </row>
    <row r="55" spans="1:9">
      <c r="A55" s="27">
        <f t="shared" si="0"/>
        <v>45</v>
      </c>
      <c r="B55" s="247">
        <v>394.1</v>
      </c>
      <c r="C55" s="38" t="s">
        <v>368</v>
      </c>
      <c r="D55" s="54">
        <v>6779.76</v>
      </c>
      <c r="E55" s="287">
        <v>6779.76</v>
      </c>
      <c r="F55" s="288">
        <v>0.05</v>
      </c>
      <c r="G55" s="54">
        <f t="shared" si="3"/>
        <v>0</v>
      </c>
      <c r="H55" s="293"/>
      <c r="I55" s="289">
        <f t="shared" si="4"/>
        <v>0</v>
      </c>
    </row>
    <row r="56" spans="1:9">
      <c r="A56" s="27">
        <f t="shared" si="0"/>
        <v>46</v>
      </c>
      <c r="B56" s="247"/>
      <c r="D56" s="54">
        <v>2493.75</v>
      </c>
      <c r="E56" s="287">
        <v>2493.75</v>
      </c>
      <c r="F56" s="288">
        <v>0.06</v>
      </c>
      <c r="G56" s="54">
        <f t="shared" si="3"/>
        <v>0</v>
      </c>
      <c r="H56" s="293"/>
      <c r="I56" s="289">
        <f t="shared" si="4"/>
        <v>0</v>
      </c>
    </row>
    <row r="57" spans="1:9">
      <c r="A57" s="27">
        <f t="shared" si="0"/>
        <v>47</v>
      </c>
      <c r="B57" s="247"/>
      <c r="D57" s="54">
        <v>21290.48</v>
      </c>
      <c r="E57" s="287">
        <v>21290.48</v>
      </c>
      <c r="F57" s="288">
        <v>6.6600000000000006E-2</v>
      </c>
      <c r="G57" s="54">
        <f t="shared" si="3"/>
        <v>0</v>
      </c>
      <c r="H57" s="293"/>
      <c r="I57" s="289">
        <f t="shared" si="4"/>
        <v>0</v>
      </c>
    </row>
    <row r="58" spans="1:9">
      <c r="A58" s="27">
        <f t="shared" si="0"/>
        <v>48</v>
      </c>
      <c r="B58" s="247"/>
      <c r="D58" s="54">
        <v>4240</v>
      </c>
      <c r="E58" s="287">
        <v>4240</v>
      </c>
      <c r="F58" s="288">
        <v>0.12959999999999999</v>
      </c>
      <c r="G58" s="54">
        <f t="shared" si="3"/>
        <v>0</v>
      </c>
      <c r="H58" s="293"/>
      <c r="I58" s="289">
        <f t="shared" si="4"/>
        <v>0</v>
      </c>
    </row>
    <row r="59" spans="1:9">
      <c r="A59" s="27">
        <f t="shared" si="0"/>
        <v>49</v>
      </c>
      <c r="B59" s="247"/>
      <c r="D59" s="54">
        <v>5799.95</v>
      </c>
      <c r="E59" s="287">
        <v>5799.95</v>
      </c>
      <c r="F59" s="288">
        <v>0.19989999999999999</v>
      </c>
      <c r="G59" s="54">
        <f t="shared" si="3"/>
        <v>0</v>
      </c>
      <c r="H59" s="293"/>
      <c r="I59" s="289">
        <f t="shared" si="4"/>
        <v>0</v>
      </c>
    </row>
    <row r="60" spans="1:9">
      <c r="A60" s="27">
        <f t="shared" si="0"/>
        <v>50</v>
      </c>
      <c r="B60" s="247"/>
      <c r="D60" s="54">
        <v>30120.560000000005</v>
      </c>
      <c r="E60" s="287">
        <v>26621.070000000003</v>
      </c>
      <c r="F60" s="288">
        <v>0.2</v>
      </c>
      <c r="G60" s="54">
        <f t="shared" si="3"/>
        <v>699.9</v>
      </c>
      <c r="H60" s="293"/>
      <c r="I60" s="289">
        <f t="shared" si="4"/>
        <v>699.9</v>
      </c>
    </row>
    <row r="61" spans="1:9">
      <c r="A61" s="27">
        <f t="shared" si="0"/>
        <v>51</v>
      </c>
      <c r="B61" s="247"/>
      <c r="D61" s="54">
        <v>99766.189999999973</v>
      </c>
      <c r="E61" s="287">
        <v>86269.329999999973</v>
      </c>
      <c r="F61" s="288">
        <v>0.25</v>
      </c>
      <c r="G61" s="54">
        <f t="shared" si="3"/>
        <v>3374.22</v>
      </c>
      <c r="H61" s="293"/>
      <c r="I61" s="289">
        <f t="shared" si="4"/>
        <v>3374.22</v>
      </c>
    </row>
    <row r="62" spans="1:9">
      <c r="A62" s="27">
        <f t="shared" si="0"/>
        <v>52</v>
      </c>
      <c r="B62" s="247"/>
      <c r="D62" s="54">
        <v>10429.58</v>
      </c>
      <c r="E62" s="287">
        <v>9036.0999999999985</v>
      </c>
      <c r="F62" s="288">
        <v>0.33339999999999997</v>
      </c>
      <c r="G62" s="54">
        <f t="shared" si="3"/>
        <v>464.59</v>
      </c>
      <c r="H62" s="293"/>
      <c r="I62" s="289">
        <f t="shared" si="4"/>
        <v>464.59</v>
      </c>
    </row>
    <row r="63" spans="1:9">
      <c r="A63" s="27">
        <f t="shared" si="0"/>
        <v>53</v>
      </c>
      <c r="B63" s="247"/>
      <c r="D63" s="54">
        <v>47011.479999999996</v>
      </c>
      <c r="E63" s="287">
        <v>47011.479999999996</v>
      </c>
      <c r="F63" s="288">
        <v>0.8</v>
      </c>
      <c r="G63" s="54">
        <f t="shared" si="3"/>
        <v>0</v>
      </c>
      <c r="H63" s="293"/>
      <c r="I63" s="289">
        <f t="shared" si="4"/>
        <v>0</v>
      </c>
    </row>
    <row r="64" spans="1:9">
      <c r="A64" s="27">
        <f t="shared" si="0"/>
        <v>54</v>
      </c>
      <c r="B64" s="247"/>
      <c r="D64" s="54">
        <v>1242.0899999999999</v>
      </c>
      <c r="E64" s="287">
        <v>1242.0899999999999</v>
      </c>
      <c r="F64" s="288">
        <v>1</v>
      </c>
      <c r="G64" s="54">
        <f t="shared" si="3"/>
        <v>0</v>
      </c>
      <c r="H64" s="293"/>
      <c r="I64" s="289">
        <f t="shared" si="4"/>
        <v>0</v>
      </c>
    </row>
    <row r="65" spans="1:12">
      <c r="A65" s="27">
        <f t="shared" si="0"/>
        <v>55</v>
      </c>
      <c r="B65" s="247"/>
      <c r="C65" s="230" t="s">
        <v>378</v>
      </c>
      <c r="D65" s="132">
        <f>SUM(D55:D64)</f>
        <v>229173.83999999994</v>
      </c>
      <c r="E65" s="132">
        <f t="shared" ref="E65:G65" si="8">SUM(E55:E64)</f>
        <v>210784.00999999998</v>
      </c>
      <c r="F65" s="132"/>
      <c r="G65" s="132">
        <f t="shared" si="8"/>
        <v>4538.71</v>
      </c>
      <c r="H65" s="294">
        <v>10878.71</v>
      </c>
      <c r="I65" s="132">
        <f>G65-H65</f>
        <v>-6339.9999999999991</v>
      </c>
    </row>
    <row r="66" spans="1:12">
      <c r="A66" s="27">
        <f t="shared" si="0"/>
        <v>56</v>
      </c>
      <c r="B66" s="247">
        <v>395.1</v>
      </c>
      <c r="C66" s="38" t="s">
        <v>369</v>
      </c>
      <c r="D66" s="54">
        <v>16950.22</v>
      </c>
      <c r="E66" s="287">
        <v>16950.22</v>
      </c>
      <c r="F66" s="288">
        <v>0.14280000000000001</v>
      </c>
      <c r="G66" s="54">
        <f t="shared" si="3"/>
        <v>0</v>
      </c>
      <c r="H66" s="293"/>
      <c r="I66" s="289">
        <f t="shared" si="4"/>
        <v>0</v>
      </c>
    </row>
    <row r="67" spans="1:12">
      <c r="A67" s="27">
        <f t="shared" si="0"/>
        <v>57</v>
      </c>
      <c r="B67" s="247"/>
      <c r="D67" s="54">
        <v>1467.18</v>
      </c>
      <c r="E67" s="287">
        <v>1467.18</v>
      </c>
      <c r="F67" s="288">
        <v>0.2</v>
      </c>
      <c r="G67" s="54">
        <f t="shared" si="3"/>
        <v>0</v>
      </c>
      <c r="H67" s="293"/>
      <c r="I67" s="289">
        <f t="shared" si="4"/>
        <v>0</v>
      </c>
    </row>
    <row r="68" spans="1:12">
      <c r="A68" s="27">
        <f t="shared" si="0"/>
        <v>58</v>
      </c>
      <c r="B68" s="247"/>
      <c r="C68" s="230" t="s">
        <v>378</v>
      </c>
      <c r="D68" s="132">
        <f>SUM(D66:D67)</f>
        <v>18417.400000000001</v>
      </c>
      <c r="E68" s="132">
        <f>SUM(E66:E67)</f>
        <v>18417.400000000001</v>
      </c>
      <c r="F68" s="132"/>
      <c r="G68" s="132">
        <f>SUM(G66:G67)</f>
        <v>0</v>
      </c>
      <c r="H68" s="294">
        <v>0</v>
      </c>
      <c r="I68" s="132">
        <f>G68-H68</f>
        <v>0</v>
      </c>
    </row>
    <row r="69" spans="1:12">
      <c r="A69" s="27">
        <f t="shared" si="0"/>
        <v>59</v>
      </c>
      <c r="B69" s="247">
        <v>397.1</v>
      </c>
      <c r="C69" s="38" t="s">
        <v>370</v>
      </c>
      <c r="D69" s="54">
        <v>41975.85</v>
      </c>
      <c r="E69" s="287">
        <v>33100.25</v>
      </c>
      <c r="F69" s="288">
        <v>7.9899999999999999E-2</v>
      </c>
      <c r="G69" s="54">
        <f t="shared" si="3"/>
        <v>709.16</v>
      </c>
      <c r="H69" s="293"/>
      <c r="I69" s="289">
        <f t="shared" si="4"/>
        <v>709.16</v>
      </c>
    </row>
    <row r="70" spans="1:12">
      <c r="A70" s="27">
        <f t="shared" si="0"/>
        <v>60</v>
      </c>
      <c r="B70" s="247"/>
      <c r="D70" s="54">
        <v>57314.32</v>
      </c>
      <c r="E70" s="287">
        <v>11602.77</v>
      </c>
      <c r="F70" s="288">
        <v>0.1249</v>
      </c>
      <c r="G70" s="54">
        <f t="shared" si="3"/>
        <v>5709.37</v>
      </c>
      <c r="H70" s="293"/>
      <c r="I70" s="289">
        <f t="shared" si="4"/>
        <v>5709.37</v>
      </c>
    </row>
    <row r="71" spans="1:12">
      <c r="A71" s="27">
        <f t="shared" si="0"/>
        <v>61</v>
      </c>
      <c r="B71" s="247"/>
      <c r="D71" s="54">
        <v>186641.72</v>
      </c>
      <c r="E71" s="287">
        <v>185143.42</v>
      </c>
      <c r="F71" s="288">
        <v>0.2</v>
      </c>
      <c r="G71" s="54">
        <f t="shared" si="3"/>
        <v>299.66000000000003</v>
      </c>
      <c r="H71" s="293"/>
      <c r="I71" s="289">
        <f t="shared" si="4"/>
        <v>299.66000000000003</v>
      </c>
    </row>
    <row r="72" spans="1:12">
      <c r="A72" s="27">
        <f t="shared" si="0"/>
        <v>62</v>
      </c>
      <c r="B72" s="247"/>
      <c r="D72" s="54">
        <v>5209.3</v>
      </c>
      <c r="E72" s="287">
        <v>5209.3</v>
      </c>
      <c r="F72" s="288">
        <v>0.8004</v>
      </c>
      <c r="G72" s="54">
        <f t="shared" si="3"/>
        <v>0</v>
      </c>
      <c r="H72" s="293"/>
      <c r="I72" s="289">
        <f t="shared" si="4"/>
        <v>0</v>
      </c>
    </row>
    <row r="73" spans="1:12">
      <c r="A73" s="27">
        <f t="shared" si="0"/>
        <v>63</v>
      </c>
      <c r="B73" s="247"/>
      <c r="C73" s="230" t="s">
        <v>378</v>
      </c>
      <c r="D73" s="132">
        <f>SUM(D69:D72)</f>
        <v>291141.19</v>
      </c>
      <c r="E73" s="132">
        <f>SUM(E69:E72)</f>
        <v>235055.74</v>
      </c>
      <c r="F73" s="132"/>
      <c r="G73" s="132">
        <f>SUM(G69:G72)</f>
        <v>6718.19</v>
      </c>
      <c r="H73" s="294">
        <v>30885.600000000002</v>
      </c>
      <c r="I73" s="132">
        <f>G73-H73</f>
        <v>-24167.410000000003</v>
      </c>
    </row>
    <row r="74" spans="1:12">
      <c r="A74" s="27">
        <f t="shared" si="0"/>
        <v>64</v>
      </c>
      <c r="B74" s="247">
        <v>398.1</v>
      </c>
      <c r="C74" s="38" t="s">
        <v>371</v>
      </c>
      <c r="D74" s="54">
        <v>19741.13</v>
      </c>
      <c r="E74" s="287">
        <v>19741.13</v>
      </c>
      <c r="F74" s="288">
        <v>0.14280000000000001</v>
      </c>
      <c r="G74" s="54">
        <f t="shared" si="3"/>
        <v>0</v>
      </c>
      <c r="H74" s="293"/>
      <c r="I74" s="289">
        <f t="shared" si="4"/>
        <v>0</v>
      </c>
    </row>
    <row r="75" spans="1:12">
      <c r="A75" s="27">
        <f t="shared" si="0"/>
        <v>65</v>
      </c>
      <c r="B75" s="182"/>
      <c r="D75" s="54">
        <v>54907.29</v>
      </c>
      <c r="E75" s="287">
        <v>32309.51</v>
      </c>
      <c r="F75" s="288">
        <v>0.2</v>
      </c>
      <c r="G75" s="54">
        <f t="shared" si="3"/>
        <v>4519.5600000000004</v>
      </c>
      <c r="H75" s="293"/>
      <c r="I75" s="289">
        <f t="shared" si="4"/>
        <v>4519.5600000000004</v>
      </c>
    </row>
    <row r="76" spans="1:12">
      <c r="A76" s="27">
        <f t="shared" si="0"/>
        <v>66</v>
      </c>
      <c r="B76" s="128"/>
      <c r="C76" s="230" t="s">
        <v>378</v>
      </c>
      <c r="D76" s="132">
        <f>SUM(D74:D75)</f>
        <v>74648.42</v>
      </c>
      <c r="E76" s="132">
        <f>SUM(E74:E75)</f>
        <v>52050.64</v>
      </c>
      <c r="F76" s="132"/>
      <c r="G76" s="132">
        <f>SUM(G74:G75)</f>
        <v>4519.5600000000004</v>
      </c>
      <c r="H76" s="294">
        <v>10983.719999999996</v>
      </c>
      <c r="I76" s="132">
        <f>G76-H76</f>
        <v>-6464.1599999999953</v>
      </c>
    </row>
    <row r="77" spans="1:12">
      <c r="A77" s="27">
        <f t="shared" ref="A77:A108" si="9">A76+1</f>
        <v>67</v>
      </c>
      <c r="B77" s="128"/>
      <c r="C77" s="230"/>
      <c r="D77" s="249"/>
      <c r="E77" s="249"/>
      <c r="F77" s="249"/>
      <c r="G77" s="249"/>
      <c r="H77" s="295"/>
      <c r="I77" s="249"/>
    </row>
    <row r="78" spans="1:12">
      <c r="A78" s="27">
        <f t="shared" si="9"/>
        <v>68</v>
      </c>
      <c r="B78" s="2"/>
      <c r="C78" s="5" t="s">
        <v>22</v>
      </c>
      <c r="D78" s="290">
        <f>D35+D48+D54+D65+D68+D73+D76+D26</f>
        <v>5575317.4200000009</v>
      </c>
      <c r="E78" s="290">
        <f>E35+E48+E54+E65+E68+E73+E76</f>
        <v>3718494.4599999995</v>
      </c>
      <c r="F78" s="290"/>
      <c r="G78" s="290">
        <f>G35+G48+G54+G65+G68+G73+G76</f>
        <v>94906.77</v>
      </c>
      <c r="H78" s="290">
        <f>H35+H48+H54+H65+H68+H73+H76</f>
        <v>200901.18000000002</v>
      </c>
      <c r="I78" s="132">
        <f>G78-H78</f>
        <v>-105994.41000000002</v>
      </c>
    </row>
    <row r="79" spans="1:12">
      <c r="A79" s="27">
        <f t="shared" si="9"/>
        <v>69</v>
      </c>
      <c r="B79" s="296" t="s">
        <v>132</v>
      </c>
      <c r="C79" s="297" t="s">
        <v>152</v>
      </c>
      <c r="D79" s="298">
        <f>D23+D78</f>
        <v>123989921.30999997</v>
      </c>
      <c r="E79" s="298">
        <f>E23+E78</f>
        <v>3836699.4599999995</v>
      </c>
      <c r="F79" s="298"/>
      <c r="G79" s="298">
        <f>G23+G78</f>
        <v>4272311.6899999995</v>
      </c>
      <c r="H79" s="298">
        <f>H23+H78</f>
        <v>4378967.99</v>
      </c>
      <c r="I79" s="298">
        <f>I23+I78</f>
        <v>-106656.29999999978</v>
      </c>
      <c r="L79" s="299"/>
    </row>
    <row r="80" spans="1:12">
      <c r="A80" s="27">
        <f t="shared" si="9"/>
        <v>70</v>
      </c>
      <c r="B80" s="2"/>
      <c r="C80" s="300"/>
      <c r="D80" s="289"/>
      <c r="E80" s="289"/>
      <c r="F80" s="289"/>
      <c r="G80" s="289"/>
      <c r="H80" s="289"/>
      <c r="I80" s="289"/>
    </row>
    <row r="81" spans="1:22">
      <c r="A81" s="27">
        <f t="shared" si="9"/>
        <v>71</v>
      </c>
      <c r="B81" s="292" t="s">
        <v>149</v>
      </c>
      <c r="C81" s="2"/>
      <c r="D81" s="289"/>
      <c r="E81" s="289"/>
      <c r="F81" s="289"/>
      <c r="G81" s="289"/>
      <c r="H81" s="289"/>
      <c r="I81" s="289"/>
    </row>
    <row r="82" spans="1:22">
      <c r="A82" s="27">
        <f t="shared" si="9"/>
        <v>72</v>
      </c>
      <c r="B82" s="250">
        <v>392</v>
      </c>
      <c r="C82" s="3" t="s">
        <v>122</v>
      </c>
      <c r="D82" s="54">
        <v>301112.68</v>
      </c>
      <c r="E82" s="287">
        <v>106955.52</v>
      </c>
      <c r="F82" s="301">
        <v>6.6600000000000006E-2</v>
      </c>
      <c r="G82" s="54">
        <v>12930.87</v>
      </c>
      <c r="H82" s="293"/>
      <c r="I82" s="267">
        <v>-328287.59999999998</v>
      </c>
    </row>
    <row r="83" spans="1:22">
      <c r="A83" s="27">
        <f t="shared" si="9"/>
        <v>73</v>
      </c>
      <c r="B83" s="182"/>
      <c r="D83" s="54">
        <v>1459878.67</v>
      </c>
      <c r="E83" s="287">
        <v>1190761.76</v>
      </c>
      <c r="F83" s="288">
        <v>0.1249</v>
      </c>
      <c r="G83" s="54">
        <v>33612.699999999997</v>
      </c>
      <c r="H83" s="293"/>
      <c r="I83" s="289">
        <v>33612.699999999997</v>
      </c>
    </row>
    <row r="84" spans="1:22">
      <c r="A84" s="27">
        <f t="shared" si="9"/>
        <v>74</v>
      </c>
      <c r="B84" s="182"/>
      <c r="D84" s="54">
        <v>106593.16</v>
      </c>
      <c r="E84" s="287">
        <v>96336.91</v>
      </c>
      <c r="F84" s="288">
        <v>0.125</v>
      </c>
      <c r="G84" s="54">
        <v>1282.03</v>
      </c>
      <c r="H84" s="293"/>
      <c r="I84" s="289">
        <v>1282.03</v>
      </c>
    </row>
    <row r="85" spans="1:22">
      <c r="A85" s="27">
        <f t="shared" si="9"/>
        <v>75</v>
      </c>
      <c r="B85" s="182"/>
      <c r="D85" s="54">
        <v>722142</v>
      </c>
      <c r="E85" s="287">
        <v>164106.85999999999</v>
      </c>
      <c r="F85" s="288">
        <v>0.2</v>
      </c>
      <c r="G85" s="54">
        <v>111607.03</v>
      </c>
      <c r="H85" s="293"/>
      <c r="I85" s="289">
        <v>111607.03</v>
      </c>
    </row>
    <row r="86" spans="1:22">
      <c r="A86" s="27">
        <f t="shared" si="9"/>
        <v>76</v>
      </c>
      <c r="B86" s="182"/>
      <c r="D86" s="54">
        <v>1321779.3800000001</v>
      </c>
      <c r="E86" s="287">
        <v>1128674.21</v>
      </c>
      <c r="F86" s="288">
        <v>0.25</v>
      </c>
      <c r="G86" s="54">
        <v>48276.29</v>
      </c>
      <c r="H86" s="293"/>
      <c r="I86" s="289">
        <v>48276.29</v>
      </c>
    </row>
    <row r="87" spans="1:22">
      <c r="A87" s="27">
        <f t="shared" si="9"/>
        <v>77</v>
      </c>
      <c r="B87" s="182"/>
      <c r="D87" s="54">
        <v>112772.03</v>
      </c>
      <c r="E87" s="287">
        <v>99930.609999999986</v>
      </c>
      <c r="F87" s="288">
        <v>0.33339999999999997</v>
      </c>
      <c r="G87" s="54">
        <v>4281.33</v>
      </c>
      <c r="H87" s="293"/>
      <c r="I87" s="289">
        <v>4281.33</v>
      </c>
    </row>
    <row r="88" spans="1:22">
      <c r="A88" s="27">
        <f t="shared" si="9"/>
        <v>78</v>
      </c>
      <c r="B88" s="182"/>
      <c r="D88" s="54">
        <v>1815.78</v>
      </c>
      <c r="E88" s="287">
        <v>1739.95</v>
      </c>
      <c r="F88" s="288">
        <v>0.49990000000000001</v>
      </c>
      <c r="G88" s="54">
        <v>37.909999999999997</v>
      </c>
      <c r="H88" s="293"/>
      <c r="I88" s="289">
        <v>37.909999999999997</v>
      </c>
    </row>
    <row r="89" spans="1:22">
      <c r="A89" s="27">
        <f t="shared" si="9"/>
        <v>79</v>
      </c>
      <c r="B89" s="128"/>
      <c r="C89" s="38" t="s">
        <v>22</v>
      </c>
      <c r="D89" s="132">
        <f>SUM(D82:D88)</f>
        <v>4026093.6999999993</v>
      </c>
      <c r="E89" s="132">
        <f>SUM(E82:E88)</f>
        <v>2788505.82</v>
      </c>
      <c r="F89" s="133"/>
      <c r="G89" s="132">
        <f>SUM(G82:G88)</f>
        <v>212028.16</v>
      </c>
      <c r="H89" s="294">
        <v>341218.47</v>
      </c>
      <c r="I89" s="132">
        <f>G89-H89</f>
        <v>-129190.30999999997</v>
      </c>
    </row>
    <row r="90" spans="1:22">
      <c r="A90" s="27">
        <f t="shared" si="9"/>
        <v>80</v>
      </c>
      <c r="B90" s="130" t="s">
        <v>133</v>
      </c>
      <c r="C90" s="131" t="s">
        <v>150</v>
      </c>
      <c r="D90" s="132"/>
      <c r="E90" s="132"/>
      <c r="F90" s="133"/>
      <c r="G90" s="132"/>
      <c r="H90" s="132"/>
      <c r="I90" s="302">
        <f>F103</f>
        <v>-79886.959999999992</v>
      </c>
    </row>
    <row r="91" spans="1:22" ht="17.25" customHeight="1">
      <c r="A91" s="27">
        <f t="shared" si="9"/>
        <v>81</v>
      </c>
      <c r="B91" s="2"/>
      <c r="C91" s="2"/>
      <c r="D91" s="2"/>
      <c r="E91" s="2"/>
      <c r="F91" s="2"/>
      <c r="G91" s="2"/>
      <c r="H91" s="2"/>
      <c r="I91" s="2"/>
    </row>
    <row r="92" spans="1:22" ht="13.5" thickBot="1">
      <c r="A92" s="27">
        <f t="shared" si="9"/>
        <v>82</v>
      </c>
      <c r="B92" s="4" t="s">
        <v>235</v>
      </c>
      <c r="C92" s="4" t="s">
        <v>14</v>
      </c>
      <c r="D92" s="303">
        <f>D79+D89</f>
        <v>128016015.00999998</v>
      </c>
      <c r="E92" s="303">
        <f>E79+E89</f>
        <v>6625205.2799999993</v>
      </c>
      <c r="F92" s="4"/>
      <c r="G92" s="303">
        <f>G79+G89</f>
        <v>4484339.8499999996</v>
      </c>
      <c r="H92" s="303">
        <f>H79+H89</f>
        <v>4720186.46</v>
      </c>
      <c r="I92" s="304">
        <f>I90+I79</f>
        <v>-186543.25999999978</v>
      </c>
    </row>
    <row r="93" spans="1:22" ht="26.25" customHeight="1" thickTop="1">
      <c r="A93" s="305">
        <f t="shared" si="9"/>
        <v>83</v>
      </c>
      <c r="B93" s="2"/>
      <c r="C93" s="2"/>
      <c r="D93" s="2"/>
      <c r="E93" s="2"/>
      <c r="F93" s="2"/>
      <c r="G93" s="2"/>
      <c r="H93" s="2"/>
      <c r="I93" s="2"/>
    </row>
    <row r="94" spans="1:22" ht="41.25" customHeight="1">
      <c r="A94" s="306">
        <f t="shared" si="9"/>
        <v>84</v>
      </c>
      <c r="B94" s="313" t="s">
        <v>237</v>
      </c>
      <c r="C94" s="313"/>
      <c r="D94" s="313"/>
      <c r="E94" s="313"/>
      <c r="F94" s="313"/>
      <c r="G94" s="313"/>
      <c r="H94" s="313"/>
      <c r="I94" s="313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1:22">
      <c r="A95" s="27">
        <f t="shared" si="9"/>
        <v>85</v>
      </c>
      <c r="B95" s="2"/>
      <c r="C95" s="2"/>
      <c r="D95" s="2"/>
      <c r="E95" s="2"/>
      <c r="F95" s="2"/>
      <c r="G95" s="2"/>
      <c r="H95" s="2"/>
      <c r="I95" s="2"/>
    </row>
    <row r="96" spans="1:22">
      <c r="A96" s="27">
        <f t="shared" si="9"/>
        <v>86</v>
      </c>
      <c r="B96" s="46" t="s">
        <v>150</v>
      </c>
      <c r="C96" s="35"/>
      <c r="D96" s="53" t="s">
        <v>135</v>
      </c>
      <c r="E96" s="53" t="s">
        <v>134</v>
      </c>
      <c r="F96" s="53" t="s">
        <v>151</v>
      </c>
      <c r="G96" s="2"/>
      <c r="H96" s="2"/>
    </row>
    <row r="97" spans="1:9">
      <c r="A97" s="27">
        <f t="shared" si="9"/>
        <v>87</v>
      </c>
      <c r="B97" s="34"/>
      <c r="C97" s="35"/>
      <c r="D97" s="34"/>
      <c r="E97" s="34"/>
      <c r="F97" s="34"/>
      <c r="G97" s="2"/>
      <c r="H97" s="2"/>
    </row>
    <row r="98" spans="1:9">
      <c r="A98" s="27">
        <f t="shared" si="9"/>
        <v>88</v>
      </c>
      <c r="B98" s="48" t="s">
        <v>125</v>
      </c>
      <c r="C98" s="38" t="s">
        <v>126</v>
      </c>
      <c r="D98" s="39">
        <v>714514.22</v>
      </c>
      <c r="E98" s="94">
        <v>0.13524698397473187</v>
      </c>
      <c r="F98" s="39">
        <f>ROUND(E98*$I$89,2)</f>
        <v>-17472.599999999999</v>
      </c>
      <c r="G98" s="2"/>
      <c r="H98" s="2"/>
    </row>
    <row r="99" spans="1:9">
      <c r="A99" s="27">
        <f t="shared" si="9"/>
        <v>89</v>
      </c>
      <c r="B99" s="48" t="s">
        <v>127</v>
      </c>
      <c r="C99" s="38" t="s">
        <v>128</v>
      </c>
      <c r="D99" s="39">
        <v>837147.57000000007</v>
      </c>
      <c r="E99" s="94">
        <v>0.17971305652276642</v>
      </c>
      <c r="F99" s="39">
        <f>ROUND(E99*$I$89,2)</f>
        <v>-23217.19</v>
      </c>
      <c r="G99" s="2"/>
    </row>
    <row r="100" spans="1:9">
      <c r="A100" s="27">
        <f t="shared" si="9"/>
        <v>90</v>
      </c>
      <c r="B100" s="48" t="s">
        <v>129</v>
      </c>
      <c r="C100" s="38" t="s">
        <v>105</v>
      </c>
      <c r="D100" s="39">
        <v>807606.7</v>
      </c>
      <c r="E100" s="94">
        <v>0.14182823704744113</v>
      </c>
      <c r="F100" s="39">
        <f>ROUND(E100*$I$89,2)</f>
        <v>-18322.830000000002</v>
      </c>
      <c r="G100" s="2"/>
    </row>
    <row r="101" spans="1:9">
      <c r="A101" s="27">
        <f t="shared" si="9"/>
        <v>91</v>
      </c>
      <c r="B101" s="48" t="s">
        <v>238</v>
      </c>
      <c r="C101" s="38" t="s">
        <v>79</v>
      </c>
      <c r="D101" s="39">
        <v>151806.44</v>
      </c>
      <c r="E101" s="94">
        <v>5.2945158197928485E-2</v>
      </c>
      <c r="F101" s="39">
        <f>ROUND(E101*$I$89,2)</f>
        <v>-6840</v>
      </c>
      <c r="G101" s="2"/>
    </row>
    <row r="102" spans="1:9">
      <c r="A102" s="27">
        <f t="shared" si="9"/>
        <v>92</v>
      </c>
      <c r="B102" s="48" t="s">
        <v>130</v>
      </c>
      <c r="C102" s="38" t="s">
        <v>124</v>
      </c>
      <c r="D102" s="39">
        <v>1355628.16</v>
      </c>
      <c r="E102" s="94">
        <v>0.10863310525663428</v>
      </c>
      <c r="F102" s="39">
        <f>ROUND(E102*$I$89,2)</f>
        <v>-14034.34</v>
      </c>
      <c r="G102" s="2"/>
    </row>
    <row r="103" spans="1:9">
      <c r="A103" s="27">
        <f t="shared" si="9"/>
        <v>93</v>
      </c>
      <c r="B103" s="41"/>
      <c r="C103" s="49" t="s">
        <v>22</v>
      </c>
      <c r="D103" s="56">
        <f>SUM(D98:D102)</f>
        <v>3866703.09</v>
      </c>
      <c r="E103" s="246">
        <f>SUM(E98:E102)</f>
        <v>0.61836654099950217</v>
      </c>
      <c r="F103" s="56">
        <f>SUM(F98:F102)</f>
        <v>-79886.959999999992</v>
      </c>
      <c r="G103" s="2"/>
    </row>
    <row r="104" spans="1:9">
      <c r="A104" s="27">
        <f t="shared" si="9"/>
        <v>94</v>
      </c>
      <c r="B104" s="48"/>
      <c r="C104" s="38"/>
      <c r="D104" s="47"/>
      <c r="E104" s="94"/>
      <c r="F104" s="47"/>
      <c r="G104" s="2"/>
    </row>
    <row r="105" spans="1:9">
      <c r="A105" s="27">
        <f t="shared" si="9"/>
        <v>95</v>
      </c>
      <c r="B105" s="48" t="s">
        <v>239</v>
      </c>
      <c r="C105" s="38" t="s">
        <v>236</v>
      </c>
      <c r="D105" s="39">
        <v>1396288.13</v>
      </c>
      <c r="E105" s="94">
        <f>1-E103</f>
        <v>0.38163345900049783</v>
      </c>
      <c r="F105" s="39">
        <f>ROUND(E105*$I$89,2)</f>
        <v>-49303.34</v>
      </c>
      <c r="G105" s="2"/>
    </row>
    <row r="106" spans="1:9">
      <c r="A106" s="27">
        <f t="shared" si="9"/>
        <v>96</v>
      </c>
      <c r="B106" s="41"/>
      <c r="C106" s="49" t="s">
        <v>22</v>
      </c>
      <c r="D106" s="125"/>
      <c r="E106" s="95">
        <f>SUM(E105:E105)</f>
        <v>0.38163345900049783</v>
      </c>
      <c r="F106" s="125">
        <f>SUM(F105:F105)</f>
        <v>-49303.34</v>
      </c>
      <c r="G106" s="2"/>
    </row>
    <row r="107" spans="1:9">
      <c r="A107" s="27">
        <f t="shared" si="9"/>
        <v>97</v>
      </c>
      <c r="B107" s="48"/>
      <c r="C107" s="38"/>
      <c r="D107" s="47"/>
      <c r="E107" s="40"/>
      <c r="F107" s="47"/>
      <c r="G107" s="2"/>
    </row>
    <row r="108" spans="1:9" ht="13.5" thickBot="1">
      <c r="A108" s="27">
        <f t="shared" si="9"/>
        <v>98</v>
      </c>
      <c r="B108" s="50"/>
      <c r="C108" s="51" t="s">
        <v>44</v>
      </c>
      <c r="D108" s="126">
        <f>D105+D103</f>
        <v>5262991.22</v>
      </c>
      <c r="E108" s="52">
        <f>E103+E106</f>
        <v>1</v>
      </c>
      <c r="F108" s="126">
        <f>F106+F103</f>
        <v>-129190.29999999999</v>
      </c>
      <c r="G108" s="2"/>
    </row>
    <row r="109" spans="1:9" ht="13.5" thickTop="1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</sheetData>
  <mergeCells count="4">
    <mergeCell ref="B94:I94"/>
    <mergeCell ref="A3:I3"/>
    <mergeCell ref="A4:I4"/>
    <mergeCell ref="A6:I6"/>
  </mergeCells>
  <printOptions horizontalCentered="1"/>
  <pageMargins left="1" right="0.75" top="0.75" bottom="0.5" header="0.5" footer="0.5"/>
  <pageSetup scale="76" fitToHeight="2" orientation="portrait" r:id="rId1"/>
  <headerFooter alignWithMargins="0">
    <oddFooter>&amp;R&amp;"Times New Roman,Regular"Exhibit JW-2
Page &amp;P of &amp;N</oddFooter>
  </headerFooter>
  <rowBreaks count="1" manualBreakCount="1">
    <brk id="54" max="8" man="1"/>
  </rowBreaks>
  <ignoredErrors>
    <ignoredError sqref="B9:I9" numberStoredAsText="1"/>
    <ignoredError sqref="D35:E35 H35" formulaRange="1"/>
    <ignoredError sqref="G35" formula="1" formulaRange="1"/>
    <ignoredError sqref="G48:H48 G54:H54 G65:H65 G68 G7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19" zoomScale="75" zoomScaleNormal="75" workbookViewId="0">
      <selection activeCell="I62" sqref="I62"/>
    </sheetView>
  </sheetViews>
  <sheetFormatPr defaultRowHeight="14.25"/>
  <cols>
    <col min="1" max="1" width="8" style="150" bestFit="1" customWidth="1"/>
    <col min="2" max="2" width="11.7109375" style="150" bestFit="1" customWidth="1"/>
    <col min="3" max="4" width="13.140625" style="150" bestFit="1" customWidth="1"/>
    <col min="5" max="5" width="15.28515625" style="150" customWidth="1"/>
    <col min="6" max="6" width="14.28515625" style="150" customWidth="1"/>
    <col min="7" max="7" width="15.42578125" style="150" customWidth="1"/>
    <col min="8" max="8" width="16.5703125" style="150" customWidth="1"/>
    <col min="9" max="9" width="14.42578125" style="150" customWidth="1"/>
    <col min="10" max="10" width="10.140625" style="150" customWidth="1"/>
    <col min="11" max="11" width="11.140625" style="150" customWidth="1"/>
    <col min="12" max="13" width="11.140625" style="150" bestFit="1" customWidth="1"/>
    <col min="14" max="14" width="12.140625" style="150" bestFit="1" customWidth="1"/>
    <col min="15" max="16384" width="9.140625" style="150"/>
  </cols>
  <sheetData>
    <row r="1" spans="1:15" s="10" customFormat="1" ht="15" customHeight="1">
      <c r="F1" s="6"/>
      <c r="L1" s="6"/>
      <c r="N1" s="6" t="s">
        <v>28</v>
      </c>
    </row>
    <row r="2" spans="1:15" s="10" customFormat="1" ht="20.25" customHeight="1">
      <c r="F2" s="6"/>
      <c r="G2" s="6"/>
    </row>
    <row r="3" spans="1:15" s="10" customFormat="1" ht="12.75">
      <c r="F3" s="6"/>
      <c r="G3" s="6"/>
    </row>
    <row r="4" spans="1:15" s="10" customFormat="1" ht="12.75">
      <c r="A4" s="315" t="str">
        <f>RevReq!A1</f>
        <v>MEADE COUNTY R.E.C.C.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147"/>
    </row>
    <row r="5" spans="1:15" s="10" customFormat="1" ht="12.75">
      <c r="A5" s="315" t="str">
        <f>RevReq!A3</f>
        <v>For the 12 Months Ended December 31, 2019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</row>
    <row r="6" spans="1:15" s="10" customFormat="1" ht="12.75"/>
    <row r="7" spans="1:15" s="7" customFormat="1" ht="15" customHeight="1">
      <c r="A7" s="312" t="s">
        <v>269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</row>
    <row r="8" spans="1:15" s="7" customFormat="1" ht="1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5" ht="67.5" customHeight="1">
      <c r="A9" s="148"/>
      <c r="B9" s="149" t="s">
        <v>30</v>
      </c>
      <c r="C9" s="149" t="s">
        <v>377</v>
      </c>
      <c r="D9" s="149" t="s">
        <v>377</v>
      </c>
      <c r="E9" s="149" t="s">
        <v>270</v>
      </c>
      <c r="F9" s="149" t="s">
        <v>271</v>
      </c>
      <c r="G9" s="149" t="s">
        <v>272</v>
      </c>
      <c r="H9" s="149" t="s">
        <v>273</v>
      </c>
      <c r="I9" s="149" t="s">
        <v>372</v>
      </c>
      <c r="J9" s="149" t="s">
        <v>376</v>
      </c>
      <c r="K9" s="149" t="s">
        <v>274</v>
      </c>
      <c r="L9" s="149" t="s">
        <v>275</v>
      </c>
      <c r="M9" s="149" t="s">
        <v>275</v>
      </c>
      <c r="N9" s="149" t="s">
        <v>14</v>
      </c>
    </row>
    <row r="10" spans="1:15" ht="15">
      <c r="A10" s="148" t="s">
        <v>17</v>
      </c>
      <c r="B10" s="151" t="s">
        <v>276</v>
      </c>
      <c r="C10" s="152">
        <v>909</v>
      </c>
      <c r="D10" s="152">
        <v>930.2</v>
      </c>
      <c r="E10" s="152">
        <v>930.1</v>
      </c>
      <c r="F10" s="152">
        <v>930.4</v>
      </c>
      <c r="G10" s="152" t="s">
        <v>277</v>
      </c>
      <c r="H10" s="151" t="s">
        <v>277</v>
      </c>
      <c r="I10" s="151">
        <v>930.21</v>
      </c>
      <c r="J10" s="152">
        <v>930.2</v>
      </c>
      <c r="K10" s="152" t="s">
        <v>277</v>
      </c>
      <c r="L10" s="152">
        <v>909</v>
      </c>
      <c r="M10" s="248">
        <v>930.2</v>
      </c>
      <c r="N10" s="153" t="s">
        <v>278</v>
      </c>
    </row>
    <row r="11" spans="1:15" s="153" customFormat="1" ht="15">
      <c r="A11" s="154" t="s">
        <v>132</v>
      </c>
      <c r="B11" s="154" t="s">
        <v>133</v>
      </c>
      <c r="C11" s="154" t="s">
        <v>279</v>
      </c>
      <c r="D11" s="154" t="s">
        <v>347</v>
      </c>
      <c r="E11" s="154" t="s">
        <v>280</v>
      </c>
      <c r="F11" s="154" t="s">
        <v>281</v>
      </c>
      <c r="G11" s="154" t="s">
        <v>282</v>
      </c>
      <c r="H11" s="154" t="s">
        <v>283</v>
      </c>
      <c r="I11" s="154" t="s">
        <v>284</v>
      </c>
      <c r="J11" s="154" t="s">
        <v>285</v>
      </c>
      <c r="K11" s="154" t="s">
        <v>373</v>
      </c>
      <c r="L11" s="154" t="s">
        <v>286</v>
      </c>
      <c r="M11" s="154" t="s">
        <v>374</v>
      </c>
      <c r="N11" s="154" t="s">
        <v>375</v>
      </c>
    </row>
    <row r="12" spans="1:15">
      <c r="A12" s="150" t="s">
        <v>6</v>
      </c>
      <c r="B12" s="155">
        <v>-1400</v>
      </c>
      <c r="C12" s="155">
        <v>-23.1</v>
      </c>
      <c r="D12" s="155">
        <v>0</v>
      </c>
      <c r="E12" s="155">
        <v>-11046.1</v>
      </c>
      <c r="F12" s="155">
        <v>0</v>
      </c>
      <c r="G12" s="155">
        <v>-319.60000000000002</v>
      </c>
      <c r="H12" s="155">
        <v>0</v>
      </c>
      <c r="I12" s="155">
        <v>-50</v>
      </c>
      <c r="J12" s="155"/>
      <c r="K12" s="155">
        <v>-2981.25</v>
      </c>
      <c r="L12" s="155">
        <v>-2076.16</v>
      </c>
      <c r="M12" s="155">
        <v>-4030.18</v>
      </c>
      <c r="N12" s="155">
        <v>-21926.39</v>
      </c>
    </row>
    <row r="13" spans="1:15">
      <c r="A13" s="150" t="s">
        <v>7</v>
      </c>
      <c r="B13" s="156">
        <v>0</v>
      </c>
      <c r="C13" s="156">
        <v>-23.1</v>
      </c>
      <c r="D13" s="156">
        <v>0</v>
      </c>
      <c r="E13" s="156">
        <v>-11038.25</v>
      </c>
      <c r="F13" s="156">
        <v>0</v>
      </c>
      <c r="G13" s="156">
        <v>-181.76</v>
      </c>
      <c r="H13" s="156">
        <v>0</v>
      </c>
      <c r="I13" s="155">
        <v>-1365.27</v>
      </c>
      <c r="J13" s="155"/>
      <c r="K13" s="155">
        <v>-2981.25</v>
      </c>
      <c r="L13" s="155">
        <v>-2076.16</v>
      </c>
      <c r="M13" s="156">
        <v>-4030.18</v>
      </c>
      <c r="N13" s="156">
        <v>-21695.97</v>
      </c>
    </row>
    <row r="14" spans="1:15">
      <c r="A14" s="150" t="s">
        <v>8</v>
      </c>
      <c r="B14" s="156">
        <v>-187.5</v>
      </c>
      <c r="C14" s="156">
        <v>-23.1</v>
      </c>
      <c r="D14" s="156">
        <v>0</v>
      </c>
      <c r="E14" s="156">
        <v>-11026.8</v>
      </c>
      <c r="F14" s="156">
        <v>0</v>
      </c>
      <c r="G14" s="156">
        <v>-156.4</v>
      </c>
      <c r="H14" s="156">
        <v>-187.05</v>
      </c>
      <c r="I14" s="155">
        <v>-236.89</v>
      </c>
      <c r="J14" s="155"/>
      <c r="K14" s="155">
        <v>-2981.25</v>
      </c>
      <c r="L14" s="155">
        <v>-2076.16</v>
      </c>
      <c r="M14" s="156">
        <v>-4030.18</v>
      </c>
      <c r="N14" s="156">
        <v>-20905.329999999998</v>
      </c>
    </row>
    <row r="15" spans="1:15">
      <c r="A15" s="150" t="s">
        <v>9</v>
      </c>
      <c r="B15" s="156">
        <v>-1678.5</v>
      </c>
      <c r="C15" s="156">
        <v>-24.05</v>
      </c>
      <c r="D15" s="156">
        <v>0</v>
      </c>
      <c r="E15" s="156">
        <v>-11042.61</v>
      </c>
      <c r="F15" s="156">
        <v>0</v>
      </c>
      <c r="G15" s="156">
        <v>0</v>
      </c>
      <c r="H15" s="156">
        <v>0</v>
      </c>
      <c r="I15" s="155">
        <v>-474.17</v>
      </c>
      <c r="J15" s="155"/>
      <c r="K15" s="155">
        <v>-2981.25</v>
      </c>
      <c r="L15" s="155">
        <v>-2076.16</v>
      </c>
      <c r="M15" s="156">
        <v>-4030.18</v>
      </c>
      <c r="N15" s="156">
        <v>-22306.92</v>
      </c>
    </row>
    <row r="16" spans="1:15">
      <c r="A16" s="150" t="s">
        <v>10</v>
      </c>
      <c r="B16" s="156">
        <v>-1350</v>
      </c>
      <c r="C16" s="156">
        <v>-124.05</v>
      </c>
      <c r="D16" s="156">
        <v>-100</v>
      </c>
      <c r="E16" s="156">
        <v>-11050.99</v>
      </c>
      <c r="F16" s="156">
        <v>-308.02999999999997</v>
      </c>
      <c r="G16" s="156"/>
      <c r="H16" s="156">
        <v>0</v>
      </c>
      <c r="I16" s="155">
        <v>-50</v>
      </c>
      <c r="J16" s="155">
        <v>-719.24</v>
      </c>
      <c r="K16" s="155">
        <v>-2981.25</v>
      </c>
      <c r="L16" s="155">
        <v>-2076.16</v>
      </c>
      <c r="M16" s="156">
        <v>-4030.18</v>
      </c>
      <c r="N16" s="156">
        <v>-22789.899999999998</v>
      </c>
    </row>
    <row r="17" spans="1:14">
      <c r="A17" s="150" t="s">
        <v>11</v>
      </c>
      <c r="B17" s="156">
        <v>-1448</v>
      </c>
      <c r="C17" s="156">
        <v>-2375.8200000000002</v>
      </c>
      <c r="D17" s="156">
        <v>-80</v>
      </c>
      <c r="E17" s="156">
        <v>-14102.84</v>
      </c>
      <c r="F17" s="156">
        <v>-2913.18</v>
      </c>
      <c r="G17" s="156">
        <v>-925</v>
      </c>
      <c r="H17" s="156">
        <v>-240</v>
      </c>
      <c r="I17" s="155">
        <v>-357.58</v>
      </c>
      <c r="J17" s="155">
        <v>-237.06</v>
      </c>
      <c r="K17" s="155">
        <v>-2981.25</v>
      </c>
      <c r="L17" s="155">
        <v>-2076.16</v>
      </c>
      <c r="M17" s="156">
        <v>-4030.18</v>
      </c>
      <c r="N17" s="156">
        <v>-31767.070000000003</v>
      </c>
    </row>
    <row r="18" spans="1:14">
      <c r="A18" s="150" t="s">
        <v>12</v>
      </c>
      <c r="B18" s="156">
        <v>-1000</v>
      </c>
      <c r="C18" s="156">
        <v>-402.88</v>
      </c>
      <c r="D18" s="156">
        <v>-210.61</v>
      </c>
      <c r="E18" s="156">
        <v>-11069.27</v>
      </c>
      <c r="F18" s="156">
        <v>-1964.9100000000003</v>
      </c>
      <c r="G18" s="156">
        <v>-300</v>
      </c>
      <c r="H18" s="156">
        <v>-5250</v>
      </c>
      <c r="I18" s="155">
        <v>-231.26</v>
      </c>
      <c r="J18" s="155"/>
      <c r="K18" s="155">
        <v>-2981.25</v>
      </c>
      <c r="L18" s="155">
        <v>-2076.16</v>
      </c>
      <c r="M18" s="156">
        <v>-4030.18</v>
      </c>
      <c r="N18" s="156">
        <v>-29516.519999999997</v>
      </c>
    </row>
    <row r="19" spans="1:14">
      <c r="A19" s="150" t="s">
        <v>13</v>
      </c>
      <c r="B19" s="156">
        <v>-50</v>
      </c>
      <c r="C19" s="156">
        <v>-1481.05</v>
      </c>
      <c r="D19" s="156">
        <v>0</v>
      </c>
      <c r="E19" s="156">
        <v>-11088.08</v>
      </c>
      <c r="F19" s="156">
        <v>0</v>
      </c>
      <c r="G19" s="156">
        <v>0</v>
      </c>
      <c r="H19" s="156">
        <v>0</v>
      </c>
      <c r="I19" s="155">
        <v>-101.43</v>
      </c>
      <c r="J19" s="155"/>
      <c r="K19" s="155">
        <v>-2981.25</v>
      </c>
      <c r="L19" s="155">
        <v>-2076.16</v>
      </c>
      <c r="M19" s="156">
        <v>-4030.18</v>
      </c>
      <c r="N19" s="156">
        <v>-21808.15</v>
      </c>
    </row>
    <row r="20" spans="1:14">
      <c r="A20" s="150" t="s">
        <v>2</v>
      </c>
      <c r="B20" s="156">
        <v>-893.8</v>
      </c>
      <c r="C20" s="156">
        <v>-851.55</v>
      </c>
      <c r="D20" s="156">
        <v>0</v>
      </c>
      <c r="E20" s="156">
        <v>-11080.77</v>
      </c>
      <c r="F20" s="156">
        <v>0</v>
      </c>
      <c r="G20" s="156">
        <v>-71.75</v>
      </c>
      <c r="H20" s="156">
        <v>0</v>
      </c>
      <c r="I20" s="155">
        <v>-118.68</v>
      </c>
      <c r="J20" s="155">
        <v>-73.22999999999999</v>
      </c>
      <c r="K20" s="155">
        <v>-2981.25</v>
      </c>
      <c r="L20" s="155">
        <v>-2076.16</v>
      </c>
      <c r="M20" s="156">
        <v>-4030.18</v>
      </c>
      <c r="N20" s="156">
        <v>-22177.370000000003</v>
      </c>
    </row>
    <row r="21" spans="1:14">
      <c r="A21" s="150" t="s">
        <v>3</v>
      </c>
      <c r="B21" s="157">
        <v>-3578.5</v>
      </c>
      <c r="C21" s="157">
        <v>-480.05</v>
      </c>
      <c r="D21" s="157">
        <v>0</v>
      </c>
      <c r="E21" s="157">
        <v>-11094.86</v>
      </c>
      <c r="F21" s="157">
        <v>0</v>
      </c>
      <c r="G21" s="157">
        <v>-970.45</v>
      </c>
      <c r="H21" s="157">
        <v>0</v>
      </c>
      <c r="I21" s="155">
        <v>-61.48</v>
      </c>
      <c r="J21" s="155">
        <v>-700</v>
      </c>
      <c r="K21" s="155">
        <v>-2981.25</v>
      </c>
      <c r="L21" s="155">
        <v>-2076.16</v>
      </c>
      <c r="M21" s="156">
        <v>-4030.18</v>
      </c>
      <c r="N21" s="156">
        <v>-25972.93</v>
      </c>
    </row>
    <row r="22" spans="1:14">
      <c r="A22" s="150" t="s">
        <v>4</v>
      </c>
      <c r="B22" s="157">
        <v>0</v>
      </c>
      <c r="C22" s="157">
        <v>-85</v>
      </c>
      <c r="D22" s="157">
        <v>0</v>
      </c>
      <c r="E22" s="157">
        <v>-11094.33</v>
      </c>
      <c r="F22" s="157">
        <v>0</v>
      </c>
      <c r="G22" s="157">
        <v>-500</v>
      </c>
      <c r="H22" s="157">
        <v>0</v>
      </c>
      <c r="I22" s="155">
        <v>-145</v>
      </c>
      <c r="J22" s="155">
        <v>-20</v>
      </c>
      <c r="K22" s="155">
        <v>-2981.25</v>
      </c>
      <c r="L22" s="155">
        <v>-2076.16</v>
      </c>
      <c r="M22" s="156">
        <v>-4030.18</v>
      </c>
      <c r="N22" s="156">
        <v>-20931.919999999998</v>
      </c>
    </row>
    <row r="23" spans="1:14">
      <c r="A23" s="150" t="s">
        <v>5</v>
      </c>
      <c r="B23" s="158">
        <v>-16841.11</v>
      </c>
      <c r="C23" s="158">
        <v>-467.05</v>
      </c>
      <c r="D23" s="158">
        <v>-85.94</v>
      </c>
      <c r="E23" s="158">
        <v>-11105.84</v>
      </c>
      <c r="F23" s="158">
        <v>0</v>
      </c>
      <c r="G23" s="158">
        <v>0</v>
      </c>
      <c r="H23" s="158">
        <v>0</v>
      </c>
      <c r="I23" s="159">
        <v>-65.72</v>
      </c>
      <c r="J23" s="159"/>
      <c r="K23" s="159">
        <v>-2981.25</v>
      </c>
      <c r="L23" s="159">
        <v>-2076.15</v>
      </c>
      <c r="M23" s="160">
        <v>-4030.18</v>
      </c>
      <c r="N23" s="160">
        <v>-37653.24</v>
      </c>
    </row>
    <row r="24" spans="1:14">
      <c r="A24" s="150" t="s">
        <v>44</v>
      </c>
      <c r="B24" s="161">
        <f>SUM(B12:B23)</f>
        <v>-28427.41</v>
      </c>
      <c r="C24" s="161">
        <f t="shared" ref="C24:N24" si="0">SUM(C12:C23)</f>
        <v>-6360.8000000000011</v>
      </c>
      <c r="D24" s="161">
        <f t="shared" si="0"/>
        <v>-476.55</v>
      </c>
      <c r="E24" s="161">
        <f t="shared" si="0"/>
        <v>-135840.74000000002</v>
      </c>
      <c r="F24" s="161">
        <f t="shared" si="0"/>
        <v>-5186.1200000000008</v>
      </c>
      <c r="G24" s="161">
        <f t="shared" si="0"/>
        <v>-3424.96</v>
      </c>
      <c r="H24" s="161">
        <f t="shared" si="0"/>
        <v>-5677.05</v>
      </c>
      <c r="I24" s="161">
        <f t="shared" si="0"/>
        <v>-3257.4799999999996</v>
      </c>
      <c r="J24" s="161">
        <f t="shared" si="0"/>
        <v>-1749.53</v>
      </c>
      <c r="K24" s="161">
        <f t="shared" si="0"/>
        <v>-35775</v>
      </c>
      <c r="L24" s="161">
        <f t="shared" si="0"/>
        <v>-24913.91</v>
      </c>
      <c r="M24" s="162">
        <f t="shared" si="0"/>
        <v>-48362.159999999996</v>
      </c>
      <c r="N24" s="162">
        <f t="shared" si="0"/>
        <v>-299451.70999999996</v>
      </c>
    </row>
    <row r="25" spans="1:14">
      <c r="B25" s="163"/>
      <c r="C25" s="163"/>
      <c r="D25" s="163"/>
      <c r="E25" s="163"/>
      <c r="F25" s="163"/>
    </row>
    <row r="26" spans="1:14">
      <c r="B26" s="163"/>
      <c r="C26" s="163"/>
      <c r="D26" s="163"/>
      <c r="E26" s="163"/>
      <c r="F26" s="163"/>
    </row>
    <row r="27" spans="1:14" ht="35.25" customHeight="1">
      <c r="B27" s="317" t="s">
        <v>287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</row>
    <row r="28" spans="1:14">
      <c r="B28" s="163"/>
      <c r="C28" s="163"/>
      <c r="D28" s="163"/>
      <c r="E28" s="163"/>
      <c r="F28" s="155"/>
      <c r="G28" s="163"/>
      <c r="H28" s="163"/>
      <c r="I28" s="163"/>
      <c r="J28" s="163"/>
      <c r="K28" s="163"/>
    </row>
    <row r="29" spans="1:14">
      <c r="D29" s="164"/>
      <c r="E29" s="165"/>
      <c r="F29" s="156"/>
      <c r="G29" s="163"/>
    </row>
    <row r="30" spans="1:14">
      <c r="B30" s="163"/>
      <c r="C30" s="163"/>
      <c r="D30" s="163"/>
      <c r="E30" s="166"/>
      <c r="F30" s="156"/>
      <c r="G30" s="163"/>
      <c r="H30" s="163"/>
      <c r="I30" s="163"/>
      <c r="J30" s="163"/>
      <c r="K30" s="163"/>
    </row>
    <row r="31" spans="1:14">
      <c r="B31" s="163"/>
      <c r="C31" s="163"/>
      <c r="D31" s="163"/>
      <c r="E31" s="163"/>
      <c r="F31" s="156"/>
      <c r="G31" s="163"/>
      <c r="H31" s="163"/>
      <c r="I31" s="163"/>
      <c r="J31" s="163"/>
      <c r="K31" s="163"/>
    </row>
    <row r="32" spans="1:14">
      <c r="B32" s="163"/>
      <c r="C32" s="163"/>
      <c r="D32" s="163"/>
      <c r="E32" s="163"/>
      <c r="F32" s="156"/>
      <c r="G32" s="163"/>
      <c r="H32" s="163"/>
      <c r="I32" s="163"/>
      <c r="J32" s="163"/>
      <c r="K32" s="163"/>
    </row>
    <row r="33" spans="2:11">
      <c r="B33" s="163"/>
      <c r="C33" s="163"/>
      <c r="D33" s="163"/>
      <c r="E33" s="163"/>
      <c r="F33" s="156"/>
      <c r="G33" s="163"/>
      <c r="H33" s="163"/>
      <c r="I33" s="163"/>
      <c r="J33" s="163"/>
      <c r="K33" s="163"/>
    </row>
    <row r="34" spans="2:11">
      <c r="B34" s="163"/>
      <c r="C34" s="163"/>
      <c r="D34" s="163"/>
      <c r="E34" s="163"/>
      <c r="F34" s="156"/>
      <c r="G34" s="163"/>
      <c r="H34" s="163"/>
      <c r="I34" s="163"/>
      <c r="J34" s="163"/>
      <c r="K34" s="163"/>
    </row>
    <row r="35" spans="2:11">
      <c r="B35" s="163"/>
      <c r="C35" s="163"/>
      <c r="D35" s="163"/>
      <c r="E35" s="163"/>
      <c r="F35" s="156"/>
      <c r="G35" s="163"/>
      <c r="H35" s="163"/>
      <c r="I35" s="163"/>
      <c r="J35" s="163"/>
      <c r="K35" s="163"/>
    </row>
    <row r="36" spans="2:11">
      <c r="B36" s="163"/>
      <c r="C36" s="163"/>
      <c r="D36" s="163"/>
      <c r="E36" s="163"/>
      <c r="F36" s="156"/>
      <c r="G36" s="163"/>
      <c r="H36" s="163"/>
      <c r="I36" s="163"/>
      <c r="J36" s="163"/>
      <c r="K36" s="163"/>
    </row>
    <row r="37" spans="2:11">
      <c r="B37" s="163"/>
      <c r="C37" s="163"/>
      <c r="D37" s="163"/>
      <c r="E37" s="163"/>
      <c r="F37" s="157"/>
      <c r="G37" s="163"/>
      <c r="H37" s="163"/>
      <c r="I37" s="163"/>
      <c r="J37" s="163"/>
      <c r="K37" s="163"/>
    </row>
    <row r="38" spans="2:11">
      <c r="B38" s="163"/>
      <c r="C38" s="163"/>
      <c r="D38" s="163"/>
      <c r="E38" s="163"/>
      <c r="F38" s="157"/>
      <c r="G38" s="163"/>
      <c r="H38" s="163"/>
      <c r="I38" s="163"/>
      <c r="J38" s="163"/>
      <c r="K38" s="163"/>
    </row>
    <row r="39" spans="2:11">
      <c r="B39" s="163"/>
      <c r="C39" s="163"/>
      <c r="D39" s="163"/>
      <c r="E39" s="163"/>
      <c r="F39" s="157"/>
      <c r="G39" s="163"/>
      <c r="H39" s="163"/>
      <c r="I39" s="163"/>
      <c r="J39" s="163"/>
      <c r="K39" s="163"/>
    </row>
    <row r="40" spans="2:11">
      <c r="B40" s="163"/>
    </row>
    <row r="41" spans="2:11">
      <c r="B41" s="163"/>
    </row>
  </sheetData>
  <mergeCells count="4">
    <mergeCell ref="B27:L27"/>
    <mergeCell ref="A4:N4"/>
    <mergeCell ref="A5:N5"/>
    <mergeCell ref="A7:N7"/>
  </mergeCells>
  <printOptions horizontalCentered="1"/>
  <pageMargins left="0.7" right="0.7" top="0.75" bottom="0.75" header="0.3" footer="0.3"/>
  <pageSetup scale="68" orientation="landscape" r:id="rId1"/>
  <headerFooter>
    <oddFooter>&amp;R&amp;"Times New Roman,Regular"Exhibit JW-2
Page &amp;P of &amp;N</oddFooter>
  </headerFooter>
  <ignoredErrors>
    <ignoredError sqref="B10 G10:H10 K10" numberStoredAsText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A16" zoomScaleNormal="100" zoomScaleSheetLayoutView="75" workbookViewId="0">
      <selection activeCell="I62" sqref="I62"/>
    </sheetView>
  </sheetViews>
  <sheetFormatPr defaultRowHeight="14.25"/>
  <cols>
    <col min="1" max="1" width="5.28515625" style="150" customWidth="1"/>
    <col min="2" max="2" width="30.7109375" style="150" bestFit="1" customWidth="1"/>
    <col min="3" max="7" width="10.28515625" style="150" bestFit="1" customWidth="1"/>
    <col min="8" max="8" width="7.7109375" style="150" bestFit="1" customWidth="1"/>
    <col min="9" max="9" width="11.28515625" style="150" customWidth="1"/>
    <col min="10" max="10" width="8.7109375" style="150" bestFit="1" customWidth="1"/>
    <col min="11" max="11" width="13.7109375" style="150" customWidth="1"/>
    <col min="12" max="12" width="9.85546875" style="150" bestFit="1" customWidth="1"/>
    <col min="13" max="16384" width="9.140625" style="150"/>
  </cols>
  <sheetData>
    <row r="1" spans="1:13" s="10" customFormat="1" ht="12.75">
      <c r="K1" s="6" t="s">
        <v>118</v>
      </c>
    </row>
    <row r="2" spans="1:13" s="10" customFormat="1" ht="12.75"/>
    <row r="3" spans="1:13" s="10" customFormat="1" ht="12.75"/>
    <row r="4" spans="1:13" s="10" customFormat="1" ht="12.75">
      <c r="A4" s="315" t="s">
        <v>268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3" s="10" customFormat="1" ht="12.75">
      <c r="A5" s="315" t="s">
        <v>215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3" s="10" customFormat="1" ht="12.7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3" s="10" customFormat="1" ht="12.75">
      <c r="A7" s="312" t="s">
        <v>288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</row>
    <row r="8" spans="1:13" s="10" customFormat="1" ht="12.75"/>
    <row r="9" spans="1:13">
      <c r="A9" s="201" t="s">
        <v>21</v>
      </c>
      <c r="B9" s="202" t="s">
        <v>41</v>
      </c>
      <c r="C9" s="202" t="s">
        <v>289</v>
      </c>
      <c r="D9" s="202" t="s">
        <v>290</v>
      </c>
      <c r="E9" s="202" t="s">
        <v>291</v>
      </c>
      <c r="F9" s="202" t="s">
        <v>292</v>
      </c>
      <c r="G9" s="202" t="s">
        <v>293</v>
      </c>
      <c r="H9" s="202" t="s">
        <v>294</v>
      </c>
      <c r="I9" s="202" t="s">
        <v>295</v>
      </c>
      <c r="J9" s="202" t="s">
        <v>296</v>
      </c>
      <c r="K9" s="202" t="s">
        <v>44</v>
      </c>
    </row>
    <row r="10" spans="1:13">
      <c r="A10" s="14">
        <v>1</v>
      </c>
      <c r="B10" s="9" t="s">
        <v>297</v>
      </c>
      <c r="C10" s="203">
        <f>322.88+645.76+76.56+750+52+34.09+22.52+79.02+32.29</f>
        <v>2015.12</v>
      </c>
      <c r="D10" s="203">
        <f>322.88+645.76+750+34.09+25+33.41+22.52+79.02+32.29</f>
        <v>1944.9699999999998</v>
      </c>
      <c r="E10" s="203">
        <f>322.88+29+16.54+673.89+52+39.91+70.76+750+79.02</f>
        <v>2034</v>
      </c>
      <c r="F10" s="203">
        <f>322.88+645.76+750+27.84+34.09+22.52+79.02+32.29</f>
        <v>1914.3999999999996</v>
      </c>
      <c r="G10" s="203">
        <f>322.88+-1094+628.89+53.36+1000+619+36+41.52+79.02+-22.64</f>
        <v>1664.03</v>
      </c>
      <c r="H10" s="203"/>
      <c r="I10" s="203"/>
      <c r="J10" s="203"/>
      <c r="K10" s="203">
        <f>SUM(C10:J10)</f>
        <v>9572.52</v>
      </c>
      <c r="L10" s="168"/>
      <c r="M10" s="168"/>
    </row>
    <row r="11" spans="1:13">
      <c r="A11" s="14">
        <v>2</v>
      </c>
      <c r="B11" s="9" t="s">
        <v>319</v>
      </c>
      <c r="C11" s="203">
        <v>650</v>
      </c>
      <c r="D11" s="203">
        <f>650+366</f>
        <v>1016</v>
      </c>
      <c r="E11" s="203">
        <v>650</v>
      </c>
      <c r="F11" s="203">
        <f>650+453</f>
        <v>1103</v>
      </c>
      <c r="G11" s="203">
        <f>650+224.38+403</f>
        <v>1277.3800000000001</v>
      </c>
      <c r="H11" s="203"/>
      <c r="I11" s="203"/>
      <c r="J11" s="203"/>
      <c r="K11" s="203">
        <f t="shared" ref="K11:K17" si="0">SUM(C11:J11)</f>
        <v>4696.38</v>
      </c>
      <c r="L11" s="168"/>
      <c r="M11" s="168"/>
    </row>
    <row r="12" spans="1:13">
      <c r="A12" s="14">
        <v>3</v>
      </c>
      <c r="B12" s="9" t="s">
        <v>298</v>
      </c>
      <c r="C12" s="203"/>
      <c r="D12" s="203"/>
      <c r="E12" s="203"/>
      <c r="F12" s="203"/>
      <c r="G12" s="203">
        <f>750+184.44+235.11+1238</f>
        <v>2407.5500000000002</v>
      </c>
      <c r="H12" s="203"/>
      <c r="I12" s="203"/>
      <c r="J12" s="203"/>
      <c r="K12" s="203">
        <f t="shared" si="0"/>
        <v>2407.5500000000002</v>
      </c>
      <c r="L12" s="168"/>
      <c r="M12" s="168"/>
    </row>
    <row r="13" spans="1:13">
      <c r="A13" s="14">
        <v>4</v>
      </c>
      <c r="B13" s="9" t="s">
        <v>299</v>
      </c>
      <c r="C13" s="203"/>
      <c r="D13" s="203">
        <f>250+52.2+250+52.2+250+52.2+250+52.2+250+52.2+250+52.2+149.74+149.74+149.74</f>
        <v>2262.42</v>
      </c>
      <c r="E13" s="203"/>
      <c r="F13" s="203"/>
      <c r="G13" s="203"/>
      <c r="H13" s="203"/>
      <c r="I13" s="203"/>
      <c r="J13" s="203"/>
      <c r="K13" s="203">
        <f t="shared" si="0"/>
        <v>2262.42</v>
      </c>
      <c r="L13" s="168"/>
      <c r="M13" s="168"/>
    </row>
    <row r="14" spans="1:13">
      <c r="A14" s="14">
        <v>5</v>
      </c>
      <c r="B14" s="9" t="s">
        <v>300</v>
      </c>
      <c r="C14" s="203">
        <f>500+390.78+76.56+71.51+37.12</f>
        <v>1075.9699999999998</v>
      </c>
      <c r="D14" s="203">
        <f>500+390.78+71.51+37.12+304</f>
        <v>1303.4099999999999</v>
      </c>
      <c r="E14" s="203">
        <f>500+440.78+68.44+71.51+37.12+304</f>
        <v>1421.85</v>
      </c>
      <c r="F14" s="203">
        <f>500+390.78+71.51+37.12+180</f>
        <v>1179.4099999999999</v>
      </c>
      <c r="G14" s="203">
        <f>500+195.39+54.52+491.43</f>
        <v>1241.3399999999999</v>
      </c>
      <c r="H14" s="203">
        <v>77.72</v>
      </c>
      <c r="I14" s="203">
        <v>96.28</v>
      </c>
      <c r="J14" s="203"/>
      <c r="K14" s="203">
        <f t="shared" si="0"/>
        <v>6395.98</v>
      </c>
      <c r="L14" s="168"/>
      <c r="M14" s="168"/>
    </row>
    <row r="15" spans="1:13">
      <c r="A15" s="14">
        <v>6</v>
      </c>
      <c r="B15" s="9" t="s">
        <v>301</v>
      </c>
      <c r="C15" s="203"/>
      <c r="D15" s="203">
        <v>250</v>
      </c>
      <c r="E15" s="203">
        <f>250+112.52</f>
        <v>362.52</v>
      </c>
      <c r="F15" s="203">
        <f>250+63.8-63.8-250</f>
        <v>0</v>
      </c>
      <c r="G15" s="203">
        <f>250+25.52</f>
        <v>275.52</v>
      </c>
      <c r="H15" s="203"/>
      <c r="I15" s="203"/>
      <c r="J15" s="203">
        <v>250</v>
      </c>
      <c r="K15" s="203">
        <f t="shared" si="0"/>
        <v>1138.04</v>
      </c>
      <c r="L15" s="168"/>
      <c r="M15" s="168"/>
    </row>
    <row r="16" spans="1:13">
      <c r="A16" s="14">
        <v>7</v>
      </c>
      <c r="B16" s="9" t="s">
        <v>302</v>
      </c>
      <c r="C16" s="203">
        <f>0.41*12</f>
        <v>4.92</v>
      </c>
      <c r="D16" s="203">
        <f>1.22*12</f>
        <v>14.64</v>
      </c>
      <c r="E16" s="203">
        <f>2.7*12</f>
        <v>32.400000000000006</v>
      </c>
      <c r="F16" s="203">
        <f>2.7*12</f>
        <v>32.400000000000006</v>
      </c>
      <c r="G16" s="203">
        <f>2.7*12</f>
        <v>32.400000000000006</v>
      </c>
      <c r="H16" s="203">
        <f>0.81*12</f>
        <v>9.7200000000000006</v>
      </c>
      <c r="I16" s="203">
        <f>1.22*12</f>
        <v>14.64</v>
      </c>
      <c r="J16" s="203">
        <v>14.64</v>
      </c>
      <c r="K16" s="203">
        <f t="shared" si="0"/>
        <v>155.76</v>
      </c>
      <c r="L16" s="168"/>
      <c r="M16" s="168"/>
    </row>
    <row r="17" spans="1:14">
      <c r="A17" s="14">
        <v>8</v>
      </c>
      <c r="B17" s="10"/>
      <c r="C17" s="204">
        <f t="shared" ref="C17:J17" si="1">SUM(C10:C16)</f>
        <v>3746.0099999999998</v>
      </c>
      <c r="D17" s="204">
        <f t="shared" si="1"/>
        <v>6791.44</v>
      </c>
      <c r="E17" s="204">
        <f t="shared" si="1"/>
        <v>4500.7700000000004</v>
      </c>
      <c r="F17" s="204">
        <f t="shared" si="1"/>
        <v>4229.2099999999991</v>
      </c>
      <c r="G17" s="204">
        <f t="shared" si="1"/>
        <v>6898.2199999999993</v>
      </c>
      <c r="H17" s="204">
        <f t="shared" si="1"/>
        <v>87.44</v>
      </c>
      <c r="I17" s="204">
        <f t="shared" si="1"/>
        <v>110.92</v>
      </c>
      <c r="J17" s="204">
        <f t="shared" si="1"/>
        <v>264.64</v>
      </c>
      <c r="K17" s="204">
        <f t="shared" si="0"/>
        <v>26628.649999999998</v>
      </c>
      <c r="L17" s="168"/>
      <c r="M17" s="168"/>
    </row>
    <row r="18" spans="1:14">
      <c r="A18" s="14">
        <v>9</v>
      </c>
      <c r="B18" s="10"/>
      <c r="C18" s="25"/>
      <c r="D18" s="25"/>
      <c r="E18" s="25"/>
      <c r="F18" s="25"/>
      <c r="G18" s="25"/>
      <c r="H18" s="25"/>
      <c r="I18" s="25"/>
      <c r="J18" s="25"/>
      <c r="K18" s="10"/>
      <c r="L18" s="168"/>
      <c r="M18" s="168"/>
    </row>
    <row r="19" spans="1:14">
      <c r="A19" s="14">
        <v>10</v>
      </c>
      <c r="B19" s="25"/>
      <c r="C19" s="25"/>
      <c r="D19" s="25"/>
      <c r="E19" s="25"/>
      <c r="F19" s="25"/>
      <c r="G19" s="25"/>
      <c r="H19" s="25"/>
      <c r="I19" s="25"/>
      <c r="J19" s="25"/>
      <c r="K19" s="10"/>
      <c r="L19" s="168"/>
      <c r="M19" s="168"/>
    </row>
    <row r="20" spans="1:14">
      <c r="A20" s="14">
        <v>11</v>
      </c>
      <c r="B20" s="10"/>
      <c r="C20" s="25"/>
      <c r="D20" s="25"/>
      <c r="E20" s="25"/>
      <c r="F20" s="25"/>
      <c r="G20" s="25"/>
      <c r="H20" s="25"/>
      <c r="I20" s="10" t="s">
        <v>37</v>
      </c>
      <c r="J20" s="10"/>
      <c r="K20" s="203">
        <v>107266.45</v>
      </c>
      <c r="L20" s="168"/>
      <c r="M20" s="168"/>
    </row>
    <row r="21" spans="1:14">
      <c r="A21" s="14">
        <v>12</v>
      </c>
      <c r="B21" s="10"/>
      <c r="C21" s="25"/>
      <c r="D21" s="25"/>
      <c r="E21" s="25"/>
      <c r="F21" s="25"/>
      <c r="G21" s="25"/>
      <c r="H21" s="25"/>
      <c r="I21" s="10"/>
      <c r="J21" s="10"/>
      <c r="K21" s="203"/>
      <c r="L21" s="168"/>
      <c r="M21" s="168"/>
    </row>
    <row r="22" spans="1:14">
      <c r="A22" s="14">
        <v>13</v>
      </c>
      <c r="B22" s="10"/>
      <c r="C22" s="25"/>
      <c r="D22" s="25"/>
      <c r="E22" s="25"/>
      <c r="F22" s="10"/>
      <c r="G22" s="10"/>
      <c r="H22" s="10"/>
      <c r="I22" s="10" t="s">
        <v>156</v>
      </c>
      <c r="J22" s="10"/>
      <c r="K22" s="205">
        <f>K20-K17</f>
        <v>80637.8</v>
      </c>
      <c r="L22" s="168"/>
      <c r="M22" s="168"/>
    </row>
    <row r="23" spans="1:14">
      <c r="A23" s="14">
        <v>14</v>
      </c>
      <c r="B23" s="10"/>
      <c r="C23" s="25"/>
      <c r="D23" s="25"/>
      <c r="E23" s="25"/>
      <c r="F23" s="10"/>
      <c r="G23" s="10"/>
      <c r="H23" s="10"/>
      <c r="I23" s="10"/>
      <c r="J23" s="10"/>
      <c r="K23" s="205"/>
    </row>
    <row r="24" spans="1:14" ht="15" thickBot="1">
      <c r="A24" s="14">
        <v>15</v>
      </c>
      <c r="B24" s="10"/>
      <c r="C24" s="25"/>
      <c r="D24" s="25"/>
      <c r="E24" s="25"/>
      <c r="F24" s="10"/>
      <c r="G24" s="10"/>
      <c r="H24" s="10"/>
      <c r="I24" s="18" t="s">
        <v>15</v>
      </c>
      <c r="J24" s="18"/>
      <c r="K24" s="206">
        <f>K22-K20</f>
        <v>-26628.649999999994</v>
      </c>
    </row>
    <row r="25" spans="1:14" ht="15" thickTop="1">
      <c r="D25" s="169"/>
      <c r="E25" s="169"/>
      <c r="F25" s="169"/>
      <c r="G25" s="169"/>
      <c r="H25" s="146"/>
      <c r="I25" s="146"/>
      <c r="J25" s="146"/>
    </row>
    <row r="26" spans="1:14">
      <c r="B26" s="318" t="s">
        <v>303</v>
      </c>
      <c r="C26" s="318"/>
      <c r="D26" s="318"/>
      <c r="E26" s="318"/>
      <c r="F26" s="318"/>
      <c r="G26" s="318"/>
      <c r="H26" s="318"/>
      <c r="I26" s="318"/>
      <c r="J26" s="318"/>
    </row>
    <row r="27" spans="1:14">
      <c r="D27" s="169"/>
      <c r="E27" s="169"/>
      <c r="F27" s="169"/>
      <c r="G27" s="169"/>
      <c r="H27" s="169"/>
      <c r="I27" s="169"/>
      <c r="J27" s="169"/>
    </row>
    <row r="28" spans="1:14" ht="14.25" customHeight="1">
      <c r="D28" s="146"/>
      <c r="E28" s="146"/>
      <c r="F28" s="146"/>
      <c r="G28" s="146"/>
      <c r="H28" s="169"/>
      <c r="I28" s="169"/>
      <c r="J28" s="169"/>
      <c r="K28" s="146"/>
      <c r="L28" s="146"/>
      <c r="M28" s="146"/>
      <c r="N28" s="146"/>
    </row>
    <row r="29" spans="1:14">
      <c r="D29" s="169"/>
      <c r="E29" s="169"/>
      <c r="F29" s="169"/>
      <c r="G29" s="169"/>
      <c r="H29" s="169"/>
      <c r="I29" s="169"/>
      <c r="J29" s="169"/>
    </row>
    <row r="30" spans="1:14">
      <c r="C30" s="169"/>
      <c r="D30" s="169"/>
      <c r="E30" s="169"/>
      <c r="F30" s="169"/>
      <c r="G30" s="169"/>
      <c r="H30" s="169"/>
      <c r="I30" s="169"/>
      <c r="J30" s="169"/>
    </row>
    <row r="31" spans="1:14">
      <c r="C31" s="169"/>
      <c r="D31" s="169"/>
      <c r="E31" s="169"/>
      <c r="F31" s="169"/>
      <c r="G31" s="169"/>
      <c r="H31" s="169"/>
      <c r="I31" s="169"/>
      <c r="J31" s="169"/>
    </row>
    <row r="32" spans="1:14">
      <c r="C32" s="169"/>
      <c r="D32" s="169"/>
      <c r="E32" s="169"/>
      <c r="F32" s="169"/>
      <c r="G32" s="169"/>
      <c r="H32" s="169"/>
      <c r="I32" s="169"/>
      <c r="J32" s="169"/>
    </row>
    <row r="33" spans="3:7">
      <c r="C33" s="169"/>
      <c r="D33" s="169"/>
      <c r="E33" s="169"/>
      <c r="F33" s="169"/>
      <c r="G33" s="169"/>
    </row>
    <row r="34" spans="3:7">
      <c r="D34" s="169"/>
      <c r="E34" s="169"/>
      <c r="F34" s="169"/>
      <c r="G34" s="169"/>
    </row>
    <row r="35" spans="3:7">
      <c r="D35" s="169"/>
      <c r="E35" s="169"/>
      <c r="F35" s="169"/>
      <c r="G35" s="169"/>
    </row>
  </sheetData>
  <mergeCells count="4">
    <mergeCell ref="B26:J26"/>
    <mergeCell ref="A4:K4"/>
    <mergeCell ref="A5:K5"/>
    <mergeCell ref="A7:K7"/>
  </mergeCells>
  <printOptions horizontalCentered="1"/>
  <pageMargins left="0.7" right="0.7" top="0.75" bottom="0.75" header="0.3" footer="0.3"/>
  <pageSetup scale="94" orientation="landscape" r:id="rId1"/>
  <headerFooter>
    <oddFooter>&amp;R&amp;"Times New Roman,Regular"Exhibit JW-2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view="pageBreakPreview" topLeftCell="A52" zoomScale="60" zoomScaleNormal="75" workbookViewId="0">
      <selection activeCell="F59" sqref="F59"/>
    </sheetView>
  </sheetViews>
  <sheetFormatPr defaultRowHeight="12.75"/>
  <cols>
    <col min="1" max="1" width="11.5703125" style="10" customWidth="1"/>
    <col min="2" max="2" width="14.5703125" style="10" customWidth="1"/>
    <col min="3" max="7" width="16.85546875" style="10" customWidth="1"/>
    <col min="8" max="8" width="9.140625" style="10"/>
    <col min="9" max="9" width="11.28515625" style="10" bestFit="1" customWidth="1"/>
    <col min="10" max="10" width="9.140625" style="10"/>
    <col min="11" max="11" width="11.28515625" style="10" bestFit="1" customWidth="1"/>
    <col min="12" max="16384" width="9.140625" style="10"/>
  </cols>
  <sheetData>
    <row r="1" spans="1:14" ht="15" customHeight="1">
      <c r="F1" s="6"/>
      <c r="G1" s="6" t="s">
        <v>119</v>
      </c>
    </row>
    <row r="2" spans="1:14" ht="20.25" customHeight="1">
      <c r="F2" s="6"/>
      <c r="G2" s="6"/>
    </row>
    <row r="3" spans="1:14">
      <c r="F3" s="6"/>
      <c r="G3" s="6"/>
    </row>
    <row r="4" spans="1:14">
      <c r="A4" s="315" t="str">
        <f>RevReq!A1</f>
        <v>MEADE COUNTY R.E.C.C.</v>
      </c>
      <c r="B4" s="315"/>
      <c r="C4" s="315"/>
      <c r="D4" s="315"/>
      <c r="E4" s="315"/>
      <c r="F4" s="315"/>
      <c r="G4" s="315"/>
      <c r="H4" s="147"/>
      <c r="I4" s="147"/>
      <c r="J4" s="147"/>
      <c r="K4" s="147"/>
      <c r="L4" s="147"/>
      <c r="M4" s="147"/>
      <c r="N4" s="147"/>
    </row>
    <row r="5" spans="1:14">
      <c r="A5" s="315" t="str">
        <f>RevReq!A3</f>
        <v>For the 12 Months Ended December 31, 2019</v>
      </c>
      <c r="B5" s="315"/>
      <c r="C5" s="315"/>
      <c r="D5" s="315"/>
      <c r="E5" s="315"/>
      <c r="F5" s="315"/>
      <c r="G5" s="315"/>
      <c r="H5" s="147"/>
      <c r="I5" s="147"/>
      <c r="J5" s="147"/>
      <c r="K5" s="147"/>
    </row>
    <row r="7" spans="1:14" s="7" customFormat="1" ht="15" customHeight="1">
      <c r="A7" s="312" t="s">
        <v>346</v>
      </c>
      <c r="B7" s="312"/>
      <c r="C7" s="312"/>
      <c r="D7" s="312"/>
      <c r="E7" s="312"/>
      <c r="F7" s="312"/>
      <c r="G7" s="312"/>
      <c r="H7" s="214"/>
      <c r="I7" s="214"/>
      <c r="J7" s="214"/>
      <c r="K7" s="214"/>
    </row>
    <row r="9" spans="1:14">
      <c r="A9" s="236" t="s">
        <v>132</v>
      </c>
      <c r="B9" s="236" t="s">
        <v>133</v>
      </c>
      <c r="C9" s="236" t="s">
        <v>279</v>
      </c>
      <c r="D9" s="236" t="s">
        <v>347</v>
      </c>
      <c r="E9" s="236" t="s">
        <v>280</v>
      </c>
      <c r="F9" s="236" t="s">
        <v>281</v>
      </c>
      <c r="G9" s="236" t="s">
        <v>282</v>
      </c>
    </row>
    <row r="10" spans="1:14">
      <c r="A10" s="236"/>
      <c r="B10" s="236"/>
      <c r="C10" s="237"/>
      <c r="D10" s="237"/>
      <c r="E10" s="237"/>
      <c r="F10" s="237" t="s">
        <v>348</v>
      </c>
      <c r="G10" s="237" t="s">
        <v>349</v>
      </c>
      <c r="H10" s="237"/>
    </row>
    <row r="11" spans="1:14" ht="31.5" customHeight="1">
      <c r="A11" s="202" t="s">
        <v>315</v>
      </c>
      <c r="B11" s="238" t="s">
        <v>350</v>
      </c>
      <c r="C11" s="238" t="s">
        <v>351</v>
      </c>
      <c r="D11" s="238" t="s">
        <v>352</v>
      </c>
      <c r="E11" s="238" t="s">
        <v>353</v>
      </c>
      <c r="F11" s="238" t="s">
        <v>354</v>
      </c>
      <c r="G11" s="238" t="s">
        <v>355</v>
      </c>
      <c r="H11" s="237"/>
    </row>
    <row r="12" spans="1:14">
      <c r="A12" s="9">
        <v>1</v>
      </c>
      <c r="B12" s="203">
        <f>16.36*12</f>
        <v>196.32</v>
      </c>
      <c r="C12" s="203">
        <v>22.4</v>
      </c>
      <c r="D12" s="239">
        <f>+C12*2080</f>
        <v>46592</v>
      </c>
      <c r="E12" s="203">
        <f>IF(D12&gt;50000,50000,D12)</f>
        <v>46592</v>
      </c>
      <c r="F12" s="203">
        <f>+D12*2</f>
        <v>93184</v>
      </c>
      <c r="G12" s="240">
        <f>((F12-E12)/F12)*B12</f>
        <v>98.16</v>
      </c>
      <c r="H12" s="25"/>
      <c r="I12" s="239"/>
      <c r="K12" s="239"/>
    </row>
    <row r="13" spans="1:14">
      <c r="A13" s="9">
        <v>2</v>
      </c>
      <c r="B13" s="203">
        <f>34.45*12</f>
        <v>413.40000000000003</v>
      </c>
      <c r="C13" s="203">
        <v>47.3</v>
      </c>
      <c r="D13" s="239">
        <f t="shared" ref="D13:D76" si="0">+C13*2080</f>
        <v>98384</v>
      </c>
      <c r="E13" s="203">
        <f t="shared" ref="E13:E76" si="1">IF(D13&gt;50000,50000,D13)</f>
        <v>50000</v>
      </c>
      <c r="F13" s="203">
        <f t="shared" ref="F13:F76" si="2">+D13*2</f>
        <v>196768</v>
      </c>
      <c r="G13" s="240">
        <f t="shared" ref="G13:G76" si="3">((F13-E13)/F13)*B13</f>
        <v>308.35243128964061</v>
      </c>
      <c r="H13" s="25"/>
      <c r="I13" s="239"/>
      <c r="K13" s="239"/>
    </row>
    <row r="14" spans="1:14">
      <c r="A14" s="9">
        <v>3</v>
      </c>
      <c r="B14" s="203">
        <f>36.19*12</f>
        <v>434.28</v>
      </c>
      <c r="C14" s="203">
        <v>49.8</v>
      </c>
      <c r="D14" s="239">
        <f t="shared" si="0"/>
        <v>103584</v>
      </c>
      <c r="E14" s="203">
        <f t="shared" si="1"/>
        <v>50000</v>
      </c>
      <c r="F14" s="203">
        <f t="shared" si="2"/>
        <v>207168</v>
      </c>
      <c r="G14" s="240">
        <f t="shared" si="3"/>
        <v>329.46651529193696</v>
      </c>
      <c r="H14" s="25"/>
      <c r="I14" s="239"/>
      <c r="K14" s="239"/>
    </row>
    <row r="15" spans="1:14">
      <c r="A15" s="9">
        <v>4</v>
      </c>
      <c r="B15" s="203">
        <f>34.45*12</f>
        <v>413.40000000000003</v>
      </c>
      <c r="C15" s="203">
        <v>47.3</v>
      </c>
      <c r="D15" s="239">
        <f t="shared" si="0"/>
        <v>98384</v>
      </c>
      <c r="E15" s="203">
        <f t="shared" si="1"/>
        <v>50000</v>
      </c>
      <c r="F15" s="203">
        <f t="shared" si="2"/>
        <v>196768</v>
      </c>
      <c r="G15" s="240">
        <f t="shared" si="3"/>
        <v>308.35243128964061</v>
      </c>
      <c r="H15" s="25"/>
      <c r="I15" s="239"/>
      <c r="K15" s="239"/>
    </row>
    <row r="16" spans="1:14">
      <c r="A16" s="9">
        <v>5</v>
      </c>
      <c r="B16" s="203">
        <f>22.97*12</f>
        <v>275.64</v>
      </c>
      <c r="C16" s="203">
        <v>31.54</v>
      </c>
      <c r="D16" s="239">
        <f t="shared" si="0"/>
        <v>65603.199999999997</v>
      </c>
      <c r="E16" s="203">
        <f t="shared" si="1"/>
        <v>50000</v>
      </c>
      <c r="F16" s="203">
        <f t="shared" si="2"/>
        <v>131206.39999999999</v>
      </c>
      <c r="G16" s="240">
        <f t="shared" si="3"/>
        <v>170.5993922247695</v>
      </c>
      <c r="H16" s="25"/>
      <c r="I16" s="239"/>
      <c r="K16" s="239"/>
    </row>
    <row r="17" spans="1:11">
      <c r="A17" s="9">
        <v>6</v>
      </c>
      <c r="B17" s="203">
        <f>25.4*12</f>
        <v>304.79999999999995</v>
      </c>
      <c r="C17" s="203">
        <v>34.78</v>
      </c>
      <c r="D17" s="239">
        <f t="shared" si="0"/>
        <v>72342.400000000009</v>
      </c>
      <c r="E17" s="203">
        <f t="shared" si="1"/>
        <v>50000</v>
      </c>
      <c r="F17" s="203">
        <f t="shared" si="2"/>
        <v>144684.80000000002</v>
      </c>
      <c r="G17" s="240">
        <f t="shared" si="3"/>
        <v>199.46758083779358</v>
      </c>
      <c r="H17" s="25"/>
      <c r="I17" s="239"/>
      <c r="K17" s="239"/>
    </row>
    <row r="18" spans="1:11">
      <c r="A18" s="9">
        <v>7</v>
      </c>
      <c r="B18" s="203">
        <f>27.84*12</f>
        <v>334.08</v>
      </c>
      <c r="C18" s="203">
        <v>38.4</v>
      </c>
      <c r="D18" s="239">
        <f t="shared" si="0"/>
        <v>79872</v>
      </c>
      <c r="E18" s="203">
        <f t="shared" si="1"/>
        <v>50000</v>
      </c>
      <c r="F18" s="203">
        <f t="shared" si="2"/>
        <v>159744</v>
      </c>
      <c r="G18" s="240">
        <f t="shared" si="3"/>
        <v>229.51269230769228</v>
      </c>
      <c r="H18" s="25"/>
      <c r="I18" s="239"/>
      <c r="K18" s="239"/>
    </row>
    <row r="19" spans="1:11">
      <c r="A19" s="9">
        <v>8</v>
      </c>
      <c r="B19" s="203">
        <f>27.14*12</f>
        <v>325.68</v>
      </c>
      <c r="C19" s="203">
        <v>37.24</v>
      </c>
      <c r="D19" s="239">
        <f t="shared" si="0"/>
        <v>77459.199999999997</v>
      </c>
      <c r="E19" s="203">
        <f t="shared" si="1"/>
        <v>50000</v>
      </c>
      <c r="F19" s="203">
        <f t="shared" si="2"/>
        <v>154918.39999999999</v>
      </c>
      <c r="G19" s="240">
        <f t="shared" si="3"/>
        <v>220.56659836404197</v>
      </c>
      <c r="H19" s="25"/>
      <c r="I19" s="239"/>
      <c r="K19" s="239"/>
    </row>
    <row r="20" spans="1:11">
      <c r="A20" s="9">
        <v>9</v>
      </c>
      <c r="B20" s="203">
        <f>24.36*12</f>
        <v>292.32</v>
      </c>
      <c r="C20" s="203">
        <v>33.58</v>
      </c>
      <c r="D20" s="239">
        <f t="shared" si="0"/>
        <v>69846.399999999994</v>
      </c>
      <c r="E20" s="203">
        <f t="shared" si="1"/>
        <v>50000</v>
      </c>
      <c r="F20" s="203">
        <f t="shared" si="2"/>
        <v>139692.79999999999</v>
      </c>
      <c r="G20" s="240">
        <f t="shared" si="3"/>
        <v>187.69041279149675</v>
      </c>
      <c r="H20" s="25"/>
      <c r="I20" s="239"/>
      <c r="K20" s="239"/>
    </row>
    <row r="21" spans="1:11">
      <c r="A21" s="9">
        <v>10</v>
      </c>
      <c r="B21" s="203">
        <f>34.45*12</f>
        <v>413.40000000000003</v>
      </c>
      <c r="C21" s="203">
        <v>47.3</v>
      </c>
      <c r="D21" s="239">
        <f t="shared" si="0"/>
        <v>98384</v>
      </c>
      <c r="E21" s="203">
        <f t="shared" si="1"/>
        <v>50000</v>
      </c>
      <c r="F21" s="203">
        <f t="shared" si="2"/>
        <v>196768</v>
      </c>
      <c r="G21" s="240">
        <f t="shared" si="3"/>
        <v>308.35243128964061</v>
      </c>
      <c r="H21" s="25"/>
      <c r="I21" s="239"/>
      <c r="K21" s="239"/>
    </row>
    <row r="22" spans="1:11">
      <c r="A22" s="9">
        <v>11</v>
      </c>
      <c r="B22" s="203">
        <f>57.77*12</f>
        <v>693.24</v>
      </c>
      <c r="C22" s="203">
        <v>70.69</v>
      </c>
      <c r="D22" s="239">
        <f t="shared" si="0"/>
        <v>147035.19999999998</v>
      </c>
      <c r="E22" s="203">
        <f t="shared" si="1"/>
        <v>50000</v>
      </c>
      <c r="F22" s="203">
        <f t="shared" si="2"/>
        <v>294070.39999999997</v>
      </c>
      <c r="G22" s="240">
        <f t="shared" si="3"/>
        <v>575.37026540583474</v>
      </c>
      <c r="H22" s="25"/>
      <c r="I22" s="239"/>
      <c r="K22" s="239"/>
    </row>
    <row r="23" spans="1:11">
      <c r="A23" s="9">
        <v>12</v>
      </c>
      <c r="B23" s="203">
        <f>37.93*12</f>
        <v>455.15999999999997</v>
      </c>
      <c r="C23" s="203">
        <v>52.37</v>
      </c>
      <c r="D23" s="239">
        <f t="shared" si="0"/>
        <v>108929.59999999999</v>
      </c>
      <c r="E23" s="203">
        <f t="shared" si="1"/>
        <v>50000</v>
      </c>
      <c r="F23" s="203">
        <f t="shared" si="2"/>
        <v>217859.19999999998</v>
      </c>
      <c r="G23" s="240">
        <f t="shared" si="3"/>
        <v>350.69803557527064</v>
      </c>
      <c r="H23" s="25"/>
      <c r="I23" s="239"/>
      <c r="K23" s="239"/>
    </row>
    <row r="24" spans="1:11">
      <c r="A24" s="9">
        <v>13</v>
      </c>
      <c r="B24" s="203">
        <f>20.53*12</f>
        <v>246.36</v>
      </c>
      <c r="C24" s="203">
        <v>28.12</v>
      </c>
      <c r="D24" s="239">
        <f t="shared" si="0"/>
        <v>58489.599999999999</v>
      </c>
      <c r="E24" s="203">
        <f t="shared" si="1"/>
        <v>50000</v>
      </c>
      <c r="F24" s="203">
        <f t="shared" si="2"/>
        <v>116979.2</v>
      </c>
      <c r="G24" s="240">
        <f t="shared" si="3"/>
        <v>141.05922858080751</v>
      </c>
      <c r="H24" s="25"/>
      <c r="I24" s="239"/>
      <c r="K24" s="239"/>
    </row>
    <row r="25" spans="1:11">
      <c r="A25" s="9">
        <v>14</v>
      </c>
      <c r="B25" s="203">
        <f>27.14*12</f>
        <v>325.68</v>
      </c>
      <c r="C25" s="203">
        <v>37.24</v>
      </c>
      <c r="D25" s="239">
        <f t="shared" si="0"/>
        <v>77459.199999999997</v>
      </c>
      <c r="E25" s="203">
        <f>IF(D25&gt;50000,50000,D25)</f>
        <v>50000</v>
      </c>
      <c r="F25" s="203">
        <f>+D25*2</f>
        <v>154918.39999999999</v>
      </c>
      <c r="G25" s="240">
        <f>((F25-E25)/F25)*B25</f>
        <v>220.56659836404197</v>
      </c>
      <c r="H25" s="25"/>
      <c r="I25" s="239"/>
      <c r="K25" s="239"/>
    </row>
    <row r="26" spans="1:11">
      <c r="A26" s="9">
        <v>15</v>
      </c>
      <c r="B26" s="203">
        <f>19.84*12</f>
        <v>238.07999999999998</v>
      </c>
      <c r="C26" s="203">
        <v>27.24</v>
      </c>
      <c r="D26" s="239">
        <f t="shared" si="0"/>
        <v>56659.199999999997</v>
      </c>
      <c r="E26" s="203">
        <f t="shared" si="1"/>
        <v>50000</v>
      </c>
      <c r="F26" s="203">
        <f t="shared" si="2"/>
        <v>113318.39999999999</v>
      </c>
      <c r="G26" s="240">
        <f t="shared" si="3"/>
        <v>133.03086411385971</v>
      </c>
      <c r="H26" s="25"/>
      <c r="I26" s="239"/>
      <c r="K26" s="239"/>
    </row>
    <row r="27" spans="1:11">
      <c r="A27" s="9">
        <v>16</v>
      </c>
      <c r="B27" s="203">
        <f>21.23*12</f>
        <v>254.76</v>
      </c>
      <c r="C27" s="203">
        <v>29.14</v>
      </c>
      <c r="D27" s="239">
        <f t="shared" si="0"/>
        <v>60611.200000000004</v>
      </c>
      <c r="E27" s="203">
        <f t="shared" si="1"/>
        <v>50000</v>
      </c>
      <c r="F27" s="203">
        <f t="shared" si="2"/>
        <v>121222.40000000001</v>
      </c>
      <c r="G27" s="240">
        <f t="shared" si="3"/>
        <v>149.68041074916846</v>
      </c>
      <c r="H27" s="25"/>
      <c r="I27" s="239"/>
      <c r="K27" s="239"/>
    </row>
    <row r="28" spans="1:11">
      <c r="A28" s="9">
        <v>17</v>
      </c>
      <c r="B28" s="203">
        <f>16.7*12</f>
        <v>200.39999999999998</v>
      </c>
      <c r="C28" s="203">
        <v>22.77</v>
      </c>
      <c r="D28" s="239">
        <f t="shared" si="0"/>
        <v>47361.599999999999</v>
      </c>
      <c r="E28" s="203">
        <f t="shared" si="1"/>
        <v>47361.599999999999</v>
      </c>
      <c r="F28" s="203">
        <f t="shared" si="2"/>
        <v>94723.199999999997</v>
      </c>
      <c r="G28" s="240">
        <f t="shared" si="3"/>
        <v>100.19999999999999</v>
      </c>
      <c r="H28" s="25"/>
      <c r="I28" s="239"/>
      <c r="K28" s="239"/>
    </row>
    <row r="29" spans="1:11">
      <c r="A29" s="9">
        <v>18</v>
      </c>
      <c r="B29" s="203">
        <f>27.49*12</f>
        <v>329.88</v>
      </c>
      <c r="C29" s="203">
        <v>37.92</v>
      </c>
      <c r="D29" s="239">
        <f t="shared" si="0"/>
        <v>78873.600000000006</v>
      </c>
      <c r="E29" s="203">
        <f t="shared" si="1"/>
        <v>50000</v>
      </c>
      <c r="F29" s="203">
        <f t="shared" si="2"/>
        <v>157747.20000000001</v>
      </c>
      <c r="G29" s="240">
        <f t="shared" si="3"/>
        <v>225.32029941577409</v>
      </c>
      <c r="H29" s="25"/>
      <c r="I29" s="239"/>
      <c r="K29" s="239"/>
    </row>
    <row r="30" spans="1:11">
      <c r="A30" s="9">
        <v>19</v>
      </c>
      <c r="B30" s="203">
        <f>27.14*12</f>
        <v>325.68</v>
      </c>
      <c r="C30" s="203">
        <v>37.24</v>
      </c>
      <c r="D30" s="239">
        <f t="shared" si="0"/>
        <v>77459.199999999997</v>
      </c>
      <c r="E30" s="203">
        <f t="shared" si="1"/>
        <v>50000</v>
      </c>
      <c r="F30" s="203">
        <f t="shared" si="2"/>
        <v>154918.39999999999</v>
      </c>
      <c r="G30" s="240">
        <f t="shared" si="3"/>
        <v>220.56659836404197</v>
      </c>
      <c r="H30" s="25"/>
      <c r="I30" s="239"/>
      <c r="K30" s="239"/>
    </row>
    <row r="31" spans="1:11">
      <c r="A31" s="9">
        <v>20</v>
      </c>
      <c r="B31" s="203">
        <f>21.92*12</f>
        <v>263.04000000000002</v>
      </c>
      <c r="C31" s="203">
        <v>30.1</v>
      </c>
      <c r="D31" s="239">
        <f t="shared" si="0"/>
        <v>62608</v>
      </c>
      <c r="E31" s="203">
        <f t="shared" si="1"/>
        <v>50000</v>
      </c>
      <c r="F31" s="203">
        <f t="shared" si="2"/>
        <v>125216</v>
      </c>
      <c r="G31" s="240">
        <f t="shared" si="3"/>
        <v>158.00549961666241</v>
      </c>
      <c r="H31" s="25"/>
      <c r="I31" s="239"/>
      <c r="K31" s="239"/>
    </row>
    <row r="32" spans="1:11">
      <c r="A32" s="9">
        <v>21</v>
      </c>
      <c r="B32" s="203">
        <f>39.67*12</f>
        <v>476.04</v>
      </c>
      <c r="C32" s="203">
        <v>54.52</v>
      </c>
      <c r="D32" s="239">
        <f t="shared" si="0"/>
        <v>113401.60000000001</v>
      </c>
      <c r="E32" s="203">
        <f t="shared" si="1"/>
        <v>50000</v>
      </c>
      <c r="F32" s="203">
        <f t="shared" si="2"/>
        <v>226803.20000000001</v>
      </c>
      <c r="G32" s="240">
        <f t="shared" si="3"/>
        <v>371.09439076697333</v>
      </c>
      <c r="H32" s="25"/>
      <c r="I32" s="239"/>
      <c r="K32" s="239"/>
    </row>
    <row r="33" spans="1:11">
      <c r="A33" s="9">
        <v>22</v>
      </c>
      <c r="B33" s="203">
        <f>24.71*12</f>
        <v>296.52</v>
      </c>
      <c r="C33" s="203">
        <v>34.1</v>
      </c>
      <c r="D33" s="239">
        <f t="shared" si="0"/>
        <v>70928</v>
      </c>
      <c r="E33" s="203">
        <f t="shared" si="1"/>
        <v>50000</v>
      </c>
      <c r="F33" s="203">
        <f t="shared" si="2"/>
        <v>141856</v>
      </c>
      <c r="G33" s="240">
        <f t="shared" si="3"/>
        <v>192.00556282427249</v>
      </c>
      <c r="H33" s="25"/>
      <c r="I33" s="239"/>
      <c r="K33" s="239"/>
    </row>
    <row r="34" spans="1:11">
      <c r="A34" s="9">
        <v>23</v>
      </c>
      <c r="B34" s="203">
        <f>26.45*12</f>
        <v>317.39999999999998</v>
      </c>
      <c r="C34" s="203">
        <v>36.5</v>
      </c>
      <c r="D34" s="239">
        <f t="shared" si="0"/>
        <v>75920</v>
      </c>
      <c r="E34" s="203">
        <f t="shared" si="1"/>
        <v>50000</v>
      </c>
      <c r="F34" s="203">
        <f t="shared" si="2"/>
        <v>151840</v>
      </c>
      <c r="G34" s="240">
        <f t="shared" si="3"/>
        <v>212.88208640674392</v>
      </c>
      <c r="H34" s="25"/>
      <c r="I34" s="239"/>
      <c r="K34" s="239"/>
    </row>
    <row r="35" spans="1:11">
      <c r="A35" s="9">
        <v>24</v>
      </c>
      <c r="B35" s="203">
        <f>27.14*12</f>
        <v>325.68</v>
      </c>
      <c r="C35" s="203">
        <v>37.24</v>
      </c>
      <c r="D35" s="239">
        <f t="shared" si="0"/>
        <v>77459.199999999997</v>
      </c>
      <c r="E35" s="203">
        <f t="shared" si="1"/>
        <v>50000</v>
      </c>
      <c r="F35" s="203">
        <f t="shared" si="2"/>
        <v>154918.39999999999</v>
      </c>
      <c r="G35" s="240">
        <f t="shared" si="3"/>
        <v>220.56659836404197</v>
      </c>
      <c r="H35" s="25"/>
      <c r="I35" s="239"/>
      <c r="K35" s="239"/>
    </row>
    <row r="36" spans="1:11">
      <c r="A36" s="9">
        <v>25</v>
      </c>
      <c r="B36" s="203">
        <f>25.4*12</f>
        <v>304.79999999999995</v>
      </c>
      <c r="C36" s="203">
        <v>34.78</v>
      </c>
      <c r="D36" s="239">
        <f t="shared" si="0"/>
        <v>72342.400000000009</v>
      </c>
      <c r="E36" s="203">
        <f t="shared" si="1"/>
        <v>50000</v>
      </c>
      <c r="F36" s="203">
        <f t="shared" si="2"/>
        <v>144684.80000000002</v>
      </c>
      <c r="G36" s="240">
        <f t="shared" si="3"/>
        <v>199.46758083779358</v>
      </c>
      <c r="H36" s="25"/>
      <c r="I36" s="239"/>
      <c r="K36" s="239"/>
    </row>
    <row r="37" spans="1:11">
      <c r="A37" s="9">
        <v>26</v>
      </c>
      <c r="B37" s="203">
        <f>42.11*12</f>
        <v>505.32</v>
      </c>
      <c r="C37" s="203">
        <v>57.93</v>
      </c>
      <c r="D37" s="239">
        <f t="shared" si="0"/>
        <v>120494.39999999999</v>
      </c>
      <c r="E37" s="203">
        <f t="shared" si="1"/>
        <v>50000</v>
      </c>
      <c r="F37" s="203">
        <f t="shared" si="2"/>
        <v>240988.79999999999</v>
      </c>
      <c r="G37" s="240">
        <f t="shared" si="3"/>
        <v>400.47695335218896</v>
      </c>
      <c r="H37" s="25"/>
      <c r="I37" s="239"/>
      <c r="K37" s="239"/>
    </row>
    <row r="38" spans="1:11">
      <c r="A38" s="9">
        <v>27</v>
      </c>
      <c r="B38" s="203">
        <f>21.23*12</f>
        <v>254.76</v>
      </c>
      <c r="C38" s="203">
        <v>29.14</v>
      </c>
      <c r="D38" s="239">
        <f t="shared" si="0"/>
        <v>60611.200000000004</v>
      </c>
      <c r="E38" s="203">
        <f t="shared" si="1"/>
        <v>50000</v>
      </c>
      <c r="F38" s="203">
        <f t="shared" si="2"/>
        <v>121222.40000000001</v>
      </c>
      <c r="G38" s="240">
        <f t="shared" si="3"/>
        <v>149.68041074916846</v>
      </c>
      <c r="H38" s="25"/>
      <c r="I38" s="239"/>
      <c r="K38" s="239"/>
    </row>
    <row r="39" spans="1:11">
      <c r="A39" s="9">
        <v>28</v>
      </c>
      <c r="B39" s="203">
        <f>26.45*12</f>
        <v>317.39999999999998</v>
      </c>
      <c r="C39" s="203">
        <v>36.5</v>
      </c>
      <c r="D39" s="239">
        <f t="shared" si="0"/>
        <v>75920</v>
      </c>
      <c r="E39" s="203">
        <f t="shared" si="1"/>
        <v>50000</v>
      </c>
      <c r="F39" s="203">
        <f t="shared" si="2"/>
        <v>151840</v>
      </c>
      <c r="G39" s="240">
        <f t="shared" si="3"/>
        <v>212.88208640674392</v>
      </c>
      <c r="H39" s="25"/>
      <c r="I39" s="239"/>
      <c r="K39" s="239"/>
    </row>
    <row r="40" spans="1:11">
      <c r="A40" s="9">
        <v>29</v>
      </c>
      <c r="B40" s="203">
        <f>15.66*12</f>
        <v>187.92000000000002</v>
      </c>
      <c r="C40" s="203">
        <v>21.2</v>
      </c>
      <c r="D40" s="239">
        <f t="shared" si="0"/>
        <v>44096</v>
      </c>
      <c r="E40" s="203">
        <f t="shared" si="1"/>
        <v>44096</v>
      </c>
      <c r="F40" s="203">
        <f t="shared" si="2"/>
        <v>88192</v>
      </c>
      <c r="G40" s="240">
        <f t="shared" si="3"/>
        <v>93.960000000000008</v>
      </c>
      <c r="H40" s="25"/>
      <c r="I40" s="239"/>
      <c r="K40" s="239"/>
    </row>
    <row r="41" spans="1:11">
      <c r="A41" s="9">
        <v>30</v>
      </c>
      <c r="B41" s="203">
        <f>20.53*12</f>
        <v>246.36</v>
      </c>
      <c r="C41" s="203">
        <v>28.12</v>
      </c>
      <c r="D41" s="239">
        <f t="shared" si="0"/>
        <v>58489.599999999999</v>
      </c>
      <c r="E41" s="203">
        <f t="shared" si="1"/>
        <v>50000</v>
      </c>
      <c r="F41" s="203">
        <f t="shared" si="2"/>
        <v>116979.2</v>
      </c>
      <c r="G41" s="240">
        <f t="shared" si="3"/>
        <v>141.05922858080751</v>
      </c>
      <c r="H41" s="25"/>
      <c r="I41" s="239"/>
      <c r="K41" s="239"/>
    </row>
    <row r="42" spans="1:11">
      <c r="A42" s="9">
        <v>31</v>
      </c>
      <c r="B42" s="203">
        <f>16.36*12</f>
        <v>196.32</v>
      </c>
      <c r="C42" s="203">
        <v>22.4</v>
      </c>
      <c r="D42" s="239">
        <f t="shared" si="0"/>
        <v>46592</v>
      </c>
      <c r="E42" s="203">
        <f t="shared" si="1"/>
        <v>46592</v>
      </c>
      <c r="F42" s="203">
        <f t="shared" si="2"/>
        <v>93184</v>
      </c>
      <c r="G42" s="240">
        <f t="shared" si="3"/>
        <v>98.16</v>
      </c>
      <c r="H42" s="25"/>
      <c r="I42" s="239"/>
      <c r="K42" s="239"/>
    </row>
    <row r="43" spans="1:11">
      <c r="A43" s="9">
        <v>32</v>
      </c>
      <c r="B43" s="203">
        <f>25.75*12</f>
        <v>309</v>
      </c>
      <c r="C43" s="203">
        <v>35.15</v>
      </c>
      <c r="D43" s="239">
        <f t="shared" si="0"/>
        <v>73112</v>
      </c>
      <c r="E43" s="203">
        <f t="shared" si="1"/>
        <v>50000</v>
      </c>
      <c r="F43" s="203">
        <f t="shared" si="2"/>
        <v>146224</v>
      </c>
      <c r="G43" s="240">
        <f t="shared" si="3"/>
        <v>203.34019039282197</v>
      </c>
      <c r="H43" s="25"/>
      <c r="I43" s="239"/>
      <c r="K43" s="239"/>
    </row>
    <row r="44" spans="1:11">
      <c r="A44" s="9">
        <v>33</v>
      </c>
      <c r="B44" s="203">
        <f>24.71*12</f>
        <v>296.52</v>
      </c>
      <c r="C44" s="203">
        <v>34.909999999999997</v>
      </c>
      <c r="D44" s="239">
        <f t="shared" si="0"/>
        <v>72612.799999999988</v>
      </c>
      <c r="E44" s="203">
        <f t="shared" si="1"/>
        <v>50000</v>
      </c>
      <c r="F44" s="203">
        <f t="shared" si="2"/>
        <v>145225.59999999998</v>
      </c>
      <c r="G44" s="240">
        <f t="shared" si="3"/>
        <v>194.43056122336554</v>
      </c>
      <c r="H44" s="25"/>
      <c r="I44" s="239"/>
      <c r="K44" s="239"/>
    </row>
    <row r="45" spans="1:11">
      <c r="A45" s="9">
        <v>34</v>
      </c>
      <c r="B45" s="203">
        <f>25.4*12</f>
        <v>304.79999999999995</v>
      </c>
      <c r="C45" s="203">
        <v>34.78</v>
      </c>
      <c r="D45" s="239">
        <f t="shared" si="0"/>
        <v>72342.400000000009</v>
      </c>
      <c r="E45" s="203">
        <f t="shared" si="1"/>
        <v>50000</v>
      </c>
      <c r="F45" s="203">
        <f t="shared" si="2"/>
        <v>144684.80000000002</v>
      </c>
      <c r="G45" s="240">
        <f t="shared" si="3"/>
        <v>199.46758083779358</v>
      </c>
      <c r="H45" s="25"/>
      <c r="I45" s="239"/>
      <c r="K45" s="239"/>
    </row>
    <row r="46" spans="1:11">
      <c r="A46" s="9">
        <v>35</v>
      </c>
      <c r="B46" s="203">
        <f>24.71*12</f>
        <v>296.52</v>
      </c>
      <c r="C46" s="203">
        <v>34.1</v>
      </c>
      <c r="D46" s="239">
        <f t="shared" si="0"/>
        <v>70928</v>
      </c>
      <c r="E46" s="203">
        <f t="shared" si="1"/>
        <v>50000</v>
      </c>
      <c r="F46" s="203">
        <f t="shared" si="2"/>
        <v>141856</v>
      </c>
      <c r="G46" s="240">
        <f t="shared" si="3"/>
        <v>192.00556282427249</v>
      </c>
      <c r="H46" s="25"/>
      <c r="I46" s="239"/>
      <c r="K46" s="239"/>
    </row>
    <row r="47" spans="1:11">
      <c r="A47" s="9">
        <v>36</v>
      </c>
      <c r="B47" s="203">
        <f>22.62*12</f>
        <v>271.44</v>
      </c>
      <c r="C47" s="203">
        <v>31.05</v>
      </c>
      <c r="D47" s="239">
        <f t="shared" si="0"/>
        <v>64584</v>
      </c>
      <c r="E47" s="203">
        <f t="shared" si="1"/>
        <v>50000</v>
      </c>
      <c r="F47" s="203">
        <f t="shared" si="2"/>
        <v>129168</v>
      </c>
      <c r="G47" s="240">
        <f t="shared" si="3"/>
        <v>166.36753623188406</v>
      </c>
      <c r="H47" s="25"/>
      <c r="I47" s="239"/>
      <c r="K47" s="239"/>
    </row>
    <row r="48" spans="1:11">
      <c r="A48" s="9">
        <v>37</v>
      </c>
      <c r="B48" s="203">
        <f>25.4*12</f>
        <v>304.79999999999995</v>
      </c>
      <c r="C48" s="203">
        <v>34.78</v>
      </c>
      <c r="D48" s="239">
        <f t="shared" si="0"/>
        <v>72342.400000000009</v>
      </c>
      <c r="E48" s="203">
        <f t="shared" si="1"/>
        <v>50000</v>
      </c>
      <c r="F48" s="203">
        <f t="shared" si="2"/>
        <v>144684.80000000002</v>
      </c>
      <c r="G48" s="240">
        <f t="shared" si="3"/>
        <v>199.46758083779358</v>
      </c>
      <c r="H48" s="25"/>
      <c r="I48" s="239"/>
      <c r="K48" s="239"/>
    </row>
    <row r="49" spans="1:11">
      <c r="A49" s="9">
        <v>38</v>
      </c>
      <c r="B49" s="203">
        <f>24.71*12</f>
        <v>296.52</v>
      </c>
      <c r="C49" s="203">
        <v>34.1</v>
      </c>
      <c r="D49" s="239">
        <f t="shared" si="0"/>
        <v>70928</v>
      </c>
      <c r="E49" s="203">
        <f t="shared" si="1"/>
        <v>50000</v>
      </c>
      <c r="F49" s="203">
        <f t="shared" si="2"/>
        <v>141856</v>
      </c>
      <c r="G49" s="240">
        <f t="shared" si="3"/>
        <v>192.00556282427249</v>
      </c>
      <c r="H49" s="25"/>
      <c r="I49" s="239"/>
      <c r="K49" s="239"/>
    </row>
    <row r="50" spans="1:11">
      <c r="A50" s="9">
        <v>39</v>
      </c>
      <c r="B50" s="203">
        <f>24.71*12</f>
        <v>296.52</v>
      </c>
      <c r="C50" s="203">
        <v>34.1</v>
      </c>
      <c r="D50" s="239">
        <f t="shared" si="0"/>
        <v>70928</v>
      </c>
      <c r="E50" s="203">
        <f t="shared" si="1"/>
        <v>50000</v>
      </c>
      <c r="F50" s="203">
        <f t="shared" si="2"/>
        <v>141856</v>
      </c>
      <c r="G50" s="240">
        <f t="shared" si="3"/>
        <v>192.00556282427249</v>
      </c>
      <c r="H50" s="25"/>
      <c r="I50" s="239"/>
      <c r="K50" s="239"/>
    </row>
    <row r="51" spans="1:11">
      <c r="A51" s="9">
        <v>40</v>
      </c>
      <c r="B51" s="203">
        <f>14.27*12</f>
        <v>171.24</v>
      </c>
      <c r="C51" s="203">
        <v>19.329999999999998</v>
      </c>
      <c r="D51" s="239">
        <f t="shared" si="0"/>
        <v>40206.399999999994</v>
      </c>
      <c r="E51" s="203">
        <f t="shared" si="1"/>
        <v>40206.399999999994</v>
      </c>
      <c r="F51" s="203">
        <f t="shared" si="2"/>
        <v>80412.799999999988</v>
      </c>
      <c r="G51" s="240">
        <f t="shared" si="3"/>
        <v>85.62</v>
      </c>
      <c r="H51" s="25"/>
      <c r="I51" s="239"/>
      <c r="K51" s="239"/>
    </row>
    <row r="52" spans="1:11">
      <c r="A52" s="9">
        <v>41</v>
      </c>
      <c r="B52" s="203">
        <f>32.02*12</f>
        <v>384.24</v>
      </c>
      <c r="C52" s="203">
        <v>44.23</v>
      </c>
      <c r="D52" s="239">
        <f t="shared" si="0"/>
        <v>91998.399999999994</v>
      </c>
      <c r="E52" s="203">
        <f t="shared" si="1"/>
        <v>50000</v>
      </c>
      <c r="F52" s="203">
        <f t="shared" si="2"/>
        <v>183996.79999999999</v>
      </c>
      <c r="G52" s="240">
        <f t="shared" si="3"/>
        <v>279.82514061114108</v>
      </c>
      <c r="H52" s="25"/>
      <c r="I52" s="239"/>
      <c r="K52" s="239"/>
    </row>
    <row r="53" spans="1:11">
      <c r="A53" s="9">
        <v>42</v>
      </c>
      <c r="B53" s="203">
        <f>20.53*12</f>
        <v>246.36</v>
      </c>
      <c r="C53" s="203">
        <v>28.12</v>
      </c>
      <c r="D53" s="239">
        <f t="shared" si="0"/>
        <v>58489.599999999999</v>
      </c>
      <c r="E53" s="203">
        <f t="shared" si="1"/>
        <v>50000</v>
      </c>
      <c r="F53" s="203">
        <f t="shared" si="2"/>
        <v>116979.2</v>
      </c>
      <c r="G53" s="240">
        <f t="shared" si="3"/>
        <v>141.05922858080751</v>
      </c>
      <c r="H53" s="25"/>
      <c r="I53" s="239"/>
      <c r="K53" s="239"/>
    </row>
    <row r="54" spans="1:11">
      <c r="A54" s="9">
        <v>43</v>
      </c>
      <c r="B54" s="203">
        <f>19.14*12</f>
        <v>229.68</v>
      </c>
      <c r="C54" s="203">
        <v>26.42</v>
      </c>
      <c r="D54" s="239">
        <f t="shared" si="0"/>
        <v>54953.600000000006</v>
      </c>
      <c r="E54" s="203">
        <f t="shared" si="1"/>
        <v>50000</v>
      </c>
      <c r="F54" s="203">
        <f t="shared" si="2"/>
        <v>109907.20000000001</v>
      </c>
      <c r="G54" s="240">
        <f t="shared" si="3"/>
        <v>125.19184999708848</v>
      </c>
      <c r="H54" s="25"/>
      <c r="I54" s="239"/>
      <c r="K54" s="239"/>
    </row>
    <row r="55" spans="1:11">
      <c r="A55" s="9">
        <v>44</v>
      </c>
      <c r="B55" s="203">
        <f>19.14*12</f>
        <v>229.68</v>
      </c>
      <c r="C55" s="203">
        <v>26.42</v>
      </c>
      <c r="D55" s="239">
        <f t="shared" si="0"/>
        <v>54953.600000000006</v>
      </c>
      <c r="E55" s="203">
        <f t="shared" si="1"/>
        <v>50000</v>
      </c>
      <c r="F55" s="203">
        <f t="shared" si="2"/>
        <v>109907.20000000001</v>
      </c>
      <c r="G55" s="240">
        <f t="shared" si="3"/>
        <v>125.19184999708848</v>
      </c>
      <c r="H55" s="25"/>
      <c r="I55" s="239"/>
      <c r="K55" s="239"/>
    </row>
    <row r="56" spans="1:11">
      <c r="A56" s="9">
        <v>45</v>
      </c>
      <c r="B56" s="203">
        <f>16.36*12</f>
        <v>196.32</v>
      </c>
      <c r="C56" s="203">
        <v>22.4</v>
      </c>
      <c r="D56" s="239">
        <f t="shared" si="0"/>
        <v>46592</v>
      </c>
      <c r="E56" s="203">
        <f t="shared" si="1"/>
        <v>46592</v>
      </c>
      <c r="F56" s="203">
        <f t="shared" si="2"/>
        <v>93184</v>
      </c>
      <c r="G56" s="240">
        <f t="shared" si="3"/>
        <v>98.16</v>
      </c>
      <c r="H56" s="25"/>
      <c r="I56" s="239"/>
      <c r="K56" s="239"/>
    </row>
    <row r="57" spans="1:11">
      <c r="A57" s="9">
        <v>46</v>
      </c>
      <c r="B57" s="203">
        <f>16.7*12</f>
        <v>200.39999999999998</v>
      </c>
      <c r="C57" s="203">
        <v>23.06</v>
      </c>
      <c r="D57" s="239">
        <f t="shared" si="0"/>
        <v>47964.799999999996</v>
      </c>
      <c r="E57" s="203">
        <f t="shared" si="1"/>
        <v>47964.799999999996</v>
      </c>
      <c r="F57" s="203">
        <f t="shared" si="2"/>
        <v>95929.599999999991</v>
      </c>
      <c r="G57" s="240">
        <f t="shared" si="3"/>
        <v>100.19999999999999</v>
      </c>
      <c r="H57" s="25"/>
      <c r="I57" s="239"/>
      <c r="K57" s="239"/>
    </row>
    <row r="58" spans="1:11">
      <c r="A58" s="9">
        <v>47</v>
      </c>
      <c r="B58" s="203">
        <f>16.01*12</f>
        <v>192.12</v>
      </c>
      <c r="C58" s="203">
        <v>22.75</v>
      </c>
      <c r="D58" s="239">
        <f t="shared" si="0"/>
        <v>47320</v>
      </c>
      <c r="E58" s="203">
        <f t="shared" si="1"/>
        <v>47320</v>
      </c>
      <c r="F58" s="203">
        <f t="shared" si="2"/>
        <v>94640</v>
      </c>
      <c r="G58" s="240">
        <f>((F58-E58)/F58)*B58</f>
        <v>96.06</v>
      </c>
      <c r="H58" s="25"/>
      <c r="I58" s="239"/>
      <c r="K58" s="239"/>
    </row>
    <row r="59" spans="1:11">
      <c r="A59" s="9">
        <v>48</v>
      </c>
      <c r="B59" s="203">
        <f>16.01*12</f>
        <v>192.12</v>
      </c>
      <c r="C59" s="203">
        <v>22.09</v>
      </c>
      <c r="D59" s="239">
        <f t="shared" si="0"/>
        <v>45947.199999999997</v>
      </c>
      <c r="E59" s="203">
        <f t="shared" si="1"/>
        <v>45947.199999999997</v>
      </c>
      <c r="F59" s="203">
        <f t="shared" si="2"/>
        <v>91894.399999999994</v>
      </c>
      <c r="G59" s="240">
        <f t="shared" si="3"/>
        <v>96.06</v>
      </c>
      <c r="H59" s="25"/>
      <c r="I59" s="239"/>
      <c r="K59" s="239"/>
    </row>
    <row r="60" spans="1:11">
      <c r="A60" s="9">
        <v>49</v>
      </c>
      <c r="B60" s="203">
        <f>25.4*12</f>
        <v>304.79999999999995</v>
      </c>
      <c r="C60" s="203">
        <v>34.78</v>
      </c>
      <c r="D60" s="239">
        <f t="shared" si="0"/>
        <v>72342.400000000009</v>
      </c>
      <c r="E60" s="203">
        <f t="shared" si="1"/>
        <v>50000</v>
      </c>
      <c r="F60" s="203">
        <f t="shared" si="2"/>
        <v>144684.80000000002</v>
      </c>
      <c r="G60" s="240">
        <f t="shared" si="3"/>
        <v>199.46758083779358</v>
      </c>
      <c r="H60" s="25"/>
      <c r="I60" s="239"/>
      <c r="K60" s="239"/>
    </row>
    <row r="61" spans="1:11">
      <c r="A61" s="9">
        <v>50</v>
      </c>
      <c r="B61" s="203">
        <f>18.1*12</f>
        <v>217.20000000000002</v>
      </c>
      <c r="C61" s="203">
        <v>24.67</v>
      </c>
      <c r="D61" s="239">
        <f t="shared" si="0"/>
        <v>51313.600000000006</v>
      </c>
      <c r="E61" s="203">
        <f t="shared" si="1"/>
        <v>50000</v>
      </c>
      <c r="F61" s="203">
        <f t="shared" si="2"/>
        <v>102627.20000000001</v>
      </c>
      <c r="G61" s="240">
        <f t="shared" si="3"/>
        <v>111.38010040223256</v>
      </c>
      <c r="H61" s="25"/>
      <c r="I61" s="239"/>
      <c r="K61" s="239"/>
    </row>
    <row r="62" spans="1:11">
      <c r="A62" s="9">
        <v>51</v>
      </c>
      <c r="B62" s="203">
        <f>16.36*12</f>
        <v>196.32</v>
      </c>
      <c r="C62" s="203">
        <v>22.4</v>
      </c>
      <c r="D62" s="239">
        <f t="shared" si="0"/>
        <v>46592</v>
      </c>
      <c r="E62" s="203">
        <f t="shared" si="1"/>
        <v>46592</v>
      </c>
      <c r="F62" s="203">
        <f t="shared" si="2"/>
        <v>93184</v>
      </c>
      <c r="G62" s="240">
        <f t="shared" si="3"/>
        <v>98.16</v>
      </c>
      <c r="H62" s="25"/>
      <c r="I62" s="239"/>
      <c r="K62" s="239"/>
    </row>
    <row r="63" spans="1:11">
      <c r="A63" s="9">
        <v>52</v>
      </c>
      <c r="B63" s="203">
        <f>14.27*12</f>
        <v>171.24</v>
      </c>
      <c r="C63" s="203">
        <v>19.399999999999999</v>
      </c>
      <c r="D63" s="239">
        <f t="shared" si="0"/>
        <v>40352</v>
      </c>
      <c r="E63" s="203">
        <f t="shared" si="1"/>
        <v>40352</v>
      </c>
      <c r="F63" s="203">
        <f t="shared" si="2"/>
        <v>80704</v>
      </c>
      <c r="G63" s="240">
        <f t="shared" si="3"/>
        <v>85.62</v>
      </c>
      <c r="H63" s="25"/>
      <c r="I63" s="239"/>
      <c r="K63" s="239"/>
    </row>
    <row r="64" spans="1:11">
      <c r="A64" s="9">
        <v>53</v>
      </c>
      <c r="B64" s="203">
        <f>15.66*12</f>
        <v>187.92000000000002</v>
      </c>
      <c r="C64" s="203">
        <v>21.5</v>
      </c>
      <c r="D64" s="239">
        <f t="shared" si="0"/>
        <v>44720</v>
      </c>
      <c r="E64" s="203">
        <f t="shared" si="1"/>
        <v>44720</v>
      </c>
      <c r="F64" s="203">
        <f t="shared" si="2"/>
        <v>89440</v>
      </c>
      <c r="G64" s="240">
        <f t="shared" si="3"/>
        <v>93.960000000000008</v>
      </c>
      <c r="H64" s="25"/>
      <c r="I64" s="239"/>
      <c r="K64" s="239"/>
    </row>
    <row r="65" spans="1:11">
      <c r="A65" s="9">
        <v>54</v>
      </c>
      <c r="B65" s="203">
        <f>66.47*12</f>
        <v>797.64</v>
      </c>
      <c r="C65" s="203">
        <v>96.56</v>
      </c>
      <c r="D65" s="239">
        <f t="shared" si="0"/>
        <v>200844.80000000002</v>
      </c>
      <c r="E65" s="203">
        <f t="shared" si="1"/>
        <v>50000</v>
      </c>
      <c r="F65" s="203">
        <f t="shared" si="2"/>
        <v>401689.60000000003</v>
      </c>
      <c r="G65" s="240">
        <f t="shared" si="3"/>
        <v>698.35438244853731</v>
      </c>
      <c r="H65" s="25"/>
      <c r="I65" s="239"/>
      <c r="K65" s="239"/>
    </row>
    <row r="66" spans="1:11">
      <c r="A66" s="9">
        <v>55</v>
      </c>
      <c r="B66" s="203">
        <f>12.18*12</f>
        <v>146.16</v>
      </c>
      <c r="C66" s="203">
        <v>16.5</v>
      </c>
      <c r="D66" s="239">
        <f t="shared" si="0"/>
        <v>34320</v>
      </c>
      <c r="E66" s="203">
        <f t="shared" si="1"/>
        <v>34320</v>
      </c>
      <c r="F66" s="203">
        <f t="shared" si="2"/>
        <v>68640</v>
      </c>
      <c r="G66" s="240">
        <f t="shared" si="3"/>
        <v>73.08</v>
      </c>
      <c r="H66" s="25"/>
      <c r="I66" s="239"/>
      <c r="K66" s="239"/>
    </row>
    <row r="67" spans="1:11">
      <c r="A67" s="9">
        <v>56</v>
      </c>
      <c r="B67" s="203">
        <f>35.15*12</f>
        <v>421.79999999999995</v>
      </c>
      <c r="C67" s="203">
        <v>48.12</v>
      </c>
      <c r="D67" s="239">
        <f t="shared" si="0"/>
        <v>100089.59999999999</v>
      </c>
      <c r="E67" s="203">
        <f t="shared" si="1"/>
        <v>50000</v>
      </c>
      <c r="F67" s="203">
        <f t="shared" si="2"/>
        <v>200179.19999999998</v>
      </c>
      <c r="G67" s="240">
        <f t="shared" si="3"/>
        <v>316.44439861883745</v>
      </c>
      <c r="H67" s="25"/>
      <c r="I67" s="239"/>
      <c r="K67" s="239"/>
    </row>
    <row r="68" spans="1:11">
      <c r="A68" s="9">
        <v>57</v>
      </c>
      <c r="B68" s="203">
        <f>16.7*12</f>
        <v>200.39999999999998</v>
      </c>
      <c r="C68" s="203">
        <v>23.02</v>
      </c>
      <c r="D68" s="239">
        <f t="shared" si="0"/>
        <v>47881.599999999999</v>
      </c>
      <c r="E68" s="203">
        <f t="shared" si="1"/>
        <v>47881.599999999999</v>
      </c>
      <c r="F68" s="203">
        <f t="shared" si="2"/>
        <v>95763.199999999997</v>
      </c>
      <c r="G68" s="240">
        <f t="shared" si="3"/>
        <v>100.19999999999999</v>
      </c>
      <c r="H68" s="25"/>
      <c r="I68" s="239"/>
      <c r="K68" s="239"/>
    </row>
    <row r="69" spans="1:11">
      <c r="A69" s="9">
        <v>58</v>
      </c>
      <c r="B69" s="203">
        <f>11.83*7</f>
        <v>82.81</v>
      </c>
      <c r="C69" s="203">
        <v>16.21</v>
      </c>
      <c r="D69" s="239">
        <f t="shared" si="0"/>
        <v>33716.800000000003</v>
      </c>
      <c r="E69" s="203">
        <f t="shared" si="1"/>
        <v>33716.800000000003</v>
      </c>
      <c r="F69" s="203">
        <f t="shared" si="2"/>
        <v>67433.600000000006</v>
      </c>
      <c r="G69" s="240">
        <f t="shared" si="3"/>
        <v>41.405000000000001</v>
      </c>
      <c r="H69" s="25"/>
      <c r="I69" s="239"/>
      <c r="K69" s="239"/>
    </row>
    <row r="70" spans="1:11">
      <c r="A70" s="9">
        <v>59</v>
      </c>
      <c r="B70" s="203">
        <f>15.31*12</f>
        <v>183.72</v>
      </c>
      <c r="C70" s="203">
        <v>21.9</v>
      </c>
      <c r="D70" s="239">
        <f t="shared" si="0"/>
        <v>45552</v>
      </c>
      <c r="E70" s="203">
        <f t="shared" si="1"/>
        <v>45552</v>
      </c>
      <c r="F70" s="203">
        <f t="shared" si="2"/>
        <v>91104</v>
      </c>
      <c r="G70" s="240">
        <f t="shared" si="3"/>
        <v>91.86</v>
      </c>
      <c r="H70" s="25"/>
      <c r="I70" s="239"/>
      <c r="K70" s="239"/>
    </row>
    <row r="71" spans="1:11">
      <c r="A71" s="9">
        <v>60</v>
      </c>
      <c r="B71" s="203">
        <f>17.75*12</f>
        <v>213</v>
      </c>
      <c r="C71" s="203">
        <v>24.51</v>
      </c>
      <c r="D71" s="239">
        <f t="shared" si="0"/>
        <v>50980.800000000003</v>
      </c>
      <c r="E71" s="203">
        <f t="shared" si="1"/>
        <v>50000</v>
      </c>
      <c r="F71" s="203">
        <f t="shared" si="2"/>
        <v>101961.60000000001</v>
      </c>
      <c r="G71" s="240">
        <f t="shared" si="3"/>
        <v>108.54891253177666</v>
      </c>
      <c r="H71" s="25"/>
      <c r="I71" s="239"/>
      <c r="K71" s="239"/>
    </row>
    <row r="72" spans="1:11">
      <c r="A72" s="9">
        <v>61</v>
      </c>
      <c r="B72" s="203">
        <f>12.18*12</f>
        <v>146.16</v>
      </c>
      <c r="C72" s="203">
        <v>18.489999999999998</v>
      </c>
      <c r="D72" s="239">
        <f t="shared" si="0"/>
        <v>38459.199999999997</v>
      </c>
      <c r="E72" s="203">
        <f t="shared" si="1"/>
        <v>38459.199999999997</v>
      </c>
      <c r="F72" s="203">
        <f t="shared" si="2"/>
        <v>76918.399999999994</v>
      </c>
      <c r="G72" s="240">
        <f t="shared" si="3"/>
        <v>73.08</v>
      </c>
      <c r="H72" s="25"/>
      <c r="I72" s="239"/>
      <c r="K72" s="239"/>
    </row>
    <row r="73" spans="1:11">
      <c r="A73" s="9">
        <v>62</v>
      </c>
      <c r="B73" s="203">
        <f>12.88*12</f>
        <v>154.56</v>
      </c>
      <c r="C73" s="203">
        <v>17.350000000000001</v>
      </c>
      <c r="D73" s="239">
        <f t="shared" si="0"/>
        <v>36088</v>
      </c>
      <c r="E73" s="203">
        <f t="shared" si="1"/>
        <v>36088</v>
      </c>
      <c r="F73" s="203">
        <f t="shared" si="2"/>
        <v>72176</v>
      </c>
      <c r="G73" s="240">
        <f t="shared" si="3"/>
        <v>77.28</v>
      </c>
      <c r="H73" s="25"/>
      <c r="I73" s="239"/>
      <c r="K73" s="239"/>
    </row>
    <row r="74" spans="1:11">
      <c r="A74" s="9">
        <v>63</v>
      </c>
      <c r="B74" s="203">
        <f>11.83*12</f>
        <v>141.96</v>
      </c>
      <c r="C74" s="203">
        <v>16.21</v>
      </c>
      <c r="D74" s="239">
        <f t="shared" si="0"/>
        <v>33716.800000000003</v>
      </c>
      <c r="E74" s="203">
        <f t="shared" si="1"/>
        <v>33716.800000000003</v>
      </c>
      <c r="F74" s="203">
        <f t="shared" si="2"/>
        <v>67433.600000000006</v>
      </c>
      <c r="G74" s="240">
        <f t="shared" si="3"/>
        <v>70.98</v>
      </c>
      <c r="H74" s="25"/>
      <c r="I74" s="239"/>
      <c r="K74" s="239"/>
    </row>
    <row r="75" spans="1:11">
      <c r="A75" s="9">
        <v>64</v>
      </c>
      <c r="B75" s="203">
        <f>13.57*12</f>
        <v>162.84</v>
      </c>
      <c r="C75" s="203">
        <v>18.489999999999998</v>
      </c>
      <c r="D75" s="239">
        <f t="shared" si="0"/>
        <v>38459.199999999997</v>
      </c>
      <c r="E75" s="203">
        <f t="shared" si="1"/>
        <v>38459.199999999997</v>
      </c>
      <c r="F75" s="203">
        <f t="shared" si="2"/>
        <v>76918.399999999994</v>
      </c>
      <c r="G75" s="240">
        <f t="shared" si="3"/>
        <v>81.42</v>
      </c>
      <c r="H75" s="25"/>
      <c r="I75" s="239"/>
      <c r="K75" s="239"/>
    </row>
    <row r="76" spans="1:11">
      <c r="A76" s="9">
        <v>65</v>
      </c>
      <c r="B76" s="203">
        <f>19.14*12</f>
        <v>229.68</v>
      </c>
      <c r="C76" s="203">
        <v>27.26</v>
      </c>
      <c r="D76" s="239">
        <f t="shared" si="0"/>
        <v>56700.800000000003</v>
      </c>
      <c r="E76" s="203">
        <f t="shared" si="1"/>
        <v>50000</v>
      </c>
      <c r="F76" s="203">
        <f t="shared" si="2"/>
        <v>113401.60000000001</v>
      </c>
      <c r="G76" s="240">
        <f t="shared" si="3"/>
        <v>128.4115875613748</v>
      </c>
      <c r="H76" s="25"/>
      <c r="I76" s="239"/>
      <c r="K76" s="239"/>
    </row>
    <row r="77" spans="1:11">
      <c r="A77" s="9">
        <v>66</v>
      </c>
      <c r="B77" s="203">
        <f>12.88*12</f>
        <v>154.56</v>
      </c>
      <c r="C77" s="203">
        <v>17.350000000000001</v>
      </c>
      <c r="D77" s="239">
        <f t="shared" ref="D77:D80" si="4">+C77*2080</f>
        <v>36088</v>
      </c>
      <c r="E77" s="203">
        <f t="shared" ref="E77:E80" si="5">IF(D77&gt;50000,50000,D77)</f>
        <v>36088</v>
      </c>
      <c r="F77" s="203">
        <f t="shared" ref="F77:F80" si="6">+D77*2</f>
        <v>72176</v>
      </c>
      <c r="G77" s="240">
        <f t="shared" ref="G77:G80" si="7">((F77-E77)/F77)*B77</f>
        <v>77.28</v>
      </c>
      <c r="H77" s="25"/>
      <c r="I77" s="239"/>
      <c r="K77" s="239"/>
    </row>
    <row r="78" spans="1:11">
      <c r="A78" s="9">
        <v>67</v>
      </c>
      <c r="B78" s="203">
        <f>11.83*12</f>
        <v>141.96</v>
      </c>
      <c r="C78" s="203">
        <v>16.21</v>
      </c>
      <c r="D78" s="239">
        <f t="shared" si="4"/>
        <v>33716.800000000003</v>
      </c>
      <c r="E78" s="203">
        <f t="shared" si="5"/>
        <v>33716.800000000003</v>
      </c>
      <c r="F78" s="203">
        <f t="shared" si="6"/>
        <v>67433.600000000006</v>
      </c>
      <c r="G78" s="240">
        <f t="shared" si="7"/>
        <v>70.98</v>
      </c>
      <c r="H78" s="25"/>
      <c r="I78" s="239"/>
      <c r="K78" s="239"/>
    </row>
    <row r="79" spans="1:11">
      <c r="A79" s="9">
        <v>68</v>
      </c>
      <c r="B79" s="203">
        <f>13.57*10</f>
        <v>135.69999999999999</v>
      </c>
      <c r="C79" s="203">
        <v>18.440000000000001</v>
      </c>
      <c r="D79" s="239">
        <f t="shared" si="4"/>
        <v>38355.200000000004</v>
      </c>
      <c r="E79" s="203">
        <f t="shared" si="5"/>
        <v>38355.200000000004</v>
      </c>
      <c r="F79" s="203">
        <f t="shared" si="6"/>
        <v>76710.400000000009</v>
      </c>
      <c r="G79" s="240">
        <f t="shared" si="7"/>
        <v>67.849999999999994</v>
      </c>
      <c r="H79" s="25"/>
      <c r="I79" s="239"/>
      <c r="K79" s="239"/>
    </row>
    <row r="80" spans="1:11">
      <c r="A80" s="9">
        <v>69</v>
      </c>
      <c r="B80" s="241">
        <v>11.83</v>
      </c>
      <c r="C80" s="203">
        <v>16.21</v>
      </c>
      <c r="D80" s="239">
        <f t="shared" si="4"/>
        <v>33716.800000000003</v>
      </c>
      <c r="E80" s="203">
        <f t="shared" si="5"/>
        <v>33716.800000000003</v>
      </c>
      <c r="F80" s="203">
        <f t="shared" si="6"/>
        <v>67433.600000000006</v>
      </c>
      <c r="G80" s="240">
        <f t="shared" si="7"/>
        <v>5.915</v>
      </c>
      <c r="H80" s="25"/>
      <c r="I80" s="239"/>
      <c r="K80" s="239"/>
    </row>
    <row r="81" spans="1:7">
      <c r="A81" s="9" t="s">
        <v>44</v>
      </c>
      <c r="B81" s="203">
        <f>SUM(B12:B80)</f>
        <v>18984.660000000007</v>
      </c>
      <c r="C81" s="15"/>
      <c r="D81" s="15"/>
      <c r="E81" s="15"/>
      <c r="F81" s="15"/>
      <c r="G81" s="242">
        <f>SUM(G12:G80)</f>
        <v>12285.388353744007</v>
      </c>
    </row>
    <row r="83" spans="1:7">
      <c r="F83" s="243" t="s">
        <v>356</v>
      </c>
      <c r="G83" s="239">
        <f>B81-G81</f>
        <v>6699.2716462560002</v>
      </c>
    </row>
    <row r="84" spans="1:7">
      <c r="F84" s="243"/>
      <c r="G84" s="239"/>
    </row>
    <row r="85" spans="1:7">
      <c r="F85" s="243"/>
    </row>
    <row r="86" spans="1:7">
      <c r="F86" s="243" t="s">
        <v>37</v>
      </c>
      <c r="G86" s="24">
        <f>B81</f>
        <v>18984.660000000007</v>
      </c>
    </row>
    <row r="87" spans="1:7">
      <c r="F87" s="243"/>
      <c r="G87" s="24"/>
    </row>
    <row r="88" spans="1:7">
      <c r="F88" s="243" t="s">
        <v>156</v>
      </c>
      <c r="G88" s="24">
        <f>G83</f>
        <v>6699.2716462560002</v>
      </c>
    </row>
    <row r="89" spans="1:7">
      <c r="F89" s="243"/>
      <c r="G89" s="24"/>
    </row>
    <row r="90" spans="1:7">
      <c r="F90" s="244" t="s">
        <v>15</v>
      </c>
      <c r="G90" s="24">
        <f>G88-G86</f>
        <v>-12285.388353744007</v>
      </c>
    </row>
    <row r="92" spans="1:7" ht="30" customHeight="1">
      <c r="A92" s="319" t="s">
        <v>357</v>
      </c>
      <c r="B92" s="319"/>
      <c r="C92" s="319"/>
      <c r="D92" s="319"/>
      <c r="E92" s="319"/>
      <c r="F92" s="319"/>
      <c r="G92" s="319"/>
    </row>
  </sheetData>
  <mergeCells count="4">
    <mergeCell ref="A4:G4"/>
    <mergeCell ref="A5:G5"/>
    <mergeCell ref="A7:G7"/>
    <mergeCell ref="A92:G92"/>
  </mergeCells>
  <printOptions horizontalCentered="1"/>
  <pageMargins left="0.7" right="0.7" top="0.75" bottom="0.75" header="0.3" footer="0.3"/>
  <pageSetup scale="67" fitToHeight="2" orientation="landscape" r:id="rId1"/>
  <headerFooter>
    <oddFooter>&amp;R&amp;"Times New Roman,Regular"Exhibit JW-2
Page &amp;P of &amp;N</oddFooter>
  </headerFooter>
  <rowBreaks count="2" manualBreakCount="2">
    <brk id="34" max="6" man="1"/>
    <brk id="62" max="6" man="1"/>
  </rowBreaks>
  <ignoredErrors>
    <ignoredError sqref="B1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opLeftCell="A28" workbookViewId="0">
      <selection activeCell="I62" sqref="I62"/>
    </sheetView>
  </sheetViews>
  <sheetFormatPr defaultRowHeight="14.25"/>
  <cols>
    <col min="1" max="1" width="7.7109375" style="167" bestFit="1" customWidth="1"/>
    <col min="2" max="9" width="8.7109375" style="150" bestFit="1" customWidth="1"/>
    <col min="10" max="10" width="9.5703125" style="150" customWidth="1"/>
    <col min="11" max="13" width="8.7109375" style="150" bestFit="1" customWidth="1"/>
    <col min="14" max="14" width="14" style="150" customWidth="1"/>
    <col min="15" max="15" width="6.28515625" style="150" bestFit="1" customWidth="1"/>
    <col min="16" max="16384" width="9.140625" style="150"/>
  </cols>
  <sheetData>
    <row r="1" spans="1:16" s="10" customFormat="1" ht="12.75">
      <c r="A1" s="9"/>
      <c r="G1" s="6"/>
      <c r="M1" s="6"/>
      <c r="N1" s="6" t="s">
        <v>258</v>
      </c>
    </row>
    <row r="2" spans="1:16" s="10" customFormat="1" ht="12.75">
      <c r="A2" s="9"/>
      <c r="G2" s="6"/>
      <c r="H2" s="6"/>
    </row>
    <row r="3" spans="1:16" s="10" customFormat="1" ht="12.75">
      <c r="A3" s="9"/>
      <c r="G3" s="6"/>
      <c r="H3" s="6"/>
    </row>
    <row r="4" spans="1:16" s="10" customFormat="1" ht="12.75">
      <c r="A4" s="315" t="str">
        <f>RevReq!A1</f>
        <v>MEADE COUNTY R.E.C.C.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147"/>
    </row>
    <row r="5" spans="1:16" s="10" customFormat="1" ht="12.75">
      <c r="A5" s="315" t="str">
        <f>RevReq!A3</f>
        <v>For the 12 Months Ended December 31, 2019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</row>
    <row r="6" spans="1:16" s="10" customFormat="1" ht="12.75">
      <c r="A6" s="9"/>
    </row>
    <row r="7" spans="1:16" s="7" customFormat="1" ht="12.75">
      <c r="A7" s="312" t="s">
        <v>314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</row>
    <row r="8" spans="1:16" s="10" customFormat="1" ht="12.75">
      <c r="A8" s="9"/>
    </row>
    <row r="9" spans="1:16">
      <c r="O9" s="10"/>
    </row>
    <row r="10" spans="1:16" ht="15">
      <c r="A10" s="154" t="s">
        <v>315</v>
      </c>
      <c r="B10" s="154" t="s">
        <v>6</v>
      </c>
      <c r="C10" s="154" t="s">
        <v>7</v>
      </c>
      <c r="D10" s="154" t="s">
        <v>8</v>
      </c>
      <c r="E10" s="154" t="s">
        <v>9</v>
      </c>
      <c r="F10" s="154" t="s">
        <v>10</v>
      </c>
      <c r="G10" s="154" t="s">
        <v>11</v>
      </c>
      <c r="H10" s="154" t="s">
        <v>12</v>
      </c>
      <c r="I10" s="154" t="s">
        <v>13</v>
      </c>
      <c r="J10" s="154" t="s">
        <v>2</v>
      </c>
      <c r="K10" s="154" t="s">
        <v>3</v>
      </c>
      <c r="L10" s="154" t="s">
        <v>4</v>
      </c>
      <c r="M10" s="154" t="s">
        <v>5</v>
      </c>
      <c r="N10" s="154" t="s">
        <v>44</v>
      </c>
      <c r="O10" s="10"/>
      <c r="P10" s="153"/>
    </row>
    <row r="11" spans="1:16">
      <c r="A11" s="167">
        <v>1</v>
      </c>
      <c r="B11" s="195">
        <f>89.38+89.38+89.38</f>
        <v>268.14</v>
      </c>
      <c r="C11" s="195">
        <f t="shared" ref="C11:H11" si="0">89.38+89.38</f>
        <v>178.76</v>
      </c>
      <c r="D11" s="195">
        <f t="shared" si="0"/>
        <v>178.76</v>
      </c>
      <c r="E11" s="195">
        <f t="shared" si="0"/>
        <v>178.76</v>
      </c>
      <c r="F11" s="195">
        <f t="shared" si="0"/>
        <v>178.76</v>
      </c>
      <c r="G11" s="195">
        <f t="shared" si="0"/>
        <v>178.76</v>
      </c>
      <c r="H11" s="195">
        <f t="shared" si="0"/>
        <v>178.76</v>
      </c>
      <c r="I11" s="195">
        <f>89.38+89.38+89.38</f>
        <v>268.14</v>
      </c>
      <c r="J11" s="195">
        <f>89.38+89.38</f>
        <v>178.76</v>
      </c>
      <c r="K11" s="195">
        <f>89.38+89.38</f>
        <v>178.76</v>
      </c>
      <c r="L11" s="195">
        <f>89.38+89.38</f>
        <v>178.76</v>
      </c>
      <c r="M11" s="195">
        <f>89.38+89.38</f>
        <v>178.76</v>
      </c>
      <c r="N11" s="195">
        <f>SUM(B11:M11)</f>
        <v>2323.88</v>
      </c>
      <c r="O11" s="10"/>
    </row>
    <row r="12" spans="1:16">
      <c r="A12" s="167">
        <v>2</v>
      </c>
      <c r="B12" s="163">
        <f>80.59+77.07+80.59</f>
        <v>238.25</v>
      </c>
      <c r="C12" s="163">
        <f>80.59+78.07</f>
        <v>158.66</v>
      </c>
      <c r="D12" s="163">
        <f>80.59+80.59</f>
        <v>161.18</v>
      </c>
      <c r="E12" s="163">
        <f>80.59+79.08</f>
        <v>159.67000000000002</v>
      </c>
      <c r="F12" s="163">
        <f>80.59+73.54</f>
        <v>154.13</v>
      </c>
      <c r="G12" s="163">
        <f>80.59+75.05</f>
        <v>155.63999999999999</v>
      </c>
      <c r="H12" s="163">
        <f>80.59+79.28</f>
        <v>159.87</v>
      </c>
      <c r="I12" s="163">
        <f>80.59+79.58+80.59</f>
        <v>240.76000000000002</v>
      </c>
      <c r="J12" s="163">
        <f>80.59+80.59</f>
        <v>161.18</v>
      </c>
      <c r="K12" s="163">
        <f>80.59+80.59</f>
        <v>161.18</v>
      </c>
      <c r="L12" s="163">
        <f>80.59+80.59</f>
        <v>161.18</v>
      </c>
      <c r="M12" s="163">
        <f>80.59+80.59</f>
        <v>161.18</v>
      </c>
      <c r="N12" s="163">
        <f t="shared" ref="N12:N30" si="1">SUM(B12:M12)</f>
        <v>2072.88</v>
      </c>
      <c r="O12" s="10"/>
    </row>
    <row r="13" spans="1:16">
      <c r="A13" s="167">
        <v>3</v>
      </c>
      <c r="B13" s="163">
        <f>89.38+89.38+89.38</f>
        <v>268.14</v>
      </c>
      <c r="C13" s="163">
        <f t="shared" ref="C13:H13" si="2">89.38+89.38</f>
        <v>178.76</v>
      </c>
      <c r="D13" s="163">
        <f t="shared" si="2"/>
        <v>178.76</v>
      </c>
      <c r="E13" s="163">
        <f t="shared" si="2"/>
        <v>178.76</v>
      </c>
      <c r="F13" s="163">
        <f t="shared" si="2"/>
        <v>178.76</v>
      </c>
      <c r="G13" s="163">
        <f t="shared" si="2"/>
        <v>178.76</v>
      </c>
      <c r="H13" s="163">
        <f t="shared" si="2"/>
        <v>178.76</v>
      </c>
      <c r="I13" s="163">
        <f>89.38+89.38+89.38</f>
        <v>268.14</v>
      </c>
      <c r="J13" s="163">
        <f>89.38+89.38</f>
        <v>178.76</v>
      </c>
      <c r="K13" s="163">
        <f>89.38+89.38</f>
        <v>178.76</v>
      </c>
      <c r="L13" s="163">
        <f>89.38+89.38</f>
        <v>178.76</v>
      </c>
      <c r="M13" s="163">
        <f>89.38+89.38</f>
        <v>178.76</v>
      </c>
      <c r="N13" s="163">
        <f t="shared" si="1"/>
        <v>2323.88</v>
      </c>
      <c r="O13" s="10"/>
    </row>
    <row r="14" spans="1:16">
      <c r="A14" s="167">
        <v>4</v>
      </c>
      <c r="B14" s="163">
        <f>67.49+67.49+67.49</f>
        <v>202.46999999999997</v>
      </c>
      <c r="C14" s="163">
        <f t="shared" ref="C14:H14" si="3">67.49+67.49</f>
        <v>134.97999999999999</v>
      </c>
      <c r="D14" s="163">
        <f t="shared" si="3"/>
        <v>134.97999999999999</v>
      </c>
      <c r="E14" s="163">
        <f t="shared" si="3"/>
        <v>134.97999999999999</v>
      </c>
      <c r="F14" s="163">
        <f t="shared" si="3"/>
        <v>134.97999999999999</v>
      </c>
      <c r="G14" s="163">
        <f t="shared" si="3"/>
        <v>134.97999999999999</v>
      </c>
      <c r="H14" s="163">
        <f t="shared" si="3"/>
        <v>134.97999999999999</v>
      </c>
      <c r="I14" s="163">
        <f>67.49+67.49+67.49</f>
        <v>202.46999999999997</v>
      </c>
      <c r="J14" s="163">
        <f>67.49+67.49</f>
        <v>134.97999999999999</v>
      </c>
      <c r="K14" s="163">
        <f>67.49+67.49</f>
        <v>134.97999999999999</v>
      </c>
      <c r="L14" s="163">
        <f>67.49+67.49</f>
        <v>134.97999999999999</v>
      </c>
      <c r="M14" s="163">
        <f>67.49+67.49</f>
        <v>134.97999999999999</v>
      </c>
      <c r="N14" s="163">
        <f t="shared" si="1"/>
        <v>1754.74</v>
      </c>
      <c r="O14" s="163"/>
    </row>
    <row r="15" spans="1:16">
      <c r="A15" s="167">
        <v>5</v>
      </c>
      <c r="B15" s="163">
        <f>87.6+87.6+87.6</f>
        <v>262.79999999999995</v>
      </c>
      <c r="C15" s="163">
        <f t="shared" ref="C15:H15" si="4">87.6+87.6</f>
        <v>175.2</v>
      </c>
      <c r="D15" s="163">
        <f t="shared" si="4"/>
        <v>175.2</v>
      </c>
      <c r="E15" s="163">
        <f t="shared" si="4"/>
        <v>175.2</v>
      </c>
      <c r="F15" s="163">
        <f t="shared" si="4"/>
        <v>175.2</v>
      </c>
      <c r="G15" s="163">
        <f t="shared" si="4"/>
        <v>175.2</v>
      </c>
      <c r="H15" s="163">
        <f t="shared" si="4"/>
        <v>175.2</v>
      </c>
      <c r="I15" s="163">
        <f>87.6+87.6+87.6</f>
        <v>262.79999999999995</v>
      </c>
      <c r="J15" s="163">
        <f>87.6+87.6</f>
        <v>175.2</v>
      </c>
      <c r="K15" s="163">
        <f>87.6+87.6</f>
        <v>175.2</v>
      </c>
      <c r="L15" s="163">
        <f>87.6+87.6</f>
        <v>175.2</v>
      </c>
      <c r="M15" s="163">
        <f>87.6+87.6</f>
        <v>175.2</v>
      </c>
      <c r="N15" s="163">
        <f t="shared" si="1"/>
        <v>2277.6</v>
      </c>
      <c r="O15" s="163"/>
    </row>
    <row r="16" spans="1:16">
      <c r="A16" s="167">
        <v>6</v>
      </c>
      <c r="B16" s="163">
        <f>119.52+119.52+119.52</f>
        <v>358.56</v>
      </c>
      <c r="C16" s="163">
        <f t="shared" ref="C16:H16" si="5">119.52+119.52</f>
        <v>239.04</v>
      </c>
      <c r="D16" s="163">
        <f t="shared" si="5"/>
        <v>239.04</v>
      </c>
      <c r="E16" s="163">
        <f t="shared" si="5"/>
        <v>239.04</v>
      </c>
      <c r="F16" s="163">
        <f t="shared" si="5"/>
        <v>239.04</v>
      </c>
      <c r="G16" s="163">
        <f t="shared" si="5"/>
        <v>239.04</v>
      </c>
      <c r="H16" s="163">
        <f t="shared" si="5"/>
        <v>239.04</v>
      </c>
      <c r="I16" s="163">
        <f>119.52+119.52+119.52</f>
        <v>358.56</v>
      </c>
      <c r="J16" s="163">
        <f>119.52+119.52</f>
        <v>239.04</v>
      </c>
      <c r="K16" s="163">
        <f>119.52+119.52</f>
        <v>239.04</v>
      </c>
      <c r="L16" s="163">
        <f>119.52+119.52</f>
        <v>239.04</v>
      </c>
      <c r="M16" s="163">
        <f>119.52+119.52</f>
        <v>239.04</v>
      </c>
      <c r="N16" s="163">
        <f t="shared" si="1"/>
        <v>3107.52</v>
      </c>
      <c r="O16" s="163"/>
    </row>
    <row r="17" spans="1:15">
      <c r="A17" s="167">
        <v>7</v>
      </c>
      <c r="B17" s="163">
        <f>83.47+83.47+83.47</f>
        <v>250.41</v>
      </c>
      <c r="C17" s="163">
        <f t="shared" ref="C17:H17" si="6">83.47+83.47</f>
        <v>166.94</v>
      </c>
      <c r="D17" s="163">
        <f t="shared" si="6"/>
        <v>166.94</v>
      </c>
      <c r="E17" s="163">
        <f t="shared" si="6"/>
        <v>166.94</v>
      </c>
      <c r="F17" s="163">
        <f t="shared" si="6"/>
        <v>166.94</v>
      </c>
      <c r="G17" s="163">
        <f t="shared" si="6"/>
        <v>166.94</v>
      </c>
      <c r="H17" s="163">
        <f t="shared" si="6"/>
        <v>166.94</v>
      </c>
      <c r="I17" s="163">
        <f>83.47+83.47+83.47</f>
        <v>250.41</v>
      </c>
      <c r="J17" s="163">
        <f>83.47+83.47</f>
        <v>166.94</v>
      </c>
      <c r="K17" s="163">
        <f>83.47+83.47</f>
        <v>166.94</v>
      </c>
      <c r="L17" s="163">
        <f>83.47+83.47</f>
        <v>166.94</v>
      </c>
      <c r="M17" s="163">
        <f>83.47+83.47</f>
        <v>166.94</v>
      </c>
      <c r="N17" s="163">
        <f t="shared" si="1"/>
        <v>2170.2200000000003</v>
      </c>
      <c r="O17" s="163"/>
    </row>
    <row r="18" spans="1:15">
      <c r="A18" s="167">
        <v>8</v>
      </c>
      <c r="B18" s="163">
        <f>113.52+113.52+113.52</f>
        <v>340.56</v>
      </c>
      <c r="C18" s="163">
        <f t="shared" ref="C18:H18" si="7">113.52+113.52</f>
        <v>227.04</v>
      </c>
      <c r="D18" s="163">
        <f t="shared" si="7"/>
        <v>227.04</v>
      </c>
      <c r="E18" s="163">
        <f t="shared" si="7"/>
        <v>227.04</v>
      </c>
      <c r="F18" s="163">
        <f t="shared" si="7"/>
        <v>227.04</v>
      </c>
      <c r="G18" s="163">
        <f t="shared" si="7"/>
        <v>227.04</v>
      </c>
      <c r="H18" s="163">
        <f t="shared" si="7"/>
        <v>227.04</v>
      </c>
      <c r="I18" s="163">
        <f>113.52+113.52+113.52</f>
        <v>340.56</v>
      </c>
      <c r="J18" s="163">
        <f>113.52+113.52</f>
        <v>227.04</v>
      </c>
      <c r="K18" s="163">
        <f>113.52+113.52</f>
        <v>227.04</v>
      </c>
      <c r="L18" s="163">
        <f>113.52+113.52</f>
        <v>227.04</v>
      </c>
      <c r="M18" s="163">
        <f>113.52+113.52</f>
        <v>227.04</v>
      </c>
      <c r="N18" s="163">
        <f t="shared" si="1"/>
        <v>2951.52</v>
      </c>
      <c r="O18" s="163"/>
    </row>
    <row r="19" spans="1:15">
      <c r="A19" s="167">
        <v>9</v>
      </c>
      <c r="B19" s="163">
        <f>130.85+130.85+130.85</f>
        <v>392.54999999999995</v>
      </c>
      <c r="C19" s="163">
        <f t="shared" ref="C19:H19" si="8">130.85+130.85</f>
        <v>261.7</v>
      </c>
      <c r="D19" s="163">
        <f t="shared" si="8"/>
        <v>261.7</v>
      </c>
      <c r="E19" s="163">
        <f t="shared" si="8"/>
        <v>261.7</v>
      </c>
      <c r="F19" s="163">
        <f t="shared" si="8"/>
        <v>261.7</v>
      </c>
      <c r="G19" s="163">
        <f t="shared" si="8"/>
        <v>261.7</v>
      </c>
      <c r="H19" s="163">
        <f t="shared" si="8"/>
        <v>261.7</v>
      </c>
      <c r="I19" s="163">
        <f>130.85+130.85+130.85</f>
        <v>392.54999999999995</v>
      </c>
      <c r="J19" s="163">
        <f>130.85+130.85</f>
        <v>261.7</v>
      </c>
      <c r="K19" s="163">
        <f>130.85+130.85</f>
        <v>261.7</v>
      </c>
      <c r="L19" s="163">
        <f>130.85+130.85</f>
        <v>261.7</v>
      </c>
      <c r="M19" s="163">
        <f>130.85+130.85</f>
        <v>261.7</v>
      </c>
      <c r="N19" s="163">
        <f t="shared" si="1"/>
        <v>3402.0999999999995</v>
      </c>
      <c r="O19" s="163"/>
    </row>
    <row r="20" spans="1:15">
      <c r="A20" s="167">
        <v>10</v>
      </c>
      <c r="B20" s="163">
        <f>54.65+54.66+54.66</f>
        <v>163.97</v>
      </c>
      <c r="C20" s="163">
        <f t="shared" ref="C20:H20" si="9">54.66+54.66</f>
        <v>109.32</v>
      </c>
      <c r="D20" s="163">
        <f t="shared" si="9"/>
        <v>109.32</v>
      </c>
      <c r="E20" s="163">
        <f t="shared" si="9"/>
        <v>109.32</v>
      </c>
      <c r="F20" s="163">
        <f t="shared" si="9"/>
        <v>109.32</v>
      </c>
      <c r="G20" s="163">
        <f t="shared" si="9"/>
        <v>109.32</v>
      </c>
      <c r="H20" s="163">
        <f t="shared" si="9"/>
        <v>109.32</v>
      </c>
      <c r="I20" s="163">
        <f>54.66+54.66+54.66</f>
        <v>163.98</v>
      </c>
      <c r="J20" s="163">
        <f>54.66+54.66</f>
        <v>109.32</v>
      </c>
      <c r="K20" s="163">
        <f>54.66+54.66</f>
        <v>109.32</v>
      </c>
      <c r="L20" s="163">
        <f>54.66+54.65</f>
        <v>109.31</v>
      </c>
      <c r="M20" s="163">
        <f>54.65+54.65</f>
        <v>109.3</v>
      </c>
      <c r="N20" s="163">
        <f t="shared" si="1"/>
        <v>1421.1199999999997</v>
      </c>
      <c r="O20" s="163"/>
    </row>
    <row r="21" spans="1:15">
      <c r="A21" s="167">
        <v>11</v>
      </c>
      <c r="B21" s="163">
        <f>113.52+113.52+113.52</f>
        <v>340.56</v>
      </c>
      <c r="C21" s="163">
        <f t="shared" ref="C21:H21" si="10">113.52+113.52</f>
        <v>227.04</v>
      </c>
      <c r="D21" s="163">
        <f t="shared" si="10"/>
        <v>227.04</v>
      </c>
      <c r="E21" s="163">
        <f t="shared" si="10"/>
        <v>227.04</v>
      </c>
      <c r="F21" s="163">
        <f t="shared" si="10"/>
        <v>227.04</v>
      </c>
      <c r="G21" s="163">
        <f t="shared" si="10"/>
        <v>227.04</v>
      </c>
      <c r="H21" s="163">
        <f t="shared" si="10"/>
        <v>227.04</v>
      </c>
      <c r="I21" s="163">
        <f>113.52+113.52+113.52</f>
        <v>340.56</v>
      </c>
      <c r="J21" s="163">
        <f>113.52+113.52</f>
        <v>227.04</v>
      </c>
      <c r="K21" s="163">
        <f>113.52+113.52</f>
        <v>227.04</v>
      </c>
      <c r="L21" s="163">
        <f>113.52+113.52</f>
        <v>227.04</v>
      </c>
      <c r="M21" s="163">
        <f>113.52+113.52</f>
        <v>227.04</v>
      </c>
      <c r="N21" s="163">
        <f t="shared" si="1"/>
        <v>2951.52</v>
      </c>
      <c r="O21" s="163"/>
    </row>
    <row r="22" spans="1:15">
      <c r="A22" s="167">
        <v>12</v>
      </c>
      <c r="B22" s="163">
        <f>89.38+89.38+89.38</f>
        <v>268.14</v>
      </c>
      <c r="C22" s="163">
        <f>89.38+89.38</f>
        <v>178.76</v>
      </c>
      <c r="D22" s="163">
        <f>89.38+89.38</f>
        <v>178.76</v>
      </c>
      <c r="E22" s="163">
        <f>89.38+89.38</f>
        <v>178.76</v>
      </c>
      <c r="F22" s="163">
        <f>89.38+89.38</f>
        <v>178.76</v>
      </c>
      <c r="G22" s="163">
        <v>89.38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f t="shared" si="1"/>
        <v>1072.56</v>
      </c>
      <c r="O22" s="163"/>
    </row>
    <row r="23" spans="1:15">
      <c r="A23" s="167">
        <v>13</v>
      </c>
      <c r="B23" s="163">
        <f>81.84+81.84+81.84</f>
        <v>245.52</v>
      </c>
      <c r="C23" s="163">
        <f t="shared" ref="C23:H23" si="11">81.84+81.84</f>
        <v>163.68</v>
      </c>
      <c r="D23" s="163">
        <f t="shared" si="11"/>
        <v>163.68</v>
      </c>
      <c r="E23" s="163">
        <f t="shared" si="11"/>
        <v>163.68</v>
      </c>
      <c r="F23" s="163">
        <f t="shared" si="11"/>
        <v>163.68</v>
      </c>
      <c r="G23" s="163">
        <f t="shared" si="11"/>
        <v>163.68</v>
      </c>
      <c r="H23" s="163">
        <f t="shared" si="11"/>
        <v>163.68</v>
      </c>
      <c r="I23" s="163">
        <f>81.84+81.84+81.84</f>
        <v>245.52</v>
      </c>
      <c r="J23" s="163">
        <f>81.84+81.84</f>
        <v>163.68</v>
      </c>
      <c r="K23" s="163">
        <f>81.84+81.84</f>
        <v>163.68</v>
      </c>
      <c r="L23" s="163">
        <f>81.84+81.84</f>
        <v>163.68</v>
      </c>
      <c r="M23" s="163">
        <f>81.84+81.84</f>
        <v>163.68</v>
      </c>
      <c r="N23" s="163">
        <f t="shared" si="1"/>
        <v>2127.8400000000006</v>
      </c>
      <c r="O23" s="163"/>
    </row>
    <row r="24" spans="1:15">
      <c r="A24" s="167">
        <v>14</v>
      </c>
      <c r="B24" s="163">
        <f>125.69+125.69+125.69</f>
        <v>377.07</v>
      </c>
      <c r="C24" s="163">
        <f t="shared" ref="C24:H24" si="12">125.69+125.69</f>
        <v>251.38</v>
      </c>
      <c r="D24" s="163">
        <f t="shared" si="12"/>
        <v>251.38</v>
      </c>
      <c r="E24" s="163">
        <f t="shared" si="12"/>
        <v>251.38</v>
      </c>
      <c r="F24" s="163">
        <f t="shared" si="12"/>
        <v>251.38</v>
      </c>
      <c r="G24" s="163">
        <f t="shared" si="12"/>
        <v>251.38</v>
      </c>
      <c r="H24" s="163">
        <f t="shared" si="12"/>
        <v>251.38</v>
      </c>
      <c r="I24" s="163">
        <f>125.69+125.69+125.69</f>
        <v>377.07</v>
      </c>
      <c r="J24" s="163">
        <f>125.69+125.69</f>
        <v>251.38</v>
      </c>
      <c r="K24" s="163">
        <f>125.69+125.69</f>
        <v>251.38</v>
      </c>
      <c r="L24" s="163">
        <f>125.69+125.69</f>
        <v>251.38</v>
      </c>
      <c r="M24" s="163">
        <f>125.69+125.69</f>
        <v>251.38</v>
      </c>
      <c r="N24" s="163">
        <f t="shared" si="1"/>
        <v>3267.940000000001</v>
      </c>
      <c r="O24" s="163"/>
    </row>
    <row r="25" spans="1:15">
      <c r="A25" s="167">
        <v>15</v>
      </c>
      <c r="B25" s="163">
        <f>92.16+92.16+92.16</f>
        <v>276.48</v>
      </c>
      <c r="C25" s="163">
        <f t="shared" ref="C25:H25" si="13">92.16+92.16</f>
        <v>184.32</v>
      </c>
      <c r="D25" s="163">
        <f t="shared" si="13"/>
        <v>184.32</v>
      </c>
      <c r="E25" s="163">
        <f t="shared" si="13"/>
        <v>184.32</v>
      </c>
      <c r="F25" s="163">
        <f t="shared" si="13"/>
        <v>184.32</v>
      </c>
      <c r="G25" s="163">
        <f t="shared" si="13"/>
        <v>184.32</v>
      </c>
      <c r="H25" s="163">
        <f t="shared" si="13"/>
        <v>184.32</v>
      </c>
      <c r="I25" s="163">
        <f>92.16+92.16+92.16</f>
        <v>276.48</v>
      </c>
      <c r="J25" s="163">
        <f>92.16+92.16</f>
        <v>184.32</v>
      </c>
      <c r="K25" s="163">
        <f>92.16+92.16</f>
        <v>184.32</v>
      </c>
      <c r="L25" s="163">
        <f>92.16+92.16</f>
        <v>184.32</v>
      </c>
      <c r="M25" s="163">
        <f>92.16+92.16</f>
        <v>184.32</v>
      </c>
      <c r="N25" s="163">
        <f t="shared" si="1"/>
        <v>2396.16</v>
      </c>
      <c r="O25" s="163"/>
    </row>
    <row r="26" spans="1:15">
      <c r="A26" s="167">
        <v>16</v>
      </c>
      <c r="B26" s="163">
        <f>91.01+91.01+91.01</f>
        <v>273.03000000000003</v>
      </c>
      <c r="C26" s="163">
        <f t="shared" ref="C26:H26" si="14">91.01+91.01</f>
        <v>182.02</v>
      </c>
      <c r="D26" s="163">
        <f t="shared" si="14"/>
        <v>182.02</v>
      </c>
      <c r="E26" s="163">
        <f t="shared" si="14"/>
        <v>182.02</v>
      </c>
      <c r="F26" s="163">
        <f t="shared" si="14"/>
        <v>182.02</v>
      </c>
      <c r="G26" s="163">
        <f t="shared" si="14"/>
        <v>182.02</v>
      </c>
      <c r="H26" s="163">
        <f t="shared" si="14"/>
        <v>182.02</v>
      </c>
      <c r="I26" s="163">
        <f>91.01+91.01+91.01</f>
        <v>273.03000000000003</v>
      </c>
      <c r="J26" s="163">
        <f>91.01+91.01</f>
        <v>182.02</v>
      </c>
      <c r="K26" s="163">
        <f>91.01+91.01</f>
        <v>182.02</v>
      </c>
      <c r="L26" s="163">
        <f>91.01+91.01</f>
        <v>182.02</v>
      </c>
      <c r="M26" s="163">
        <f>91.01+91.01</f>
        <v>182.02</v>
      </c>
      <c r="N26" s="163">
        <f t="shared" si="1"/>
        <v>2366.2600000000002</v>
      </c>
      <c r="O26" s="163"/>
    </row>
    <row r="27" spans="1:15">
      <c r="A27" s="167">
        <v>17</v>
      </c>
      <c r="B27" s="163">
        <f>69.94+69.94+69.94</f>
        <v>209.82</v>
      </c>
      <c r="C27" s="163">
        <f t="shared" ref="C27:H27" si="15">69.94+69.94</f>
        <v>139.88</v>
      </c>
      <c r="D27" s="163">
        <f t="shared" si="15"/>
        <v>139.88</v>
      </c>
      <c r="E27" s="163">
        <f t="shared" si="15"/>
        <v>139.88</v>
      </c>
      <c r="F27" s="163">
        <f t="shared" si="15"/>
        <v>139.88</v>
      </c>
      <c r="G27" s="163">
        <f t="shared" si="15"/>
        <v>139.88</v>
      </c>
      <c r="H27" s="163">
        <f t="shared" si="15"/>
        <v>139.88</v>
      </c>
      <c r="I27" s="163">
        <f>69.94+69.94+69.94</f>
        <v>209.82</v>
      </c>
      <c r="J27" s="163">
        <f>69.94+69.94</f>
        <v>139.88</v>
      </c>
      <c r="K27" s="163">
        <f>69.94+69.94</f>
        <v>139.88</v>
      </c>
      <c r="L27" s="163">
        <f>69.94+69.94</f>
        <v>139.88</v>
      </c>
      <c r="M27" s="163">
        <f>69.94+69.94</f>
        <v>139.88</v>
      </c>
      <c r="N27" s="163">
        <f t="shared" si="1"/>
        <v>1818.44</v>
      </c>
      <c r="O27" s="163"/>
    </row>
    <row r="28" spans="1:15">
      <c r="A28" s="167">
        <v>18</v>
      </c>
      <c r="B28" s="163">
        <f>65.38+65.38+65.38</f>
        <v>196.14</v>
      </c>
      <c r="C28" s="163">
        <f t="shared" ref="C28:H28" si="16">65.38+65.38</f>
        <v>130.76</v>
      </c>
      <c r="D28" s="163">
        <f t="shared" si="16"/>
        <v>130.76</v>
      </c>
      <c r="E28" s="163">
        <f t="shared" si="16"/>
        <v>130.76</v>
      </c>
      <c r="F28" s="163">
        <f t="shared" si="16"/>
        <v>130.76</v>
      </c>
      <c r="G28" s="163">
        <f t="shared" si="16"/>
        <v>130.76</v>
      </c>
      <c r="H28" s="163">
        <f t="shared" si="16"/>
        <v>130.76</v>
      </c>
      <c r="I28" s="163">
        <f>65.38+65.38+65.38</f>
        <v>196.14</v>
      </c>
      <c r="J28" s="163">
        <f>65.38+65.38</f>
        <v>130.76</v>
      </c>
      <c r="K28" s="163">
        <f>65.38+65.38</f>
        <v>130.76</v>
      </c>
      <c r="L28" s="163">
        <f>65.38+65.38</f>
        <v>130.76</v>
      </c>
      <c r="M28" s="163">
        <f>65.38+65.38</f>
        <v>130.76</v>
      </c>
      <c r="N28" s="163">
        <f t="shared" si="1"/>
        <v>1699.8799999999999</v>
      </c>
      <c r="O28" s="163"/>
    </row>
    <row r="29" spans="1:15">
      <c r="A29" s="167">
        <v>19</v>
      </c>
      <c r="B29" s="163">
        <f>75.7+75.7+75.7</f>
        <v>227.10000000000002</v>
      </c>
      <c r="C29" s="163">
        <f t="shared" ref="C29:H29" si="17">75.7+75.7</f>
        <v>151.4</v>
      </c>
      <c r="D29" s="163">
        <f t="shared" si="17"/>
        <v>151.4</v>
      </c>
      <c r="E29" s="163">
        <f t="shared" si="17"/>
        <v>151.4</v>
      </c>
      <c r="F29" s="163">
        <f t="shared" si="17"/>
        <v>151.4</v>
      </c>
      <c r="G29" s="163">
        <f t="shared" si="17"/>
        <v>151.4</v>
      </c>
      <c r="H29" s="163">
        <f t="shared" si="17"/>
        <v>151.4</v>
      </c>
      <c r="I29" s="163">
        <f>75.7+75.7+75.7</f>
        <v>227.10000000000002</v>
      </c>
      <c r="J29" s="163">
        <f>75.7+75.7</f>
        <v>151.4</v>
      </c>
      <c r="K29" s="163">
        <f>75.7+75.7</f>
        <v>151.4</v>
      </c>
      <c r="L29" s="163">
        <f>75.7+75.7</f>
        <v>151.4</v>
      </c>
      <c r="M29" s="163">
        <f>75.7+75.7</f>
        <v>151.4</v>
      </c>
      <c r="N29" s="163">
        <f t="shared" si="1"/>
        <v>1968.2000000000003</v>
      </c>
      <c r="O29" s="163"/>
    </row>
    <row r="30" spans="1:15" s="170" customFormat="1">
      <c r="A30" s="167">
        <v>20</v>
      </c>
      <c r="B30" s="196">
        <f>72.24+72.24+72.24</f>
        <v>216.71999999999997</v>
      </c>
      <c r="C30" s="196">
        <f t="shared" ref="C30:H30" si="18">72.24+72.24</f>
        <v>144.47999999999999</v>
      </c>
      <c r="D30" s="196">
        <f t="shared" si="18"/>
        <v>144.47999999999999</v>
      </c>
      <c r="E30" s="196">
        <f t="shared" si="18"/>
        <v>144.47999999999999</v>
      </c>
      <c r="F30" s="196">
        <f t="shared" si="18"/>
        <v>144.47999999999999</v>
      </c>
      <c r="G30" s="196">
        <f t="shared" si="18"/>
        <v>144.47999999999999</v>
      </c>
      <c r="H30" s="196">
        <f t="shared" si="18"/>
        <v>144.47999999999999</v>
      </c>
      <c r="I30" s="196">
        <f>72.24+72.24+72.24</f>
        <v>216.71999999999997</v>
      </c>
      <c r="J30" s="196">
        <f>72.24+72.24</f>
        <v>144.47999999999999</v>
      </c>
      <c r="K30" s="196">
        <f>72.24+72.24</f>
        <v>144.47999999999999</v>
      </c>
      <c r="L30" s="196">
        <f>72.24+72.24</f>
        <v>144.47999999999999</v>
      </c>
      <c r="M30" s="196">
        <f>72.24+72.24</f>
        <v>144.47999999999999</v>
      </c>
      <c r="N30" s="196">
        <f t="shared" si="1"/>
        <v>1878.24</v>
      </c>
      <c r="O30" s="196"/>
    </row>
    <row r="31" spans="1:15">
      <c r="A31" s="197" t="s">
        <v>44</v>
      </c>
      <c r="B31" s="195">
        <f t="shared" ref="B31:N31" si="19">SUM(B11:B30)</f>
        <v>5376.43</v>
      </c>
      <c r="C31" s="195">
        <f t="shared" si="19"/>
        <v>3584.12</v>
      </c>
      <c r="D31" s="195">
        <f t="shared" si="19"/>
        <v>3586.6400000000003</v>
      </c>
      <c r="E31" s="195">
        <f t="shared" si="19"/>
        <v>3585.13</v>
      </c>
      <c r="F31" s="195">
        <f t="shared" si="19"/>
        <v>3579.59</v>
      </c>
      <c r="G31" s="195">
        <f t="shared" si="19"/>
        <v>3491.7200000000003</v>
      </c>
      <c r="H31" s="195">
        <f t="shared" si="19"/>
        <v>3406.5700000000006</v>
      </c>
      <c r="I31" s="195">
        <f t="shared" si="19"/>
        <v>5110.8100000000013</v>
      </c>
      <c r="J31" s="195">
        <f t="shared" si="19"/>
        <v>3407.88</v>
      </c>
      <c r="K31" s="195">
        <f t="shared" si="19"/>
        <v>3407.88</v>
      </c>
      <c r="L31" s="195">
        <f t="shared" si="19"/>
        <v>3407.8700000000008</v>
      </c>
      <c r="M31" s="195">
        <f t="shared" si="19"/>
        <v>3407.8600000000006</v>
      </c>
      <c r="N31" s="195">
        <f t="shared" si="19"/>
        <v>45352.499999999993</v>
      </c>
    </row>
    <row r="32" spans="1:15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</row>
    <row r="33" spans="1:14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</row>
    <row r="34" spans="1:14">
      <c r="B34" s="164"/>
      <c r="C34" s="164"/>
      <c r="D34" s="164"/>
      <c r="E34" s="164"/>
      <c r="F34" s="164"/>
      <c r="G34" s="164"/>
      <c r="H34" s="164"/>
      <c r="I34" s="164"/>
      <c r="J34" s="164" t="s">
        <v>316</v>
      </c>
      <c r="L34" s="164"/>
      <c r="M34" s="164"/>
      <c r="N34" s="164">
        <f>N31</f>
        <v>45352.499999999993</v>
      </c>
    </row>
    <row r="35" spans="1:14">
      <c r="B35" s="164"/>
      <c r="C35" s="164"/>
      <c r="D35" s="164"/>
      <c r="E35" s="164"/>
      <c r="F35" s="164"/>
      <c r="G35" s="164"/>
      <c r="H35" s="164"/>
      <c r="I35" s="164"/>
      <c r="J35" s="164" t="s">
        <v>317</v>
      </c>
      <c r="L35" s="164"/>
      <c r="M35" s="164"/>
      <c r="N35" s="195">
        <v>0</v>
      </c>
    </row>
    <row r="36" spans="1:14">
      <c r="B36" s="164"/>
      <c r="C36" s="164"/>
      <c r="D36" s="164"/>
      <c r="E36" s="164"/>
      <c r="F36" s="164"/>
      <c r="G36" s="164"/>
      <c r="H36" s="164"/>
      <c r="I36" s="164"/>
      <c r="J36" s="198" t="s">
        <v>15</v>
      </c>
      <c r="K36" s="199"/>
      <c r="L36" s="198"/>
      <c r="M36" s="198"/>
      <c r="N36" s="198">
        <f>N35-N34</f>
        <v>-45352.499999999993</v>
      </c>
    </row>
    <row r="38" spans="1:14" ht="28.5" customHeight="1">
      <c r="A38" s="314" t="s">
        <v>318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</row>
    <row r="39" spans="1:14">
      <c r="A39" s="314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</row>
    <row r="40" spans="1:14">
      <c r="A40" s="200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</sheetData>
  <mergeCells count="5">
    <mergeCell ref="A4:N4"/>
    <mergeCell ref="A5:N5"/>
    <mergeCell ref="A7:N7"/>
    <mergeCell ref="A38:N38"/>
    <mergeCell ref="A39:N39"/>
  </mergeCells>
  <pageMargins left="0.7" right="0.7" top="0.75" bottom="0.75" header="0.3" footer="0.3"/>
  <pageSetup scale="95" orientation="landscape" r:id="rId1"/>
  <headerFooter>
    <oddFooter>&amp;R&amp;"Times New Roman,Regular"Exhibit JW-2
Page &amp;P of &amp;N</oddFooter>
  </headerFooter>
  <ignoredErrors>
    <ignoredError sqref="I11:I12 I13:I21 B12:H12 J12:M12 I23:I3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workbookViewId="0">
      <selection activeCell="I62" sqref="I62"/>
    </sheetView>
  </sheetViews>
  <sheetFormatPr defaultRowHeight="15"/>
  <cols>
    <col min="1" max="1" width="4.42578125" style="254" customWidth="1"/>
    <col min="2" max="2" width="22.140625" customWidth="1"/>
    <col min="3" max="3" width="15.7109375" style="209" customWidth="1"/>
    <col min="4" max="7" width="15.7109375" customWidth="1"/>
    <col min="10" max="10" width="7.85546875" bestFit="1" customWidth="1"/>
    <col min="11" max="11" width="8.42578125" bestFit="1" customWidth="1"/>
    <col min="12" max="12" width="9.42578125" bestFit="1" customWidth="1"/>
    <col min="13" max="13" width="10.5703125" bestFit="1" customWidth="1"/>
  </cols>
  <sheetData>
    <row r="1" spans="1:9">
      <c r="D1" s="6"/>
      <c r="G1" s="6" t="s">
        <v>360</v>
      </c>
    </row>
    <row r="2" spans="1:9">
      <c r="E2" s="6"/>
    </row>
    <row r="3" spans="1:9">
      <c r="B3" s="315" t="str">
        <f>RevReq!A1</f>
        <v>MEADE COUNTY R.E.C.C.</v>
      </c>
      <c r="C3" s="315"/>
      <c r="D3" s="315"/>
      <c r="E3" s="315"/>
      <c r="F3" s="315"/>
      <c r="G3" s="315"/>
      <c r="H3" s="8"/>
      <c r="I3" s="8"/>
    </row>
    <row r="4" spans="1:9">
      <c r="B4" s="315" t="str">
        <f>RevReq!A3</f>
        <v>For the 12 Months Ended December 31, 2019</v>
      </c>
      <c r="C4" s="315"/>
      <c r="D4" s="315"/>
      <c r="E4" s="315"/>
      <c r="F4" s="315"/>
      <c r="G4" s="315"/>
    </row>
    <row r="6" spans="1:9">
      <c r="B6" s="312" t="s">
        <v>326</v>
      </c>
      <c r="C6" s="312"/>
      <c r="D6" s="312"/>
      <c r="E6" s="312"/>
      <c r="F6" s="312"/>
      <c r="G6" s="312"/>
      <c r="H6" s="7"/>
    </row>
    <row r="8" spans="1:9" ht="15" customHeight="1">
      <c r="B8" s="210" t="s">
        <v>327</v>
      </c>
      <c r="C8" s="211" t="s">
        <v>328</v>
      </c>
      <c r="D8" s="181" t="s">
        <v>329</v>
      </c>
      <c r="E8" s="181" t="s">
        <v>330</v>
      </c>
      <c r="F8" s="181" t="s">
        <v>331</v>
      </c>
      <c r="G8" s="181" t="s">
        <v>332</v>
      </c>
      <c r="H8" s="3"/>
    </row>
    <row r="9" spans="1:9">
      <c r="A9" s="255" t="s">
        <v>21</v>
      </c>
      <c r="B9" s="212" t="s">
        <v>18</v>
      </c>
      <c r="C9" s="212" t="s">
        <v>20</v>
      </c>
      <c r="D9" s="212" t="s">
        <v>19</v>
      </c>
      <c r="E9" s="212" t="s">
        <v>25</v>
      </c>
      <c r="F9" s="212" t="s">
        <v>48</v>
      </c>
      <c r="G9" s="212" t="s">
        <v>49</v>
      </c>
      <c r="H9" s="3"/>
    </row>
    <row r="10" spans="1:9">
      <c r="B10" s="3"/>
      <c r="C10" s="213"/>
      <c r="D10" s="3"/>
      <c r="E10" s="3"/>
      <c r="F10" s="3"/>
      <c r="G10" s="214"/>
      <c r="H10" s="3"/>
    </row>
    <row r="11" spans="1:9">
      <c r="B11" s="215" t="s">
        <v>333</v>
      </c>
      <c r="C11" s="216"/>
      <c r="D11" s="1"/>
      <c r="E11" s="180"/>
      <c r="F11" s="217"/>
      <c r="G11" s="214"/>
      <c r="H11" s="3"/>
    </row>
    <row r="12" spans="1:9">
      <c r="A12" s="254">
        <v>1</v>
      </c>
      <c r="B12" s="3" t="s">
        <v>334</v>
      </c>
      <c r="C12" s="134">
        <v>376541.76</v>
      </c>
      <c r="D12" s="218">
        <v>0</v>
      </c>
      <c r="E12" s="219">
        <f>C12*D12</f>
        <v>0</v>
      </c>
      <c r="F12" s="218">
        <v>1</v>
      </c>
      <c r="G12" s="219">
        <f>C12*F12</f>
        <v>376541.76</v>
      </c>
      <c r="H12" s="3"/>
    </row>
    <row r="13" spans="1:9">
      <c r="A13" s="254">
        <v>2</v>
      </c>
      <c r="B13" s="3" t="s">
        <v>335</v>
      </c>
      <c r="C13" s="134">
        <v>51545.2</v>
      </c>
      <c r="D13" s="218">
        <v>0.5</v>
      </c>
      <c r="E13" s="219">
        <f>C13*D13</f>
        <v>25772.6</v>
      </c>
      <c r="F13" s="218">
        <v>0.5</v>
      </c>
      <c r="G13" s="219">
        <f>C13*F13</f>
        <v>25772.6</v>
      </c>
      <c r="H13" s="3"/>
    </row>
    <row r="14" spans="1:9">
      <c r="A14" s="254">
        <v>3</v>
      </c>
      <c r="B14" s="3" t="s">
        <v>336</v>
      </c>
      <c r="C14" s="134">
        <v>48322.080000000002</v>
      </c>
      <c r="D14" s="218">
        <v>0.5</v>
      </c>
      <c r="E14" s="219">
        <f>C14*D14</f>
        <v>24161.040000000001</v>
      </c>
      <c r="F14" s="218">
        <v>0.5</v>
      </c>
      <c r="G14" s="219">
        <f>C14*F14</f>
        <v>24161.040000000001</v>
      </c>
      <c r="H14" s="3"/>
    </row>
    <row r="15" spans="1:9">
      <c r="A15" s="254">
        <v>4</v>
      </c>
      <c r="B15" s="3" t="s">
        <v>337</v>
      </c>
      <c r="C15" s="220">
        <v>132977.20000000001</v>
      </c>
      <c r="D15" s="221">
        <v>0.5</v>
      </c>
      <c r="E15" s="222">
        <f>C15*D15</f>
        <v>66488.600000000006</v>
      </c>
      <c r="F15" s="221">
        <v>0.5</v>
      </c>
      <c r="G15" s="222">
        <f>C15*F15</f>
        <v>66488.600000000006</v>
      </c>
      <c r="H15" s="3"/>
    </row>
    <row r="16" spans="1:9">
      <c r="A16" s="254">
        <v>5</v>
      </c>
      <c r="B16" s="49" t="s">
        <v>44</v>
      </c>
      <c r="C16" s="223">
        <f>SUM(C12:C15)</f>
        <v>609386.23999999999</v>
      </c>
      <c r="D16" s="224"/>
      <c r="E16" s="224">
        <f>SUM(E12:E15)</f>
        <v>116422.24</v>
      </c>
      <c r="F16" s="224"/>
      <c r="G16" s="224">
        <f>SUM(G12:G15)</f>
        <v>492964</v>
      </c>
      <c r="H16" s="3"/>
    </row>
    <row r="17" spans="1:12">
      <c r="B17" s="3"/>
      <c r="C17" s="134"/>
      <c r="D17" s="33"/>
      <c r="E17" s="33"/>
      <c r="F17" s="33"/>
      <c r="G17" s="225"/>
      <c r="H17" s="3"/>
    </row>
    <row r="18" spans="1:12">
      <c r="B18" s="226" t="s">
        <v>338</v>
      </c>
      <c r="C18" s="134"/>
      <c r="D18" s="33"/>
      <c r="E18" s="33"/>
      <c r="F18" s="33"/>
      <c r="G18" s="225"/>
      <c r="H18" s="3"/>
      <c r="L18" s="235"/>
    </row>
    <row r="19" spans="1:12">
      <c r="A19" s="254">
        <v>6</v>
      </c>
      <c r="B19" s="3" t="s">
        <v>334</v>
      </c>
      <c r="C19" s="134">
        <v>376542</v>
      </c>
      <c r="D19" s="218">
        <v>0.12</v>
      </c>
      <c r="E19" s="219">
        <f>C19*D19</f>
        <v>45185.04</v>
      </c>
      <c r="F19" s="218">
        <f>1-D19</f>
        <v>0.88</v>
      </c>
      <c r="G19" s="219">
        <f>C19*F19</f>
        <v>331356.96000000002</v>
      </c>
      <c r="H19" s="3"/>
      <c r="L19" s="231"/>
    </row>
    <row r="20" spans="1:12">
      <c r="A20" s="254">
        <v>7</v>
      </c>
      <c r="B20" s="3" t="s">
        <v>335</v>
      </c>
      <c r="C20" s="134">
        <v>51545</v>
      </c>
      <c r="D20" s="218">
        <v>0.22</v>
      </c>
      <c r="E20" s="219">
        <f>C20*D20</f>
        <v>11339.9</v>
      </c>
      <c r="F20" s="218">
        <f t="shared" ref="F20:F22" si="0">1-D20</f>
        <v>0.78</v>
      </c>
      <c r="G20" s="219">
        <f>C20*F20</f>
        <v>40205.1</v>
      </c>
      <c r="H20" s="3"/>
      <c r="L20" s="231"/>
    </row>
    <row r="21" spans="1:12">
      <c r="A21" s="254">
        <v>8</v>
      </c>
      <c r="B21" s="3" t="s">
        <v>336</v>
      </c>
      <c r="C21" s="134">
        <v>48322</v>
      </c>
      <c r="D21" s="218">
        <v>0.22</v>
      </c>
      <c r="E21" s="219">
        <f>C21*D21</f>
        <v>10630.84</v>
      </c>
      <c r="F21" s="218">
        <f t="shared" si="0"/>
        <v>0.78</v>
      </c>
      <c r="G21" s="219">
        <f>C21*F21</f>
        <v>37691.160000000003</v>
      </c>
      <c r="H21" s="3"/>
      <c r="L21" s="231"/>
    </row>
    <row r="22" spans="1:12">
      <c r="A22" s="254">
        <v>9</v>
      </c>
      <c r="B22" s="3" t="s">
        <v>337</v>
      </c>
      <c r="C22" s="220">
        <v>132977</v>
      </c>
      <c r="D22" s="221">
        <v>0.22</v>
      </c>
      <c r="E22" s="222">
        <f>C22*D22</f>
        <v>29254.94</v>
      </c>
      <c r="F22" s="218">
        <f t="shared" si="0"/>
        <v>0.78</v>
      </c>
      <c r="G22" s="222">
        <f>C22*F22</f>
        <v>103722.06</v>
      </c>
      <c r="H22" s="3"/>
      <c r="L22" s="231"/>
    </row>
    <row r="23" spans="1:12">
      <c r="A23" s="254">
        <v>10</v>
      </c>
      <c r="B23" s="49" t="s">
        <v>44</v>
      </c>
      <c r="C23" s="223">
        <f>SUM(C19:C22)</f>
        <v>609386</v>
      </c>
      <c r="D23" s="224"/>
      <c r="E23" s="224">
        <f>SUM(E19:E22)</f>
        <v>96410.72</v>
      </c>
      <c r="F23" s="224"/>
      <c r="G23" s="224">
        <f>SUM(G19:G22)</f>
        <v>512975.27999999997</v>
      </c>
      <c r="H23" s="3"/>
      <c r="L23" s="21"/>
    </row>
    <row r="24" spans="1:12">
      <c r="B24" s="3"/>
      <c r="C24" s="134"/>
      <c r="D24" s="33"/>
      <c r="E24" s="33"/>
      <c r="F24" s="33"/>
      <c r="G24" s="33"/>
      <c r="H24" s="3"/>
    </row>
    <row r="25" spans="1:12" ht="15.75" thickBot="1">
      <c r="B25" s="227" t="s">
        <v>15</v>
      </c>
      <c r="C25" s="228"/>
      <c r="D25" s="60"/>
      <c r="E25" s="60"/>
      <c r="F25" s="60"/>
      <c r="G25" s="229">
        <f>G23-G16</f>
        <v>20011.27999999997</v>
      </c>
      <c r="H25" s="3"/>
    </row>
    <row r="26" spans="1:12" ht="15.75" thickTop="1"/>
    <row r="27" spans="1:12">
      <c r="B27" s="312" t="s">
        <v>339</v>
      </c>
      <c r="C27" s="312"/>
      <c r="D27" s="312"/>
      <c r="E27" s="312"/>
      <c r="F27" s="312"/>
      <c r="G27" s="312"/>
      <c r="H27" s="7"/>
    </row>
    <row r="28" spans="1:12">
      <c r="B28" s="3"/>
      <c r="C28" s="230"/>
      <c r="D28" s="3"/>
      <c r="E28" s="3"/>
      <c r="F28" s="3"/>
      <c r="G28" s="3"/>
      <c r="H28" s="3"/>
    </row>
    <row r="29" spans="1:12" ht="15" customHeight="1">
      <c r="B29" s="210" t="s">
        <v>327</v>
      </c>
      <c r="C29" s="211" t="s">
        <v>328</v>
      </c>
      <c r="D29" s="181" t="s">
        <v>329</v>
      </c>
      <c r="E29" s="181" t="s">
        <v>330</v>
      </c>
      <c r="F29" s="181" t="s">
        <v>331</v>
      </c>
      <c r="G29" s="181" t="s">
        <v>332</v>
      </c>
      <c r="H29" s="3"/>
    </row>
    <row r="30" spans="1:12">
      <c r="B30" s="212" t="s">
        <v>18</v>
      </c>
      <c r="C30" s="212" t="s">
        <v>20</v>
      </c>
      <c r="D30" s="212" t="s">
        <v>19</v>
      </c>
      <c r="E30" s="212" t="s">
        <v>25</v>
      </c>
      <c r="F30" s="212" t="s">
        <v>48</v>
      </c>
      <c r="G30" s="212" t="s">
        <v>49</v>
      </c>
      <c r="H30" s="3"/>
    </row>
    <row r="31" spans="1:12">
      <c r="B31" s="3"/>
      <c r="C31" s="213"/>
      <c r="D31" s="3"/>
      <c r="E31" s="3"/>
      <c r="F31" s="3"/>
      <c r="G31" s="214"/>
      <c r="H31" s="3"/>
    </row>
    <row r="32" spans="1:12">
      <c r="B32" s="215" t="s">
        <v>333</v>
      </c>
      <c r="C32" s="216"/>
      <c r="D32" s="1"/>
      <c r="E32" s="180"/>
      <c r="F32" s="217"/>
      <c r="G32" s="214"/>
      <c r="H32" s="3"/>
    </row>
    <row r="33" spans="1:8">
      <c r="A33" s="254">
        <v>11</v>
      </c>
      <c r="B33" s="3" t="s">
        <v>334</v>
      </c>
      <c r="C33" s="134">
        <v>24621.15</v>
      </c>
      <c r="D33" s="218">
        <v>0</v>
      </c>
      <c r="E33" s="219">
        <f>C33*D33</f>
        <v>0</v>
      </c>
      <c r="F33" s="218">
        <v>1</v>
      </c>
      <c r="G33" s="219">
        <f>C33*F33</f>
        <v>24621.15</v>
      </c>
      <c r="H33" s="3"/>
    </row>
    <row r="34" spans="1:8">
      <c r="A34" s="254">
        <v>12</v>
      </c>
      <c r="B34" s="3" t="s">
        <v>335</v>
      </c>
      <c r="C34" s="134">
        <v>5166.45</v>
      </c>
      <c r="D34" s="218">
        <v>1</v>
      </c>
      <c r="E34" s="219">
        <f>C34*D34</f>
        <v>5166.45</v>
      </c>
      <c r="F34" s="218">
        <v>0</v>
      </c>
      <c r="G34" s="219">
        <f>C34*F34</f>
        <v>0</v>
      </c>
      <c r="H34" s="3"/>
    </row>
    <row r="35" spans="1:8">
      <c r="A35" s="254">
        <v>13</v>
      </c>
      <c r="B35" s="3" t="s">
        <v>336</v>
      </c>
      <c r="C35" s="134">
        <v>2917.8</v>
      </c>
      <c r="D35" s="218">
        <v>1</v>
      </c>
      <c r="E35" s="219">
        <f>C35*D35</f>
        <v>2917.8</v>
      </c>
      <c r="F35" s="218">
        <v>0</v>
      </c>
      <c r="G35" s="219">
        <f>C35*F35</f>
        <v>0</v>
      </c>
      <c r="H35" s="3"/>
    </row>
    <row r="36" spans="1:8">
      <c r="A36" s="254">
        <v>14</v>
      </c>
      <c r="B36" s="3" t="s">
        <v>337</v>
      </c>
      <c r="C36" s="220">
        <v>12772.8</v>
      </c>
      <c r="D36" s="221">
        <v>1</v>
      </c>
      <c r="E36" s="222">
        <f>C36*D36</f>
        <v>12772.8</v>
      </c>
      <c r="F36" s="221">
        <v>0</v>
      </c>
      <c r="G36" s="222">
        <f>C36*F36</f>
        <v>0</v>
      </c>
      <c r="H36" s="3"/>
    </row>
    <row r="37" spans="1:8">
      <c r="A37" s="254">
        <v>15</v>
      </c>
      <c r="B37" s="49" t="s">
        <v>44</v>
      </c>
      <c r="C37" s="223">
        <f>SUM(C33:C36)</f>
        <v>45478.2</v>
      </c>
      <c r="D37" s="224"/>
      <c r="E37" s="224">
        <f>SUM(E33:E36)</f>
        <v>20857.05</v>
      </c>
      <c r="F37" s="224"/>
      <c r="G37" s="224">
        <f>SUM(G33:G36)</f>
        <v>24621.15</v>
      </c>
      <c r="H37" s="3"/>
    </row>
    <row r="38" spans="1:8">
      <c r="B38" s="3"/>
      <c r="C38" s="134"/>
      <c r="D38" s="33"/>
      <c r="E38" s="33"/>
      <c r="F38" s="33"/>
      <c r="G38" s="225"/>
      <c r="H38" s="3"/>
    </row>
    <row r="39" spans="1:8">
      <c r="B39" s="226" t="s">
        <v>338</v>
      </c>
      <c r="C39" s="134"/>
      <c r="D39" s="33"/>
      <c r="E39" s="33"/>
      <c r="F39" s="33"/>
      <c r="G39" s="225"/>
      <c r="H39" s="3"/>
    </row>
    <row r="40" spans="1:8">
      <c r="A40" s="254">
        <v>16</v>
      </c>
      <c r="B40" s="3" t="s">
        <v>334</v>
      </c>
      <c r="C40" s="134">
        <v>24621</v>
      </c>
      <c r="D40" s="218">
        <f>D19</f>
        <v>0.12</v>
      </c>
      <c r="E40" s="219">
        <f>C40*D40</f>
        <v>2954.52</v>
      </c>
      <c r="F40" s="218">
        <f>1-D40</f>
        <v>0.88</v>
      </c>
      <c r="G40" s="219">
        <f>C40*F40</f>
        <v>21666.48</v>
      </c>
      <c r="H40" s="3"/>
    </row>
    <row r="41" spans="1:8">
      <c r="A41" s="254">
        <v>17</v>
      </c>
      <c r="B41" s="3" t="s">
        <v>335</v>
      </c>
      <c r="C41" s="134">
        <v>5166</v>
      </c>
      <c r="D41" s="218">
        <f>D20</f>
        <v>0.22</v>
      </c>
      <c r="E41" s="219">
        <f>C41*D41</f>
        <v>1136.52</v>
      </c>
      <c r="F41" s="218">
        <f t="shared" ref="F41:F43" si="1">1-D41</f>
        <v>0.78</v>
      </c>
      <c r="G41" s="219">
        <f>C41*F41</f>
        <v>4029.48</v>
      </c>
      <c r="H41" s="3"/>
    </row>
    <row r="42" spans="1:8">
      <c r="A42" s="254">
        <v>18</v>
      </c>
      <c r="B42" s="3" t="s">
        <v>336</v>
      </c>
      <c r="C42" s="134">
        <v>2918</v>
      </c>
      <c r="D42" s="218">
        <f>D21</f>
        <v>0.22</v>
      </c>
      <c r="E42" s="219">
        <f>C42*D42</f>
        <v>641.96</v>
      </c>
      <c r="F42" s="218">
        <f t="shared" si="1"/>
        <v>0.78</v>
      </c>
      <c r="G42" s="219">
        <f>C42*F42</f>
        <v>2276.04</v>
      </c>
      <c r="H42" s="3"/>
    </row>
    <row r="43" spans="1:8">
      <c r="A43" s="254">
        <v>19</v>
      </c>
      <c r="B43" s="3" t="s">
        <v>337</v>
      </c>
      <c r="C43" s="220">
        <v>12773</v>
      </c>
      <c r="D43" s="218">
        <f>D22</f>
        <v>0.22</v>
      </c>
      <c r="E43" s="222">
        <f>C43*D43</f>
        <v>2810.06</v>
      </c>
      <c r="F43" s="218">
        <f t="shared" si="1"/>
        <v>0.78</v>
      </c>
      <c r="G43" s="222">
        <f>C43*F43</f>
        <v>9962.94</v>
      </c>
      <c r="H43" s="3"/>
    </row>
    <row r="44" spans="1:8">
      <c r="A44" s="254">
        <v>20</v>
      </c>
      <c r="B44" s="49" t="s">
        <v>44</v>
      </c>
      <c r="C44" s="223">
        <f>SUM(C40:C43)</f>
        <v>45478</v>
      </c>
      <c r="D44" s="224"/>
      <c r="E44" s="224">
        <f>SUM(E40:E43)</f>
        <v>7543.0599999999995</v>
      </c>
      <c r="F44" s="224"/>
      <c r="G44" s="224">
        <f>SUM(G40:G43)</f>
        <v>37934.94</v>
      </c>
      <c r="H44" s="3"/>
    </row>
    <row r="45" spans="1:8">
      <c r="B45" s="3"/>
      <c r="C45" s="134"/>
      <c r="D45" s="33"/>
      <c r="E45" s="33"/>
      <c r="F45" s="33"/>
      <c r="G45" s="33"/>
      <c r="H45" s="3"/>
    </row>
    <row r="46" spans="1:8" ht="15.75" thickBot="1">
      <c r="A46" s="254">
        <v>21</v>
      </c>
      <c r="B46" s="227" t="s">
        <v>15</v>
      </c>
      <c r="C46" s="228"/>
      <c r="D46" s="60"/>
      <c r="E46" s="60"/>
      <c r="F46" s="60"/>
      <c r="G46" s="229">
        <f>G44-G37</f>
        <v>13313.79</v>
      </c>
      <c r="H46" s="3"/>
    </row>
    <row r="47" spans="1:8" ht="15.75" thickTop="1"/>
    <row r="48" spans="1:8">
      <c r="B48" s="312" t="s">
        <v>340</v>
      </c>
      <c r="C48" s="312"/>
      <c r="D48" s="312"/>
      <c r="E48" s="312"/>
      <c r="F48" s="312"/>
      <c r="G48" s="312"/>
      <c r="H48" s="7"/>
    </row>
    <row r="49" spans="1:8">
      <c r="B49" s="3"/>
      <c r="C49" s="230"/>
      <c r="D49" s="3"/>
      <c r="E49" s="3"/>
      <c r="F49" s="3"/>
      <c r="G49" s="3"/>
      <c r="H49" s="3"/>
    </row>
    <row r="50" spans="1:8" ht="15" customHeight="1">
      <c r="B50" s="210" t="s">
        <v>327</v>
      </c>
      <c r="C50" s="211" t="s">
        <v>328</v>
      </c>
      <c r="D50" s="181" t="s">
        <v>329</v>
      </c>
      <c r="E50" s="181" t="s">
        <v>330</v>
      </c>
      <c r="F50" s="181" t="s">
        <v>331</v>
      </c>
      <c r="G50" s="181" t="s">
        <v>332</v>
      </c>
      <c r="H50" s="3"/>
    </row>
    <row r="51" spans="1:8">
      <c r="B51" s="212" t="s">
        <v>18</v>
      </c>
      <c r="C51" s="212" t="s">
        <v>20</v>
      </c>
      <c r="D51" s="212" t="s">
        <v>19</v>
      </c>
      <c r="E51" s="212" t="s">
        <v>25</v>
      </c>
      <c r="F51" s="212" t="s">
        <v>48</v>
      </c>
      <c r="G51" s="212" t="s">
        <v>49</v>
      </c>
      <c r="H51" s="3"/>
    </row>
    <row r="52" spans="1:8">
      <c r="B52" s="3"/>
      <c r="C52" s="213"/>
      <c r="D52" s="3"/>
      <c r="E52" s="3"/>
      <c r="F52" s="3"/>
      <c r="G52" s="214"/>
      <c r="H52" s="3"/>
    </row>
    <row r="53" spans="1:8">
      <c r="B53" s="215" t="s">
        <v>333</v>
      </c>
      <c r="C53" s="216"/>
      <c r="D53" s="1"/>
      <c r="E53" s="180"/>
      <c r="F53" s="217"/>
      <c r="G53" s="214"/>
      <c r="H53" s="3"/>
    </row>
    <row r="54" spans="1:8">
      <c r="A54" s="254">
        <v>22</v>
      </c>
      <c r="B54" s="3" t="s">
        <v>334</v>
      </c>
      <c r="C54" s="134">
        <v>726.25</v>
      </c>
      <c r="D54" s="218">
        <v>0.5</v>
      </c>
      <c r="E54" s="219">
        <f>C54*D54</f>
        <v>363.125</v>
      </c>
      <c r="F54" s="218">
        <v>0.5</v>
      </c>
      <c r="G54" s="219">
        <f>C54*F54</f>
        <v>363.125</v>
      </c>
      <c r="H54" s="3"/>
    </row>
    <row r="55" spans="1:8">
      <c r="A55" s="254">
        <v>23</v>
      </c>
      <c r="B55" s="3" t="s">
        <v>335</v>
      </c>
      <c r="C55" s="134">
        <v>1567.68</v>
      </c>
      <c r="D55" s="218">
        <v>0.5</v>
      </c>
      <c r="E55" s="219">
        <f>C55*D55</f>
        <v>783.84</v>
      </c>
      <c r="F55" s="218">
        <v>0.5</v>
      </c>
      <c r="G55" s="219">
        <f>C55*F55</f>
        <v>783.84</v>
      </c>
      <c r="H55" s="3"/>
    </row>
    <row r="56" spans="1:8">
      <c r="A56" s="254">
        <v>24</v>
      </c>
      <c r="B56" s="3" t="s">
        <v>336</v>
      </c>
      <c r="C56" s="134">
        <v>278.88</v>
      </c>
      <c r="D56" s="218">
        <v>0.5</v>
      </c>
      <c r="E56" s="219">
        <f>C56*D56</f>
        <v>139.44</v>
      </c>
      <c r="F56" s="218">
        <v>0.5</v>
      </c>
      <c r="G56" s="219">
        <f>C56*F56</f>
        <v>139.44</v>
      </c>
      <c r="H56" s="3"/>
    </row>
    <row r="57" spans="1:8">
      <c r="A57" s="254">
        <v>25</v>
      </c>
      <c r="B57" s="3" t="s">
        <v>337</v>
      </c>
      <c r="C57" s="220">
        <v>2869.44</v>
      </c>
      <c r="D57" s="221">
        <v>0.5</v>
      </c>
      <c r="E57" s="222">
        <f>C57*D57</f>
        <v>1434.72</v>
      </c>
      <c r="F57" s="221">
        <v>0.5</v>
      </c>
      <c r="G57" s="222">
        <f>C57*F57</f>
        <v>1434.72</v>
      </c>
      <c r="H57" s="3"/>
    </row>
    <row r="58" spans="1:8">
      <c r="A58" s="254">
        <v>26</v>
      </c>
      <c r="B58" s="49" t="s">
        <v>44</v>
      </c>
      <c r="C58" s="223">
        <f>SUM(C54:C57)</f>
        <v>5442.25</v>
      </c>
      <c r="D58" s="224"/>
      <c r="E58" s="224">
        <f>SUM(E54:E57)</f>
        <v>2721.125</v>
      </c>
      <c r="F58" s="224"/>
      <c r="G58" s="224">
        <f>SUM(G54:G57)</f>
        <v>2721.125</v>
      </c>
      <c r="H58" s="3"/>
    </row>
    <row r="59" spans="1:8">
      <c r="B59" s="3"/>
      <c r="C59" s="134"/>
      <c r="D59" s="33"/>
      <c r="E59" s="33"/>
      <c r="F59" s="33"/>
      <c r="G59" s="225"/>
      <c r="H59" s="3"/>
    </row>
    <row r="60" spans="1:8">
      <c r="B60" s="226" t="s">
        <v>338</v>
      </c>
      <c r="C60" s="134"/>
      <c r="D60" s="33"/>
      <c r="E60" s="33"/>
      <c r="F60" s="33"/>
      <c r="G60" s="225"/>
      <c r="H60" s="3"/>
    </row>
    <row r="61" spans="1:8">
      <c r="A61" s="254">
        <v>27</v>
      </c>
      <c r="B61" s="3" t="s">
        <v>334</v>
      </c>
      <c r="C61" s="134">
        <v>726</v>
      </c>
      <c r="D61" s="218">
        <f>D19</f>
        <v>0.12</v>
      </c>
      <c r="E61" s="219">
        <f>C61*D61</f>
        <v>87.11999999999999</v>
      </c>
      <c r="F61" s="218">
        <f>1-D61</f>
        <v>0.88</v>
      </c>
      <c r="G61" s="219">
        <f>C61*F61</f>
        <v>638.88</v>
      </c>
      <c r="H61" s="3"/>
    </row>
    <row r="62" spans="1:8">
      <c r="A62" s="254">
        <v>28</v>
      </c>
      <c r="B62" s="3" t="s">
        <v>335</v>
      </c>
      <c r="C62" s="134">
        <v>1568</v>
      </c>
      <c r="D62" s="218">
        <f>D20</f>
        <v>0.22</v>
      </c>
      <c r="E62" s="219">
        <f>C62*D62</f>
        <v>344.96</v>
      </c>
      <c r="F62" s="218">
        <f t="shared" ref="F62:F64" si="2">1-D62</f>
        <v>0.78</v>
      </c>
      <c r="G62" s="219">
        <f>C62*F62</f>
        <v>1223.04</v>
      </c>
      <c r="H62" s="3"/>
    </row>
    <row r="63" spans="1:8">
      <c r="A63" s="254">
        <v>29</v>
      </c>
      <c r="B63" s="3" t="s">
        <v>336</v>
      </c>
      <c r="C63" s="134">
        <v>279</v>
      </c>
      <c r="D63" s="218">
        <f>D21</f>
        <v>0.22</v>
      </c>
      <c r="E63" s="219">
        <f>C63*D63</f>
        <v>61.38</v>
      </c>
      <c r="F63" s="218">
        <f t="shared" si="2"/>
        <v>0.78</v>
      </c>
      <c r="G63" s="219">
        <f>C63*F63</f>
        <v>217.62</v>
      </c>
      <c r="H63" s="3"/>
    </row>
    <row r="64" spans="1:8">
      <c r="A64" s="254">
        <v>30</v>
      </c>
      <c r="B64" s="3" t="s">
        <v>337</v>
      </c>
      <c r="C64" s="220">
        <v>2869</v>
      </c>
      <c r="D64" s="218">
        <f>D22</f>
        <v>0.22</v>
      </c>
      <c r="E64" s="222">
        <f>C64*D64</f>
        <v>631.17999999999995</v>
      </c>
      <c r="F64" s="218">
        <f t="shared" si="2"/>
        <v>0.78</v>
      </c>
      <c r="G64" s="222">
        <f>C64*F64</f>
        <v>2237.8200000000002</v>
      </c>
      <c r="H64" s="3"/>
    </row>
    <row r="65" spans="1:8">
      <c r="A65" s="254">
        <v>31</v>
      </c>
      <c r="B65" s="49" t="s">
        <v>44</v>
      </c>
      <c r="C65" s="223">
        <f>SUM(C61:C64)</f>
        <v>5442</v>
      </c>
      <c r="D65" s="224"/>
      <c r="E65" s="224">
        <f>SUM(E61:E64)</f>
        <v>1124.6399999999999</v>
      </c>
      <c r="F65" s="224"/>
      <c r="G65" s="224">
        <f>SUM(G61:G64)</f>
        <v>4317.3600000000006</v>
      </c>
      <c r="H65" s="3"/>
    </row>
    <row r="66" spans="1:8">
      <c r="B66" s="3"/>
      <c r="C66" s="134"/>
      <c r="D66" s="33"/>
      <c r="E66" s="33"/>
      <c r="F66" s="33"/>
      <c r="G66" s="33"/>
      <c r="H66" s="3"/>
    </row>
    <row r="67" spans="1:8" ht="15.75" thickBot="1">
      <c r="A67" s="254">
        <v>32</v>
      </c>
      <c r="B67" s="227" t="s">
        <v>15</v>
      </c>
      <c r="C67" s="228"/>
      <c r="D67" s="60"/>
      <c r="E67" s="60"/>
      <c r="F67" s="60"/>
      <c r="G67" s="229">
        <f>G65-G58</f>
        <v>1596.2350000000006</v>
      </c>
      <c r="H67" s="3"/>
    </row>
    <row r="68" spans="1:8" ht="15.75" thickTop="1"/>
    <row r="69" spans="1:8" ht="15.75" thickBot="1">
      <c r="A69" s="254">
        <v>33</v>
      </c>
      <c r="B69" s="227" t="s">
        <v>341</v>
      </c>
      <c r="C69" s="228"/>
      <c r="D69" s="60"/>
      <c r="E69" s="60"/>
      <c r="F69" s="60"/>
      <c r="G69" s="229">
        <f>G25+G46+G67</f>
        <v>34921.304999999971</v>
      </c>
      <c r="H69" s="3"/>
    </row>
    <row r="70" spans="1:8" ht="15.75" thickTop="1"/>
    <row r="71" spans="1:8" ht="43.5" customHeight="1">
      <c r="B71" s="313" t="s">
        <v>342</v>
      </c>
      <c r="C71" s="313"/>
      <c r="D71" s="313"/>
      <c r="E71" s="313"/>
      <c r="F71" s="313"/>
      <c r="G71" s="313"/>
    </row>
    <row r="72" spans="1:8">
      <c r="B72" s="234" t="s">
        <v>343</v>
      </c>
      <c r="C72" s="232"/>
      <c r="D72" s="233"/>
      <c r="E72" s="233"/>
      <c r="F72" s="233"/>
      <c r="G72" s="233"/>
    </row>
    <row r="73" spans="1:8">
      <c r="B73" s="10"/>
      <c r="C73" s="232"/>
      <c r="D73" s="233"/>
      <c r="E73" s="233"/>
      <c r="F73" s="233"/>
      <c r="G73" s="233"/>
    </row>
    <row r="74" spans="1:8">
      <c r="B74" s="10"/>
      <c r="C74" s="232"/>
      <c r="D74" s="233"/>
      <c r="E74" s="233"/>
      <c r="F74" s="233"/>
      <c r="G74" s="233"/>
    </row>
  </sheetData>
  <mergeCells count="6">
    <mergeCell ref="B3:G3"/>
    <mergeCell ref="B4:G4"/>
    <mergeCell ref="B6:G6"/>
    <mergeCell ref="B71:G71"/>
    <mergeCell ref="B27:G27"/>
    <mergeCell ref="B48:G48"/>
  </mergeCells>
  <hyperlinks>
    <hyperlink ref="B72" r:id="rId1"/>
  </hyperlinks>
  <printOptions horizontalCentered="1"/>
  <pageMargins left="0.7" right="0.7" top="0.75" bottom="0.75" header="0.3" footer="0.3"/>
  <pageSetup scale="63" orientation="portrait" r:id="rId2"/>
  <headerFooter>
    <oddFooter>&amp;R&amp;"Times New Roman,Regular"Exhibit JW-2
Page &amp;P of &amp;N</oddFooter>
  </headerFooter>
  <ignoredErrors>
    <ignoredError sqref="B9:G9 B30:G30 B51:G5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opLeftCell="A10" workbookViewId="0">
      <selection activeCell="I62" sqref="I62"/>
    </sheetView>
  </sheetViews>
  <sheetFormatPr defaultRowHeight="12.75"/>
  <cols>
    <col min="1" max="1" width="5.85546875" style="1" customWidth="1"/>
    <col min="2" max="2" width="1.28515625" style="3" customWidth="1"/>
    <col min="3" max="3" width="8.85546875" style="1" customWidth="1"/>
    <col min="4" max="4" width="11.140625" style="3" hidden="1" customWidth="1"/>
    <col min="5" max="5" width="1.42578125" style="1" customWidth="1"/>
    <col min="6" max="6" width="11.140625" style="3" customWidth="1"/>
    <col min="7" max="7" width="10.85546875" style="3" customWidth="1"/>
    <col min="8" max="8" width="1.28515625" style="3" customWidth="1"/>
    <col min="9" max="9" width="11.28515625" style="3" bestFit="1" customWidth="1"/>
    <col min="10" max="10" width="10.85546875" style="3" customWidth="1"/>
    <col min="11" max="11" width="12.28515625" style="3" customWidth="1"/>
    <col min="12" max="12" width="1.140625" style="3" customWidth="1"/>
    <col min="13" max="13" width="8.7109375" style="3" customWidth="1"/>
    <col min="14" max="14" width="0.85546875" style="3" customWidth="1"/>
    <col min="15" max="17" width="10.85546875" style="3" customWidth="1"/>
    <col min="18" max="18" width="1" style="3" customWidth="1"/>
    <col min="19" max="19" width="11.5703125" style="3" customWidth="1"/>
    <col min="20" max="20" width="4.85546875" style="1" customWidth="1"/>
    <col min="21" max="16384" width="9.140625" style="3"/>
  </cols>
  <sheetData>
    <row r="1" spans="1:22">
      <c r="T1" s="6" t="s">
        <v>364</v>
      </c>
    </row>
    <row r="2" spans="1:22" ht="9.75" customHeight="1">
      <c r="I2" s="171"/>
    </row>
    <row r="3" spans="1:22">
      <c r="A3" s="311" t="str">
        <f>RevReq!A1</f>
        <v>MEADE COUNTY R.E.C.C.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4" spans="1:22">
      <c r="A4" s="315" t="str">
        <f>RevReq!A3</f>
        <v>For the 12 Months Ended December 31, 2019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</row>
    <row r="6" spans="1:22" s="172" customFormat="1" ht="15" customHeight="1">
      <c r="A6" s="312" t="s">
        <v>265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</row>
    <row r="7" spans="1:22" ht="7.5" customHeight="1">
      <c r="R7" s="172"/>
    </row>
    <row r="8" spans="1:22" ht="20.25" customHeight="1">
      <c r="A8" s="320" t="s">
        <v>0</v>
      </c>
      <c r="C8" s="320" t="s">
        <v>309</v>
      </c>
      <c r="D8" s="208"/>
      <c r="F8" s="321" t="s">
        <v>304</v>
      </c>
      <c r="G8" s="321"/>
      <c r="I8" s="321" t="s">
        <v>305</v>
      </c>
      <c r="J8" s="321"/>
      <c r="K8" s="321"/>
      <c r="L8" s="1"/>
      <c r="M8" s="322" t="s">
        <v>306</v>
      </c>
      <c r="O8" s="321" t="s">
        <v>307</v>
      </c>
      <c r="P8" s="321"/>
      <c r="Q8" s="321"/>
      <c r="R8" s="172"/>
      <c r="S8" s="322" t="s">
        <v>308</v>
      </c>
      <c r="T8" s="320" t="s">
        <v>324</v>
      </c>
    </row>
    <row r="9" spans="1:22" ht="30.75" customHeight="1">
      <c r="A9" s="320"/>
      <c r="C9" s="320"/>
      <c r="D9" s="173" t="s">
        <v>310</v>
      </c>
      <c r="F9" s="174" t="s">
        <v>311</v>
      </c>
      <c r="G9" s="174" t="s">
        <v>312</v>
      </c>
      <c r="H9" s="175"/>
      <c r="I9" s="174" t="s">
        <v>311</v>
      </c>
      <c r="J9" s="174" t="s">
        <v>312</v>
      </c>
      <c r="K9" s="174" t="s">
        <v>44</v>
      </c>
      <c r="L9" s="176"/>
      <c r="M9" s="322"/>
      <c r="N9" s="176"/>
      <c r="O9" s="174" t="s">
        <v>311</v>
      </c>
      <c r="P9" s="174" t="s">
        <v>312</v>
      </c>
      <c r="Q9" s="174" t="s">
        <v>44</v>
      </c>
      <c r="R9" s="177"/>
      <c r="S9" s="322"/>
      <c r="T9" s="320"/>
    </row>
    <row r="10" spans="1:22">
      <c r="A10" s="178" t="s">
        <v>21</v>
      </c>
      <c r="C10" s="44">
        <v>1</v>
      </c>
      <c r="D10" s="179" t="s">
        <v>313</v>
      </c>
      <c r="F10" s="44">
        <f>C10+1</f>
        <v>2</v>
      </c>
      <c r="G10" s="44">
        <f>F10+1</f>
        <v>3</v>
      </c>
      <c r="H10" s="175"/>
      <c r="I10" s="44">
        <f>G10+1</f>
        <v>4</v>
      </c>
      <c r="J10" s="44">
        <f>I10+1</f>
        <v>5</v>
      </c>
      <c r="K10" s="44">
        <f>J10+1</f>
        <v>6</v>
      </c>
      <c r="L10" s="176"/>
      <c r="M10" s="44">
        <f>K10+1</f>
        <v>7</v>
      </c>
      <c r="N10" s="176"/>
      <c r="O10" s="44">
        <f>M10+1</f>
        <v>8</v>
      </c>
      <c r="P10" s="44">
        <f>O10+1</f>
        <v>9</v>
      </c>
      <c r="Q10" s="44">
        <f>P10+1</f>
        <v>10</v>
      </c>
      <c r="R10" s="177"/>
      <c r="S10" s="44">
        <f>Q10+1</f>
        <v>11</v>
      </c>
      <c r="T10" s="44">
        <f>S10+1</f>
        <v>12</v>
      </c>
    </row>
    <row r="11" spans="1:22">
      <c r="H11" s="175"/>
      <c r="L11" s="176"/>
      <c r="N11" s="176"/>
      <c r="R11" s="177"/>
    </row>
    <row r="12" spans="1:22">
      <c r="A12" s="1">
        <v>1</v>
      </c>
      <c r="C12" s="308">
        <v>1</v>
      </c>
      <c r="D12" s="185">
        <v>14</v>
      </c>
      <c r="F12" s="182">
        <v>1769.7</v>
      </c>
      <c r="G12" s="182"/>
      <c r="H12" s="183"/>
      <c r="I12" s="184">
        <f>F12*37.24</f>
        <v>65903.628000000012</v>
      </c>
      <c r="J12" s="184"/>
      <c r="K12" s="184">
        <f>SUM(I12:J12)</f>
        <v>65903.628000000012</v>
      </c>
      <c r="L12" s="176"/>
      <c r="M12" s="186"/>
      <c r="N12" s="176"/>
      <c r="O12" s="187"/>
      <c r="P12" s="187"/>
      <c r="Q12" s="187"/>
      <c r="R12" s="177"/>
      <c r="S12" s="188">
        <f>Q12-K12</f>
        <v>-65903.628000000012</v>
      </c>
      <c r="T12" s="1" t="s">
        <v>132</v>
      </c>
    </row>
    <row r="13" spans="1:22">
      <c r="A13" s="1">
        <f>A12+1</f>
        <v>2</v>
      </c>
      <c r="C13" s="307">
        <v>2</v>
      </c>
      <c r="D13" s="185">
        <v>16</v>
      </c>
      <c r="F13" s="182">
        <v>2080</v>
      </c>
      <c r="G13" s="182"/>
      <c r="H13" s="183"/>
      <c r="I13" s="184">
        <f>2080*38.4</f>
        <v>79872</v>
      </c>
      <c r="J13" s="184"/>
      <c r="K13" s="184">
        <f>SUM(I13:J13)</f>
        <v>79872</v>
      </c>
      <c r="L13" s="176"/>
      <c r="M13" s="186">
        <v>38.4</v>
      </c>
      <c r="N13" s="176"/>
      <c r="O13" s="187">
        <f>(32+960+16+200+8+24)*M13</f>
        <v>47616</v>
      </c>
      <c r="P13" s="187"/>
      <c r="Q13" s="187">
        <f>SUM(O13:P13)</f>
        <v>47616</v>
      </c>
      <c r="R13" s="177"/>
      <c r="S13" s="188">
        <f>Q13-K13</f>
        <v>-32256</v>
      </c>
      <c r="T13" s="1" t="s">
        <v>132</v>
      </c>
    </row>
    <row r="14" spans="1:22">
      <c r="A14" s="1">
        <f t="shared" ref="A14:A36" si="0">A13+1</f>
        <v>3</v>
      </c>
      <c r="C14" s="307">
        <v>3</v>
      </c>
      <c r="D14" s="185"/>
      <c r="F14" s="182">
        <v>2080</v>
      </c>
      <c r="G14" s="182"/>
      <c r="H14" s="183"/>
      <c r="I14" s="184">
        <f>2080*57.93</f>
        <v>120494.39999999999</v>
      </c>
      <c r="J14" s="184"/>
      <c r="K14" s="184">
        <f t="shared" ref="K14:K34" si="1">SUM(I14:J14)</f>
        <v>120494.39999999999</v>
      </c>
      <c r="L14" s="176"/>
      <c r="M14" s="186">
        <v>60</v>
      </c>
      <c r="N14" s="176"/>
      <c r="O14" s="187">
        <f t="shared" ref="O14:O20" si="2">2080*M14</f>
        <v>124800</v>
      </c>
      <c r="P14" s="187"/>
      <c r="Q14" s="187">
        <f>SUM(O14:P14)</f>
        <v>124800</v>
      </c>
      <c r="R14" s="177"/>
      <c r="S14" s="188">
        <f t="shared" ref="S14:S34" si="3">Q14-K14</f>
        <v>4305.6000000000058</v>
      </c>
      <c r="V14" s="186"/>
    </row>
    <row r="15" spans="1:22">
      <c r="A15" s="1">
        <f t="shared" si="0"/>
        <v>4</v>
      </c>
      <c r="C15" s="307">
        <v>4</v>
      </c>
      <c r="D15" s="185"/>
      <c r="F15" s="182">
        <v>2080</v>
      </c>
      <c r="G15" s="182">
        <v>127</v>
      </c>
      <c r="H15" s="183"/>
      <c r="I15" s="184">
        <f>2080*35.15</f>
        <v>73112</v>
      </c>
      <c r="J15" s="184">
        <f>(G15*35.15)*1.5</f>
        <v>6696.0750000000007</v>
      </c>
      <c r="K15" s="184">
        <f t="shared" si="1"/>
        <v>79808.074999999997</v>
      </c>
      <c r="L15" s="176"/>
      <c r="M15" s="186">
        <v>38.22</v>
      </c>
      <c r="N15" s="176"/>
      <c r="O15" s="187">
        <f t="shared" si="2"/>
        <v>79497.599999999991</v>
      </c>
      <c r="P15" s="187"/>
      <c r="Q15" s="187">
        <f t="shared" ref="Q15:Q34" si="4">SUM(O15:P15)</f>
        <v>79497.599999999991</v>
      </c>
      <c r="R15" s="177"/>
      <c r="S15" s="188">
        <f t="shared" si="3"/>
        <v>-310.47500000000582</v>
      </c>
    </row>
    <row r="16" spans="1:22">
      <c r="A16" s="1">
        <f t="shared" si="0"/>
        <v>5</v>
      </c>
      <c r="C16" s="308">
        <v>5</v>
      </c>
      <c r="D16" s="185"/>
      <c r="F16" s="182">
        <v>2080</v>
      </c>
      <c r="G16" s="182"/>
      <c r="H16" s="183"/>
      <c r="I16" s="184">
        <f>2080*44.23</f>
        <v>91998.399999999994</v>
      </c>
      <c r="J16" s="184"/>
      <c r="K16" s="184">
        <f t="shared" si="1"/>
        <v>91998.399999999994</v>
      </c>
      <c r="L16" s="176"/>
      <c r="M16" s="186">
        <v>45.77</v>
      </c>
      <c r="N16" s="176"/>
      <c r="O16" s="187">
        <f t="shared" si="2"/>
        <v>95201.600000000006</v>
      </c>
      <c r="P16" s="187"/>
      <c r="Q16" s="187">
        <f t="shared" si="4"/>
        <v>95201.600000000006</v>
      </c>
      <c r="R16" s="177"/>
      <c r="S16" s="188">
        <f t="shared" si="3"/>
        <v>3203.2000000000116</v>
      </c>
    </row>
    <row r="17" spans="1:20">
      <c r="A17" s="1">
        <f t="shared" si="0"/>
        <v>6</v>
      </c>
      <c r="C17" s="307">
        <v>6</v>
      </c>
      <c r="D17" s="185"/>
      <c r="F17" s="182">
        <v>2080</v>
      </c>
      <c r="G17" s="182">
        <v>4</v>
      </c>
      <c r="H17" s="183"/>
      <c r="I17" s="184">
        <f>F17*28.12</f>
        <v>58489.599999999999</v>
      </c>
      <c r="J17" s="184">
        <f>(G17*28.12)*1.5</f>
        <v>168.72</v>
      </c>
      <c r="K17" s="184">
        <f t="shared" si="1"/>
        <v>58658.32</v>
      </c>
      <c r="L17" s="176"/>
      <c r="M17" s="186">
        <v>30.24</v>
      </c>
      <c r="N17" s="176"/>
      <c r="O17" s="187">
        <f t="shared" si="2"/>
        <v>62899.199999999997</v>
      </c>
      <c r="P17" s="187"/>
      <c r="Q17" s="187">
        <f t="shared" si="4"/>
        <v>62899.199999999997</v>
      </c>
      <c r="R17" s="177"/>
      <c r="S17" s="188">
        <f t="shared" si="3"/>
        <v>4240.8799999999974</v>
      </c>
    </row>
    <row r="18" spans="1:20">
      <c r="A18" s="1">
        <f t="shared" si="0"/>
        <v>7</v>
      </c>
      <c r="C18" s="307">
        <v>7</v>
      </c>
      <c r="D18" s="185"/>
      <c r="F18" s="182">
        <v>2080</v>
      </c>
      <c r="G18" s="182">
        <f>313+4.5</f>
        <v>317.5</v>
      </c>
      <c r="H18" s="183"/>
      <c r="I18" s="184">
        <f>2080*24.67</f>
        <v>51313.600000000006</v>
      </c>
      <c r="J18" s="184">
        <f>(G18*24.67)*1.5</f>
        <v>11749.087500000001</v>
      </c>
      <c r="K18" s="184">
        <f t="shared" si="1"/>
        <v>63062.687500000007</v>
      </c>
      <c r="L18" s="176"/>
      <c r="M18" s="186">
        <v>25.36</v>
      </c>
      <c r="N18" s="176"/>
      <c r="O18" s="187">
        <f t="shared" si="2"/>
        <v>52748.799999999996</v>
      </c>
      <c r="P18" s="187">
        <f>(G18*M18)*1.5</f>
        <v>12077.7</v>
      </c>
      <c r="Q18" s="187">
        <f t="shared" si="4"/>
        <v>64826.5</v>
      </c>
      <c r="R18" s="177"/>
      <c r="S18" s="188">
        <f t="shared" si="3"/>
        <v>1763.8124999999927</v>
      </c>
    </row>
    <row r="19" spans="1:20">
      <c r="A19" s="1">
        <f t="shared" si="0"/>
        <v>8</v>
      </c>
      <c r="C19" s="307">
        <v>8</v>
      </c>
      <c r="D19" s="185"/>
      <c r="F19" s="182">
        <v>2072</v>
      </c>
      <c r="G19" s="182">
        <v>8</v>
      </c>
      <c r="H19" s="183"/>
      <c r="I19" s="184">
        <f>2072*21.5</f>
        <v>44548</v>
      </c>
      <c r="J19" s="184">
        <f>(G19*21.5)*1.5</f>
        <v>258</v>
      </c>
      <c r="K19" s="184">
        <f t="shared" si="1"/>
        <v>44806</v>
      </c>
      <c r="L19" s="176"/>
      <c r="M19" s="186">
        <v>22.4</v>
      </c>
      <c r="N19" s="176"/>
      <c r="O19" s="187">
        <f t="shared" si="2"/>
        <v>46592</v>
      </c>
      <c r="P19" s="187"/>
      <c r="Q19" s="187">
        <f t="shared" si="4"/>
        <v>46592</v>
      </c>
      <c r="R19" s="177"/>
      <c r="S19" s="188">
        <f t="shared" si="3"/>
        <v>1786</v>
      </c>
    </row>
    <row r="20" spans="1:20">
      <c r="A20" s="1">
        <f t="shared" si="0"/>
        <v>9</v>
      </c>
      <c r="C20" s="308">
        <v>9</v>
      </c>
      <c r="D20" s="185"/>
      <c r="F20" s="182">
        <v>2080</v>
      </c>
      <c r="G20" s="182"/>
      <c r="H20" s="183"/>
      <c r="I20" s="184">
        <f>2080*96.56</f>
        <v>200844.80000000002</v>
      </c>
      <c r="J20" s="184"/>
      <c r="K20" s="184">
        <f t="shared" si="1"/>
        <v>200844.80000000002</v>
      </c>
      <c r="L20" s="176"/>
      <c r="M20" s="186">
        <v>101.32</v>
      </c>
      <c r="N20" s="176"/>
      <c r="O20" s="187">
        <f t="shared" si="2"/>
        <v>210745.59999999998</v>
      </c>
      <c r="P20" s="187"/>
      <c r="Q20" s="187">
        <f t="shared" si="4"/>
        <v>210745.59999999998</v>
      </c>
      <c r="R20" s="177"/>
      <c r="S20" s="188">
        <f t="shared" si="3"/>
        <v>9900.7999999999593</v>
      </c>
    </row>
    <row r="21" spans="1:20">
      <c r="A21" s="1">
        <f t="shared" si="0"/>
        <v>10</v>
      </c>
      <c r="C21" s="307">
        <v>10</v>
      </c>
      <c r="D21" s="185"/>
      <c r="F21" s="182">
        <v>2080</v>
      </c>
      <c r="G21" s="182">
        <v>0.3</v>
      </c>
      <c r="H21" s="183"/>
      <c r="I21" s="184">
        <f>2080*16.5</f>
        <v>34320</v>
      </c>
      <c r="J21" s="184">
        <f>(G21*16.5)*1.5</f>
        <v>7.4250000000000007</v>
      </c>
      <c r="K21" s="184">
        <f t="shared" si="1"/>
        <v>34327.425000000003</v>
      </c>
      <c r="L21" s="176"/>
      <c r="M21" s="186"/>
      <c r="N21" s="176"/>
      <c r="O21" s="187"/>
      <c r="P21" s="187"/>
      <c r="Q21" s="187">
        <f t="shared" si="4"/>
        <v>0</v>
      </c>
      <c r="R21" s="177"/>
      <c r="S21" s="188">
        <f t="shared" si="3"/>
        <v>-34327.425000000003</v>
      </c>
      <c r="T21" s="1" t="s">
        <v>279</v>
      </c>
    </row>
    <row r="22" spans="1:20">
      <c r="A22" s="1">
        <f t="shared" si="0"/>
        <v>11</v>
      </c>
      <c r="C22" s="307">
        <v>11</v>
      </c>
      <c r="D22" s="185"/>
      <c r="F22" s="182">
        <v>2080</v>
      </c>
      <c r="G22" s="182">
        <f>415.25+13.5</f>
        <v>428.75</v>
      </c>
      <c r="H22" s="183"/>
      <c r="I22" s="184">
        <f>2080*23.02</f>
        <v>47881.599999999999</v>
      </c>
      <c r="J22" s="184">
        <f>(G22*23.02)*1.5</f>
        <v>14804.737499999999</v>
      </c>
      <c r="K22" s="184">
        <f t="shared" si="1"/>
        <v>62686.337499999994</v>
      </c>
      <c r="L22" s="176"/>
      <c r="M22" s="186">
        <v>24</v>
      </c>
      <c r="N22" s="176"/>
      <c r="O22" s="187">
        <f t="shared" ref="O22:O28" si="5">2080*M22</f>
        <v>49920</v>
      </c>
      <c r="P22" s="187">
        <f>(G22*M22)*1.5</f>
        <v>15435</v>
      </c>
      <c r="Q22" s="187">
        <f t="shared" si="4"/>
        <v>65355</v>
      </c>
      <c r="R22" s="177"/>
      <c r="S22" s="188">
        <f t="shared" si="3"/>
        <v>2668.6625000000058</v>
      </c>
    </row>
    <row r="23" spans="1:20">
      <c r="A23" s="1">
        <f t="shared" si="0"/>
        <v>12</v>
      </c>
      <c r="C23" s="307">
        <v>12</v>
      </c>
      <c r="D23" s="185">
        <v>130</v>
      </c>
      <c r="F23" s="182">
        <v>1440</v>
      </c>
      <c r="G23" s="182">
        <v>32</v>
      </c>
      <c r="H23" s="183"/>
      <c r="I23" s="184">
        <f>1440*16.21</f>
        <v>23342.400000000001</v>
      </c>
      <c r="J23" s="184">
        <f>(G23*16.21)*1.5</f>
        <v>778.08</v>
      </c>
      <c r="K23" s="184">
        <f t="shared" si="1"/>
        <v>24120.480000000003</v>
      </c>
      <c r="L23" s="176"/>
      <c r="M23" s="186">
        <v>17.670000000000002</v>
      </c>
      <c r="N23" s="176"/>
      <c r="O23" s="187">
        <f t="shared" si="5"/>
        <v>36753.600000000006</v>
      </c>
      <c r="P23" s="187">
        <f>(G23*M23)*1.5</f>
        <v>848.16000000000008</v>
      </c>
      <c r="Q23" s="187">
        <f t="shared" si="4"/>
        <v>37601.760000000009</v>
      </c>
      <c r="R23" s="177"/>
      <c r="S23" s="188">
        <f t="shared" si="3"/>
        <v>13481.280000000006</v>
      </c>
    </row>
    <row r="24" spans="1:20">
      <c r="A24" s="1">
        <f t="shared" si="0"/>
        <v>13</v>
      </c>
      <c r="C24" s="308">
        <v>13</v>
      </c>
      <c r="D24" s="185">
        <v>136</v>
      </c>
      <c r="F24" s="182">
        <v>2080</v>
      </c>
      <c r="G24" s="182">
        <f>339.95+10.25</f>
        <v>350.2</v>
      </c>
      <c r="H24" s="183"/>
      <c r="I24" s="184">
        <f>2080*21.9</f>
        <v>45552</v>
      </c>
      <c r="J24" s="184">
        <f>(G24*21.9)*1.5</f>
        <v>11504.07</v>
      </c>
      <c r="K24" s="184">
        <f t="shared" si="1"/>
        <v>57056.07</v>
      </c>
      <c r="L24" s="176"/>
      <c r="M24" s="186">
        <v>23.02</v>
      </c>
      <c r="N24" s="176"/>
      <c r="O24" s="187">
        <f t="shared" si="5"/>
        <v>47881.599999999999</v>
      </c>
      <c r="P24" s="187">
        <f>(G24*M24)*1.5</f>
        <v>12092.405999999999</v>
      </c>
      <c r="Q24" s="187">
        <f t="shared" si="4"/>
        <v>59974.005999999994</v>
      </c>
      <c r="R24" s="177"/>
      <c r="S24" s="188">
        <f t="shared" si="3"/>
        <v>2917.9359999999942</v>
      </c>
    </row>
    <row r="25" spans="1:20">
      <c r="A25" s="1">
        <f t="shared" si="0"/>
        <v>14</v>
      </c>
      <c r="C25" s="307">
        <v>14</v>
      </c>
      <c r="D25" s="185">
        <v>149</v>
      </c>
      <c r="F25" s="182">
        <v>2080</v>
      </c>
      <c r="G25" s="182"/>
      <c r="H25" s="183"/>
      <c r="I25" s="184">
        <f>2080*24.51</f>
        <v>50980.800000000003</v>
      </c>
      <c r="J25" s="184"/>
      <c r="K25" s="184">
        <f t="shared" si="1"/>
        <v>50980.800000000003</v>
      </c>
      <c r="L25" s="176"/>
      <c r="M25" s="186">
        <v>25.74</v>
      </c>
      <c r="N25" s="176"/>
      <c r="O25" s="187">
        <f t="shared" si="5"/>
        <v>53539.199999999997</v>
      </c>
      <c r="P25" s="187"/>
      <c r="Q25" s="187">
        <f t="shared" si="4"/>
        <v>53539.199999999997</v>
      </c>
      <c r="R25" s="177"/>
      <c r="S25" s="188">
        <f t="shared" si="3"/>
        <v>2558.3999999999942</v>
      </c>
    </row>
    <row r="26" spans="1:20">
      <c r="A26" s="1">
        <f t="shared" si="0"/>
        <v>15</v>
      </c>
      <c r="C26" s="307">
        <v>15</v>
      </c>
      <c r="D26" s="185">
        <v>157</v>
      </c>
      <c r="F26" s="182">
        <v>2080</v>
      </c>
      <c r="G26" s="182">
        <f>359+12</f>
        <v>371</v>
      </c>
      <c r="H26" s="183"/>
      <c r="I26" s="184">
        <f>2080*18.49</f>
        <v>38459.199999999997</v>
      </c>
      <c r="J26" s="184">
        <f>(G26*18.49)*1.5</f>
        <v>10289.684999999998</v>
      </c>
      <c r="K26" s="184">
        <f t="shared" si="1"/>
        <v>48748.884999999995</v>
      </c>
      <c r="L26" s="176"/>
      <c r="M26" s="186">
        <v>19.63</v>
      </c>
      <c r="N26" s="176"/>
      <c r="O26" s="187">
        <f t="shared" si="5"/>
        <v>40830.400000000001</v>
      </c>
      <c r="P26" s="187">
        <f>(G26*M26)*1.5</f>
        <v>10924.094999999999</v>
      </c>
      <c r="Q26" s="187">
        <f t="shared" si="4"/>
        <v>51754.495000000003</v>
      </c>
      <c r="R26" s="177"/>
      <c r="S26" s="188">
        <f t="shared" si="3"/>
        <v>3005.6100000000079</v>
      </c>
    </row>
    <row r="27" spans="1:20">
      <c r="A27" s="1">
        <f t="shared" si="0"/>
        <v>16</v>
      </c>
      <c r="C27" s="307">
        <v>16</v>
      </c>
      <c r="D27" s="185">
        <v>159</v>
      </c>
      <c r="F27" s="182">
        <v>2080</v>
      </c>
      <c r="G27" s="182">
        <f>237+3</f>
        <v>240</v>
      </c>
      <c r="H27" s="183"/>
      <c r="I27" s="184">
        <f>2080*17.35</f>
        <v>36088</v>
      </c>
      <c r="J27" s="184">
        <f>(G27*17.35)*1.5</f>
        <v>6246</v>
      </c>
      <c r="K27" s="184">
        <f t="shared" si="1"/>
        <v>42334</v>
      </c>
      <c r="L27" s="176"/>
      <c r="M27" s="186">
        <v>18.39</v>
      </c>
      <c r="N27" s="176"/>
      <c r="O27" s="187">
        <f t="shared" si="5"/>
        <v>38251.200000000004</v>
      </c>
      <c r="P27" s="187">
        <f>(G27*M27)*1.5</f>
        <v>6620.4000000000005</v>
      </c>
      <c r="Q27" s="187">
        <f t="shared" si="4"/>
        <v>44871.600000000006</v>
      </c>
      <c r="R27" s="177"/>
      <c r="S27" s="188">
        <f t="shared" si="3"/>
        <v>2537.6000000000058</v>
      </c>
    </row>
    <row r="28" spans="1:20">
      <c r="A28" s="1">
        <f t="shared" si="0"/>
        <v>17</v>
      </c>
      <c r="C28" s="308">
        <v>17</v>
      </c>
      <c r="D28" s="185"/>
      <c r="F28" s="182">
        <v>2080</v>
      </c>
      <c r="G28" s="182">
        <f>357.75+4</f>
        <v>361.75</v>
      </c>
      <c r="H28" s="183"/>
      <c r="I28" s="184">
        <f>2080*18.49</f>
        <v>38459.199999999997</v>
      </c>
      <c r="J28" s="184">
        <f>(G28*18.49)*1.5</f>
        <v>10033.13625</v>
      </c>
      <c r="K28" s="184">
        <f t="shared" si="1"/>
        <v>48492.336249999993</v>
      </c>
      <c r="L28" s="176"/>
      <c r="M28" s="186">
        <v>19.63</v>
      </c>
      <c r="N28" s="176"/>
      <c r="O28" s="187">
        <f t="shared" si="5"/>
        <v>40830.400000000001</v>
      </c>
      <c r="P28" s="187">
        <f>(G28*M28)*1.5</f>
        <v>10651.728749999998</v>
      </c>
      <c r="Q28" s="187">
        <f t="shared" si="4"/>
        <v>51482.128750000003</v>
      </c>
      <c r="R28" s="177"/>
      <c r="S28" s="188">
        <f t="shared" si="3"/>
        <v>2989.7925000000105</v>
      </c>
    </row>
    <row r="29" spans="1:20">
      <c r="A29" s="1">
        <f t="shared" si="0"/>
        <v>18</v>
      </c>
      <c r="C29" s="307">
        <v>18</v>
      </c>
      <c r="D29" s="185"/>
      <c r="F29" s="182">
        <v>864</v>
      </c>
      <c r="G29" s="182"/>
      <c r="H29" s="183"/>
      <c r="I29" s="184">
        <f>(40+80+80+80+64)*16.21</f>
        <v>5576.2400000000007</v>
      </c>
      <c r="J29" s="184"/>
      <c r="K29" s="184">
        <f t="shared" si="1"/>
        <v>5576.2400000000007</v>
      </c>
      <c r="L29" s="176"/>
      <c r="M29" s="186"/>
      <c r="N29" s="176"/>
      <c r="O29" s="187"/>
      <c r="P29" s="187"/>
      <c r="Q29" s="187">
        <f t="shared" si="4"/>
        <v>0</v>
      </c>
      <c r="R29" s="177"/>
      <c r="S29" s="188">
        <f t="shared" si="3"/>
        <v>-5576.2400000000007</v>
      </c>
      <c r="T29" s="1" t="s">
        <v>279</v>
      </c>
    </row>
    <row r="30" spans="1:20">
      <c r="A30" s="1">
        <f t="shared" si="0"/>
        <v>19</v>
      </c>
      <c r="C30" s="307">
        <v>19</v>
      </c>
      <c r="D30" s="185"/>
      <c r="F30" s="182">
        <v>2080</v>
      </c>
      <c r="G30" s="182">
        <v>106.75</v>
      </c>
      <c r="H30" s="183"/>
      <c r="I30" s="184">
        <f>2080*17.35</f>
        <v>36088</v>
      </c>
      <c r="J30" s="184">
        <f>(G30*17.35)*1.5</f>
        <v>2778.1687500000003</v>
      </c>
      <c r="K30" s="184">
        <f t="shared" si="1"/>
        <v>38866.168749999997</v>
      </c>
      <c r="L30" s="176"/>
      <c r="M30" s="186">
        <v>18.489999999999998</v>
      </c>
      <c r="N30" s="176"/>
      <c r="O30" s="187">
        <f>2080*M30</f>
        <v>38459.199999999997</v>
      </c>
      <c r="P30" s="187">
        <f>(G30*M30)*1.5</f>
        <v>2960.7112499999998</v>
      </c>
      <c r="Q30" s="187">
        <f t="shared" si="4"/>
        <v>41419.911249999997</v>
      </c>
      <c r="R30" s="177"/>
      <c r="S30" s="188">
        <f t="shared" si="3"/>
        <v>2553.7425000000003</v>
      </c>
    </row>
    <row r="31" spans="1:20">
      <c r="A31" s="1">
        <f t="shared" si="0"/>
        <v>20</v>
      </c>
      <c r="C31" s="307">
        <v>20</v>
      </c>
      <c r="D31" s="185"/>
      <c r="F31" s="182">
        <v>1960</v>
      </c>
      <c r="G31" s="182">
        <v>74</v>
      </c>
      <c r="H31" s="183"/>
      <c r="I31" s="184">
        <f>1960*16.21</f>
        <v>31771.600000000002</v>
      </c>
      <c r="J31" s="184">
        <f>(G31*16.21)*1.5</f>
        <v>1799.31</v>
      </c>
      <c r="K31" s="184">
        <f t="shared" si="1"/>
        <v>33570.910000000003</v>
      </c>
      <c r="L31" s="176"/>
      <c r="M31" s="186">
        <v>17.350000000000001</v>
      </c>
      <c r="N31" s="176"/>
      <c r="O31" s="187">
        <f>2080*M31</f>
        <v>36088</v>
      </c>
      <c r="P31" s="187">
        <f>(G31*M31)*1.5</f>
        <v>1925.8500000000001</v>
      </c>
      <c r="Q31" s="187">
        <f t="shared" si="4"/>
        <v>38013.85</v>
      </c>
      <c r="R31" s="177"/>
      <c r="S31" s="188">
        <f t="shared" si="3"/>
        <v>4442.9399999999951</v>
      </c>
    </row>
    <row r="32" spans="1:20">
      <c r="A32" s="1">
        <f t="shared" si="0"/>
        <v>21</v>
      </c>
      <c r="C32" s="308">
        <v>21</v>
      </c>
      <c r="D32" s="185">
        <v>163</v>
      </c>
      <c r="F32" s="182">
        <v>1600</v>
      </c>
      <c r="G32" s="182">
        <v>18.5</v>
      </c>
      <c r="H32" s="183"/>
      <c r="I32" s="184">
        <f>1600*18.44</f>
        <v>29504.000000000004</v>
      </c>
      <c r="J32" s="184">
        <f>(G32*18.44)*1.5</f>
        <v>511.71000000000004</v>
      </c>
      <c r="K32" s="184">
        <f t="shared" si="1"/>
        <v>30015.710000000003</v>
      </c>
      <c r="L32" s="176"/>
      <c r="M32" s="186">
        <v>19.36</v>
      </c>
      <c r="N32" s="176"/>
      <c r="O32" s="187">
        <f>2080*M32</f>
        <v>40268.799999999996</v>
      </c>
      <c r="P32" s="187">
        <f>(G32*M32)*1.5</f>
        <v>537.24</v>
      </c>
      <c r="Q32" s="187">
        <f t="shared" si="4"/>
        <v>40806.039999999994</v>
      </c>
      <c r="R32" s="177"/>
      <c r="S32" s="188">
        <f t="shared" si="3"/>
        <v>10790.329999999991</v>
      </c>
    </row>
    <row r="33" spans="1:20">
      <c r="A33" s="1">
        <f t="shared" si="0"/>
        <v>22</v>
      </c>
      <c r="C33" s="307">
        <v>22</v>
      </c>
      <c r="D33" s="185">
        <v>171</v>
      </c>
      <c r="F33" s="182">
        <v>120</v>
      </c>
      <c r="G33" s="182">
        <v>1.5</v>
      </c>
      <c r="H33" s="183"/>
      <c r="I33" s="184">
        <f>120*16.21</f>
        <v>1945.2</v>
      </c>
      <c r="J33" s="184">
        <f>(G33*16.21)*1.5</f>
        <v>36.472500000000004</v>
      </c>
      <c r="K33" s="184">
        <f t="shared" si="1"/>
        <v>1981.6725000000001</v>
      </c>
      <c r="L33" s="176"/>
      <c r="M33" s="186">
        <v>16.21</v>
      </c>
      <c r="N33" s="176"/>
      <c r="O33" s="187">
        <f>2080*M33</f>
        <v>33716.800000000003</v>
      </c>
      <c r="P33" s="187">
        <f>(G33*M33)*1.5</f>
        <v>36.472500000000004</v>
      </c>
      <c r="Q33" s="187">
        <f t="shared" si="4"/>
        <v>33753.272500000006</v>
      </c>
      <c r="R33" s="177"/>
      <c r="S33" s="188">
        <f t="shared" si="3"/>
        <v>31771.600000000006</v>
      </c>
    </row>
    <row r="34" spans="1:20">
      <c r="A34" s="1">
        <f t="shared" si="0"/>
        <v>23</v>
      </c>
      <c r="C34" s="307">
        <v>23</v>
      </c>
      <c r="D34" s="185"/>
      <c r="F34" s="182"/>
      <c r="G34" s="182"/>
      <c r="H34" s="183"/>
      <c r="I34" s="184"/>
      <c r="J34" s="184"/>
      <c r="K34" s="184">
        <f t="shared" si="1"/>
        <v>0</v>
      </c>
      <c r="L34" s="176"/>
      <c r="M34" s="186">
        <v>16.21</v>
      </c>
      <c r="N34" s="176"/>
      <c r="O34" s="187">
        <f>1800*16.21</f>
        <v>29178</v>
      </c>
      <c r="P34" s="187"/>
      <c r="Q34" s="187">
        <f t="shared" si="4"/>
        <v>29178</v>
      </c>
      <c r="R34" s="177"/>
      <c r="S34" s="188">
        <f t="shared" si="3"/>
        <v>29178</v>
      </c>
      <c r="T34" s="1" t="s">
        <v>133</v>
      </c>
    </row>
    <row r="35" spans="1:20">
      <c r="A35" s="1">
        <f t="shared" si="0"/>
        <v>24</v>
      </c>
      <c r="D35" s="185"/>
      <c r="F35" s="182"/>
      <c r="G35" s="182"/>
      <c r="H35" s="183"/>
      <c r="I35" s="184"/>
      <c r="J35" s="184"/>
      <c r="K35" s="184"/>
      <c r="L35" s="176"/>
      <c r="M35" s="186"/>
      <c r="N35" s="176"/>
      <c r="O35" s="187"/>
      <c r="P35" s="187"/>
      <c r="Q35" s="187"/>
      <c r="R35" s="177"/>
      <c r="S35" s="188"/>
    </row>
    <row r="36" spans="1:20">
      <c r="A36" s="1">
        <f t="shared" si="0"/>
        <v>25</v>
      </c>
      <c r="C36" s="189"/>
      <c r="D36" s="190"/>
      <c r="F36" s="191"/>
      <c r="G36" s="191"/>
      <c r="H36" s="183"/>
      <c r="I36" s="192"/>
      <c r="J36" s="192"/>
      <c r="K36" s="192"/>
      <c r="L36" s="176"/>
      <c r="M36" s="190"/>
      <c r="N36" s="176"/>
      <c r="O36" s="193"/>
      <c r="P36" s="193"/>
      <c r="Q36" s="193"/>
      <c r="R36" s="177"/>
      <c r="S36" s="194">
        <f>SUM(S12:S35)</f>
        <v>-4277.582000000024</v>
      </c>
    </row>
    <row r="37" spans="1:20">
      <c r="C37" s="207" t="s">
        <v>320</v>
      </c>
      <c r="F37" s="182"/>
      <c r="G37" s="182"/>
      <c r="H37" s="183"/>
      <c r="I37" s="184"/>
      <c r="J37" s="184"/>
      <c r="K37" s="184"/>
      <c r="L37" s="176"/>
      <c r="M37" s="186"/>
      <c r="N37" s="176"/>
      <c r="O37" s="186"/>
      <c r="P37" s="186"/>
      <c r="Q37" s="186"/>
      <c r="R37" s="186"/>
    </row>
    <row r="38" spans="1:20">
      <c r="C38" s="1" t="s">
        <v>132</v>
      </c>
      <c r="F38" s="3" t="s">
        <v>321</v>
      </c>
    </row>
    <row r="39" spans="1:20">
      <c r="C39" s="1" t="s">
        <v>133</v>
      </c>
      <c r="F39" s="3" t="s">
        <v>322</v>
      </c>
    </row>
    <row r="40" spans="1:20">
      <c r="C40" s="1" t="s">
        <v>279</v>
      </c>
      <c r="F40" s="3" t="s">
        <v>323</v>
      </c>
      <c r="J40" s="3" t="s">
        <v>325</v>
      </c>
    </row>
  </sheetData>
  <mergeCells count="11">
    <mergeCell ref="T8:T9"/>
    <mergeCell ref="A3:T3"/>
    <mergeCell ref="A4:T4"/>
    <mergeCell ref="A6:T6"/>
    <mergeCell ref="C8:C9"/>
    <mergeCell ref="A8:A9"/>
    <mergeCell ref="F8:G8"/>
    <mergeCell ref="I8:K8"/>
    <mergeCell ref="M8:M9"/>
    <mergeCell ref="O8:Q8"/>
    <mergeCell ref="S8:S9"/>
  </mergeCells>
  <pageMargins left="0.7" right="0.7" top="0.75" bottom="0.75" header="0.3" footer="0.3"/>
  <pageSetup scale="90" orientation="landscape" r:id="rId1"/>
  <headerFooter>
    <oddFooter>&amp;R&amp;"Times New Roman,Regular"Exhibit JW-2
Page &amp;P of &amp;N</oddFooter>
  </headerFooter>
  <ignoredErrors>
    <ignoredError sqref="I27:J3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37"/>
  <sheetViews>
    <sheetView topLeftCell="A4" workbookViewId="0">
      <selection activeCell="I62" sqref="I62"/>
    </sheetView>
  </sheetViews>
  <sheetFormatPr defaultRowHeight="12.75"/>
  <cols>
    <col min="1" max="1" width="3.5703125" style="10" customWidth="1"/>
    <col min="2" max="2" width="9.140625" style="9"/>
    <col min="3" max="3" width="37.42578125" style="10" bestFit="1" customWidth="1"/>
    <col min="4" max="5" width="13.5703125" style="10" bestFit="1" customWidth="1"/>
    <col min="6" max="6" width="11.85546875" style="10" customWidth="1"/>
    <col min="7" max="7" width="12.42578125" style="10" customWidth="1"/>
    <col min="8" max="8" width="9.140625" style="10"/>
    <col min="9" max="9" width="11.7109375" style="10" bestFit="1" customWidth="1"/>
    <col min="10" max="16384" width="9.140625" style="10"/>
  </cols>
  <sheetData>
    <row r="1" spans="1:7">
      <c r="A1" s="309" t="str">
        <f>RevReq!A1</f>
        <v>MEADE COUNTY R.E.C.C.</v>
      </c>
      <c r="B1" s="309"/>
      <c r="C1" s="309"/>
      <c r="D1" s="309"/>
      <c r="E1" s="309"/>
      <c r="F1" s="309"/>
      <c r="G1" s="309"/>
    </row>
    <row r="2" spans="1:7">
      <c r="A2" s="309" t="s">
        <v>158</v>
      </c>
      <c r="B2" s="309"/>
      <c r="C2" s="309"/>
      <c r="D2" s="309"/>
      <c r="E2" s="309"/>
      <c r="F2" s="309"/>
      <c r="G2" s="309"/>
    </row>
    <row r="4" spans="1:7" ht="47.25" customHeight="1">
      <c r="B4" s="42" t="s">
        <v>163</v>
      </c>
      <c r="C4" s="28" t="s">
        <v>41</v>
      </c>
      <c r="D4" s="63" t="s">
        <v>23</v>
      </c>
      <c r="E4" s="63" t="s">
        <v>24</v>
      </c>
      <c r="F4" s="63" t="s">
        <v>160</v>
      </c>
      <c r="G4" s="63" t="s">
        <v>161</v>
      </c>
    </row>
    <row r="5" spans="1:7">
      <c r="B5" s="43" t="s">
        <v>21</v>
      </c>
      <c r="C5" s="44">
        <v>1</v>
      </c>
      <c r="D5" s="44">
        <f>C5+1</f>
        <v>2</v>
      </c>
      <c r="E5" s="44">
        <f>D5+1</f>
        <v>3</v>
      </c>
      <c r="F5" s="44">
        <f>E5+1</f>
        <v>4</v>
      </c>
      <c r="G5" s="44">
        <f>F5+1</f>
        <v>5</v>
      </c>
    </row>
    <row r="6" spans="1:7">
      <c r="B6" s="10"/>
      <c r="C6" s="64"/>
      <c r="D6" s="64"/>
      <c r="E6" s="64"/>
      <c r="F6" s="64"/>
      <c r="G6" s="64"/>
    </row>
    <row r="7" spans="1:7">
      <c r="B7" s="9">
        <v>1.01</v>
      </c>
      <c r="C7" s="10" t="s">
        <v>159</v>
      </c>
      <c r="D7" s="20">
        <f>'1.01 FAC'!F31</f>
        <v>-355821.73</v>
      </c>
      <c r="E7" s="20">
        <f>'1.01 FAC'!H31</f>
        <v>-432113.22</v>
      </c>
      <c r="F7" s="20">
        <v>0</v>
      </c>
      <c r="G7" s="20">
        <f>D7-E7+F7</f>
        <v>76291.489999999991</v>
      </c>
    </row>
    <row r="8" spans="1:7">
      <c r="B8" s="9">
        <v>1.02</v>
      </c>
      <c r="C8" s="10" t="s">
        <v>120</v>
      </c>
      <c r="D8" s="20">
        <f>'1.02 ES'!F31</f>
        <v>-3278224.35</v>
      </c>
      <c r="E8" s="20">
        <f>'1.02 ES'!H31</f>
        <v>-3166370.45</v>
      </c>
      <c r="F8" s="20">
        <v>0</v>
      </c>
      <c r="G8" s="20">
        <f t="shared" ref="G8:G19" si="0">D8-E8+F8</f>
        <v>-111853.89999999991</v>
      </c>
    </row>
    <row r="9" spans="1:7">
      <c r="B9" s="9">
        <v>1.03</v>
      </c>
      <c r="C9" s="10" t="s">
        <v>260</v>
      </c>
      <c r="D9" s="20">
        <f>'1.03 MRSM'!F31</f>
        <v>2366889.7599999998</v>
      </c>
      <c r="E9" s="20">
        <f>'1.03 MRSM'!H31</f>
        <v>2478645.34</v>
      </c>
      <c r="F9" s="20">
        <v>0</v>
      </c>
      <c r="G9" s="20">
        <f t="shared" si="0"/>
        <v>-111755.58000000007</v>
      </c>
    </row>
    <row r="10" spans="1:7">
      <c r="B10" s="9">
        <v>1.04</v>
      </c>
      <c r="C10" s="10" t="s">
        <v>261</v>
      </c>
      <c r="D10" s="20">
        <f>'1.04 NFPPA'!F31</f>
        <v>-844580.33</v>
      </c>
      <c r="E10" s="20">
        <f>'1.04 NFPPA'!H31</f>
        <v>-879903.76</v>
      </c>
      <c r="F10" s="20">
        <v>0</v>
      </c>
      <c r="G10" s="20">
        <f t="shared" si="0"/>
        <v>35323.430000000051</v>
      </c>
    </row>
    <row r="11" spans="1:7">
      <c r="B11" s="9">
        <v>1.05</v>
      </c>
      <c r="C11" s="10" t="s">
        <v>31</v>
      </c>
      <c r="D11" s="20">
        <v>0</v>
      </c>
      <c r="E11" s="20">
        <f>'1.05 RC'!E23</f>
        <v>16666.669999999998</v>
      </c>
      <c r="F11" s="22">
        <v>0</v>
      </c>
      <c r="G11" s="20">
        <f t="shared" si="0"/>
        <v>-16666.669999999998</v>
      </c>
    </row>
    <row r="12" spans="1:7">
      <c r="B12" s="9">
        <v>1.06</v>
      </c>
      <c r="C12" s="10" t="s">
        <v>234</v>
      </c>
      <c r="D12" s="20">
        <f>'1.06 CUST'!F48</f>
        <v>73624.039999999994</v>
      </c>
      <c r="E12" s="20">
        <f>'1.06 CUST'!G48</f>
        <v>49509.73</v>
      </c>
      <c r="F12" s="20">
        <v>0</v>
      </c>
      <c r="G12" s="20">
        <f t="shared" si="0"/>
        <v>24114.30999999999</v>
      </c>
    </row>
    <row r="13" spans="1:7">
      <c r="B13" s="9">
        <v>1.07</v>
      </c>
      <c r="C13" s="3" t="s">
        <v>230</v>
      </c>
      <c r="D13" s="20">
        <v>0</v>
      </c>
      <c r="E13" s="20">
        <f>'1.07 Depr'!I92</f>
        <v>-186543.25999999978</v>
      </c>
      <c r="F13" s="20">
        <v>0</v>
      </c>
      <c r="G13" s="20">
        <f t="shared" si="0"/>
        <v>186543.25999999978</v>
      </c>
    </row>
    <row r="14" spans="1:7">
      <c r="B14" s="9">
        <v>1.08</v>
      </c>
      <c r="C14" s="3" t="s">
        <v>231</v>
      </c>
      <c r="D14" s="20">
        <v>0</v>
      </c>
      <c r="E14" s="20">
        <f>'1.08 DonaAdsDues'!N24</f>
        <v>-299451.70999999996</v>
      </c>
      <c r="F14" s="20">
        <v>0</v>
      </c>
      <c r="G14" s="20">
        <f t="shared" si="0"/>
        <v>299451.70999999996</v>
      </c>
    </row>
    <row r="15" spans="1:7">
      <c r="B15" s="9">
        <v>1.0900000000000001</v>
      </c>
      <c r="C15" s="3" t="s">
        <v>233</v>
      </c>
      <c r="D15" s="20">
        <v>0</v>
      </c>
      <c r="E15" s="20">
        <f>'1.09 Dir'!K24</f>
        <v>-26628.649999999994</v>
      </c>
      <c r="F15" s="20">
        <v>0</v>
      </c>
      <c r="G15" s="20">
        <f t="shared" si="0"/>
        <v>26628.649999999994</v>
      </c>
    </row>
    <row r="16" spans="1:7">
      <c r="B16" s="26">
        <v>1.1000000000000001</v>
      </c>
      <c r="C16" s="36" t="s">
        <v>227</v>
      </c>
      <c r="D16" s="20">
        <v>0</v>
      </c>
      <c r="E16" s="20">
        <f>'1.10 Life Ins'!G90</f>
        <v>-12285.388353744007</v>
      </c>
      <c r="F16" s="20">
        <v>0</v>
      </c>
      <c r="G16" s="20">
        <f t="shared" si="0"/>
        <v>12285.388353744007</v>
      </c>
    </row>
    <row r="17" spans="2:10">
      <c r="B17" s="9">
        <v>1.1100000000000001</v>
      </c>
      <c r="C17" s="3" t="s">
        <v>344</v>
      </c>
      <c r="D17" s="20">
        <v>0</v>
      </c>
      <c r="E17" s="20">
        <f>'1.11 401K'!N36</f>
        <v>-45352.499999999993</v>
      </c>
      <c r="F17" s="20">
        <v>0</v>
      </c>
      <c r="G17" s="20">
        <f t="shared" si="0"/>
        <v>45352.499999999993</v>
      </c>
    </row>
    <row r="18" spans="2:10" s="62" customFormat="1">
      <c r="B18" s="9">
        <v>1.1200000000000001</v>
      </c>
      <c r="C18" s="10" t="s">
        <v>345</v>
      </c>
      <c r="D18" s="20">
        <v>0</v>
      </c>
      <c r="E18" s="20">
        <f>'1.12 Health'!G69</f>
        <v>34921.304999999971</v>
      </c>
      <c r="F18" s="20">
        <v>0</v>
      </c>
      <c r="G18" s="20">
        <f t="shared" si="0"/>
        <v>-34921.304999999971</v>
      </c>
      <c r="I18" s="10"/>
      <c r="J18" s="10"/>
    </row>
    <row r="19" spans="2:10">
      <c r="B19" s="9">
        <v>1.1299999999999999</v>
      </c>
      <c r="C19" s="10" t="s">
        <v>265</v>
      </c>
      <c r="D19" s="20">
        <v>0</v>
      </c>
      <c r="E19" s="20">
        <f>'1.13 Labor'!S36</f>
        <v>-4277.582000000024</v>
      </c>
      <c r="F19" s="20">
        <v>0</v>
      </c>
      <c r="G19" s="20">
        <f t="shared" si="0"/>
        <v>4277.582000000024</v>
      </c>
    </row>
    <row r="20" spans="2:10" hidden="1"/>
    <row r="21" spans="2:10" hidden="1"/>
    <row r="22" spans="2:10" hidden="1"/>
    <row r="23" spans="2:10" hidden="1"/>
    <row r="24" spans="2:10" hidden="1"/>
    <row r="25" spans="2:10" hidden="1"/>
    <row r="26" spans="2:10" hidden="1">
      <c r="C26" s="3"/>
      <c r="D26" s="20"/>
      <c r="E26" s="22"/>
      <c r="F26" s="20"/>
      <c r="G26" s="20"/>
    </row>
    <row r="27" spans="2:10" ht="18.75" customHeight="1" thickBot="1">
      <c r="B27" s="91"/>
      <c r="C27" s="92" t="s">
        <v>44</v>
      </c>
      <c r="D27" s="93">
        <f>SUM(D7:D26)</f>
        <v>-2038112.6100000003</v>
      </c>
      <c r="E27" s="93">
        <f t="shared" ref="E27:G27" si="1">SUM(E7:E26)</f>
        <v>-2473183.4753537439</v>
      </c>
      <c r="F27" s="93">
        <f t="shared" si="1"/>
        <v>0</v>
      </c>
      <c r="G27" s="93">
        <f t="shared" si="1"/>
        <v>435070.86535374389</v>
      </c>
    </row>
    <row r="28" spans="2:10" ht="13.5" thickTop="1">
      <c r="D28" s="29"/>
      <c r="E28" s="29"/>
      <c r="F28" s="29"/>
      <c r="G28" s="20"/>
    </row>
    <row r="29" spans="2:10">
      <c r="D29" s="20"/>
      <c r="F29" s="20"/>
      <c r="G29" s="20"/>
    </row>
    <row r="30" spans="2:10">
      <c r="D30" s="25"/>
      <c r="E30" s="25"/>
      <c r="F30" s="25"/>
      <c r="G30" s="25"/>
    </row>
    <row r="31" spans="2:10">
      <c r="E31" s="20">
        <f>E27-D27</f>
        <v>-435070.86535374355</v>
      </c>
    </row>
    <row r="32" spans="2:10">
      <c r="B32" s="9" t="s">
        <v>241</v>
      </c>
    </row>
    <row r="33" spans="3:7">
      <c r="C33" s="10" t="s">
        <v>242</v>
      </c>
      <c r="D33" s="20">
        <f>RevReq!D10</f>
        <v>-2038112.6100000003</v>
      </c>
      <c r="E33" s="20">
        <f>RevReq!D28</f>
        <v>-2473183.4753537439</v>
      </c>
      <c r="F33" s="20">
        <f>RevReq!D32+RevReq!D33+RevReq!D34+RevReq!D35+RevReq!D36</f>
        <v>0</v>
      </c>
      <c r="G33" s="20">
        <f>RevReq!D38</f>
        <v>435070.86535374355</v>
      </c>
    </row>
    <row r="34" spans="3:7" ht="14.25">
      <c r="C34" s="10" t="s">
        <v>157</v>
      </c>
      <c r="D34" s="89">
        <f>D33-D27</f>
        <v>0</v>
      </c>
      <c r="E34" s="89">
        <f t="shared" ref="E34:F34" si="2">E33-E27</f>
        <v>0</v>
      </c>
      <c r="F34" s="89">
        <f t="shared" si="2"/>
        <v>0</v>
      </c>
      <c r="G34" s="89">
        <f>G33-G27</f>
        <v>0</v>
      </c>
    </row>
    <row r="36" spans="3:7">
      <c r="C36" s="10" t="s">
        <v>243</v>
      </c>
      <c r="D36" s="141">
        <f>'Adj IS'!U12</f>
        <v>-2038112.6100000003</v>
      </c>
      <c r="E36" s="141">
        <f>'Adj IS'!U31</f>
        <v>-2473183.4753537439</v>
      </c>
      <c r="F36" s="141">
        <f>'Adj IS'!U40</f>
        <v>0</v>
      </c>
      <c r="G36" s="141">
        <f>'Adj IS'!U42</f>
        <v>435070.86535374389</v>
      </c>
    </row>
    <row r="37" spans="3:7" ht="14.25">
      <c r="C37" s="10" t="s">
        <v>157</v>
      </c>
      <c r="D37" s="89">
        <f>D36-D27</f>
        <v>0</v>
      </c>
      <c r="E37" s="89">
        <f>E36-E27</f>
        <v>0</v>
      </c>
      <c r="F37" s="89">
        <f>F36-F27</f>
        <v>0</v>
      </c>
      <c r="G37" s="89">
        <f>G36-G27</f>
        <v>0</v>
      </c>
    </row>
  </sheetData>
  <mergeCells count="2">
    <mergeCell ref="A1:G1"/>
    <mergeCell ref="A2:G2"/>
  </mergeCells>
  <conditionalFormatting sqref="D34:G34">
    <cfRule type="cellIs" dxfId="15" priority="5" operator="notEqual">
      <formula>0</formula>
    </cfRule>
    <cfRule type="cellIs" dxfId="14" priority="6" operator="equal">
      <formula>0</formula>
    </cfRule>
  </conditionalFormatting>
  <conditionalFormatting sqref="D37:G37">
    <cfRule type="cellIs" dxfId="13" priority="1" operator="notEqual">
      <formula>0</formula>
    </cfRule>
    <cfRule type="cellIs" dxfId="12" priority="2" operator="equal">
      <formula>0</formula>
    </cfRule>
  </conditionalFormatting>
  <printOptions horizontalCentered="1"/>
  <pageMargins left="1" right="0.75" top="0.75" bottom="0.5" header="0.5" footer="0.5"/>
  <pageSetup orientation="landscape" r:id="rId1"/>
  <headerFooter alignWithMargins="0">
    <oddFooter>&amp;RExhibit JW-2
Page &amp;P of &amp;N</oddFooter>
  </headerFooter>
  <ignoredErrors>
    <ignoredError sqref="F27:G27 F34:G3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74"/>
  <sheetViews>
    <sheetView topLeftCell="A16" zoomScaleNormal="100" workbookViewId="0">
      <selection activeCell="I62" sqref="I62"/>
    </sheetView>
  </sheetViews>
  <sheetFormatPr defaultRowHeight="15"/>
  <cols>
    <col min="1" max="1" width="9.140625" style="70"/>
    <col min="2" max="2" width="1.5703125" style="70" customWidth="1"/>
    <col min="3" max="3" width="40.28515625" style="66" bestFit="1" customWidth="1"/>
    <col min="4" max="4" width="13.5703125" style="115" bestFit="1" customWidth="1"/>
    <col min="5" max="5" width="15.5703125" style="108" customWidth="1"/>
    <col min="6" max="6" width="17.5703125" style="66" bestFit="1" customWidth="1"/>
    <col min="7" max="7" width="4.5703125" style="66" customWidth="1"/>
    <col min="8" max="8" width="13.42578125" style="66" bestFit="1" customWidth="1"/>
    <col min="9" max="9" width="5.85546875" style="66" customWidth="1"/>
    <col min="10" max="16384" width="9.140625" style="66"/>
  </cols>
  <sheetData>
    <row r="1" spans="1:7">
      <c r="A1" s="310" t="str">
        <f>RevReq!A1</f>
        <v>MEADE COUNTY R.E.C.C.</v>
      </c>
      <c r="B1" s="310"/>
      <c r="C1" s="310"/>
      <c r="D1" s="310"/>
      <c r="E1" s="310"/>
      <c r="F1" s="310"/>
      <c r="G1" s="101"/>
    </row>
    <row r="2" spans="1:7">
      <c r="A2" s="310" t="s">
        <v>165</v>
      </c>
      <c r="B2" s="310"/>
      <c r="C2" s="310"/>
      <c r="D2" s="310"/>
      <c r="E2" s="310"/>
      <c r="F2" s="310"/>
      <c r="G2" s="101"/>
    </row>
    <row r="3" spans="1:7">
      <c r="A3" s="101"/>
      <c r="B3" s="101"/>
      <c r="C3" s="101"/>
      <c r="D3" s="111"/>
      <c r="E3" s="105"/>
      <c r="F3" s="101"/>
      <c r="G3" s="101"/>
    </row>
    <row r="4" spans="1:7">
      <c r="A4" s="58"/>
      <c r="B4" s="58"/>
      <c r="C4" s="23"/>
      <c r="D4" s="127"/>
      <c r="E4" s="65"/>
      <c r="F4" s="65"/>
      <c r="G4" s="68"/>
    </row>
    <row r="5" spans="1:7" s="97" customFormat="1">
      <c r="A5" s="65" t="s">
        <v>0</v>
      </c>
      <c r="B5" s="65"/>
      <c r="C5" s="65" t="s">
        <v>1</v>
      </c>
      <c r="D5" s="127" t="s">
        <v>109</v>
      </c>
      <c r="E5" s="106" t="s">
        <v>210</v>
      </c>
      <c r="F5" s="65" t="s">
        <v>110</v>
      </c>
      <c r="G5" s="68"/>
    </row>
    <row r="6" spans="1:7" s="100" customFormat="1">
      <c r="A6" s="98" t="s">
        <v>21</v>
      </c>
      <c r="B6" s="98"/>
      <c r="C6" s="99">
        <v>1</v>
      </c>
      <c r="D6" s="99">
        <f>C6+1</f>
        <v>2</v>
      </c>
      <c r="E6" s="99">
        <f>D6+1</f>
        <v>3</v>
      </c>
      <c r="F6" s="99" t="s">
        <v>25</v>
      </c>
    </row>
    <row r="7" spans="1:7">
      <c r="A7" s="58">
        <v>1</v>
      </c>
      <c r="B7" s="104" t="s">
        <v>166</v>
      </c>
      <c r="C7" s="23"/>
      <c r="D7" s="36"/>
      <c r="E7" s="22"/>
      <c r="F7" s="23"/>
    </row>
    <row r="8" spans="1:7">
      <c r="A8" s="58">
        <f>A7+1</f>
        <v>2</v>
      </c>
      <c r="B8" s="58"/>
      <c r="C8" s="23" t="s">
        <v>167</v>
      </c>
      <c r="D8" s="102">
        <v>128016015</v>
      </c>
      <c r="E8" s="102">
        <v>0</v>
      </c>
      <c r="F8" s="102">
        <f>D8+E8</f>
        <v>128016015</v>
      </c>
    </row>
    <row r="9" spans="1:7">
      <c r="A9" s="58">
        <f t="shared" ref="A9:A68" si="0">A8+1</f>
        <v>3</v>
      </c>
      <c r="B9" s="58"/>
      <c r="C9" s="23" t="s">
        <v>168</v>
      </c>
      <c r="D9" s="102">
        <v>2449678</v>
      </c>
      <c r="E9" s="102">
        <v>0</v>
      </c>
      <c r="F9" s="102">
        <f>D9+E9</f>
        <v>2449678</v>
      </c>
    </row>
    <row r="10" spans="1:7">
      <c r="A10" s="58">
        <f t="shared" si="0"/>
        <v>4</v>
      </c>
      <c r="B10" s="58"/>
      <c r="C10" s="23" t="s">
        <v>267</v>
      </c>
      <c r="D10" s="102">
        <f>D8+D9</f>
        <v>130465693</v>
      </c>
      <c r="E10" s="102">
        <v>0</v>
      </c>
      <c r="F10" s="102">
        <f>D10+E10</f>
        <v>130465693</v>
      </c>
    </row>
    <row r="11" spans="1:7">
      <c r="A11" s="58">
        <f t="shared" si="0"/>
        <v>5</v>
      </c>
      <c r="B11" s="58"/>
      <c r="C11" s="23" t="s">
        <v>169</v>
      </c>
      <c r="D11" s="102">
        <v>45409083</v>
      </c>
      <c r="E11" s="102">
        <v>0</v>
      </c>
      <c r="F11" s="102">
        <f>D11+E11</f>
        <v>45409083</v>
      </c>
    </row>
    <row r="12" spans="1:7">
      <c r="A12" s="58">
        <f t="shared" si="0"/>
        <v>6</v>
      </c>
      <c r="B12" s="58"/>
      <c r="C12" s="61" t="s">
        <v>170</v>
      </c>
      <c r="D12" s="107">
        <f>SUM(D10:D10)-D11</f>
        <v>85056610</v>
      </c>
      <c r="E12" s="107">
        <f t="shared" ref="E12:F12" si="1">SUM(E10:E10)-E11</f>
        <v>0</v>
      </c>
      <c r="F12" s="107">
        <f t="shared" si="1"/>
        <v>85056610</v>
      </c>
    </row>
    <row r="13" spans="1:7">
      <c r="A13" s="58">
        <f t="shared" si="0"/>
        <v>7</v>
      </c>
      <c r="B13" s="58"/>
      <c r="C13" s="23"/>
      <c r="D13" s="102"/>
      <c r="E13" s="102"/>
      <c r="F13" s="102"/>
    </row>
    <row r="14" spans="1:7">
      <c r="A14" s="58">
        <f t="shared" si="0"/>
        <v>8</v>
      </c>
      <c r="B14" s="58"/>
      <c r="C14" s="23" t="s">
        <v>251</v>
      </c>
      <c r="D14" s="102">
        <v>0</v>
      </c>
      <c r="E14" s="102">
        <v>0</v>
      </c>
      <c r="F14" s="102">
        <f t="shared" ref="F14:F20" si="2">D14+E14</f>
        <v>0</v>
      </c>
    </row>
    <row r="15" spans="1:7">
      <c r="A15" s="58">
        <f t="shared" si="0"/>
        <v>9</v>
      </c>
      <c r="B15" s="58"/>
      <c r="C15" s="23" t="s">
        <v>171</v>
      </c>
      <c r="D15" s="102">
        <v>1402593</v>
      </c>
      <c r="E15" s="102">
        <v>0</v>
      </c>
      <c r="F15" s="102">
        <f t="shared" si="2"/>
        <v>1402593</v>
      </c>
    </row>
    <row r="16" spans="1:7">
      <c r="A16" s="58">
        <f t="shared" si="0"/>
        <v>10</v>
      </c>
      <c r="B16" s="58"/>
      <c r="C16" s="23" t="s">
        <v>172</v>
      </c>
      <c r="D16" s="102">
        <v>0</v>
      </c>
      <c r="E16" s="102">
        <v>0</v>
      </c>
      <c r="F16" s="102">
        <f t="shared" si="2"/>
        <v>0</v>
      </c>
    </row>
    <row r="17" spans="1:6">
      <c r="A17" s="58">
        <f t="shared" si="0"/>
        <v>11</v>
      </c>
      <c r="B17" s="58"/>
      <c r="C17" s="23" t="s">
        <v>173</v>
      </c>
      <c r="D17" s="102">
        <v>868625</v>
      </c>
      <c r="E17" s="102">
        <v>0</v>
      </c>
      <c r="F17" s="102">
        <f t="shared" si="2"/>
        <v>868625</v>
      </c>
    </row>
    <row r="18" spans="1:6">
      <c r="A18" s="58">
        <f t="shared" si="0"/>
        <v>12</v>
      </c>
      <c r="B18" s="58"/>
      <c r="C18" s="23" t="s">
        <v>252</v>
      </c>
      <c r="D18" s="102">
        <v>0</v>
      </c>
      <c r="E18" s="102">
        <v>0</v>
      </c>
      <c r="F18" s="102">
        <f t="shared" si="2"/>
        <v>0</v>
      </c>
    </row>
    <row r="19" spans="1:6">
      <c r="A19" s="58">
        <f t="shared" si="0"/>
        <v>13</v>
      </c>
      <c r="B19" s="58"/>
      <c r="C19" s="23" t="s">
        <v>174</v>
      </c>
      <c r="D19" s="102">
        <v>0</v>
      </c>
      <c r="E19" s="102">
        <v>0</v>
      </c>
      <c r="F19" s="102">
        <f t="shared" si="2"/>
        <v>0</v>
      </c>
    </row>
    <row r="20" spans="1:6">
      <c r="A20" s="58">
        <f t="shared" si="0"/>
        <v>14</v>
      </c>
      <c r="B20" s="58"/>
      <c r="C20" s="23" t="s">
        <v>253</v>
      </c>
      <c r="D20" s="102">
        <v>0</v>
      </c>
      <c r="E20" s="102">
        <v>0</v>
      </c>
      <c r="F20" s="102">
        <f t="shared" si="2"/>
        <v>0</v>
      </c>
    </row>
    <row r="21" spans="1:6">
      <c r="A21" s="58">
        <f t="shared" si="0"/>
        <v>15</v>
      </c>
      <c r="B21" s="58"/>
      <c r="C21" s="61" t="s">
        <v>175</v>
      </c>
      <c r="D21" s="107">
        <f>SUM(D14:D20)</f>
        <v>2271218</v>
      </c>
      <c r="E21" s="107">
        <f t="shared" ref="E21:F21" si="3">SUM(E14:E20)</f>
        <v>0</v>
      </c>
      <c r="F21" s="107">
        <f t="shared" si="3"/>
        <v>2271218</v>
      </c>
    </row>
    <row r="22" spans="1:6">
      <c r="A22" s="58">
        <f t="shared" si="0"/>
        <v>16</v>
      </c>
      <c r="B22" s="58"/>
      <c r="C22" s="23"/>
      <c r="D22" s="102"/>
      <c r="E22" s="102"/>
      <c r="F22" s="102"/>
    </row>
    <row r="23" spans="1:6">
      <c r="A23" s="58">
        <f t="shared" si="0"/>
        <v>17</v>
      </c>
      <c r="B23" s="58"/>
      <c r="C23" s="23" t="s">
        <v>176</v>
      </c>
      <c r="D23" s="102">
        <v>3273483</v>
      </c>
      <c r="E23" s="102">
        <v>0</v>
      </c>
      <c r="F23" s="102">
        <f t="shared" ref="F23:F32" si="4">D23+E23</f>
        <v>3273483</v>
      </c>
    </row>
    <row r="24" spans="1:6">
      <c r="A24" s="58">
        <f t="shared" si="0"/>
        <v>18</v>
      </c>
      <c r="B24" s="58"/>
      <c r="C24" s="23" t="s">
        <v>177</v>
      </c>
      <c r="D24" s="102">
        <v>0</v>
      </c>
      <c r="E24" s="102">
        <v>0</v>
      </c>
      <c r="F24" s="102">
        <f t="shared" si="4"/>
        <v>0</v>
      </c>
    </row>
    <row r="25" spans="1:6">
      <c r="A25" s="58">
        <f t="shared" si="0"/>
        <v>19</v>
      </c>
      <c r="B25" s="58"/>
      <c r="C25" s="23" t="s">
        <v>178</v>
      </c>
      <c r="D25" s="102">
        <v>0</v>
      </c>
      <c r="E25" s="102">
        <v>0</v>
      </c>
      <c r="F25" s="102">
        <f t="shared" si="4"/>
        <v>0</v>
      </c>
    </row>
    <row r="26" spans="1:6">
      <c r="A26" s="58">
        <f t="shared" si="0"/>
        <v>20</v>
      </c>
      <c r="B26" s="58"/>
      <c r="C26" s="23" t="s">
        <v>179</v>
      </c>
      <c r="D26" s="102">
        <v>18915904</v>
      </c>
      <c r="E26" s="102">
        <v>0</v>
      </c>
      <c r="F26" s="102">
        <f t="shared" si="4"/>
        <v>18915904</v>
      </c>
    </row>
    <row r="27" spans="1:6">
      <c r="A27" s="58">
        <f t="shared" si="0"/>
        <v>21</v>
      </c>
      <c r="B27" s="58"/>
      <c r="C27" s="23" t="s">
        <v>181</v>
      </c>
      <c r="D27" s="102">
        <v>5496234</v>
      </c>
      <c r="E27" s="102">
        <v>0</v>
      </c>
      <c r="F27" s="102">
        <f t="shared" si="4"/>
        <v>5496234</v>
      </c>
    </row>
    <row r="28" spans="1:6">
      <c r="A28" s="58">
        <f t="shared" si="0"/>
        <v>22</v>
      </c>
      <c r="B28" s="58"/>
      <c r="C28" s="23" t="s">
        <v>180</v>
      </c>
      <c r="D28" s="102">
        <v>130299</v>
      </c>
      <c r="E28" s="102">
        <v>0</v>
      </c>
      <c r="F28" s="102">
        <f t="shared" si="4"/>
        <v>130299</v>
      </c>
    </row>
    <row r="29" spans="1:6">
      <c r="A29" s="58">
        <f t="shared" si="0"/>
        <v>23</v>
      </c>
      <c r="B29" s="58"/>
      <c r="C29" s="23" t="s">
        <v>182</v>
      </c>
      <c r="D29" s="264">
        <v>0</v>
      </c>
      <c r="E29" s="102">
        <v>0</v>
      </c>
      <c r="F29" s="102">
        <f t="shared" si="4"/>
        <v>0</v>
      </c>
    </row>
    <row r="30" spans="1:6">
      <c r="A30" s="58">
        <f t="shared" si="0"/>
        <v>24</v>
      </c>
      <c r="B30" s="58"/>
      <c r="C30" s="23" t="s">
        <v>183</v>
      </c>
      <c r="D30" s="102">
        <v>766064</v>
      </c>
      <c r="E30" s="102">
        <v>0</v>
      </c>
      <c r="F30" s="102">
        <f t="shared" si="4"/>
        <v>766064</v>
      </c>
    </row>
    <row r="31" spans="1:6">
      <c r="A31" s="58">
        <f t="shared" si="0"/>
        <v>25</v>
      </c>
      <c r="B31" s="58"/>
      <c r="C31" s="23" t="s">
        <v>184</v>
      </c>
      <c r="D31" s="102">
        <v>237557</v>
      </c>
      <c r="E31" s="102">
        <v>0</v>
      </c>
      <c r="F31" s="102">
        <f t="shared" si="4"/>
        <v>237557</v>
      </c>
    </row>
    <row r="32" spans="1:6">
      <c r="A32" s="58">
        <f t="shared" si="0"/>
        <v>26</v>
      </c>
      <c r="B32" s="58"/>
      <c r="C32" s="23" t="s">
        <v>185</v>
      </c>
      <c r="D32" s="102">
        <v>643365</v>
      </c>
      <c r="E32" s="102">
        <v>0</v>
      </c>
      <c r="F32" s="102">
        <f t="shared" si="4"/>
        <v>643365</v>
      </c>
    </row>
    <row r="33" spans="1:6">
      <c r="A33" s="58">
        <f t="shared" si="0"/>
        <v>27</v>
      </c>
      <c r="B33" s="58"/>
      <c r="C33" s="61" t="s">
        <v>186</v>
      </c>
      <c r="D33" s="107">
        <f>SUM(D23:D32)</f>
        <v>29462906</v>
      </c>
      <c r="E33" s="107">
        <f>SUM(E23:E32)</f>
        <v>0</v>
      </c>
      <c r="F33" s="107">
        <f>SUM(F23:F32)</f>
        <v>29462906</v>
      </c>
    </row>
    <row r="34" spans="1:6">
      <c r="A34" s="58">
        <f t="shared" si="0"/>
        <v>28</v>
      </c>
      <c r="B34" s="58"/>
      <c r="C34" s="23"/>
      <c r="D34" s="102"/>
      <c r="E34" s="102"/>
      <c r="F34" s="102"/>
    </row>
    <row r="35" spans="1:6">
      <c r="A35" s="58">
        <f t="shared" si="0"/>
        <v>29</v>
      </c>
      <c r="B35" s="58"/>
      <c r="C35" s="23" t="s">
        <v>187</v>
      </c>
      <c r="D35" s="102">
        <v>0</v>
      </c>
      <c r="E35" s="102">
        <v>0</v>
      </c>
      <c r="F35" s="102">
        <f>D35+E35</f>
        <v>0</v>
      </c>
    </row>
    <row r="36" spans="1:6">
      <c r="A36" s="58">
        <f t="shared" si="0"/>
        <v>30</v>
      </c>
      <c r="B36" s="58"/>
      <c r="C36" s="23" t="s">
        <v>188</v>
      </c>
      <c r="D36" s="102">
        <v>642023</v>
      </c>
      <c r="E36" s="102">
        <v>0</v>
      </c>
      <c r="F36" s="102">
        <f>D36+E36</f>
        <v>642023</v>
      </c>
    </row>
    <row r="37" spans="1:6">
      <c r="A37" s="58">
        <f t="shared" si="0"/>
        <v>31</v>
      </c>
      <c r="B37" s="58"/>
      <c r="C37" s="23"/>
      <c r="D37" s="33"/>
      <c r="E37" s="102"/>
      <c r="F37" s="102"/>
    </row>
    <row r="38" spans="1:6" ht="15.75" thickBot="1">
      <c r="A38" s="58">
        <f t="shared" si="0"/>
        <v>32</v>
      </c>
      <c r="B38" s="58"/>
      <c r="C38" s="69" t="s">
        <v>189</v>
      </c>
      <c r="D38" s="110">
        <f>D36+D35+D33+D21+D12</f>
        <v>117432757</v>
      </c>
      <c r="E38" s="110">
        <f>E36+E35+E33+E21+E12</f>
        <v>0</v>
      </c>
      <c r="F38" s="110">
        <f>F36+F35+F33+F21+F12</f>
        <v>117432757</v>
      </c>
    </row>
    <row r="39" spans="1:6" ht="15.75" thickTop="1">
      <c r="A39" s="58">
        <f t="shared" si="0"/>
        <v>33</v>
      </c>
      <c r="B39" s="58"/>
      <c r="C39" s="96"/>
      <c r="D39" s="109"/>
      <c r="E39" s="102"/>
      <c r="F39" s="102"/>
    </row>
    <row r="40" spans="1:6">
      <c r="A40" s="58">
        <f t="shared" si="0"/>
        <v>34</v>
      </c>
      <c r="B40" s="103" t="s">
        <v>190</v>
      </c>
      <c r="C40" s="23"/>
      <c r="D40" s="102"/>
      <c r="E40" s="102"/>
      <c r="F40" s="102"/>
    </row>
    <row r="41" spans="1:6">
      <c r="A41" s="58">
        <f t="shared" si="0"/>
        <v>35</v>
      </c>
      <c r="B41" s="58"/>
      <c r="C41" s="23" t="s">
        <v>191</v>
      </c>
      <c r="D41" s="102">
        <v>66785</v>
      </c>
      <c r="E41" s="22">
        <v>0</v>
      </c>
      <c r="F41" s="102">
        <f>D41+E41</f>
        <v>66785</v>
      </c>
    </row>
    <row r="42" spans="1:6">
      <c r="A42" s="58">
        <f t="shared" si="0"/>
        <v>36</v>
      </c>
      <c r="B42" s="58"/>
      <c r="C42" s="23" t="s">
        <v>192</v>
      </c>
      <c r="D42" s="102">
        <v>26342010.870000001</v>
      </c>
      <c r="E42" s="102">
        <v>0</v>
      </c>
      <c r="F42" s="102">
        <f>D42+E42</f>
        <v>26342010.870000001</v>
      </c>
    </row>
    <row r="43" spans="1:6">
      <c r="A43" s="58"/>
      <c r="B43" s="58"/>
      <c r="C43" s="23" t="s">
        <v>361</v>
      </c>
      <c r="D43" s="102">
        <v>77784.13</v>
      </c>
      <c r="E43" s="102"/>
      <c r="F43" s="102"/>
    </row>
    <row r="44" spans="1:6">
      <c r="A44" s="58">
        <f>A42+1</f>
        <v>37</v>
      </c>
      <c r="B44" s="58"/>
      <c r="C44" s="23" t="s">
        <v>193</v>
      </c>
      <c r="D44" s="102">
        <v>8885.59</v>
      </c>
      <c r="E44" s="102">
        <v>0</v>
      </c>
      <c r="F44" s="102">
        <f>D44+E44</f>
        <v>8885.59</v>
      </c>
    </row>
    <row r="45" spans="1:6">
      <c r="A45" s="58">
        <f t="shared" si="0"/>
        <v>38</v>
      </c>
      <c r="B45" s="58"/>
      <c r="C45" s="23" t="s">
        <v>194</v>
      </c>
      <c r="D45" s="102">
        <v>7607046.4800000004</v>
      </c>
      <c r="E45" s="102">
        <v>0</v>
      </c>
      <c r="F45" s="102">
        <f>D45+E45</f>
        <v>7607046.4800000004</v>
      </c>
    </row>
    <row r="46" spans="1:6">
      <c r="A46" s="58">
        <f t="shared" si="0"/>
        <v>39</v>
      </c>
      <c r="B46" s="58"/>
      <c r="C46" s="23" t="s">
        <v>195</v>
      </c>
      <c r="D46" s="102">
        <v>1739078.43</v>
      </c>
      <c r="E46" s="102">
        <v>0</v>
      </c>
      <c r="F46" s="102">
        <f>D46+E46</f>
        <v>1739078.43</v>
      </c>
    </row>
    <row r="47" spans="1:6">
      <c r="A47" s="58">
        <f t="shared" si="0"/>
        <v>40</v>
      </c>
      <c r="B47" s="58"/>
      <c r="C47" s="61" t="s">
        <v>196</v>
      </c>
      <c r="D47" s="107">
        <f>SUM(D41:D46)</f>
        <v>35841590.5</v>
      </c>
      <c r="E47" s="107">
        <f>SUM(E41:E46)</f>
        <v>0</v>
      </c>
      <c r="F47" s="107">
        <f>SUM(F41:F46)</f>
        <v>35763806.369999997</v>
      </c>
    </row>
    <row r="48" spans="1:6">
      <c r="A48" s="58">
        <f t="shared" si="0"/>
        <v>41</v>
      </c>
      <c r="B48" s="58"/>
      <c r="C48" s="23"/>
      <c r="D48" s="102"/>
      <c r="E48" s="102"/>
      <c r="F48" s="102"/>
    </row>
    <row r="49" spans="1:6">
      <c r="A49" s="58">
        <f t="shared" si="0"/>
        <v>42</v>
      </c>
      <c r="B49" s="58"/>
      <c r="C49" s="23" t="s">
        <v>362</v>
      </c>
      <c r="D49" s="109">
        <v>26487208.899999999</v>
      </c>
      <c r="E49" s="102">
        <v>0</v>
      </c>
      <c r="F49" s="102">
        <f>D49+E49</f>
        <v>26487208.899999999</v>
      </c>
    </row>
    <row r="50" spans="1:6">
      <c r="A50" s="58">
        <f t="shared" si="0"/>
        <v>43</v>
      </c>
      <c r="B50" s="58"/>
      <c r="C50" s="23" t="s">
        <v>197</v>
      </c>
      <c r="D50" s="109">
        <v>0</v>
      </c>
      <c r="E50" s="102">
        <v>0</v>
      </c>
      <c r="F50" s="102">
        <f>D50+E50</f>
        <v>0</v>
      </c>
    </row>
    <row r="51" spans="1:6">
      <c r="A51" s="58">
        <f t="shared" si="0"/>
        <v>44</v>
      </c>
      <c r="B51" s="58"/>
      <c r="C51" s="23" t="s">
        <v>363</v>
      </c>
      <c r="D51" s="109">
        <v>43772774.399999999</v>
      </c>
      <c r="E51" s="102">
        <v>0</v>
      </c>
      <c r="F51" s="102">
        <f>D51+E51</f>
        <v>43772774.399999999</v>
      </c>
    </row>
    <row r="52" spans="1:6">
      <c r="A52" s="58">
        <f t="shared" si="0"/>
        <v>45</v>
      </c>
      <c r="B52" s="58"/>
      <c r="C52" s="23" t="s">
        <v>198</v>
      </c>
      <c r="D52" s="109">
        <v>2263203.4</v>
      </c>
      <c r="E52" s="102">
        <v>0</v>
      </c>
      <c r="F52" s="102">
        <f>D52+E52</f>
        <v>2263203.4</v>
      </c>
    </row>
    <row r="53" spans="1:6">
      <c r="A53" s="58">
        <f t="shared" si="0"/>
        <v>46</v>
      </c>
      <c r="B53" s="58"/>
      <c r="C53" s="23" t="s">
        <v>199</v>
      </c>
      <c r="D53" s="109">
        <v>0</v>
      </c>
      <c r="E53" s="102">
        <v>0</v>
      </c>
      <c r="F53" s="102">
        <f>D53+E53</f>
        <v>0</v>
      </c>
    </row>
    <row r="54" spans="1:6">
      <c r="A54" s="58">
        <f t="shared" si="0"/>
        <v>47</v>
      </c>
      <c r="B54" s="58"/>
      <c r="C54" s="61" t="s">
        <v>200</v>
      </c>
      <c r="D54" s="107">
        <f>SUM(D49:D53)</f>
        <v>72523186.700000003</v>
      </c>
      <c r="E54" s="107">
        <f>SUM(E49:E53)</f>
        <v>0</v>
      </c>
      <c r="F54" s="107">
        <f>SUM(F49:F53)</f>
        <v>72523186.700000003</v>
      </c>
    </row>
    <row r="55" spans="1:6">
      <c r="A55" s="58">
        <f t="shared" si="0"/>
        <v>48</v>
      </c>
      <c r="B55" s="58"/>
      <c r="C55" s="23"/>
      <c r="D55" s="102"/>
      <c r="E55" s="102"/>
      <c r="F55" s="102"/>
    </row>
    <row r="56" spans="1:6">
      <c r="A56" s="58">
        <f t="shared" si="0"/>
        <v>49</v>
      </c>
      <c r="B56" s="58"/>
      <c r="C56" s="96" t="s">
        <v>201</v>
      </c>
      <c r="D56" s="102">
        <v>1241726.45</v>
      </c>
      <c r="E56" s="102">
        <v>0</v>
      </c>
      <c r="F56" s="102">
        <f>D56+E56</f>
        <v>1241726.45</v>
      </c>
    </row>
    <row r="57" spans="1:6">
      <c r="A57" s="58">
        <f t="shared" si="0"/>
        <v>50</v>
      </c>
      <c r="B57" s="58"/>
      <c r="C57" s="23"/>
      <c r="D57" s="102"/>
      <c r="E57" s="102"/>
      <c r="F57" s="102"/>
    </row>
    <row r="58" spans="1:6">
      <c r="A58" s="58">
        <f t="shared" si="0"/>
        <v>51</v>
      </c>
      <c r="B58" s="58"/>
      <c r="C58" s="96" t="s">
        <v>202</v>
      </c>
      <c r="D58" s="102">
        <v>0</v>
      </c>
      <c r="E58" s="102">
        <v>0</v>
      </c>
      <c r="F58" s="102">
        <f t="shared" ref="F58:F63" si="5">D58+E58</f>
        <v>0</v>
      </c>
    </row>
    <row r="59" spans="1:6">
      <c r="A59" s="58">
        <f t="shared" si="0"/>
        <v>52</v>
      </c>
      <c r="B59" s="58"/>
      <c r="C59" s="96" t="s">
        <v>203</v>
      </c>
      <c r="D59" s="102">
        <v>4487093.12</v>
      </c>
      <c r="E59" s="102">
        <v>0</v>
      </c>
      <c r="F59" s="102">
        <f t="shared" si="5"/>
        <v>4487093.12</v>
      </c>
    </row>
    <row r="60" spans="1:6">
      <c r="A60" s="58">
        <f t="shared" si="0"/>
        <v>53</v>
      </c>
      <c r="B60" s="58"/>
      <c r="C60" s="96" t="s">
        <v>204</v>
      </c>
      <c r="D60" s="102">
        <v>1454411.08</v>
      </c>
      <c r="E60" s="102">
        <v>0</v>
      </c>
      <c r="F60" s="102">
        <f t="shared" si="5"/>
        <v>1454411.08</v>
      </c>
    </row>
    <row r="61" spans="1:6">
      <c r="A61" s="58">
        <f t="shared" si="0"/>
        <v>54</v>
      </c>
      <c r="B61" s="58"/>
      <c r="C61" s="96" t="s">
        <v>254</v>
      </c>
      <c r="D61" s="102">
        <v>0</v>
      </c>
      <c r="E61" s="102">
        <v>0</v>
      </c>
      <c r="F61" s="102">
        <f t="shared" si="5"/>
        <v>0</v>
      </c>
    </row>
    <row r="62" spans="1:6">
      <c r="A62" s="58">
        <f t="shared" si="0"/>
        <v>55</v>
      </c>
      <c r="B62" s="58"/>
      <c r="C62" s="96" t="s">
        <v>255</v>
      </c>
      <c r="D62" s="102">
        <v>0</v>
      </c>
      <c r="E62" s="102">
        <v>0</v>
      </c>
      <c r="F62" s="102">
        <f t="shared" si="5"/>
        <v>0</v>
      </c>
    </row>
    <row r="63" spans="1:6">
      <c r="A63" s="58">
        <f t="shared" si="0"/>
        <v>56</v>
      </c>
      <c r="B63" s="58"/>
      <c r="C63" s="96" t="s">
        <v>205</v>
      </c>
      <c r="D63" s="102">
        <v>1314151.9099999999</v>
      </c>
      <c r="E63" s="102">
        <v>0</v>
      </c>
      <c r="F63" s="102">
        <f t="shared" si="5"/>
        <v>1314151.9099999999</v>
      </c>
    </row>
    <row r="64" spans="1:6">
      <c r="A64" s="58">
        <f t="shared" si="0"/>
        <v>57</v>
      </c>
      <c r="B64" s="58"/>
      <c r="C64" s="61" t="s">
        <v>206</v>
      </c>
      <c r="D64" s="107">
        <f>SUM(D58:D63)</f>
        <v>7255656.1100000003</v>
      </c>
      <c r="E64" s="107">
        <f>SUM(E58:E63)</f>
        <v>0</v>
      </c>
      <c r="F64" s="107">
        <f>SUM(F58:F63)</f>
        <v>7255656.1100000003</v>
      </c>
    </row>
    <row r="65" spans="1:6">
      <c r="A65" s="58">
        <f t="shared" si="0"/>
        <v>58</v>
      </c>
      <c r="B65" s="58"/>
      <c r="C65" s="23"/>
      <c r="D65" s="102"/>
      <c r="E65" s="102"/>
      <c r="F65" s="102"/>
    </row>
    <row r="66" spans="1:6">
      <c r="A66" s="58">
        <f t="shared" si="0"/>
        <v>59</v>
      </c>
      <c r="B66" s="58"/>
      <c r="C66" s="96" t="s">
        <v>207</v>
      </c>
      <c r="D66" s="102">
        <v>0</v>
      </c>
      <c r="E66" s="102">
        <v>0</v>
      </c>
      <c r="F66" s="102">
        <f>D66+E66</f>
        <v>0</v>
      </c>
    </row>
    <row r="67" spans="1:6">
      <c r="A67" s="58">
        <f t="shared" si="0"/>
        <v>60</v>
      </c>
      <c r="B67" s="58"/>
      <c r="C67" s="96" t="s">
        <v>208</v>
      </c>
      <c r="D67" s="102">
        <v>570597.21</v>
      </c>
      <c r="E67" s="102">
        <v>0</v>
      </c>
      <c r="F67" s="102">
        <f>D67+E67</f>
        <v>570597.21</v>
      </c>
    </row>
    <row r="68" spans="1:6" ht="15.75" thickBot="1">
      <c r="A68" s="58">
        <f t="shared" si="0"/>
        <v>61</v>
      </c>
      <c r="B68" s="58"/>
      <c r="C68" s="69" t="s">
        <v>209</v>
      </c>
      <c r="D68" s="110">
        <f>D67+D66+D64+D56+D54+D47</f>
        <v>117432756.97</v>
      </c>
      <c r="E68" s="110">
        <f>E67+E66+E64+E56+E54+E47</f>
        <v>0</v>
      </c>
      <c r="F68" s="110">
        <f>F67+F66+F64+F56+F54+F47</f>
        <v>117354972.84</v>
      </c>
    </row>
    <row r="69" spans="1:6" ht="15.75" thickTop="1">
      <c r="A69" s="58"/>
      <c r="B69" s="58"/>
      <c r="C69" s="23"/>
      <c r="D69" s="102"/>
      <c r="E69" s="102"/>
      <c r="F69" s="102"/>
    </row>
    <row r="70" spans="1:6">
      <c r="A70" s="58"/>
      <c r="B70" s="58"/>
      <c r="C70" s="96"/>
      <c r="D70" s="33"/>
      <c r="E70" s="102"/>
      <c r="F70" s="102"/>
    </row>
    <row r="71" spans="1:6">
      <c r="A71" s="58"/>
      <c r="B71" s="58"/>
      <c r="C71" s="96"/>
      <c r="D71" s="33"/>
      <c r="E71" s="102"/>
      <c r="F71" s="102"/>
    </row>
    <row r="72" spans="1:6">
      <c r="A72" s="58"/>
      <c r="B72" s="58"/>
      <c r="C72" s="96"/>
      <c r="D72" s="33"/>
      <c r="E72" s="102"/>
      <c r="F72" s="102"/>
    </row>
    <row r="73" spans="1:6">
      <c r="A73" s="58"/>
      <c r="B73" s="58"/>
      <c r="C73" s="96"/>
      <c r="D73" s="33"/>
      <c r="E73" s="102"/>
      <c r="F73" s="102"/>
    </row>
    <row r="74" spans="1:6">
      <c r="C74" s="96"/>
      <c r="D74" s="33"/>
      <c r="E74" s="102"/>
      <c r="F74" s="102"/>
    </row>
  </sheetData>
  <mergeCells count="2">
    <mergeCell ref="A1:F1"/>
    <mergeCell ref="A2:F2"/>
  </mergeCells>
  <printOptions horizontalCentered="1"/>
  <pageMargins left="1" right="0.75" top="0.75" bottom="0.75" header="0.3" footer="0.3"/>
  <pageSetup scale="69" orientation="portrait" r:id="rId1"/>
  <headerFooter>
    <oddFooter>&amp;R&amp;"Times New Roman,Regular"Exhibit  JW-2
Page &amp;P of &amp;N</oddFooter>
  </headerFooter>
  <ignoredErrors>
    <ignoredError sqref="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AH151"/>
  <sheetViews>
    <sheetView defaultGridColor="0" topLeftCell="A37" colorId="22" zoomScale="87" workbookViewId="0">
      <selection activeCell="I62" sqref="I62"/>
    </sheetView>
  </sheetViews>
  <sheetFormatPr defaultColWidth="12.5703125" defaultRowHeight="14.25"/>
  <cols>
    <col min="1" max="1" width="6.140625" style="76" customWidth="1"/>
    <col min="2" max="2" width="33.140625" style="74" customWidth="1"/>
    <col min="3" max="3" width="12.28515625" style="74" customWidth="1"/>
    <col min="4" max="4" width="15.5703125" style="74" customWidth="1"/>
    <col min="5" max="5" width="13" style="74" bestFit="1" customWidth="1"/>
    <col min="6" max="6" width="14.28515625" style="74" customWidth="1"/>
    <col min="7" max="7" width="11.85546875" style="74" bestFit="1" customWidth="1"/>
    <col min="8" max="8" width="13.85546875" style="74" customWidth="1"/>
    <col min="9" max="9" width="14.28515625" style="74" customWidth="1"/>
    <col min="10" max="10" width="12.85546875" style="74" bestFit="1" customWidth="1"/>
    <col min="11" max="11" width="9.7109375" style="74" bestFit="1" customWidth="1"/>
    <col min="12" max="12" width="10.7109375" style="74" customWidth="1"/>
    <col min="13" max="13" width="14" style="74" customWidth="1"/>
    <col min="14" max="15" width="11.85546875" style="74" customWidth="1"/>
    <col min="16" max="16" width="13.28515625" style="74" hidden="1" customWidth="1"/>
    <col min="17" max="17" width="12" style="74" hidden="1" customWidth="1"/>
    <col min="18" max="18" width="14.42578125" style="74" hidden="1" customWidth="1"/>
    <col min="19" max="19" width="11.42578125" style="74" hidden="1" customWidth="1"/>
    <col min="20" max="20" width="11.28515625" style="74" hidden="1" customWidth="1"/>
    <col min="21" max="21" width="11.85546875" style="74" bestFit="1" customWidth="1"/>
    <col min="22" max="22" width="3.5703125" style="74" customWidth="1"/>
    <col min="23" max="23" width="15.5703125" style="74" bestFit="1" customWidth="1"/>
    <col min="24" max="24" width="12.7109375" style="74" bestFit="1" customWidth="1"/>
    <col min="25" max="16384" width="12.5703125" style="74"/>
  </cols>
  <sheetData>
    <row r="1" spans="1:34" ht="15">
      <c r="A1" s="75"/>
      <c r="B1" s="90" t="str">
        <f>RevReq!A1</f>
        <v>MEADE COUNTY R.E.C.C.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ht="15">
      <c r="A2" s="75"/>
      <c r="B2" s="90" t="s">
        <v>164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76" customForma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4">
      <c r="A4" s="75"/>
      <c r="B4" s="72" t="s">
        <v>246</v>
      </c>
      <c r="C4" s="75">
        <f>'Adj List'!B7</f>
        <v>1.01</v>
      </c>
      <c r="D4" s="75">
        <f>'Adj List'!B8</f>
        <v>1.02</v>
      </c>
      <c r="E4" s="75">
        <f>'Adj List'!B9</f>
        <v>1.03</v>
      </c>
      <c r="F4" s="75">
        <f>'Adj List'!B10</f>
        <v>1.04</v>
      </c>
      <c r="G4" s="75">
        <f>'Adj List'!B11</f>
        <v>1.05</v>
      </c>
      <c r="H4" s="75">
        <f>'Adj List'!B12</f>
        <v>1.06</v>
      </c>
      <c r="I4" s="75">
        <f>'Adj List'!B13</f>
        <v>1.07</v>
      </c>
      <c r="J4" s="75">
        <f>'Adj List'!B14</f>
        <v>1.08</v>
      </c>
      <c r="K4" s="75">
        <f>'Adj List'!B15</f>
        <v>1.0900000000000001</v>
      </c>
      <c r="L4" s="77">
        <f>'Adj List'!B16</f>
        <v>1.1000000000000001</v>
      </c>
      <c r="M4" s="75">
        <f>'Adj List'!B17</f>
        <v>1.1100000000000001</v>
      </c>
      <c r="N4" s="75">
        <f>'Adj List'!B18</f>
        <v>1.1200000000000001</v>
      </c>
      <c r="O4" s="75">
        <f>'Adj List'!B19</f>
        <v>1.1299999999999999</v>
      </c>
      <c r="P4" s="75"/>
      <c r="Q4" s="75"/>
      <c r="R4" s="75"/>
      <c r="S4" s="75"/>
      <c r="T4" s="75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</row>
    <row r="5" spans="1:34" ht="9" customHeight="1">
      <c r="A5" s="75"/>
      <c r="B5" s="73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8"/>
      <c r="R5" s="78"/>
      <c r="S5" s="75"/>
      <c r="T5" s="75"/>
      <c r="U5" s="75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</row>
    <row r="6" spans="1:34" s="80" customFormat="1" ht="59.25" customHeight="1">
      <c r="A6" s="79"/>
      <c r="B6" s="140" t="s">
        <v>247</v>
      </c>
      <c r="C6" s="79" t="str">
        <f>'Adj List'!C7</f>
        <v>Fuel Adjustment Clause</v>
      </c>
      <c r="D6" s="79" t="str">
        <f>'Adj List'!C8</f>
        <v>Environmental Surcharge</v>
      </c>
      <c r="E6" s="79" t="str">
        <f>'Adj List'!C9</f>
        <v>Member Rate Stability Mechanism</v>
      </c>
      <c r="F6" s="79" t="str">
        <f>'Adj List'!C10</f>
        <v>Non-Smelter Non-FAC PPA</v>
      </c>
      <c r="G6" s="79" t="str">
        <f>'Adj List'!C11</f>
        <v>Rate Case Expenses</v>
      </c>
      <c r="H6" s="79" t="str">
        <f>'Adj List'!C12</f>
        <v>Year-End Customer Normalization</v>
      </c>
      <c r="I6" s="79" t="str">
        <f>'Adj List'!C13</f>
        <v>Depreciation Expense Normalization</v>
      </c>
      <c r="J6" s="79" t="str">
        <f>'Adj List'!C14</f>
        <v>Advertising &amp; Donations</v>
      </c>
      <c r="K6" s="79" t="str">
        <f>'Adj List'!C15</f>
        <v>Directors Expense</v>
      </c>
      <c r="L6" s="79" t="str">
        <f>'Adj List'!C16</f>
        <v>Life Insurance Premiums</v>
      </c>
      <c r="M6" s="79" t="str">
        <f>'Adj List'!C17</f>
        <v>Retirement Plan Contributions</v>
      </c>
      <c r="N6" s="79" t="str">
        <f>'Adj List'!C18</f>
        <v>Health, Dental &amp; Vision Insurance Premiums</v>
      </c>
      <c r="O6" s="79" t="str">
        <f>'Adj List'!C19</f>
        <v>Wages &amp; Salaries</v>
      </c>
      <c r="P6" s="79"/>
      <c r="Q6" s="79"/>
      <c r="R6" s="79"/>
      <c r="S6" s="79"/>
      <c r="T6" s="79"/>
      <c r="U6" s="79" t="s">
        <v>14</v>
      </c>
      <c r="V6" s="79"/>
      <c r="W6" s="79" t="s">
        <v>244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</row>
    <row r="7" spans="1:34">
      <c r="A7" s="75">
        <v>1</v>
      </c>
      <c r="B7" s="73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73"/>
      <c r="W7" s="73"/>
      <c r="X7" s="73"/>
      <c r="Y7" s="57"/>
      <c r="Z7" s="57"/>
      <c r="AA7" s="57"/>
      <c r="AB7" s="57"/>
      <c r="AC7" s="57"/>
      <c r="AD7" s="57"/>
      <c r="AE7" s="57"/>
      <c r="AF7" s="57"/>
      <c r="AG7" s="57"/>
      <c r="AH7" s="73"/>
    </row>
    <row r="8" spans="1:34">
      <c r="A8" s="75">
        <f t="shared" ref="A8:A42" si="0">(A7+1)</f>
        <v>2</v>
      </c>
      <c r="B8" s="81" t="s">
        <v>93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73"/>
      <c r="W8" s="73"/>
      <c r="X8" s="73"/>
      <c r="Y8" s="57"/>
      <c r="Z8" s="57"/>
      <c r="AA8" s="57"/>
      <c r="AB8" s="57"/>
      <c r="AC8" s="57"/>
      <c r="AD8" s="57"/>
      <c r="AE8" s="57"/>
      <c r="AF8" s="57"/>
      <c r="AG8" s="57"/>
      <c r="AH8" s="73"/>
    </row>
    <row r="9" spans="1:34">
      <c r="A9" s="75">
        <f t="shared" si="0"/>
        <v>3</v>
      </c>
      <c r="B9" s="73" t="s">
        <v>101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>
        <f>SUM(C9:T9)</f>
        <v>0</v>
      </c>
      <c r="V9" s="73"/>
      <c r="W9" s="73"/>
      <c r="X9" s="73"/>
      <c r="Y9" s="57"/>
      <c r="Z9" s="57"/>
      <c r="AA9" s="57"/>
      <c r="AB9" s="57"/>
      <c r="AC9" s="57"/>
      <c r="AD9" s="57"/>
      <c r="AE9" s="57"/>
      <c r="AF9" s="57"/>
      <c r="AG9" s="57"/>
      <c r="AH9" s="73"/>
    </row>
    <row r="10" spans="1:34">
      <c r="A10" s="75">
        <f t="shared" si="0"/>
        <v>4</v>
      </c>
      <c r="B10" s="73" t="s">
        <v>358</v>
      </c>
      <c r="C10" s="57">
        <f>'Adj List'!D7</f>
        <v>-355821.73</v>
      </c>
      <c r="D10" s="57">
        <f>'Adj List'!D8</f>
        <v>-3278224.35</v>
      </c>
      <c r="E10" s="57">
        <f>'Adj List'!D9</f>
        <v>2366889.7599999998</v>
      </c>
      <c r="F10" s="57">
        <f>'Adj List'!D10</f>
        <v>-844580.33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>
        <f t="shared" ref="U10:U47" si="1">SUM(C10:T10)</f>
        <v>-2111736.6500000004</v>
      </c>
      <c r="V10" s="73"/>
      <c r="W10" s="82"/>
      <c r="X10" s="82"/>
      <c r="Y10" s="57"/>
      <c r="Z10" s="57"/>
      <c r="AA10" s="57"/>
      <c r="AB10" s="57"/>
      <c r="AC10" s="57"/>
      <c r="AD10" s="57"/>
      <c r="AE10" s="57"/>
      <c r="AF10" s="57"/>
      <c r="AG10" s="57"/>
      <c r="AH10" s="73"/>
    </row>
    <row r="11" spans="1:34">
      <c r="A11" s="75">
        <f t="shared" si="0"/>
        <v>5</v>
      </c>
      <c r="B11" s="73" t="s">
        <v>102</v>
      </c>
      <c r="C11" s="57"/>
      <c r="D11" s="57"/>
      <c r="E11" s="57"/>
      <c r="F11" s="57"/>
      <c r="G11" s="57"/>
      <c r="H11" s="57">
        <f>'Adj List'!D12</f>
        <v>73624.039999999994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83">
        <f t="shared" si="1"/>
        <v>73624.039999999994</v>
      </c>
      <c r="V11" s="73"/>
      <c r="W11" s="73"/>
      <c r="X11" s="73"/>
      <c r="Y11" s="57"/>
      <c r="Z11" s="57"/>
      <c r="AA11" s="57"/>
      <c r="AB11" s="57"/>
      <c r="AC11" s="57"/>
      <c r="AD11" s="57"/>
      <c r="AE11" s="57"/>
      <c r="AF11" s="57"/>
      <c r="AG11" s="57"/>
      <c r="AH11" s="73"/>
    </row>
    <row r="12" spans="1:34">
      <c r="A12" s="75">
        <f t="shared" si="0"/>
        <v>6</v>
      </c>
      <c r="B12" s="84" t="s">
        <v>95</v>
      </c>
      <c r="C12" s="85">
        <f t="shared" ref="C12:S12" si="2">SUM(C7:C11)</f>
        <v>-355821.73</v>
      </c>
      <c r="D12" s="85">
        <f t="shared" si="2"/>
        <v>-3278224.35</v>
      </c>
      <c r="E12" s="85">
        <f t="shared" si="2"/>
        <v>2366889.7599999998</v>
      </c>
      <c r="F12" s="85">
        <f t="shared" si="2"/>
        <v>-844580.33</v>
      </c>
      <c r="G12" s="85">
        <f t="shared" si="2"/>
        <v>0</v>
      </c>
      <c r="H12" s="85">
        <f t="shared" si="2"/>
        <v>73624.039999999994</v>
      </c>
      <c r="I12" s="85">
        <f t="shared" si="2"/>
        <v>0</v>
      </c>
      <c r="J12" s="85">
        <f t="shared" si="2"/>
        <v>0</v>
      </c>
      <c r="K12" s="85">
        <f t="shared" si="2"/>
        <v>0</v>
      </c>
      <c r="L12" s="85">
        <f t="shared" si="2"/>
        <v>0</v>
      </c>
      <c r="M12" s="85">
        <f t="shared" si="2"/>
        <v>0</v>
      </c>
      <c r="N12" s="85">
        <f t="shared" si="2"/>
        <v>0</v>
      </c>
      <c r="O12" s="85">
        <f t="shared" si="2"/>
        <v>0</v>
      </c>
      <c r="P12" s="85">
        <f t="shared" si="2"/>
        <v>0</v>
      </c>
      <c r="Q12" s="85">
        <f t="shared" si="2"/>
        <v>0</v>
      </c>
      <c r="R12" s="85">
        <f t="shared" si="2"/>
        <v>0</v>
      </c>
      <c r="S12" s="85">
        <f t="shared" si="2"/>
        <v>0</v>
      </c>
      <c r="T12" s="85"/>
      <c r="U12" s="85">
        <f t="shared" si="1"/>
        <v>-2038112.6100000003</v>
      </c>
      <c r="V12" s="73"/>
      <c r="W12" s="89">
        <f>U12-'Adj List'!D27</f>
        <v>0</v>
      </c>
      <c r="X12" s="73"/>
      <c r="Y12" s="57"/>
      <c r="Z12" s="57"/>
      <c r="AA12" s="57"/>
      <c r="AB12" s="57"/>
      <c r="AC12" s="57"/>
      <c r="AD12" s="57"/>
      <c r="AE12" s="57"/>
      <c r="AF12" s="57"/>
      <c r="AG12" s="57"/>
      <c r="AH12" s="73"/>
    </row>
    <row r="13" spans="1:34">
      <c r="A13" s="75">
        <f t="shared" si="0"/>
        <v>7</v>
      </c>
      <c r="B13" s="73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73"/>
      <c r="W13" s="73"/>
      <c r="X13" s="73"/>
      <c r="Y13" s="57"/>
      <c r="Z13" s="57"/>
      <c r="AA13" s="57"/>
      <c r="AB13" s="57"/>
      <c r="AC13" s="57"/>
      <c r="AD13" s="57"/>
      <c r="AE13" s="57"/>
      <c r="AF13" s="57"/>
      <c r="AG13" s="57"/>
      <c r="AH13" s="73"/>
    </row>
    <row r="14" spans="1:34">
      <c r="A14" s="75">
        <f t="shared" si="0"/>
        <v>8</v>
      </c>
      <c r="B14" s="81" t="s">
        <v>74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73"/>
      <c r="W14" s="73"/>
      <c r="X14" s="73"/>
      <c r="Y14" s="57"/>
      <c r="Z14" s="57"/>
      <c r="AA14" s="57"/>
      <c r="AB14" s="57"/>
      <c r="AC14" s="57"/>
      <c r="AD14" s="57"/>
      <c r="AE14" s="57"/>
      <c r="AF14" s="57"/>
      <c r="AG14" s="57"/>
      <c r="AH14" s="73"/>
    </row>
    <row r="15" spans="1:34">
      <c r="A15" s="75">
        <f t="shared" si="0"/>
        <v>9</v>
      </c>
      <c r="B15" s="73" t="s">
        <v>75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>
        <f t="shared" si="1"/>
        <v>0</v>
      </c>
      <c r="V15" s="73"/>
      <c r="W15" s="73"/>
      <c r="X15" s="73"/>
      <c r="Y15" s="57"/>
      <c r="Z15" s="57"/>
      <c r="AA15" s="57"/>
      <c r="AB15" s="57"/>
      <c r="AC15" s="57"/>
      <c r="AD15" s="57"/>
      <c r="AE15" s="57"/>
      <c r="AF15" s="57"/>
      <c r="AG15" s="57"/>
      <c r="AH15" s="73"/>
    </row>
    <row r="16" spans="1:34">
      <c r="A16" s="75">
        <f t="shared" si="0"/>
        <v>10</v>
      </c>
      <c r="B16" s="73" t="s">
        <v>96</v>
      </c>
      <c r="C16" s="57"/>
      <c r="D16" s="57"/>
      <c r="E16" s="57"/>
      <c r="F16" s="57"/>
      <c r="G16" s="57"/>
      <c r="H16" s="57">
        <f>'Adj List'!E12</f>
        <v>49509.73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>
        <f t="shared" si="1"/>
        <v>49509.73</v>
      </c>
      <c r="V16" s="73"/>
      <c r="W16" s="73"/>
      <c r="X16" s="73"/>
      <c r="Y16" s="57"/>
      <c r="Z16" s="57"/>
      <c r="AA16" s="57"/>
      <c r="AB16" s="57"/>
      <c r="AC16" s="57"/>
      <c r="AD16" s="57"/>
      <c r="AE16" s="57"/>
      <c r="AF16" s="57"/>
      <c r="AG16" s="57"/>
      <c r="AH16" s="73"/>
    </row>
    <row r="17" spans="1:34">
      <c r="A17" s="75">
        <f t="shared" si="0"/>
        <v>11</v>
      </c>
      <c r="B17" s="73" t="s">
        <v>359</v>
      </c>
      <c r="C17" s="57">
        <f>'Adj List'!E7</f>
        <v>-432113.22</v>
      </c>
      <c r="D17" s="57">
        <f>'Adj List'!E8</f>
        <v>-3166370.45</v>
      </c>
      <c r="E17" s="57">
        <f>'Adj List'!E9</f>
        <v>2478645.34</v>
      </c>
      <c r="F17" s="57">
        <f>'Adj List'!E10</f>
        <v>-879903.76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>
        <f t="shared" si="1"/>
        <v>-1999742.09</v>
      </c>
      <c r="V17" s="73"/>
      <c r="W17" s="73"/>
      <c r="X17" s="73"/>
      <c r="Y17" s="57"/>
      <c r="Z17" s="57"/>
      <c r="AA17" s="57"/>
      <c r="AB17" s="57"/>
      <c r="AC17" s="57"/>
      <c r="AD17" s="57"/>
      <c r="AE17" s="57"/>
      <c r="AF17" s="57"/>
      <c r="AG17" s="57"/>
      <c r="AH17" s="73"/>
    </row>
    <row r="18" spans="1:34">
      <c r="A18" s="75">
        <f t="shared" si="0"/>
        <v>12</v>
      </c>
      <c r="B18" s="73" t="s">
        <v>103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>
        <f t="shared" si="1"/>
        <v>0</v>
      </c>
      <c r="V18" s="73"/>
      <c r="W18" s="73"/>
      <c r="X18" s="73"/>
      <c r="Y18" s="57"/>
      <c r="Z18" s="57"/>
      <c r="AA18" s="57"/>
      <c r="AB18" s="57"/>
      <c r="AC18" s="57"/>
      <c r="AD18" s="57"/>
      <c r="AE18" s="57"/>
      <c r="AF18" s="57"/>
      <c r="AG18" s="57"/>
      <c r="AH18" s="73"/>
    </row>
    <row r="19" spans="1:34">
      <c r="A19" s="75">
        <f t="shared" si="0"/>
        <v>13</v>
      </c>
      <c r="B19" s="73" t="s">
        <v>104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>
        <f t="shared" si="1"/>
        <v>0</v>
      </c>
      <c r="V19" s="73"/>
      <c r="W19" s="73"/>
      <c r="X19" s="73"/>
      <c r="Y19" s="57"/>
      <c r="Z19" s="57"/>
      <c r="AA19" s="57"/>
      <c r="AB19" s="57"/>
      <c r="AC19" s="57"/>
      <c r="AD19" s="57"/>
      <c r="AE19" s="57"/>
      <c r="AF19" s="57"/>
      <c r="AG19" s="57"/>
      <c r="AH19" s="73"/>
    </row>
    <row r="20" spans="1:34">
      <c r="A20" s="75">
        <f t="shared" si="0"/>
        <v>14</v>
      </c>
      <c r="B20" s="73" t="s">
        <v>105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>
        <f t="shared" si="1"/>
        <v>0</v>
      </c>
      <c r="V20" s="73"/>
      <c r="W20" s="73"/>
      <c r="X20" s="73"/>
      <c r="Y20" s="57"/>
      <c r="Z20" s="57"/>
      <c r="AA20" s="57"/>
      <c r="AB20" s="57"/>
      <c r="AC20" s="57"/>
      <c r="AD20" s="57"/>
      <c r="AE20" s="57"/>
      <c r="AF20" s="57"/>
      <c r="AG20" s="57"/>
      <c r="AH20" s="73"/>
    </row>
    <row r="21" spans="1:34">
      <c r="A21" s="75">
        <f t="shared" si="0"/>
        <v>15</v>
      </c>
      <c r="B21" s="73" t="s">
        <v>79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>
        <f t="shared" si="1"/>
        <v>0</v>
      </c>
      <c r="V21" s="73"/>
      <c r="W21" s="73"/>
      <c r="X21" s="73"/>
      <c r="Y21" s="57"/>
      <c r="Z21" s="57"/>
      <c r="AA21" s="57"/>
      <c r="AB21" s="57"/>
      <c r="AC21" s="57"/>
      <c r="AD21" s="57"/>
      <c r="AE21" s="57"/>
      <c r="AF21" s="57"/>
      <c r="AG21" s="57"/>
      <c r="AH21" s="73"/>
    </row>
    <row r="22" spans="1:34">
      <c r="A22" s="75">
        <f t="shared" si="0"/>
        <v>16</v>
      </c>
      <c r="B22" s="73" t="s">
        <v>106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>
        <f t="shared" si="1"/>
        <v>0</v>
      </c>
      <c r="V22" s="73"/>
      <c r="W22" s="73"/>
      <c r="X22" s="73"/>
      <c r="Y22" s="57"/>
      <c r="Z22" s="57"/>
      <c r="AA22" s="57"/>
      <c r="AB22" s="57"/>
      <c r="AC22" s="57"/>
      <c r="AD22" s="57"/>
      <c r="AE22" s="57"/>
      <c r="AF22" s="57"/>
      <c r="AG22" s="57"/>
      <c r="AH22" s="73"/>
    </row>
    <row r="23" spans="1:34">
      <c r="A23" s="75">
        <f t="shared" si="0"/>
        <v>17</v>
      </c>
      <c r="B23" s="73" t="s">
        <v>107</v>
      </c>
      <c r="C23" s="57"/>
      <c r="D23" s="57"/>
      <c r="E23" s="57"/>
      <c r="F23" s="57"/>
      <c r="G23" s="57">
        <f>'Adj List'!E11</f>
        <v>16666.669999999998</v>
      </c>
      <c r="H23" s="57"/>
      <c r="I23" s="57"/>
      <c r="J23" s="57">
        <f>'Adj List'!E14</f>
        <v>-299451.70999999996</v>
      </c>
      <c r="K23" s="57">
        <f>'Adj List'!E15</f>
        <v>-26628.649999999994</v>
      </c>
      <c r="L23" s="57">
        <f>'Adj List'!E16</f>
        <v>-12285.388353744007</v>
      </c>
      <c r="M23" s="57">
        <f>'Adj List'!E17</f>
        <v>-45352.499999999993</v>
      </c>
      <c r="N23" s="57">
        <f>'Adj List'!E18</f>
        <v>34921.304999999971</v>
      </c>
      <c r="O23" s="57">
        <f>'Adj List'!E19</f>
        <v>-4277.582000000024</v>
      </c>
      <c r="P23" s="57"/>
      <c r="Q23" s="57"/>
      <c r="R23" s="57"/>
      <c r="S23" s="57"/>
      <c r="T23" s="57"/>
      <c r="U23" s="57">
        <f t="shared" si="1"/>
        <v>-336407.855353744</v>
      </c>
      <c r="V23" s="73"/>
      <c r="W23" s="73"/>
      <c r="X23" s="73"/>
      <c r="Y23" s="57"/>
      <c r="Z23" s="57"/>
      <c r="AA23" s="57"/>
      <c r="AB23" s="57"/>
      <c r="AC23" s="57"/>
      <c r="AD23" s="57"/>
      <c r="AE23" s="57"/>
      <c r="AF23" s="57"/>
      <c r="AG23" s="57"/>
      <c r="AH23" s="73"/>
    </row>
    <row r="24" spans="1:34">
      <c r="A24" s="75">
        <f t="shared" si="0"/>
        <v>18</v>
      </c>
      <c r="B24" s="84" t="s">
        <v>97</v>
      </c>
      <c r="C24" s="85">
        <f t="shared" ref="C24:S24" si="3">SUM(C15:C23)</f>
        <v>-432113.22</v>
      </c>
      <c r="D24" s="85">
        <f t="shared" si="3"/>
        <v>-3166370.45</v>
      </c>
      <c r="E24" s="85">
        <f t="shared" si="3"/>
        <v>2478645.34</v>
      </c>
      <c r="F24" s="85">
        <f t="shared" si="3"/>
        <v>-879903.76</v>
      </c>
      <c r="G24" s="85">
        <f t="shared" si="3"/>
        <v>16666.669999999998</v>
      </c>
      <c r="H24" s="85">
        <f t="shared" si="3"/>
        <v>49509.73</v>
      </c>
      <c r="I24" s="85">
        <f t="shared" si="3"/>
        <v>0</v>
      </c>
      <c r="J24" s="85">
        <f t="shared" si="3"/>
        <v>-299451.70999999996</v>
      </c>
      <c r="K24" s="85">
        <f t="shared" si="3"/>
        <v>-26628.649999999994</v>
      </c>
      <c r="L24" s="85">
        <f t="shared" si="3"/>
        <v>-12285.388353744007</v>
      </c>
      <c r="M24" s="85">
        <f t="shared" si="3"/>
        <v>-45352.499999999993</v>
      </c>
      <c r="N24" s="85">
        <f t="shared" si="3"/>
        <v>34921.304999999971</v>
      </c>
      <c r="O24" s="85">
        <f t="shared" si="3"/>
        <v>-4277.582000000024</v>
      </c>
      <c r="P24" s="85">
        <f t="shared" si="3"/>
        <v>0</v>
      </c>
      <c r="Q24" s="85">
        <f t="shared" si="3"/>
        <v>0</v>
      </c>
      <c r="R24" s="85">
        <f t="shared" si="3"/>
        <v>0</v>
      </c>
      <c r="S24" s="85">
        <f t="shared" si="3"/>
        <v>0</v>
      </c>
      <c r="T24" s="85">
        <f>SUM(T15:T23)</f>
        <v>0</v>
      </c>
      <c r="U24" s="85">
        <f t="shared" si="1"/>
        <v>-2286640.2153537441</v>
      </c>
      <c r="V24" s="73"/>
      <c r="W24" s="89"/>
      <c r="X24" s="73"/>
      <c r="Y24" s="57"/>
      <c r="Z24" s="57"/>
      <c r="AA24" s="57"/>
      <c r="AB24" s="57"/>
      <c r="AC24" s="57"/>
      <c r="AD24" s="57"/>
      <c r="AE24" s="57"/>
      <c r="AF24" s="57"/>
      <c r="AG24" s="57"/>
      <c r="AH24" s="73"/>
    </row>
    <row r="25" spans="1:34">
      <c r="A25" s="75">
        <f t="shared" si="0"/>
        <v>19</v>
      </c>
      <c r="B25" s="73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73"/>
      <c r="W25" s="73"/>
      <c r="X25" s="73"/>
      <c r="Y25" s="57"/>
      <c r="Z25" s="57"/>
      <c r="AA25" s="57"/>
      <c r="AB25" s="57"/>
      <c r="AC25" s="57"/>
      <c r="AD25" s="57"/>
      <c r="AE25" s="57"/>
      <c r="AF25" s="57"/>
      <c r="AG25" s="57"/>
      <c r="AH25" s="73"/>
    </row>
    <row r="26" spans="1:34">
      <c r="A26" s="75">
        <f t="shared" si="0"/>
        <v>20</v>
      </c>
      <c r="B26" s="73" t="s">
        <v>29</v>
      </c>
      <c r="C26" s="57"/>
      <c r="D26" s="57"/>
      <c r="E26" s="57"/>
      <c r="F26" s="57"/>
      <c r="G26" s="57"/>
      <c r="H26" s="57"/>
      <c r="I26" s="57">
        <f>'Adj List'!E13</f>
        <v>-186543.25999999978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>
        <f t="shared" si="1"/>
        <v>-186543.25999999978</v>
      </c>
      <c r="V26" s="73"/>
      <c r="W26" s="73"/>
      <c r="X26" s="73"/>
      <c r="Y26" s="57"/>
      <c r="Z26" s="57"/>
      <c r="AA26" s="57"/>
      <c r="AB26" s="57"/>
      <c r="AC26" s="57"/>
      <c r="AD26" s="57"/>
      <c r="AE26" s="57"/>
      <c r="AF26" s="57"/>
      <c r="AG26" s="57"/>
      <c r="AH26" s="73"/>
    </row>
    <row r="27" spans="1:34">
      <c r="A27" s="75">
        <f t="shared" si="0"/>
        <v>21</v>
      </c>
      <c r="B27" s="73" t="s">
        <v>84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>
        <f t="shared" si="1"/>
        <v>0</v>
      </c>
      <c r="V27" s="73"/>
      <c r="W27" s="73"/>
      <c r="X27" s="73"/>
      <c r="Y27" s="57"/>
      <c r="Z27" s="57"/>
      <c r="AA27" s="57"/>
      <c r="AB27" s="57"/>
      <c r="AC27" s="57"/>
      <c r="AD27" s="57"/>
      <c r="AE27" s="57"/>
      <c r="AF27" s="57"/>
      <c r="AG27" s="57"/>
      <c r="AH27" s="73"/>
    </row>
    <row r="28" spans="1:34">
      <c r="A28" s="75">
        <f t="shared" si="0"/>
        <v>22</v>
      </c>
      <c r="B28" s="73" t="s">
        <v>99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>
        <f t="shared" si="1"/>
        <v>0</v>
      </c>
      <c r="V28" s="73"/>
      <c r="W28" s="73"/>
      <c r="X28" s="73"/>
      <c r="Y28" s="57"/>
      <c r="Z28" s="57"/>
      <c r="AA28" s="57"/>
      <c r="AB28" s="57"/>
      <c r="AC28" s="57"/>
      <c r="AD28" s="57"/>
      <c r="AE28" s="57"/>
      <c r="AF28" s="57"/>
      <c r="AG28" s="57"/>
      <c r="AH28" s="73"/>
    </row>
    <row r="29" spans="1:34">
      <c r="A29" s="75">
        <f>(A28+1)</f>
        <v>23</v>
      </c>
      <c r="B29" s="73" t="s">
        <v>100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>
        <f t="shared" si="1"/>
        <v>0</v>
      </c>
      <c r="V29" s="73"/>
      <c r="W29" s="73"/>
      <c r="X29" s="73"/>
      <c r="Y29" s="57"/>
      <c r="Z29" s="57"/>
      <c r="AA29" s="57"/>
      <c r="AB29" s="57"/>
      <c r="AC29" s="57"/>
      <c r="AD29" s="57"/>
      <c r="AE29" s="57"/>
      <c r="AF29" s="57"/>
      <c r="AG29" s="57"/>
      <c r="AH29" s="73"/>
    </row>
    <row r="30" spans="1:34">
      <c r="A30" s="75">
        <f>(A29+1)</f>
        <v>24</v>
      </c>
      <c r="B30" s="73" t="s">
        <v>86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>
        <f t="shared" si="1"/>
        <v>0</v>
      </c>
      <c r="V30" s="73"/>
      <c r="W30" s="73"/>
      <c r="X30" s="73"/>
      <c r="Y30" s="57"/>
      <c r="Z30" s="57"/>
      <c r="AA30" s="57"/>
      <c r="AB30" s="57"/>
      <c r="AC30" s="57"/>
      <c r="AD30" s="57"/>
      <c r="AE30" s="57"/>
      <c r="AF30" s="57"/>
      <c r="AG30" s="57"/>
      <c r="AH30" s="73"/>
    </row>
    <row r="31" spans="1:34">
      <c r="A31" s="75">
        <f t="shared" si="0"/>
        <v>25</v>
      </c>
      <c r="B31" s="84" t="s">
        <v>34</v>
      </c>
      <c r="C31" s="85">
        <f t="shared" ref="C31:S31" si="4">SUM(C24:C30)</f>
        <v>-432113.22</v>
      </c>
      <c r="D31" s="85">
        <f t="shared" si="4"/>
        <v>-3166370.45</v>
      </c>
      <c r="E31" s="85">
        <f t="shared" si="4"/>
        <v>2478645.34</v>
      </c>
      <c r="F31" s="85">
        <f t="shared" si="4"/>
        <v>-879903.76</v>
      </c>
      <c r="G31" s="85">
        <f t="shared" si="4"/>
        <v>16666.669999999998</v>
      </c>
      <c r="H31" s="85">
        <f t="shared" si="4"/>
        <v>49509.73</v>
      </c>
      <c r="I31" s="85">
        <f t="shared" si="4"/>
        <v>-186543.25999999978</v>
      </c>
      <c r="J31" s="85">
        <f t="shared" si="4"/>
        <v>-299451.70999999996</v>
      </c>
      <c r="K31" s="85">
        <f t="shared" si="4"/>
        <v>-26628.649999999994</v>
      </c>
      <c r="L31" s="85">
        <f t="shared" si="4"/>
        <v>-12285.388353744007</v>
      </c>
      <c r="M31" s="85">
        <f t="shared" si="4"/>
        <v>-45352.499999999993</v>
      </c>
      <c r="N31" s="85">
        <f t="shared" si="4"/>
        <v>34921.304999999971</v>
      </c>
      <c r="O31" s="85">
        <f t="shared" si="4"/>
        <v>-4277.582000000024</v>
      </c>
      <c r="P31" s="85">
        <f t="shared" si="4"/>
        <v>0</v>
      </c>
      <c r="Q31" s="85">
        <f t="shared" si="4"/>
        <v>0</v>
      </c>
      <c r="R31" s="85">
        <f t="shared" si="4"/>
        <v>0</v>
      </c>
      <c r="S31" s="85">
        <f t="shared" si="4"/>
        <v>0</v>
      </c>
      <c r="T31" s="85">
        <f>SUM(T24:T30)</f>
        <v>0</v>
      </c>
      <c r="U31" s="85">
        <f t="shared" si="1"/>
        <v>-2473183.4753537439</v>
      </c>
      <c r="V31" s="73"/>
      <c r="W31" s="89">
        <f>U31-'Adj List'!E27</f>
        <v>0</v>
      </c>
      <c r="X31" s="73"/>
      <c r="Y31" s="57"/>
      <c r="Z31" s="57"/>
      <c r="AA31" s="57"/>
      <c r="AB31" s="57"/>
      <c r="AC31" s="57"/>
      <c r="AD31" s="57"/>
      <c r="AE31" s="57"/>
      <c r="AF31" s="57"/>
      <c r="AG31" s="57"/>
      <c r="AH31" s="73"/>
    </row>
    <row r="32" spans="1:34">
      <c r="A32" s="75">
        <f t="shared" si="0"/>
        <v>26</v>
      </c>
      <c r="B32" s="73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73"/>
      <c r="W32" s="73"/>
      <c r="X32" s="73"/>
      <c r="Y32" s="57"/>
      <c r="Z32" s="57"/>
      <c r="AA32" s="57"/>
      <c r="AB32" s="57"/>
      <c r="AC32" s="57"/>
      <c r="AD32" s="57"/>
      <c r="AE32" s="57"/>
      <c r="AF32" s="57"/>
      <c r="AG32" s="57"/>
      <c r="AH32" s="73"/>
    </row>
    <row r="33" spans="1:34">
      <c r="A33" s="75">
        <f t="shared" si="0"/>
        <v>27</v>
      </c>
      <c r="B33" s="73" t="s">
        <v>87</v>
      </c>
      <c r="C33" s="57">
        <f t="shared" ref="C33:S33" si="5">(+C12-C31)</f>
        <v>76291.489999999991</v>
      </c>
      <c r="D33" s="57">
        <f t="shared" si="5"/>
        <v>-111853.89999999991</v>
      </c>
      <c r="E33" s="57">
        <f t="shared" si="5"/>
        <v>-111755.58000000007</v>
      </c>
      <c r="F33" s="57">
        <f t="shared" si="5"/>
        <v>35323.430000000051</v>
      </c>
      <c r="G33" s="57">
        <f t="shared" si="5"/>
        <v>-16666.669999999998</v>
      </c>
      <c r="H33" s="57">
        <f t="shared" si="5"/>
        <v>24114.30999999999</v>
      </c>
      <c r="I33" s="57">
        <f t="shared" si="5"/>
        <v>186543.25999999978</v>
      </c>
      <c r="J33" s="57">
        <f t="shared" si="5"/>
        <v>299451.70999999996</v>
      </c>
      <c r="K33" s="57">
        <f t="shared" si="5"/>
        <v>26628.649999999994</v>
      </c>
      <c r="L33" s="57">
        <f t="shared" si="5"/>
        <v>12285.388353744007</v>
      </c>
      <c r="M33" s="57">
        <f t="shared" si="5"/>
        <v>45352.499999999993</v>
      </c>
      <c r="N33" s="57">
        <f t="shared" si="5"/>
        <v>-34921.304999999971</v>
      </c>
      <c r="O33" s="57">
        <f t="shared" si="5"/>
        <v>4277.582000000024</v>
      </c>
      <c r="P33" s="57">
        <f t="shared" si="5"/>
        <v>0</v>
      </c>
      <c r="Q33" s="57">
        <f t="shared" si="5"/>
        <v>0</v>
      </c>
      <c r="R33" s="57">
        <f t="shared" si="5"/>
        <v>0</v>
      </c>
      <c r="S33" s="57">
        <f t="shared" si="5"/>
        <v>0</v>
      </c>
      <c r="T33" s="57">
        <f>(+T12-T31)</f>
        <v>0</v>
      </c>
      <c r="U33" s="57">
        <f t="shared" si="1"/>
        <v>435070.86535374389</v>
      </c>
      <c r="V33" s="73"/>
      <c r="W33" s="73"/>
      <c r="X33" s="73"/>
      <c r="Y33" s="57"/>
      <c r="Z33" s="57"/>
      <c r="AA33" s="57"/>
      <c r="AB33" s="57"/>
      <c r="AC33" s="57"/>
      <c r="AD33" s="57"/>
      <c r="AE33" s="57"/>
      <c r="AF33" s="57"/>
      <c r="AG33" s="57"/>
      <c r="AH33" s="73"/>
    </row>
    <row r="34" spans="1:34">
      <c r="A34" s="75">
        <f t="shared" si="0"/>
        <v>28</v>
      </c>
      <c r="B34" s="73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73"/>
      <c r="W34" s="73"/>
      <c r="X34" s="73"/>
      <c r="Y34" s="57"/>
      <c r="Z34" s="57"/>
      <c r="AA34" s="57"/>
      <c r="AB34" s="57"/>
      <c r="AC34" s="57"/>
      <c r="AD34" s="57"/>
      <c r="AE34" s="57"/>
      <c r="AF34" s="57"/>
      <c r="AG34" s="57"/>
      <c r="AH34" s="73"/>
    </row>
    <row r="35" spans="1:34">
      <c r="A35" s="75">
        <f t="shared" si="0"/>
        <v>29</v>
      </c>
      <c r="B35" s="73" t="s">
        <v>35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>
        <f t="shared" si="1"/>
        <v>0</v>
      </c>
      <c r="V35" s="73"/>
      <c r="W35" s="73"/>
      <c r="X35" s="73"/>
      <c r="Y35" s="57"/>
      <c r="Z35" s="57"/>
      <c r="AA35" s="57"/>
      <c r="AB35" s="57"/>
      <c r="AC35" s="57"/>
      <c r="AD35" s="57"/>
      <c r="AE35" s="57"/>
      <c r="AF35" s="57"/>
      <c r="AG35" s="57"/>
      <c r="AH35" s="73"/>
    </row>
    <row r="36" spans="1:34">
      <c r="A36" s="75" t="s">
        <v>213</v>
      </c>
      <c r="B36" s="73" t="s">
        <v>214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73"/>
      <c r="W36" s="73"/>
      <c r="X36" s="73"/>
      <c r="Y36" s="57"/>
      <c r="Z36" s="57"/>
      <c r="AA36" s="57"/>
      <c r="AB36" s="57"/>
      <c r="AC36" s="57"/>
      <c r="AD36" s="57"/>
      <c r="AE36" s="57"/>
      <c r="AF36" s="57"/>
      <c r="AG36" s="57"/>
      <c r="AH36" s="73"/>
    </row>
    <row r="37" spans="1:34">
      <c r="A37" s="75">
        <f>(A35+1)</f>
        <v>30</v>
      </c>
      <c r="B37" s="73" t="s">
        <v>36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>
        <f t="shared" si="1"/>
        <v>0</v>
      </c>
      <c r="V37" s="73"/>
      <c r="W37" s="73"/>
      <c r="X37" s="73"/>
      <c r="Y37" s="57"/>
      <c r="Z37" s="57"/>
      <c r="AA37" s="57"/>
      <c r="AB37" s="57"/>
      <c r="AC37" s="57"/>
      <c r="AD37" s="57"/>
      <c r="AE37" s="57"/>
      <c r="AF37" s="57"/>
      <c r="AG37" s="57"/>
      <c r="AH37" s="73"/>
    </row>
    <row r="38" spans="1:34">
      <c r="A38" s="75">
        <f t="shared" si="0"/>
        <v>31</v>
      </c>
      <c r="B38" s="73" t="s">
        <v>32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>
        <f t="shared" si="1"/>
        <v>0</v>
      </c>
      <c r="V38" s="73"/>
      <c r="W38" s="73"/>
      <c r="X38" s="73"/>
      <c r="Y38" s="57"/>
      <c r="Z38" s="57"/>
      <c r="AA38" s="57"/>
      <c r="AB38" s="57"/>
      <c r="AC38" s="57"/>
      <c r="AD38" s="57"/>
      <c r="AE38" s="57"/>
      <c r="AF38" s="57"/>
      <c r="AG38" s="57"/>
      <c r="AH38" s="73"/>
    </row>
    <row r="39" spans="1:34">
      <c r="A39" s="75">
        <f t="shared" si="0"/>
        <v>32</v>
      </c>
      <c r="B39" s="73" t="s">
        <v>88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>
        <f t="shared" si="1"/>
        <v>0</v>
      </c>
      <c r="V39" s="73"/>
      <c r="W39" s="73"/>
      <c r="X39" s="73"/>
      <c r="Y39" s="57"/>
      <c r="Z39" s="57"/>
      <c r="AA39" s="57"/>
      <c r="AB39" s="57"/>
      <c r="AC39" s="57"/>
      <c r="AD39" s="57"/>
      <c r="AE39" s="57"/>
      <c r="AF39" s="57"/>
      <c r="AG39" s="57"/>
      <c r="AH39" s="73"/>
    </row>
    <row r="40" spans="1:34">
      <c r="A40" s="75">
        <f t="shared" si="0"/>
        <v>33</v>
      </c>
      <c r="B40" s="84" t="s">
        <v>98</v>
      </c>
      <c r="C40" s="85">
        <f t="shared" ref="C40:S40" si="6">SUM(C35:C39)</f>
        <v>0</v>
      </c>
      <c r="D40" s="85">
        <f t="shared" si="6"/>
        <v>0</v>
      </c>
      <c r="E40" s="85">
        <f t="shared" si="6"/>
        <v>0</v>
      </c>
      <c r="F40" s="85">
        <f t="shared" si="6"/>
        <v>0</v>
      </c>
      <c r="G40" s="85">
        <f t="shared" si="6"/>
        <v>0</v>
      </c>
      <c r="H40" s="85">
        <f t="shared" si="6"/>
        <v>0</v>
      </c>
      <c r="I40" s="85">
        <f t="shared" si="6"/>
        <v>0</v>
      </c>
      <c r="J40" s="85">
        <f t="shared" si="6"/>
        <v>0</v>
      </c>
      <c r="K40" s="85">
        <f t="shared" si="6"/>
        <v>0</v>
      </c>
      <c r="L40" s="85">
        <f t="shared" si="6"/>
        <v>0</v>
      </c>
      <c r="M40" s="85">
        <f t="shared" si="6"/>
        <v>0</v>
      </c>
      <c r="N40" s="85">
        <f t="shared" si="6"/>
        <v>0</v>
      </c>
      <c r="O40" s="85">
        <f t="shared" si="6"/>
        <v>0</v>
      </c>
      <c r="P40" s="85">
        <f t="shared" si="6"/>
        <v>0</v>
      </c>
      <c r="Q40" s="85">
        <f t="shared" si="6"/>
        <v>0</v>
      </c>
      <c r="R40" s="85">
        <f t="shared" si="6"/>
        <v>0</v>
      </c>
      <c r="S40" s="85">
        <f t="shared" si="6"/>
        <v>0</v>
      </c>
      <c r="T40" s="85">
        <f>SUM(T35:T39)</f>
        <v>0</v>
      </c>
      <c r="U40" s="85">
        <f t="shared" si="1"/>
        <v>0</v>
      </c>
      <c r="V40" s="73"/>
      <c r="W40" s="89">
        <f>U40-'Adj List'!F27</f>
        <v>0</v>
      </c>
      <c r="X40" s="73"/>
      <c r="Y40" s="57"/>
      <c r="Z40" s="57"/>
      <c r="AA40" s="57"/>
      <c r="AB40" s="57"/>
      <c r="AC40" s="57"/>
      <c r="AD40" s="57"/>
      <c r="AE40" s="57"/>
      <c r="AF40" s="57"/>
      <c r="AG40" s="57"/>
      <c r="AH40" s="73"/>
    </row>
    <row r="41" spans="1:34">
      <c r="A41" s="75">
        <f t="shared" si="0"/>
        <v>34</v>
      </c>
      <c r="B41" s="73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73"/>
      <c r="W41" s="73"/>
      <c r="X41" s="73"/>
      <c r="Y41" s="57"/>
      <c r="Z41" s="57"/>
      <c r="AA41" s="57"/>
      <c r="AB41" s="57"/>
      <c r="AC41" s="57"/>
      <c r="AD41" s="57"/>
      <c r="AE41" s="57"/>
      <c r="AF41" s="57"/>
      <c r="AG41" s="57"/>
      <c r="AH41" s="73"/>
    </row>
    <row r="42" spans="1:34" ht="15" thickBot="1">
      <c r="A42" s="75">
        <f t="shared" si="0"/>
        <v>35</v>
      </c>
      <c r="B42" s="87" t="s">
        <v>89</v>
      </c>
      <c r="C42" s="88">
        <f t="shared" ref="C42:S42" si="7">+C33+C40</f>
        <v>76291.489999999991</v>
      </c>
      <c r="D42" s="88">
        <f t="shared" si="7"/>
        <v>-111853.89999999991</v>
      </c>
      <c r="E42" s="88">
        <f t="shared" si="7"/>
        <v>-111755.58000000007</v>
      </c>
      <c r="F42" s="88">
        <f t="shared" si="7"/>
        <v>35323.430000000051</v>
      </c>
      <c r="G42" s="88">
        <f t="shared" si="7"/>
        <v>-16666.669999999998</v>
      </c>
      <c r="H42" s="88">
        <f t="shared" si="7"/>
        <v>24114.30999999999</v>
      </c>
      <c r="I42" s="88">
        <f t="shared" si="7"/>
        <v>186543.25999999978</v>
      </c>
      <c r="J42" s="88">
        <f t="shared" si="7"/>
        <v>299451.70999999996</v>
      </c>
      <c r="K42" s="88">
        <f t="shared" si="7"/>
        <v>26628.649999999994</v>
      </c>
      <c r="L42" s="88">
        <f t="shared" si="7"/>
        <v>12285.388353744007</v>
      </c>
      <c r="M42" s="88">
        <f t="shared" si="7"/>
        <v>45352.499999999993</v>
      </c>
      <c r="N42" s="88">
        <f t="shared" si="7"/>
        <v>-34921.304999999971</v>
      </c>
      <c r="O42" s="88">
        <f t="shared" si="7"/>
        <v>4277.582000000024</v>
      </c>
      <c r="P42" s="88">
        <f t="shared" si="7"/>
        <v>0</v>
      </c>
      <c r="Q42" s="88">
        <f t="shared" si="7"/>
        <v>0</v>
      </c>
      <c r="R42" s="88">
        <f t="shared" si="7"/>
        <v>0</v>
      </c>
      <c r="S42" s="88">
        <f t="shared" si="7"/>
        <v>0</v>
      </c>
      <c r="T42" s="88">
        <f>+T33+T40</f>
        <v>0</v>
      </c>
      <c r="U42" s="88">
        <f t="shared" si="1"/>
        <v>435070.86535374389</v>
      </c>
      <c r="V42" s="73"/>
      <c r="W42" s="89">
        <f>U42-'Adj List'!G27</f>
        <v>0</v>
      </c>
      <c r="X42" s="73"/>
      <c r="Y42" s="57"/>
      <c r="Z42" s="57"/>
      <c r="AA42" s="57"/>
      <c r="AB42" s="57"/>
      <c r="AC42" s="57"/>
      <c r="AD42" s="57"/>
      <c r="AE42" s="57"/>
      <c r="AF42" s="57"/>
      <c r="AG42" s="57"/>
      <c r="AH42" s="73"/>
    </row>
    <row r="43" spans="1:34" ht="18" customHeight="1" thickTop="1">
      <c r="A43" s="75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</row>
    <row r="44" spans="1:34" ht="18" customHeight="1">
      <c r="A44" s="75"/>
      <c r="B44" s="73" t="s">
        <v>112</v>
      </c>
      <c r="C44" s="89">
        <f>C12</f>
        <v>-355821.73</v>
      </c>
      <c r="D44" s="89">
        <f t="shared" ref="D44:S44" si="8">D12</f>
        <v>-3278224.35</v>
      </c>
      <c r="E44" s="89">
        <f t="shared" si="8"/>
        <v>2366889.7599999998</v>
      </c>
      <c r="F44" s="89">
        <f t="shared" si="8"/>
        <v>-844580.33</v>
      </c>
      <c r="G44" s="89">
        <f t="shared" si="8"/>
        <v>0</v>
      </c>
      <c r="H44" s="89">
        <f t="shared" si="8"/>
        <v>73624.039999999994</v>
      </c>
      <c r="I44" s="89">
        <f t="shared" si="8"/>
        <v>0</v>
      </c>
      <c r="J44" s="89">
        <f t="shared" si="8"/>
        <v>0</v>
      </c>
      <c r="K44" s="89">
        <f t="shared" si="8"/>
        <v>0</v>
      </c>
      <c r="L44" s="89">
        <f t="shared" si="8"/>
        <v>0</v>
      </c>
      <c r="M44" s="89">
        <f t="shared" si="8"/>
        <v>0</v>
      </c>
      <c r="N44" s="89">
        <f t="shared" si="8"/>
        <v>0</v>
      </c>
      <c r="O44" s="89">
        <f t="shared" si="8"/>
        <v>0</v>
      </c>
      <c r="P44" s="89">
        <f t="shared" si="8"/>
        <v>0</v>
      </c>
      <c r="Q44" s="89">
        <f t="shared" si="8"/>
        <v>0</v>
      </c>
      <c r="R44" s="89">
        <f t="shared" si="8"/>
        <v>0</v>
      </c>
      <c r="S44" s="89">
        <f t="shared" si="8"/>
        <v>0</v>
      </c>
      <c r="T44" s="89">
        <f>T12</f>
        <v>0</v>
      </c>
      <c r="U44" s="89">
        <f t="shared" si="1"/>
        <v>-2038112.6100000003</v>
      </c>
      <c r="V44" s="73"/>
      <c r="W44" s="89">
        <f>U44-'Adj List'!D27</f>
        <v>0</v>
      </c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</row>
    <row r="45" spans="1:34" ht="18" customHeight="1">
      <c r="A45" s="75"/>
      <c r="B45" s="73" t="s">
        <v>111</v>
      </c>
      <c r="C45" s="89">
        <f>C31</f>
        <v>-432113.22</v>
      </c>
      <c r="D45" s="89">
        <f t="shared" ref="D45:M45" si="9">D31</f>
        <v>-3166370.45</v>
      </c>
      <c r="E45" s="89">
        <f t="shared" si="9"/>
        <v>2478645.34</v>
      </c>
      <c r="F45" s="89">
        <f t="shared" si="9"/>
        <v>-879903.76</v>
      </c>
      <c r="G45" s="89">
        <f t="shared" si="9"/>
        <v>16666.669999999998</v>
      </c>
      <c r="H45" s="89">
        <f t="shared" si="9"/>
        <v>49509.73</v>
      </c>
      <c r="I45" s="89">
        <f t="shared" si="9"/>
        <v>-186543.25999999978</v>
      </c>
      <c r="J45" s="89">
        <f t="shared" si="9"/>
        <v>-299451.70999999996</v>
      </c>
      <c r="K45" s="89">
        <f t="shared" si="9"/>
        <v>-26628.649999999994</v>
      </c>
      <c r="L45" s="89">
        <f t="shared" si="9"/>
        <v>-12285.388353744007</v>
      </c>
      <c r="M45" s="89">
        <f t="shared" si="9"/>
        <v>-45352.499999999993</v>
      </c>
      <c r="N45" s="89">
        <f t="shared" ref="N45:S45" si="10">N31-N40</f>
        <v>34921.304999999971</v>
      </c>
      <c r="O45" s="89">
        <f t="shared" si="10"/>
        <v>-4277.582000000024</v>
      </c>
      <c r="P45" s="89">
        <f t="shared" si="10"/>
        <v>0</v>
      </c>
      <c r="Q45" s="89">
        <f t="shared" si="10"/>
        <v>0</v>
      </c>
      <c r="R45" s="89">
        <f t="shared" si="10"/>
        <v>0</v>
      </c>
      <c r="S45" s="89">
        <f t="shared" si="10"/>
        <v>0</v>
      </c>
      <c r="T45" s="89">
        <f>T31-T40</f>
        <v>0</v>
      </c>
      <c r="U45" s="89">
        <f t="shared" si="1"/>
        <v>-2473183.4753537439</v>
      </c>
      <c r="V45" s="73"/>
      <c r="W45" s="89">
        <f>U45-'Adj List'!E27</f>
        <v>0</v>
      </c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</row>
    <row r="46" spans="1:34" ht="18" customHeight="1">
      <c r="A46" s="75"/>
      <c r="B46" s="73" t="s">
        <v>245</v>
      </c>
      <c r="C46" s="89">
        <f>C40</f>
        <v>0</v>
      </c>
      <c r="D46" s="89">
        <f t="shared" ref="D46:M46" si="11">D40</f>
        <v>0</v>
      </c>
      <c r="E46" s="89">
        <f t="shared" si="11"/>
        <v>0</v>
      </c>
      <c r="F46" s="89">
        <f t="shared" si="11"/>
        <v>0</v>
      </c>
      <c r="G46" s="89">
        <f t="shared" si="11"/>
        <v>0</v>
      </c>
      <c r="H46" s="89">
        <f t="shared" si="11"/>
        <v>0</v>
      </c>
      <c r="I46" s="89">
        <f t="shared" si="11"/>
        <v>0</v>
      </c>
      <c r="J46" s="89">
        <f t="shared" si="11"/>
        <v>0</v>
      </c>
      <c r="K46" s="89">
        <f t="shared" si="11"/>
        <v>0</v>
      </c>
      <c r="L46" s="89">
        <f t="shared" si="11"/>
        <v>0</v>
      </c>
      <c r="M46" s="89">
        <f t="shared" si="11"/>
        <v>0</v>
      </c>
      <c r="N46" s="89"/>
      <c r="O46" s="89"/>
      <c r="P46" s="89"/>
      <c r="Q46" s="89"/>
      <c r="R46" s="89"/>
      <c r="S46" s="89"/>
      <c r="T46" s="89"/>
      <c r="U46" s="89">
        <f t="shared" si="1"/>
        <v>0</v>
      </c>
      <c r="V46" s="73"/>
      <c r="W46" s="89">
        <f>U46-'Adj List'!F27</f>
        <v>0</v>
      </c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</row>
    <row r="47" spans="1:34" ht="18" customHeight="1">
      <c r="A47" s="75"/>
      <c r="B47" s="73" t="s">
        <v>113</v>
      </c>
      <c r="C47" s="89">
        <f>C44-C45+C46</f>
        <v>76291.489999999991</v>
      </c>
      <c r="D47" s="89">
        <f t="shared" ref="D47:M47" si="12">D44-D45+D46</f>
        <v>-111853.89999999991</v>
      </c>
      <c r="E47" s="89">
        <f t="shared" si="12"/>
        <v>-111755.58000000007</v>
      </c>
      <c r="F47" s="89">
        <f t="shared" si="12"/>
        <v>35323.430000000051</v>
      </c>
      <c r="G47" s="89">
        <f t="shared" si="12"/>
        <v>-16666.669999999998</v>
      </c>
      <c r="H47" s="89">
        <f t="shared" si="12"/>
        <v>24114.30999999999</v>
      </c>
      <c r="I47" s="89">
        <f t="shared" si="12"/>
        <v>186543.25999999978</v>
      </c>
      <c r="J47" s="89">
        <f t="shared" si="12"/>
        <v>299451.70999999996</v>
      </c>
      <c r="K47" s="89">
        <f t="shared" si="12"/>
        <v>26628.649999999994</v>
      </c>
      <c r="L47" s="89">
        <f t="shared" si="12"/>
        <v>12285.388353744007</v>
      </c>
      <c r="M47" s="89">
        <f t="shared" si="12"/>
        <v>45352.499999999993</v>
      </c>
      <c r="N47" s="89">
        <f t="shared" ref="N47:T47" si="13">N44-N45</f>
        <v>-34921.304999999971</v>
      </c>
      <c r="O47" s="89">
        <f t="shared" si="13"/>
        <v>4277.582000000024</v>
      </c>
      <c r="P47" s="89">
        <f t="shared" si="13"/>
        <v>0</v>
      </c>
      <c r="Q47" s="89">
        <f t="shared" si="13"/>
        <v>0</v>
      </c>
      <c r="R47" s="89">
        <f t="shared" si="13"/>
        <v>0</v>
      </c>
      <c r="S47" s="89">
        <f t="shared" si="13"/>
        <v>0</v>
      </c>
      <c r="T47" s="89">
        <f t="shared" si="13"/>
        <v>0</v>
      </c>
      <c r="U47" s="89">
        <f t="shared" si="1"/>
        <v>435070.86535374389</v>
      </c>
      <c r="V47" s="73"/>
      <c r="W47" s="89">
        <f>U47-'Adj List'!G27</f>
        <v>0</v>
      </c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</row>
    <row r="48" spans="1:34" ht="18" customHeight="1">
      <c r="A48" s="75"/>
      <c r="B48" s="73" t="s">
        <v>114</v>
      </c>
      <c r="C48" s="89">
        <f t="shared" ref="C48:U48" si="14">C47-C42</f>
        <v>0</v>
      </c>
      <c r="D48" s="89">
        <f t="shared" si="14"/>
        <v>0</v>
      </c>
      <c r="E48" s="89">
        <f t="shared" si="14"/>
        <v>0</v>
      </c>
      <c r="F48" s="89">
        <f t="shared" si="14"/>
        <v>0</v>
      </c>
      <c r="G48" s="89">
        <f t="shared" si="14"/>
        <v>0</v>
      </c>
      <c r="H48" s="89">
        <f t="shared" si="14"/>
        <v>0</v>
      </c>
      <c r="I48" s="89">
        <f t="shared" si="14"/>
        <v>0</v>
      </c>
      <c r="J48" s="89">
        <f t="shared" si="14"/>
        <v>0</v>
      </c>
      <c r="K48" s="89">
        <f t="shared" si="14"/>
        <v>0</v>
      </c>
      <c r="L48" s="89">
        <f t="shared" si="14"/>
        <v>0</v>
      </c>
      <c r="M48" s="89">
        <f t="shared" si="14"/>
        <v>0</v>
      </c>
      <c r="N48" s="89">
        <f t="shared" si="14"/>
        <v>0</v>
      </c>
      <c r="O48" s="89">
        <f t="shared" si="14"/>
        <v>0</v>
      </c>
      <c r="P48" s="89">
        <f t="shared" si="14"/>
        <v>0</v>
      </c>
      <c r="Q48" s="89">
        <f t="shared" si="14"/>
        <v>0</v>
      </c>
      <c r="R48" s="89">
        <f t="shared" si="14"/>
        <v>0</v>
      </c>
      <c r="S48" s="89">
        <f t="shared" si="14"/>
        <v>0</v>
      </c>
      <c r="T48" s="89">
        <f t="shared" si="14"/>
        <v>0</v>
      </c>
      <c r="U48" s="89">
        <f t="shared" si="14"/>
        <v>0</v>
      </c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1:34" ht="18" customHeight="1">
      <c r="A49" s="75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</row>
    <row r="50" spans="1:34" ht="18" customHeight="1">
      <c r="A50" s="75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</row>
    <row r="51" spans="1:34">
      <c r="A51" s="75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</row>
    <row r="52" spans="1:34">
      <c r="A52" s="75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3" spans="1:34">
      <c r="A53" s="75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</row>
    <row r="54" spans="1:34">
      <c r="A54" s="75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</row>
    <row r="55" spans="1:34">
      <c r="A55" s="7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</row>
    <row r="56" spans="1:34">
      <c r="A56" s="75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:34">
      <c r="A57" s="75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</row>
    <row r="58" spans="1:34">
      <c r="A58" s="75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</row>
    <row r="59" spans="1:34">
      <c r="A59" s="75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</row>
    <row r="60" spans="1:34">
      <c r="A60" s="75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</row>
    <row r="61" spans="1:34">
      <c r="A61" s="75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</row>
    <row r="62" spans="1:34">
      <c r="A62" s="75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:34">
      <c r="A63" s="75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:34">
      <c r="A64" s="75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1:34">
      <c r="A65" s="75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</row>
    <row r="66" spans="1:34">
      <c r="A66" s="75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</row>
    <row r="67" spans="1:34">
      <c r="A67" s="75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</row>
    <row r="68" spans="1:34">
      <c r="A68" s="75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</row>
    <row r="69" spans="1:34">
      <c r="A69" s="75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</row>
    <row r="70" spans="1:34">
      <c r="A70" s="75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</row>
    <row r="71" spans="1:34">
      <c r="A71" s="75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</row>
    <row r="72" spans="1:34">
      <c r="A72" s="7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</row>
    <row r="73" spans="1:34">
      <c r="A73" s="75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</row>
    <row r="74" spans="1:34">
      <c r="A74" s="75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</row>
    <row r="75" spans="1:34">
      <c r="A75" s="75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</row>
    <row r="76" spans="1:34">
      <c r="A76" s="75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</row>
    <row r="77" spans="1:34">
      <c r="A77" s="75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</row>
    <row r="78" spans="1:34">
      <c r="A78" s="75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</row>
    <row r="79" spans="1:34">
      <c r="A79" s="75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</row>
    <row r="80" spans="1:34">
      <c r="A80" s="75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</row>
    <row r="81" spans="1:34">
      <c r="A81" s="75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</row>
    <row r="82" spans="1:34">
      <c r="A82" s="75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</row>
    <row r="83" spans="1:34">
      <c r="A83" s="75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</row>
    <row r="84" spans="1:34">
      <c r="A84" s="75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</row>
    <row r="85" spans="1:34">
      <c r="A85" s="75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</row>
    <row r="86" spans="1:34">
      <c r="A86" s="75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</row>
    <row r="87" spans="1:34">
      <c r="A87" s="75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</row>
    <row r="88" spans="1:34">
      <c r="A88" s="75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</row>
    <row r="89" spans="1:34">
      <c r="A89" s="75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</row>
    <row r="90" spans="1:34">
      <c r="A90" s="75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</row>
    <row r="91" spans="1:34">
      <c r="A91" s="75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</row>
    <row r="92" spans="1:34">
      <c r="A92" s="75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</row>
    <row r="93" spans="1:34">
      <c r="A93" s="75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</row>
    <row r="94" spans="1:34">
      <c r="A94" s="75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</row>
    <row r="95" spans="1:34">
      <c r="A95" s="75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</row>
    <row r="96" spans="1:34">
      <c r="A96" s="75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</row>
    <row r="97" spans="1:34">
      <c r="A97" s="75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</row>
    <row r="98" spans="1:34">
      <c r="A98" s="75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</row>
    <row r="99" spans="1:34">
      <c r="A99" s="75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</row>
    <row r="100" spans="1:34">
      <c r="A100" s="75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</row>
    <row r="101" spans="1:34">
      <c r="A101" s="75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</row>
    <row r="102" spans="1:34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</row>
    <row r="103" spans="1:34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</row>
    <row r="104" spans="1:34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</row>
    <row r="105" spans="1:34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</row>
    <row r="106" spans="1:34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</row>
    <row r="107" spans="1:34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</row>
    <row r="108" spans="1:34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</row>
    <row r="109" spans="1:34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</row>
    <row r="110" spans="1:34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</row>
    <row r="111" spans="1:34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</row>
    <row r="112" spans="1:34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</row>
    <row r="113" spans="2:28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</row>
    <row r="114" spans="2:28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</row>
    <row r="115" spans="2:28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</row>
    <row r="116" spans="2:28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spans="2:28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</row>
    <row r="118" spans="2:28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</row>
    <row r="119" spans="2:28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</row>
    <row r="120" spans="2:28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</row>
    <row r="121" spans="2:28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</row>
    <row r="122" spans="2:28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</row>
    <row r="123" spans="2:28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</row>
    <row r="124" spans="2:28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</row>
    <row r="125" spans="2:28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</row>
    <row r="126" spans="2:28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</row>
    <row r="127" spans="2:28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</row>
    <row r="128" spans="2:28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</row>
    <row r="129" spans="2:28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</row>
    <row r="130" spans="2:28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</row>
    <row r="131" spans="2:28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</row>
    <row r="132" spans="2:28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</row>
    <row r="133" spans="2:28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</row>
    <row r="134" spans="2:28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</row>
    <row r="135" spans="2:28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</row>
    <row r="136" spans="2:28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</row>
    <row r="137" spans="2:28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</row>
    <row r="138" spans="2:28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</row>
    <row r="139" spans="2:28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</row>
    <row r="140" spans="2:28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</row>
    <row r="141" spans="2:28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</row>
    <row r="142" spans="2:28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</row>
    <row r="143" spans="2:28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</row>
    <row r="144" spans="2:28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</row>
    <row r="145" spans="2:28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</row>
    <row r="146" spans="2:28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</row>
    <row r="147" spans="2:28">
      <c r="V147" s="73"/>
      <c r="W147" s="73"/>
      <c r="X147" s="73"/>
      <c r="Y147" s="73"/>
      <c r="Z147" s="73"/>
      <c r="AA147" s="73"/>
      <c r="AB147" s="73"/>
    </row>
    <row r="148" spans="2:28">
      <c r="V148" s="73"/>
      <c r="W148" s="73"/>
      <c r="X148" s="73"/>
      <c r="Y148" s="73"/>
      <c r="Z148" s="73"/>
      <c r="AA148" s="73"/>
      <c r="AB148" s="73"/>
    </row>
    <row r="149" spans="2:28">
      <c r="V149" s="73"/>
      <c r="W149" s="73"/>
      <c r="X149" s="73"/>
      <c r="Y149" s="73"/>
      <c r="Z149" s="73"/>
      <c r="AA149" s="73"/>
      <c r="AB149" s="73"/>
    </row>
    <row r="150" spans="2:28">
      <c r="V150" s="73"/>
      <c r="W150" s="73"/>
      <c r="X150" s="73"/>
      <c r="Y150" s="73"/>
      <c r="Z150" s="73"/>
      <c r="AA150" s="73"/>
      <c r="AB150" s="73"/>
    </row>
    <row r="151" spans="2:28">
      <c r="V151" s="73"/>
      <c r="W151" s="73"/>
      <c r="X151" s="73"/>
      <c r="Y151" s="73"/>
      <c r="Z151" s="73"/>
      <c r="AA151" s="73"/>
      <c r="AB151" s="73"/>
    </row>
  </sheetData>
  <conditionalFormatting sqref="W12">
    <cfRule type="cellIs" dxfId="11" priority="11" operator="notEqual">
      <formula>0</formula>
    </cfRule>
    <cfRule type="cellIs" dxfId="10" priority="12" operator="equal">
      <formula>0</formula>
    </cfRule>
  </conditionalFormatting>
  <conditionalFormatting sqref="W31">
    <cfRule type="cellIs" dxfId="9" priority="9" operator="notEqual">
      <formula>0</formula>
    </cfRule>
    <cfRule type="cellIs" dxfId="8" priority="10" operator="equal">
      <formula>0</formula>
    </cfRule>
  </conditionalFormatting>
  <conditionalFormatting sqref="W40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W42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W44:W47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C48:U48">
    <cfRule type="cellIs" dxfId="1" priority="1" operator="notEqual">
      <formula>0</formula>
    </cfRule>
    <cfRule type="cellIs" dxfId="0" priority="2" operator="equal">
      <formula>0</formula>
    </cfRule>
  </conditionalFormatting>
  <printOptions horizontalCentered="1"/>
  <pageMargins left="0.25" right="0.25" top="0.75" bottom="0.75" header="0.3" footer="0.3"/>
  <pageSetup scale="61" orientation="landscape" r:id="rId1"/>
  <headerFooter>
    <oddFooter>&amp;R&amp;"Times New Roman,Regular"Exhibit  JW-2
Page &amp;P of &amp;N</oddFooter>
  </headerFooter>
  <ignoredErrors>
    <ignoredError sqref="C31:U37 C48:U48 C38:F38 H38:U38 C39:U44 N45:U45 N47:U4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34"/>
  <sheetViews>
    <sheetView topLeftCell="A4" zoomScaleNormal="100" workbookViewId="0">
      <selection activeCell="I62" sqref="I62"/>
    </sheetView>
  </sheetViews>
  <sheetFormatPr defaultRowHeight="12.75"/>
  <cols>
    <col min="1" max="1" width="5.85546875" style="3" customWidth="1"/>
    <col min="2" max="2" width="2.28515625" style="3" customWidth="1"/>
    <col min="3" max="3" width="11.7109375" style="3" customWidth="1"/>
    <col min="4" max="4" width="10.85546875" style="3" customWidth="1"/>
    <col min="5" max="5" width="3" style="3" customWidth="1"/>
    <col min="6" max="6" width="15.28515625" style="3" customWidth="1"/>
    <col min="7" max="7" width="3.28515625" style="3" customWidth="1"/>
    <col min="8" max="8" width="15.7109375" style="3" customWidth="1"/>
    <col min="9" max="16384" width="9.140625" style="3"/>
  </cols>
  <sheetData>
    <row r="1" spans="1:15">
      <c r="G1" s="171"/>
      <c r="H1" s="171" t="s">
        <v>27</v>
      </c>
    </row>
    <row r="2" spans="1:15" ht="20.25" customHeight="1">
      <c r="G2" s="171"/>
      <c r="H2" s="171"/>
    </row>
    <row r="3" spans="1:15">
      <c r="G3" s="171"/>
      <c r="H3" s="171"/>
    </row>
    <row r="4" spans="1:15">
      <c r="A4" s="311" t="str">
        <f>RevReq!A1</f>
        <v>MEADE COUNTY R.E.C.C.</v>
      </c>
      <c r="B4" s="311"/>
      <c r="C4" s="311"/>
      <c r="D4" s="311"/>
      <c r="E4" s="311"/>
      <c r="F4" s="311"/>
      <c r="G4" s="311"/>
      <c r="H4" s="311"/>
      <c r="J4" s="265"/>
      <c r="K4" s="265"/>
      <c r="L4" s="265"/>
      <c r="M4" s="265"/>
      <c r="N4" s="265"/>
      <c r="O4" s="265"/>
    </row>
    <row r="5" spans="1:15">
      <c r="A5" s="311" t="str">
        <f>RevReq!A3</f>
        <v>For the 12 Months Ended December 31, 2019</v>
      </c>
      <c r="B5" s="311"/>
      <c r="C5" s="311"/>
      <c r="D5" s="311"/>
      <c r="E5" s="311"/>
      <c r="F5" s="311"/>
      <c r="G5" s="311"/>
      <c r="H5" s="311"/>
    </row>
    <row r="7" spans="1:15" s="172" customFormat="1" ht="15" customHeight="1">
      <c r="A7" s="312" t="s">
        <v>121</v>
      </c>
      <c r="B7" s="312"/>
      <c r="C7" s="312"/>
      <c r="D7" s="312"/>
      <c r="E7" s="312"/>
      <c r="F7" s="312"/>
      <c r="G7" s="312"/>
      <c r="H7" s="312"/>
    </row>
    <row r="9" spans="1:15">
      <c r="A9" s="251" t="s">
        <v>0</v>
      </c>
      <c r="C9" s="251" t="s">
        <v>16</v>
      </c>
      <c r="D9" s="251" t="s">
        <v>17</v>
      </c>
      <c r="E9" s="251"/>
      <c r="F9" s="251" t="s">
        <v>23</v>
      </c>
      <c r="G9" s="251"/>
      <c r="H9" s="251" t="s">
        <v>24</v>
      </c>
    </row>
    <row r="10" spans="1:15">
      <c r="A10" s="252" t="s">
        <v>21</v>
      </c>
      <c r="C10" s="266" t="s">
        <v>18</v>
      </c>
      <c r="D10" s="266" t="s">
        <v>20</v>
      </c>
      <c r="E10" s="251"/>
      <c r="F10" s="266" t="s">
        <v>19</v>
      </c>
      <c r="G10" s="266"/>
      <c r="H10" s="266" t="s">
        <v>25</v>
      </c>
    </row>
    <row r="11" spans="1:15">
      <c r="A11" s="251"/>
    </row>
    <row r="12" spans="1:15">
      <c r="A12" s="251"/>
    </row>
    <row r="13" spans="1:15">
      <c r="A13" s="251">
        <v>1</v>
      </c>
      <c r="C13" s="251">
        <v>2019</v>
      </c>
      <c r="D13" s="251" t="s">
        <v>6</v>
      </c>
      <c r="E13" s="188"/>
      <c r="F13" s="188">
        <v>1815.8100000000002</v>
      </c>
      <c r="G13" s="188"/>
      <c r="H13" s="188">
        <v>81737.89</v>
      </c>
    </row>
    <row r="14" spans="1:15">
      <c r="A14" s="251">
        <v>2</v>
      </c>
      <c r="C14" s="251">
        <f>C13</f>
        <v>2019</v>
      </c>
      <c r="D14" s="251" t="s">
        <v>7</v>
      </c>
      <c r="E14" s="188"/>
      <c r="F14" s="188">
        <v>71443.159999999989</v>
      </c>
      <c r="G14" s="188"/>
      <c r="H14" s="188">
        <v>13218.89</v>
      </c>
    </row>
    <row r="15" spans="1:15">
      <c r="A15" s="251">
        <v>3</v>
      </c>
      <c r="C15" s="251">
        <f t="shared" ref="C15:C24" si="0">C14</f>
        <v>2019</v>
      </c>
      <c r="D15" s="251" t="s">
        <v>8</v>
      </c>
      <c r="E15" s="188"/>
      <c r="F15" s="188">
        <v>23210.949999999993</v>
      </c>
      <c r="G15" s="188"/>
      <c r="H15" s="188">
        <v>22301.15</v>
      </c>
    </row>
    <row r="16" spans="1:15">
      <c r="A16" s="251">
        <v>4</v>
      </c>
      <c r="C16" s="251">
        <f t="shared" si="0"/>
        <v>2019</v>
      </c>
      <c r="D16" s="251" t="s">
        <v>9</v>
      </c>
      <c r="E16" s="188"/>
      <c r="F16" s="188">
        <v>15631.660000000002</v>
      </c>
      <c r="G16" s="188"/>
      <c r="H16" s="188">
        <v>-1882.28</v>
      </c>
    </row>
    <row r="17" spans="1:8">
      <c r="A17" s="251">
        <v>5</v>
      </c>
      <c r="C17" s="251">
        <f t="shared" si="0"/>
        <v>2019</v>
      </c>
      <c r="D17" s="251" t="s">
        <v>10</v>
      </c>
      <c r="E17" s="188"/>
      <c r="F17" s="188">
        <v>5328.72</v>
      </c>
      <c r="G17" s="188"/>
      <c r="H17" s="188">
        <v>49593.06</v>
      </c>
    </row>
    <row r="18" spans="1:8">
      <c r="A18" s="251">
        <v>6</v>
      </c>
      <c r="C18" s="251">
        <f t="shared" si="0"/>
        <v>2019</v>
      </c>
      <c r="D18" s="251" t="s">
        <v>11</v>
      </c>
      <c r="E18" s="188"/>
      <c r="F18" s="188">
        <v>54131.279999999992</v>
      </c>
      <c r="G18" s="188"/>
      <c r="H18" s="188">
        <v>4371.8</v>
      </c>
    </row>
    <row r="19" spans="1:8">
      <c r="A19" s="251">
        <v>7</v>
      </c>
      <c r="C19" s="251">
        <f t="shared" si="0"/>
        <v>2019</v>
      </c>
      <c r="D19" s="251" t="s">
        <v>12</v>
      </c>
      <c r="E19" s="188"/>
      <c r="F19" s="188">
        <v>-578.25</v>
      </c>
      <c r="G19" s="188"/>
      <c r="H19" s="188">
        <v>-34340.51</v>
      </c>
    </row>
    <row r="20" spans="1:8">
      <c r="A20" s="251">
        <v>8</v>
      </c>
      <c r="C20" s="251">
        <f t="shared" si="0"/>
        <v>2019</v>
      </c>
      <c r="D20" s="251" t="s">
        <v>13</v>
      </c>
      <c r="E20" s="188"/>
      <c r="F20" s="188">
        <v>-32557.57</v>
      </c>
      <c r="G20" s="188"/>
      <c r="H20" s="188">
        <v>21100.400000000001</v>
      </c>
    </row>
    <row r="21" spans="1:8">
      <c r="A21" s="251">
        <v>9</v>
      </c>
      <c r="C21" s="251">
        <f t="shared" si="0"/>
        <v>2019</v>
      </c>
      <c r="D21" s="251" t="s">
        <v>2</v>
      </c>
      <c r="E21" s="188"/>
      <c r="F21" s="188">
        <v>18640.84</v>
      </c>
      <c r="G21" s="188"/>
      <c r="H21" s="188">
        <v>41482.910000000003</v>
      </c>
    </row>
    <row r="22" spans="1:8">
      <c r="A22" s="251">
        <v>10</v>
      </c>
      <c r="C22" s="251">
        <f t="shared" si="0"/>
        <v>2019</v>
      </c>
      <c r="D22" s="251" t="s">
        <v>3</v>
      </c>
      <c r="E22" s="188"/>
      <c r="F22" s="188">
        <v>33609.129999999997</v>
      </c>
      <c r="G22" s="188"/>
      <c r="H22" s="188">
        <v>40189.089999999997</v>
      </c>
    </row>
    <row r="23" spans="1:8">
      <c r="A23" s="251">
        <v>11</v>
      </c>
      <c r="C23" s="251">
        <f t="shared" si="0"/>
        <v>2019</v>
      </c>
      <c r="D23" s="251" t="s">
        <v>4</v>
      </c>
      <c r="E23" s="188"/>
      <c r="F23" s="188">
        <v>65603.77</v>
      </c>
      <c r="G23" s="188"/>
      <c r="H23" s="188">
        <v>112256.49</v>
      </c>
    </row>
    <row r="24" spans="1:8">
      <c r="A24" s="251">
        <v>12</v>
      </c>
      <c r="C24" s="251">
        <f t="shared" si="0"/>
        <v>2019</v>
      </c>
      <c r="D24" s="251" t="s">
        <v>5</v>
      </c>
      <c r="E24" s="188"/>
      <c r="F24" s="188">
        <v>99542.229999999981</v>
      </c>
      <c r="G24" s="188"/>
      <c r="H24" s="188">
        <v>82084.33</v>
      </c>
    </row>
    <row r="25" spans="1:8">
      <c r="A25" s="251">
        <v>13</v>
      </c>
      <c r="C25" s="49"/>
      <c r="D25" s="5" t="s">
        <v>14</v>
      </c>
      <c r="E25" s="194"/>
      <c r="F25" s="194">
        <f>SUM(F13:F24)</f>
        <v>355821.73</v>
      </c>
      <c r="G25" s="194"/>
      <c r="H25" s="194">
        <f>SUM(H13:H24)</f>
        <v>432113.22</v>
      </c>
    </row>
    <row r="26" spans="1:8">
      <c r="A26" s="251">
        <v>14</v>
      </c>
      <c r="C26" s="2"/>
      <c r="D26" s="2"/>
      <c r="E26" s="267"/>
      <c r="F26" s="267"/>
      <c r="G26" s="267"/>
    </row>
    <row r="27" spans="1:8">
      <c r="A27" s="251">
        <v>15</v>
      </c>
      <c r="C27" s="2" t="s">
        <v>37</v>
      </c>
      <c r="D27" s="2"/>
      <c r="E27" s="267"/>
      <c r="F27" s="143">
        <f>F25</f>
        <v>355821.73</v>
      </c>
      <c r="G27" s="143"/>
      <c r="H27" s="143">
        <f>H25</f>
        <v>432113.22</v>
      </c>
    </row>
    <row r="28" spans="1:8">
      <c r="A28" s="251">
        <v>16</v>
      </c>
      <c r="C28" s="2"/>
      <c r="D28" s="2"/>
      <c r="E28" s="267"/>
      <c r="F28" s="267"/>
      <c r="G28" s="267"/>
    </row>
    <row r="29" spans="1:8">
      <c r="A29" s="251">
        <v>17</v>
      </c>
      <c r="C29" s="3" t="s">
        <v>38</v>
      </c>
      <c r="E29" s="188"/>
      <c r="F29" s="188">
        <v>0</v>
      </c>
      <c r="G29" s="188"/>
      <c r="H29" s="188">
        <v>0</v>
      </c>
    </row>
    <row r="30" spans="1:8">
      <c r="A30" s="251">
        <v>18</v>
      </c>
    </row>
    <row r="31" spans="1:8" ht="13.5" thickBot="1">
      <c r="A31" s="251">
        <v>19</v>
      </c>
      <c r="C31" s="4" t="s">
        <v>15</v>
      </c>
      <c r="D31" s="4"/>
      <c r="E31" s="268"/>
      <c r="F31" s="269">
        <f>ROUND(F29-F27,2)</f>
        <v>-355821.73</v>
      </c>
      <c r="G31" s="268"/>
      <c r="H31" s="269">
        <f>ROUND(H29-H27,2)</f>
        <v>-432113.22</v>
      </c>
    </row>
    <row r="32" spans="1:8" ht="13.5" thickTop="1"/>
    <row r="34" spans="3:8" ht="30" customHeight="1">
      <c r="C34" s="313" t="s">
        <v>39</v>
      </c>
      <c r="D34" s="313"/>
      <c r="E34" s="313"/>
      <c r="F34" s="313"/>
      <c r="G34" s="313"/>
      <c r="H34" s="313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&amp;R&amp;"Times New Roman,Regular"Exhibit JW-2
Page &amp;P of &amp;N</oddFooter>
  </headerFooter>
  <ignoredErrors>
    <ignoredError sqref="D10:H11 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H34"/>
  <sheetViews>
    <sheetView zoomScaleNormal="100" workbookViewId="0">
      <selection activeCell="I62" sqref="I62"/>
    </sheetView>
  </sheetViews>
  <sheetFormatPr defaultRowHeight="12.75"/>
  <cols>
    <col min="1" max="1" width="5.85546875" style="3" customWidth="1"/>
    <col min="2" max="2" width="2.28515625" style="3" customWidth="1"/>
    <col min="3" max="3" width="11.7109375" style="3" customWidth="1"/>
    <col min="4" max="4" width="10.85546875" style="3" customWidth="1"/>
    <col min="5" max="5" width="3.42578125" style="3" customWidth="1"/>
    <col min="6" max="6" width="15.28515625" style="3" customWidth="1"/>
    <col min="7" max="7" width="3.28515625" style="3" customWidth="1"/>
    <col min="8" max="8" width="14.42578125" style="3" customWidth="1"/>
    <col min="9" max="16384" width="9.140625" style="3"/>
  </cols>
  <sheetData>
    <row r="1" spans="1:8">
      <c r="G1" s="171"/>
      <c r="H1" s="171" t="s">
        <v>26</v>
      </c>
    </row>
    <row r="2" spans="1:8" ht="20.25" customHeight="1">
      <c r="G2" s="171"/>
      <c r="H2" s="171"/>
    </row>
    <row r="3" spans="1:8">
      <c r="G3" s="171"/>
      <c r="H3" s="171"/>
    </row>
    <row r="4" spans="1:8">
      <c r="A4" s="311" t="str">
        <f>RevReq!A1</f>
        <v>MEADE COUNTY R.E.C.C.</v>
      </c>
      <c r="B4" s="311"/>
      <c r="C4" s="311"/>
      <c r="D4" s="311"/>
      <c r="E4" s="311"/>
      <c r="F4" s="311"/>
      <c r="G4" s="311"/>
      <c r="H4" s="311"/>
    </row>
    <row r="5" spans="1:8">
      <c r="A5" s="311" t="str">
        <f>RevReq!A3</f>
        <v>For the 12 Months Ended December 31, 2019</v>
      </c>
      <c r="B5" s="311"/>
      <c r="C5" s="311"/>
      <c r="D5" s="311"/>
      <c r="E5" s="311"/>
      <c r="F5" s="311"/>
      <c r="G5" s="311"/>
      <c r="H5" s="311"/>
    </row>
    <row r="7" spans="1:8" s="172" customFormat="1" ht="15" customHeight="1">
      <c r="A7" s="312" t="s">
        <v>120</v>
      </c>
      <c r="B7" s="312"/>
      <c r="C7" s="312"/>
      <c r="D7" s="312"/>
      <c r="E7" s="312"/>
      <c r="F7" s="312"/>
      <c r="G7" s="312"/>
      <c r="H7" s="312"/>
    </row>
    <row r="9" spans="1:8">
      <c r="A9" s="251" t="s">
        <v>0</v>
      </c>
      <c r="C9" s="251" t="s">
        <v>16</v>
      </c>
      <c r="D9" s="251" t="s">
        <v>17</v>
      </c>
      <c r="E9" s="251"/>
      <c r="F9" s="251" t="s">
        <v>23</v>
      </c>
      <c r="G9" s="251"/>
      <c r="H9" s="251" t="s">
        <v>24</v>
      </c>
    </row>
    <row r="10" spans="1:8">
      <c r="A10" s="252" t="s">
        <v>21</v>
      </c>
      <c r="C10" s="266" t="s">
        <v>18</v>
      </c>
      <c r="D10" s="266" t="s">
        <v>20</v>
      </c>
      <c r="E10" s="251"/>
      <c r="F10" s="266" t="s">
        <v>19</v>
      </c>
      <c r="G10" s="266"/>
      <c r="H10" s="266" t="s">
        <v>25</v>
      </c>
    </row>
    <row r="11" spans="1:8">
      <c r="A11" s="251"/>
    </row>
    <row r="12" spans="1:8">
      <c r="A12" s="251"/>
    </row>
    <row r="13" spans="1:8">
      <c r="A13" s="251">
        <v>1</v>
      </c>
      <c r="C13" s="251">
        <v>2019</v>
      </c>
      <c r="D13" s="251" t="s">
        <v>6</v>
      </c>
      <c r="E13" s="188"/>
      <c r="F13" s="188">
        <v>391512.4</v>
      </c>
      <c r="G13" s="188"/>
      <c r="H13" s="188">
        <v>465385.34</v>
      </c>
    </row>
    <row r="14" spans="1:8">
      <c r="A14" s="251">
        <v>2</v>
      </c>
      <c r="C14" s="251">
        <f>C13</f>
        <v>2019</v>
      </c>
      <c r="D14" s="251" t="s">
        <v>7</v>
      </c>
      <c r="E14" s="188"/>
      <c r="F14" s="188">
        <v>382070.5</v>
      </c>
      <c r="G14" s="188"/>
      <c r="H14" s="188">
        <v>303544.93</v>
      </c>
    </row>
    <row r="15" spans="1:8">
      <c r="A15" s="251">
        <v>3</v>
      </c>
      <c r="C15" s="251">
        <f t="shared" ref="C15:C24" si="0">C14</f>
        <v>2019</v>
      </c>
      <c r="D15" s="251" t="s">
        <v>8</v>
      </c>
      <c r="E15" s="188"/>
      <c r="F15" s="188">
        <v>355547.6</v>
      </c>
      <c r="G15" s="188"/>
      <c r="H15" s="188">
        <v>281141.62</v>
      </c>
    </row>
    <row r="16" spans="1:8">
      <c r="A16" s="251">
        <v>4</v>
      </c>
      <c r="C16" s="251">
        <f t="shared" si="0"/>
        <v>2019</v>
      </c>
      <c r="D16" s="251" t="s">
        <v>9</v>
      </c>
      <c r="E16" s="188"/>
      <c r="F16" s="188">
        <v>197122.3</v>
      </c>
      <c r="G16" s="188"/>
      <c r="H16" s="188">
        <v>208444.41</v>
      </c>
    </row>
    <row r="17" spans="1:8">
      <c r="A17" s="251">
        <v>5</v>
      </c>
      <c r="C17" s="251">
        <f t="shared" si="0"/>
        <v>2019</v>
      </c>
      <c r="D17" s="251" t="s">
        <v>10</v>
      </c>
      <c r="E17" s="188"/>
      <c r="F17" s="188">
        <v>318246.44</v>
      </c>
      <c r="G17" s="188"/>
      <c r="H17" s="188">
        <v>196633.76</v>
      </c>
    </row>
    <row r="18" spans="1:8">
      <c r="A18" s="251">
        <v>6</v>
      </c>
      <c r="C18" s="251">
        <f t="shared" si="0"/>
        <v>2019</v>
      </c>
      <c r="D18" s="251" t="s">
        <v>11</v>
      </c>
      <c r="E18" s="188"/>
      <c r="F18" s="188">
        <v>190469.95</v>
      </c>
      <c r="G18" s="188"/>
      <c r="H18" s="188">
        <v>285542.81</v>
      </c>
    </row>
    <row r="19" spans="1:8">
      <c r="A19" s="251">
        <v>7</v>
      </c>
      <c r="C19" s="251">
        <f t="shared" si="0"/>
        <v>2019</v>
      </c>
      <c r="D19" s="251" t="s">
        <v>12</v>
      </c>
      <c r="E19" s="188"/>
      <c r="F19" s="188">
        <v>330911.42</v>
      </c>
      <c r="G19" s="188"/>
      <c r="H19" s="188">
        <v>294089.65999999997</v>
      </c>
    </row>
    <row r="20" spans="1:8">
      <c r="A20" s="251">
        <v>8</v>
      </c>
      <c r="C20" s="251">
        <f t="shared" si="0"/>
        <v>2019</v>
      </c>
      <c r="D20" s="251" t="s">
        <v>13</v>
      </c>
      <c r="E20" s="188"/>
      <c r="F20" s="188">
        <v>219602.36</v>
      </c>
      <c r="G20" s="188"/>
      <c r="H20" s="188">
        <v>304053.2</v>
      </c>
    </row>
    <row r="21" spans="1:8">
      <c r="A21" s="251">
        <v>9</v>
      </c>
      <c r="C21" s="251">
        <f t="shared" si="0"/>
        <v>2019</v>
      </c>
      <c r="D21" s="251" t="s">
        <v>2</v>
      </c>
      <c r="E21" s="188"/>
      <c r="F21" s="188">
        <v>304736.7</v>
      </c>
      <c r="G21" s="188"/>
      <c r="H21" s="188">
        <v>204877.39</v>
      </c>
    </row>
    <row r="22" spans="1:8">
      <c r="A22" s="251">
        <v>10</v>
      </c>
      <c r="C22" s="251">
        <f t="shared" si="0"/>
        <v>2019</v>
      </c>
      <c r="D22" s="251" t="s">
        <v>3</v>
      </c>
      <c r="E22" s="188"/>
      <c r="F22" s="188">
        <v>171887.93</v>
      </c>
      <c r="G22" s="188"/>
      <c r="H22" s="188">
        <v>169058.21</v>
      </c>
    </row>
    <row r="23" spans="1:8">
      <c r="A23" s="251">
        <v>11</v>
      </c>
      <c r="C23" s="251">
        <f t="shared" si="0"/>
        <v>2019</v>
      </c>
      <c r="D23" s="251" t="s">
        <v>4</v>
      </c>
      <c r="E23" s="188"/>
      <c r="F23" s="188">
        <v>286403.06</v>
      </c>
      <c r="G23" s="188"/>
      <c r="H23" s="188">
        <v>197670.13</v>
      </c>
    </row>
    <row r="24" spans="1:8">
      <c r="A24" s="251">
        <v>12</v>
      </c>
      <c r="C24" s="251">
        <f t="shared" si="0"/>
        <v>2019</v>
      </c>
      <c r="D24" s="251" t="s">
        <v>5</v>
      </c>
      <c r="E24" s="188"/>
      <c r="F24" s="188">
        <v>129713.69</v>
      </c>
      <c r="G24" s="188"/>
      <c r="H24" s="188">
        <v>255928.99</v>
      </c>
    </row>
    <row r="25" spans="1:8">
      <c r="A25" s="251">
        <v>13</v>
      </c>
      <c r="C25" s="49"/>
      <c r="D25" s="5" t="s">
        <v>14</v>
      </c>
      <c r="E25" s="194"/>
      <c r="F25" s="194">
        <f>SUM(F13:F24)</f>
        <v>3278224.35</v>
      </c>
      <c r="G25" s="194"/>
      <c r="H25" s="194">
        <f>SUM(H13:H24)</f>
        <v>3166370.45</v>
      </c>
    </row>
    <row r="26" spans="1:8">
      <c r="A26" s="251">
        <v>14</v>
      </c>
      <c r="C26" s="2"/>
      <c r="D26" s="2"/>
      <c r="E26" s="267"/>
      <c r="F26" s="267"/>
      <c r="G26" s="267"/>
    </row>
    <row r="27" spans="1:8">
      <c r="A27" s="251">
        <v>15</v>
      </c>
      <c r="C27" s="2" t="s">
        <v>37</v>
      </c>
      <c r="D27" s="2"/>
      <c r="E27" s="267"/>
      <c r="F27" s="143">
        <f>F25</f>
        <v>3278224.35</v>
      </c>
      <c r="G27" s="143"/>
      <c r="H27" s="143">
        <f>H25</f>
        <v>3166370.45</v>
      </c>
    </row>
    <row r="28" spans="1:8">
      <c r="A28" s="251">
        <v>16</v>
      </c>
      <c r="C28" s="2"/>
      <c r="D28" s="2"/>
      <c r="E28" s="267"/>
      <c r="F28" s="143"/>
      <c r="G28" s="143"/>
      <c r="H28" s="36"/>
    </row>
    <row r="29" spans="1:8">
      <c r="A29" s="251">
        <v>17</v>
      </c>
      <c r="C29" s="3" t="s">
        <v>38</v>
      </c>
      <c r="E29" s="188"/>
      <c r="F29" s="188">
        <v>0</v>
      </c>
      <c r="G29" s="188"/>
      <c r="H29" s="188">
        <v>0</v>
      </c>
    </row>
    <row r="30" spans="1:8">
      <c r="A30" s="251">
        <v>18</v>
      </c>
    </row>
    <row r="31" spans="1:8" ht="13.5" thickBot="1">
      <c r="A31" s="251">
        <v>19</v>
      </c>
      <c r="C31" s="4" t="s">
        <v>15</v>
      </c>
      <c r="D31" s="4"/>
      <c r="E31" s="268"/>
      <c r="F31" s="269">
        <f>ROUND(F29-F27,2)</f>
        <v>-3278224.35</v>
      </c>
      <c r="G31" s="268"/>
      <c r="H31" s="269">
        <f>ROUND(H29-H27,2)</f>
        <v>-3166370.45</v>
      </c>
    </row>
    <row r="32" spans="1:8" ht="13.5" thickTop="1"/>
    <row r="34" spans="3:8" ht="29.25" customHeight="1">
      <c r="C34" s="313" t="s">
        <v>40</v>
      </c>
      <c r="D34" s="313"/>
      <c r="E34" s="313"/>
      <c r="F34" s="313"/>
      <c r="G34" s="313"/>
      <c r="H34" s="313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&amp;R&amp;"Times New Roman,Regular"Exhibit JW-2
Page &amp;P of &amp;N</oddFooter>
  </headerFooter>
  <ignoredErrors>
    <ignoredError sqref="C10:H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16" zoomScaleNormal="100" workbookViewId="0">
      <selection activeCell="I62" sqref="I62"/>
    </sheetView>
  </sheetViews>
  <sheetFormatPr defaultRowHeight="12.75"/>
  <cols>
    <col min="1" max="1" width="5.85546875" style="3" customWidth="1"/>
    <col min="2" max="2" width="2.28515625" style="3" customWidth="1"/>
    <col min="3" max="3" width="11.7109375" style="3" customWidth="1"/>
    <col min="4" max="4" width="10.85546875" style="3" customWidth="1"/>
    <col min="5" max="5" width="3.5703125" style="3" customWidth="1"/>
    <col min="6" max="6" width="15.28515625" style="3" customWidth="1"/>
    <col min="7" max="7" width="3.28515625" style="3" customWidth="1"/>
    <col min="8" max="8" width="14.42578125" style="3" customWidth="1"/>
    <col min="9" max="16384" width="9.140625" style="3"/>
  </cols>
  <sheetData>
    <row r="1" spans="1:8">
      <c r="G1" s="171"/>
      <c r="H1" s="171" t="s">
        <v>117</v>
      </c>
    </row>
    <row r="2" spans="1:8" ht="20.25" customHeight="1">
      <c r="G2" s="171"/>
      <c r="H2" s="171"/>
    </row>
    <row r="3" spans="1:8">
      <c r="G3" s="171"/>
      <c r="H3" s="171"/>
    </row>
    <row r="4" spans="1:8">
      <c r="A4" s="311" t="str">
        <f>RevReq!A1</f>
        <v>MEADE COUNTY R.E.C.C.</v>
      </c>
      <c r="B4" s="311"/>
      <c r="C4" s="311"/>
      <c r="D4" s="311"/>
      <c r="E4" s="311"/>
      <c r="F4" s="311"/>
      <c r="G4" s="311"/>
      <c r="H4" s="311"/>
    </row>
    <row r="5" spans="1:8">
      <c r="A5" s="311" t="str">
        <f>RevReq!A3</f>
        <v>For the 12 Months Ended December 31, 2019</v>
      </c>
      <c r="B5" s="311"/>
      <c r="C5" s="311"/>
      <c r="D5" s="311"/>
      <c r="E5" s="311"/>
      <c r="F5" s="311"/>
      <c r="G5" s="311"/>
      <c r="H5" s="311"/>
    </row>
    <row r="7" spans="1:8" s="172" customFormat="1" ht="15" customHeight="1">
      <c r="A7" s="312" t="s">
        <v>262</v>
      </c>
      <c r="B7" s="312"/>
      <c r="C7" s="312"/>
      <c r="D7" s="312"/>
      <c r="E7" s="312"/>
      <c r="F7" s="312"/>
      <c r="G7" s="312"/>
      <c r="H7" s="312"/>
    </row>
    <row r="9" spans="1:8">
      <c r="A9" s="251" t="s">
        <v>0</v>
      </c>
      <c r="C9" s="251" t="s">
        <v>16</v>
      </c>
      <c r="D9" s="251" t="s">
        <v>17</v>
      </c>
      <c r="E9" s="251"/>
      <c r="F9" s="251" t="s">
        <v>23</v>
      </c>
      <c r="G9" s="251"/>
      <c r="H9" s="251" t="s">
        <v>24</v>
      </c>
    </row>
    <row r="10" spans="1:8">
      <c r="A10" s="252" t="s">
        <v>21</v>
      </c>
      <c r="C10" s="266" t="s">
        <v>18</v>
      </c>
      <c r="D10" s="266" t="s">
        <v>20</v>
      </c>
      <c r="E10" s="251"/>
      <c r="F10" s="266" t="s">
        <v>19</v>
      </c>
      <c r="G10" s="266"/>
      <c r="H10" s="266" t="s">
        <v>25</v>
      </c>
    </row>
    <row r="11" spans="1:8">
      <c r="A11" s="251"/>
    </row>
    <row r="12" spans="1:8">
      <c r="A12" s="251"/>
    </row>
    <row r="13" spans="1:8">
      <c r="A13" s="251">
        <v>1</v>
      </c>
      <c r="C13" s="251">
        <v>2019</v>
      </c>
      <c r="D13" s="251" t="s">
        <v>6</v>
      </c>
      <c r="E13" s="188"/>
      <c r="F13" s="188">
        <v>-130100.64</v>
      </c>
      <c r="G13" s="188"/>
      <c r="H13" s="188">
        <v>-132053.22</v>
      </c>
    </row>
    <row r="14" spans="1:8">
      <c r="A14" s="251">
        <v>2</v>
      </c>
      <c r="C14" s="251">
        <f>C13</f>
        <v>2019</v>
      </c>
      <c r="D14" s="251" t="s">
        <v>7</v>
      </c>
      <c r="E14" s="188"/>
      <c r="F14" s="188">
        <v>-107178.39</v>
      </c>
      <c r="G14" s="188"/>
      <c r="H14" s="188">
        <v>-161296.85</v>
      </c>
    </row>
    <row r="15" spans="1:8">
      <c r="A15" s="251">
        <v>3</v>
      </c>
      <c r="C15" s="251">
        <f t="shared" ref="C15:C24" si="0">C14</f>
        <v>2019</v>
      </c>
      <c r="D15" s="251" t="s">
        <v>8</v>
      </c>
      <c r="E15" s="188"/>
      <c r="F15" s="188">
        <v>-175394.64</v>
      </c>
      <c r="G15" s="188"/>
      <c r="H15" s="188">
        <v>-241443.75</v>
      </c>
    </row>
    <row r="16" spans="1:8">
      <c r="A16" s="251">
        <v>4</v>
      </c>
      <c r="C16" s="251">
        <f t="shared" si="0"/>
        <v>2019</v>
      </c>
      <c r="D16" s="251" t="s">
        <v>9</v>
      </c>
      <c r="E16" s="188"/>
      <c r="F16" s="188">
        <v>-168753.42</v>
      </c>
      <c r="G16" s="188"/>
      <c r="H16" s="188">
        <v>-208610.73</v>
      </c>
    </row>
    <row r="17" spans="1:8">
      <c r="A17" s="251">
        <v>5</v>
      </c>
      <c r="C17" s="251">
        <f t="shared" si="0"/>
        <v>2019</v>
      </c>
      <c r="D17" s="251" t="s">
        <v>10</v>
      </c>
      <c r="E17" s="188"/>
      <c r="F17" s="188">
        <v>-304975.06</v>
      </c>
      <c r="G17" s="188"/>
      <c r="H17" s="188">
        <v>-199965.73</v>
      </c>
    </row>
    <row r="18" spans="1:8">
      <c r="A18" s="251">
        <v>6</v>
      </c>
      <c r="C18" s="251">
        <f t="shared" si="0"/>
        <v>2019</v>
      </c>
      <c r="D18" s="251" t="s">
        <v>11</v>
      </c>
      <c r="E18" s="188"/>
      <c r="F18" s="188">
        <v>-195180.19</v>
      </c>
      <c r="G18" s="188"/>
      <c r="H18" s="188">
        <v>-211217.14</v>
      </c>
    </row>
    <row r="19" spans="1:8">
      <c r="A19" s="251">
        <v>7</v>
      </c>
      <c r="C19" s="251">
        <f t="shared" si="0"/>
        <v>2019</v>
      </c>
      <c r="D19" s="251" t="s">
        <v>12</v>
      </c>
      <c r="E19" s="188"/>
      <c r="F19" s="188">
        <v>-238782.55</v>
      </c>
      <c r="G19" s="188"/>
      <c r="H19" s="188">
        <v>-211634.43</v>
      </c>
    </row>
    <row r="20" spans="1:8">
      <c r="A20" s="251">
        <v>8</v>
      </c>
      <c r="C20" s="251">
        <f t="shared" si="0"/>
        <v>2019</v>
      </c>
      <c r="D20" s="251" t="s">
        <v>13</v>
      </c>
      <c r="E20" s="188"/>
      <c r="F20" s="188">
        <v>-157851.51</v>
      </c>
      <c r="G20" s="188"/>
      <c r="H20" s="188">
        <v>-210378.29</v>
      </c>
    </row>
    <row r="21" spans="1:8">
      <c r="A21" s="251">
        <v>9</v>
      </c>
      <c r="C21" s="251">
        <f t="shared" si="0"/>
        <v>2019</v>
      </c>
      <c r="D21" s="251" t="s">
        <v>2</v>
      </c>
      <c r="E21" s="188"/>
      <c r="F21" s="188">
        <v>-211161.16</v>
      </c>
      <c r="G21" s="188"/>
      <c r="H21" s="188">
        <v>-208859.8</v>
      </c>
    </row>
    <row r="22" spans="1:8">
      <c r="A22" s="251">
        <v>10</v>
      </c>
      <c r="C22" s="251">
        <f t="shared" si="0"/>
        <v>2019</v>
      </c>
      <c r="D22" s="251" t="s">
        <v>3</v>
      </c>
      <c r="E22" s="188"/>
      <c r="F22" s="188">
        <v>-172345.77</v>
      </c>
      <c r="G22" s="188"/>
      <c r="H22" s="188">
        <v>-213511.6</v>
      </c>
    </row>
    <row r="23" spans="1:8">
      <c r="A23" s="251">
        <v>11</v>
      </c>
      <c r="C23" s="251">
        <f t="shared" si="0"/>
        <v>2019</v>
      </c>
      <c r="D23" s="251" t="s">
        <v>4</v>
      </c>
      <c r="E23" s="188"/>
      <c r="F23" s="188">
        <v>-346273.03</v>
      </c>
      <c r="G23" s="188"/>
      <c r="H23" s="188">
        <v>-240973.04</v>
      </c>
    </row>
    <row r="24" spans="1:8">
      <c r="A24" s="251">
        <v>12</v>
      </c>
      <c r="C24" s="251">
        <f t="shared" si="0"/>
        <v>2019</v>
      </c>
      <c r="D24" s="251" t="s">
        <v>5</v>
      </c>
      <c r="E24" s="188"/>
      <c r="F24" s="188">
        <v>-158893.4</v>
      </c>
      <c r="G24" s="188"/>
      <c r="H24" s="188">
        <v>-238700.76</v>
      </c>
    </row>
    <row r="25" spans="1:8">
      <c r="A25" s="251">
        <v>13</v>
      </c>
      <c r="C25" s="49"/>
      <c r="D25" s="5" t="s">
        <v>14</v>
      </c>
      <c r="E25" s="194"/>
      <c r="F25" s="194">
        <f>SUM(F13:F24)</f>
        <v>-2366889.7600000002</v>
      </c>
      <c r="G25" s="194"/>
      <c r="H25" s="194">
        <f>SUM(H13:H24)</f>
        <v>-2478645.34</v>
      </c>
    </row>
    <row r="26" spans="1:8">
      <c r="A26" s="251">
        <v>14</v>
      </c>
      <c r="C26" s="2"/>
      <c r="D26" s="2"/>
      <c r="E26" s="267"/>
      <c r="F26" s="267"/>
      <c r="G26" s="267"/>
    </row>
    <row r="27" spans="1:8">
      <c r="A27" s="251">
        <v>15</v>
      </c>
      <c r="C27" s="2" t="s">
        <v>37</v>
      </c>
      <c r="D27" s="2"/>
      <c r="E27" s="267"/>
      <c r="F27" s="143">
        <f>F25</f>
        <v>-2366889.7600000002</v>
      </c>
      <c r="G27" s="143"/>
      <c r="H27" s="143">
        <f>H25</f>
        <v>-2478645.34</v>
      </c>
    </row>
    <row r="28" spans="1:8">
      <c r="A28" s="251">
        <v>16</v>
      </c>
      <c r="C28" s="2"/>
      <c r="D28" s="2"/>
      <c r="E28" s="267"/>
      <c r="F28" s="143"/>
      <c r="G28" s="143"/>
      <c r="H28" s="36"/>
    </row>
    <row r="29" spans="1:8">
      <c r="A29" s="251">
        <v>17</v>
      </c>
      <c r="C29" s="3" t="s">
        <v>38</v>
      </c>
      <c r="E29" s="188"/>
      <c r="F29" s="188">
        <v>0</v>
      </c>
      <c r="G29" s="188"/>
      <c r="H29" s="188">
        <v>0</v>
      </c>
    </row>
    <row r="30" spans="1:8">
      <c r="A30" s="251">
        <v>18</v>
      </c>
    </row>
    <row r="31" spans="1:8" ht="13.5" thickBot="1">
      <c r="A31" s="251">
        <v>19</v>
      </c>
      <c r="C31" s="4" t="s">
        <v>15</v>
      </c>
      <c r="D31" s="4"/>
      <c r="E31" s="268"/>
      <c r="F31" s="269">
        <f>ROUND(F29-F27,2)</f>
        <v>2366889.7599999998</v>
      </c>
      <c r="G31" s="268"/>
      <c r="H31" s="269">
        <f>ROUND(H29-H27,2)</f>
        <v>2478645.34</v>
      </c>
    </row>
    <row r="32" spans="1:8" ht="13.5" thickTop="1"/>
    <row r="34" spans="3:8" ht="29.25" customHeight="1">
      <c r="C34" s="313" t="s">
        <v>383</v>
      </c>
      <c r="D34" s="313"/>
      <c r="E34" s="313"/>
      <c r="F34" s="313"/>
      <c r="G34" s="313"/>
      <c r="H34" s="313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&amp;R&amp;"Times New Roman,Regular"Exhibit JW-2
Page &amp;P of &amp;N</oddFooter>
  </headerFooter>
  <ignoredErrors>
    <ignoredError sqref="C10:H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20" zoomScaleNormal="100" workbookViewId="0">
      <selection activeCell="I62" sqref="I62"/>
    </sheetView>
  </sheetViews>
  <sheetFormatPr defaultRowHeight="12.75"/>
  <cols>
    <col min="1" max="1" width="5.85546875" style="3" customWidth="1"/>
    <col min="2" max="2" width="2.28515625" style="3" customWidth="1"/>
    <col min="3" max="3" width="11.7109375" style="3" customWidth="1"/>
    <col min="4" max="4" width="10.85546875" style="3" customWidth="1"/>
    <col min="5" max="5" width="4.140625" style="3" customWidth="1"/>
    <col min="6" max="6" width="15.28515625" style="3" customWidth="1"/>
    <col min="7" max="7" width="3.28515625" style="3" customWidth="1"/>
    <col min="8" max="8" width="14.42578125" style="3" customWidth="1"/>
    <col min="9" max="16384" width="9.140625" style="3"/>
  </cols>
  <sheetData>
    <row r="1" spans="1:8">
      <c r="G1" s="171"/>
      <c r="H1" s="171" t="s">
        <v>116</v>
      </c>
    </row>
    <row r="2" spans="1:8" ht="20.25" customHeight="1">
      <c r="G2" s="171"/>
      <c r="H2" s="171"/>
    </row>
    <row r="3" spans="1:8">
      <c r="G3" s="171"/>
      <c r="H3" s="171"/>
    </row>
    <row r="4" spans="1:8">
      <c r="A4" s="311" t="str">
        <f>RevReq!A1</f>
        <v>MEADE COUNTY R.E.C.C.</v>
      </c>
      <c r="B4" s="311"/>
      <c r="C4" s="311"/>
      <c r="D4" s="311"/>
      <c r="E4" s="311"/>
      <c r="F4" s="311"/>
      <c r="G4" s="311"/>
      <c r="H4" s="311"/>
    </row>
    <row r="5" spans="1:8">
      <c r="A5" s="311" t="str">
        <f>RevReq!A3</f>
        <v>For the 12 Months Ended December 31, 2019</v>
      </c>
      <c r="B5" s="311"/>
      <c r="C5" s="311"/>
      <c r="D5" s="311"/>
      <c r="E5" s="311"/>
      <c r="F5" s="311"/>
      <c r="G5" s="311"/>
      <c r="H5" s="311"/>
    </row>
    <row r="7" spans="1:8" s="172" customFormat="1" ht="15" customHeight="1">
      <c r="A7" s="312" t="s">
        <v>261</v>
      </c>
      <c r="B7" s="312"/>
      <c r="C7" s="312"/>
      <c r="D7" s="312"/>
      <c r="E7" s="312"/>
      <c r="F7" s="312"/>
      <c r="G7" s="312"/>
      <c r="H7" s="312"/>
    </row>
    <row r="9" spans="1:8">
      <c r="A9" s="251" t="s">
        <v>0</v>
      </c>
      <c r="C9" s="251" t="s">
        <v>16</v>
      </c>
      <c r="D9" s="251" t="s">
        <v>17</v>
      </c>
      <c r="E9" s="251"/>
      <c r="F9" s="251" t="s">
        <v>23</v>
      </c>
      <c r="G9" s="251"/>
      <c r="H9" s="251" t="s">
        <v>24</v>
      </c>
    </row>
    <row r="10" spans="1:8">
      <c r="A10" s="252" t="s">
        <v>21</v>
      </c>
      <c r="C10" s="266" t="s">
        <v>18</v>
      </c>
      <c r="D10" s="266" t="s">
        <v>20</v>
      </c>
      <c r="E10" s="251"/>
      <c r="F10" s="266" t="s">
        <v>19</v>
      </c>
      <c r="G10" s="266"/>
      <c r="H10" s="266" t="s">
        <v>25</v>
      </c>
    </row>
    <row r="11" spans="1:8">
      <c r="A11" s="251"/>
    </row>
    <row r="12" spans="1:8">
      <c r="A12" s="251"/>
    </row>
    <row r="13" spans="1:8">
      <c r="A13" s="251">
        <v>1</v>
      </c>
      <c r="C13" s="251">
        <v>2019</v>
      </c>
      <c r="D13" s="251" t="s">
        <v>6</v>
      </c>
      <c r="E13" s="188"/>
      <c r="F13" s="188">
        <v>73856.17</v>
      </c>
      <c r="G13" s="188"/>
      <c r="H13" s="188">
        <v>83521.64</v>
      </c>
    </row>
    <row r="14" spans="1:8">
      <c r="A14" s="251">
        <v>2</v>
      </c>
      <c r="C14" s="251">
        <f>C13</f>
        <v>2019</v>
      </c>
      <c r="D14" s="251" t="s">
        <v>7</v>
      </c>
      <c r="E14" s="188"/>
      <c r="F14" s="188">
        <v>68339.179999999993</v>
      </c>
      <c r="G14" s="188"/>
      <c r="H14" s="188">
        <v>64356.19</v>
      </c>
    </row>
    <row r="15" spans="1:8">
      <c r="A15" s="251">
        <v>3</v>
      </c>
      <c r="C15" s="251">
        <f t="shared" ref="C15:C24" si="0">C14</f>
        <v>2019</v>
      </c>
      <c r="D15" s="251" t="s">
        <v>8</v>
      </c>
      <c r="E15" s="188"/>
      <c r="F15" s="188">
        <v>73586.2</v>
      </c>
      <c r="G15" s="188"/>
      <c r="H15" s="188">
        <v>66987.600000000006</v>
      </c>
    </row>
    <row r="16" spans="1:8">
      <c r="A16" s="251">
        <v>4</v>
      </c>
      <c r="C16" s="251">
        <f t="shared" si="0"/>
        <v>2019</v>
      </c>
      <c r="D16" s="251" t="s">
        <v>9</v>
      </c>
      <c r="E16" s="188"/>
      <c r="F16" s="188">
        <v>46924.68</v>
      </c>
      <c r="G16" s="188"/>
      <c r="H16" s="188">
        <v>45402.77</v>
      </c>
    </row>
    <row r="17" spans="1:8">
      <c r="A17" s="251">
        <v>5</v>
      </c>
      <c r="C17" s="251">
        <f t="shared" si="0"/>
        <v>2019</v>
      </c>
      <c r="D17" s="251" t="s">
        <v>10</v>
      </c>
      <c r="E17" s="188"/>
      <c r="F17" s="188">
        <v>71203.460000000006</v>
      </c>
      <c r="G17" s="188"/>
      <c r="H17" s="188">
        <v>51873.95</v>
      </c>
    </row>
    <row r="18" spans="1:8">
      <c r="A18" s="251">
        <v>6</v>
      </c>
      <c r="C18" s="251">
        <f t="shared" si="0"/>
        <v>2019</v>
      </c>
      <c r="D18" s="251" t="s">
        <v>11</v>
      </c>
      <c r="E18" s="188"/>
      <c r="F18" s="188">
        <v>51261.15</v>
      </c>
      <c r="G18" s="188"/>
      <c r="H18" s="188">
        <v>56128.33</v>
      </c>
    </row>
    <row r="19" spans="1:8">
      <c r="A19" s="251">
        <v>7</v>
      </c>
      <c r="C19" s="251">
        <f t="shared" si="0"/>
        <v>2019</v>
      </c>
      <c r="D19" s="251" t="s">
        <v>12</v>
      </c>
      <c r="E19" s="188"/>
      <c r="F19" s="188">
        <v>63554.53</v>
      </c>
      <c r="G19" s="188"/>
      <c r="H19" s="188">
        <v>70724.570000000007</v>
      </c>
    </row>
    <row r="20" spans="1:8">
      <c r="A20" s="251">
        <v>8</v>
      </c>
      <c r="C20" s="251">
        <f t="shared" si="0"/>
        <v>2019</v>
      </c>
      <c r="D20" s="251" t="s">
        <v>13</v>
      </c>
      <c r="E20" s="188"/>
      <c r="F20" s="188">
        <v>55657.5</v>
      </c>
      <c r="G20" s="188"/>
      <c r="H20" s="188">
        <v>65995.75</v>
      </c>
    </row>
    <row r="21" spans="1:8">
      <c r="A21" s="251">
        <v>9</v>
      </c>
      <c r="C21" s="251">
        <f t="shared" si="0"/>
        <v>2019</v>
      </c>
      <c r="D21" s="251" t="s">
        <v>2</v>
      </c>
      <c r="E21" s="188"/>
      <c r="F21" s="188">
        <v>66562.740000000005</v>
      </c>
      <c r="G21" s="188"/>
      <c r="H21" s="188">
        <v>94290.06</v>
      </c>
    </row>
    <row r="22" spans="1:8">
      <c r="A22" s="251">
        <v>10</v>
      </c>
      <c r="C22" s="251">
        <f t="shared" si="0"/>
        <v>2019</v>
      </c>
      <c r="D22" s="251" t="s">
        <v>3</v>
      </c>
      <c r="E22" s="188"/>
      <c r="F22" s="188">
        <v>76976.42</v>
      </c>
      <c r="G22" s="188"/>
      <c r="H22" s="188">
        <v>73511.39</v>
      </c>
    </row>
    <row r="23" spans="1:8">
      <c r="A23" s="251">
        <v>11</v>
      </c>
      <c r="C23" s="251">
        <f t="shared" si="0"/>
        <v>2019</v>
      </c>
      <c r="D23" s="251" t="s">
        <v>4</v>
      </c>
      <c r="E23" s="188"/>
      <c r="F23" s="188">
        <v>125307.55</v>
      </c>
      <c r="G23" s="188"/>
      <c r="H23" s="188">
        <v>100481.92</v>
      </c>
    </row>
    <row r="24" spans="1:8">
      <c r="A24" s="251">
        <v>12</v>
      </c>
      <c r="C24" s="251">
        <f t="shared" si="0"/>
        <v>2019</v>
      </c>
      <c r="D24" s="251" t="s">
        <v>5</v>
      </c>
      <c r="E24" s="188"/>
      <c r="F24" s="188">
        <v>71350.75</v>
      </c>
      <c r="G24" s="188"/>
      <c r="H24" s="188">
        <v>106629.59</v>
      </c>
    </row>
    <row r="25" spans="1:8">
      <c r="A25" s="251">
        <v>13</v>
      </c>
      <c r="C25" s="49"/>
      <c r="D25" s="5" t="s">
        <v>14</v>
      </c>
      <c r="E25" s="194"/>
      <c r="F25" s="194">
        <f>SUM(F13:F24)</f>
        <v>844580.33000000007</v>
      </c>
      <c r="G25" s="194"/>
      <c r="H25" s="194">
        <f>SUM(H13:H24)</f>
        <v>879903.76000000013</v>
      </c>
    </row>
    <row r="26" spans="1:8">
      <c r="A26" s="251">
        <v>14</v>
      </c>
      <c r="C26" s="2"/>
      <c r="D26" s="2"/>
      <c r="E26" s="267"/>
      <c r="F26" s="267"/>
      <c r="G26" s="267"/>
    </row>
    <row r="27" spans="1:8">
      <c r="A27" s="251">
        <v>15</v>
      </c>
      <c r="C27" s="2" t="s">
        <v>37</v>
      </c>
      <c r="D27" s="2"/>
      <c r="E27" s="267"/>
      <c r="F27" s="143">
        <f>F25</f>
        <v>844580.33000000007</v>
      </c>
      <c r="G27" s="143"/>
      <c r="H27" s="143">
        <f>H25</f>
        <v>879903.76000000013</v>
      </c>
    </row>
    <row r="28" spans="1:8">
      <c r="A28" s="251">
        <v>16</v>
      </c>
      <c r="C28" s="2"/>
      <c r="D28" s="2"/>
      <c r="E28" s="267"/>
      <c r="F28" s="143"/>
      <c r="G28" s="143"/>
      <c r="H28" s="36"/>
    </row>
    <row r="29" spans="1:8">
      <c r="A29" s="251">
        <v>17</v>
      </c>
      <c r="C29" s="3" t="s">
        <v>38</v>
      </c>
      <c r="E29" s="188"/>
      <c r="F29" s="188">
        <v>0</v>
      </c>
      <c r="G29" s="188"/>
      <c r="H29" s="188">
        <v>0</v>
      </c>
    </row>
    <row r="30" spans="1:8">
      <c r="A30" s="251">
        <v>18</v>
      </c>
    </row>
    <row r="31" spans="1:8" ht="13.5" thickBot="1">
      <c r="A31" s="251">
        <v>19</v>
      </c>
      <c r="C31" s="4" t="s">
        <v>15</v>
      </c>
      <c r="D31" s="4"/>
      <c r="E31" s="268"/>
      <c r="F31" s="269">
        <f>ROUND(F29-F27,2)</f>
        <v>-844580.33</v>
      </c>
      <c r="G31" s="268"/>
      <c r="H31" s="269">
        <f>ROUND(H29-H27,2)</f>
        <v>-879903.76</v>
      </c>
    </row>
    <row r="32" spans="1:8" ht="13.5" thickTop="1"/>
    <row r="34" spans="3:8" ht="29.25" customHeight="1">
      <c r="C34" s="313" t="s">
        <v>384</v>
      </c>
      <c r="D34" s="313"/>
      <c r="E34" s="313"/>
      <c r="F34" s="313"/>
      <c r="G34" s="313"/>
      <c r="H34" s="313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&amp;R&amp;"Times New Roman,Regular"Exhibit JW-2
Page &amp;P of &amp;N</oddFooter>
  </headerFooter>
  <ignoredErrors>
    <ignoredError sqref="C10:H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E26"/>
  <sheetViews>
    <sheetView zoomScaleNormal="100" workbookViewId="0">
      <selection activeCell="I62" sqref="I62"/>
    </sheetView>
  </sheetViews>
  <sheetFormatPr defaultRowHeight="12.75"/>
  <cols>
    <col min="1" max="1" width="5.85546875" style="10" customWidth="1"/>
    <col min="2" max="2" width="2.28515625" style="10" customWidth="1"/>
    <col min="3" max="3" width="37.7109375" style="10" bestFit="1" customWidth="1"/>
    <col min="4" max="4" width="2.42578125" style="10" customWidth="1"/>
    <col min="5" max="5" width="15.7109375" style="10" customWidth="1"/>
    <col min="6" max="16384" width="9.140625" style="10"/>
  </cols>
  <sheetData>
    <row r="1" spans="1:5">
      <c r="E1" s="6" t="s">
        <v>115</v>
      </c>
    </row>
    <row r="2" spans="1:5" ht="20.25" customHeight="1">
      <c r="E2" s="6"/>
    </row>
    <row r="3" spans="1:5">
      <c r="A3" s="315" t="str">
        <f>RevReq!A1</f>
        <v>MEADE COUNTY R.E.C.C.</v>
      </c>
      <c r="B3" s="315"/>
      <c r="C3" s="315"/>
      <c r="D3" s="315"/>
      <c r="E3" s="315"/>
    </row>
    <row r="4" spans="1:5">
      <c r="A4" s="315" t="str">
        <f>RevReq!A3</f>
        <v>For the 12 Months Ended December 31, 2019</v>
      </c>
      <c r="B4" s="315"/>
      <c r="C4" s="315"/>
      <c r="D4" s="315"/>
      <c r="E4" s="315"/>
    </row>
    <row r="6" spans="1:5" s="7" customFormat="1" ht="15" customHeight="1">
      <c r="A6" s="316" t="s">
        <v>31</v>
      </c>
      <c r="B6" s="316"/>
      <c r="C6" s="316"/>
      <c r="D6" s="316"/>
      <c r="E6" s="316"/>
    </row>
    <row r="8" spans="1:5">
      <c r="A8" s="9" t="s">
        <v>0</v>
      </c>
      <c r="C8" s="9" t="s">
        <v>41</v>
      </c>
      <c r="D8" s="9"/>
      <c r="E8" s="9" t="s">
        <v>24</v>
      </c>
    </row>
    <row r="9" spans="1:5">
      <c r="A9" s="11" t="s">
        <v>21</v>
      </c>
      <c r="C9" s="12" t="s">
        <v>18</v>
      </c>
      <c r="D9" s="12"/>
      <c r="E9" s="12" t="s">
        <v>20</v>
      </c>
    </row>
    <row r="10" spans="1:5">
      <c r="A10" s="9"/>
    </row>
    <row r="11" spans="1:5">
      <c r="A11" s="9">
        <v>1</v>
      </c>
      <c r="C11" s="14" t="s">
        <v>266</v>
      </c>
      <c r="E11" s="270">
        <v>30000</v>
      </c>
    </row>
    <row r="12" spans="1:5">
      <c r="A12" s="9">
        <f>A11+1</f>
        <v>2</v>
      </c>
      <c r="C12" s="14" t="s">
        <v>108</v>
      </c>
      <c r="E12" s="270">
        <v>20000</v>
      </c>
    </row>
    <row r="13" spans="1:5">
      <c r="A13" s="9">
        <f t="shared" ref="A13:A23" si="0">A12+1</f>
        <v>3</v>
      </c>
      <c r="C13" s="15" t="s">
        <v>22</v>
      </c>
      <c r="D13" s="5"/>
      <c r="E13" s="32">
        <f>SUM(E11:E12)</f>
        <v>50000</v>
      </c>
    </row>
    <row r="14" spans="1:5">
      <c r="A14" s="9">
        <f t="shared" si="0"/>
        <v>4</v>
      </c>
      <c r="C14" s="16"/>
      <c r="D14" s="2"/>
    </row>
    <row r="15" spans="1:5">
      <c r="A15" s="9">
        <f t="shared" si="0"/>
        <v>5</v>
      </c>
      <c r="C15" s="2" t="s">
        <v>42</v>
      </c>
      <c r="D15" s="2"/>
      <c r="E15" s="17">
        <f>E13</f>
        <v>50000</v>
      </c>
    </row>
    <row r="16" spans="1:5">
      <c r="A16" s="9">
        <f t="shared" si="0"/>
        <v>6</v>
      </c>
      <c r="C16" s="2" t="s">
        <v>43</v>
      </c>
      <c r="D16" s="2"/>
      <c r="E16" s="17">
        <v>3</v>
      </c>
    </row>
    <row r="17" spans="1:5">
      <c r="A17" s="9">
        <f t="shared" si="0"/>
        <v>7</v>
      </c>
      <c r="C17" s="2" t="s">
        <v>45</v>
      </c>
      <c r="D17" s="2"/>
      <c r="E17" s="17">
        <f>E15/E16</f>
        <v>16666.666666666668</v>
      </c>
    </row>
    <row r="18" spans="1:5">
      <c r="A18" s="9">
        <f t="shared" si="0"/>
        <v>8</v>
      </c>
      <c r="C18" s="2"/>
      <c r="D18" s="2"/>
      <c r="E18" s="17"/>
    </row>
    <row r="19" spans="1:5">
      <c r="A19" s="9">
        <f t="shared" si="0"/>
        <v>9</v>
      </c>
      <c r="C19" s="2" t="s">
        <v>37</v>
      </c>
      <c r="D19" s="2"/>
      <c r="E19" s="17">
        <v>0</v>
      </c>
    </row>
    <row r="20" spans="1:5">
      <c r="A20" s="9">
        <f t="shared" si="0"/>
        <v>10</v>
      </c>
      <c r="C20" s="2"/>
      <c r="D20" s="2"/>
    </row>
    <row r="21" spans="1:5">
      <c r="A21" s="9">
        <f t="shared" si="0"/>
        <v>11</v>
      </c>
      <c r="C21" s="3" t="s">
        <v>38</v>
      </c>
      <c r="E21" s="13">
        <f>E17</f>
        <v>16666.666666666668</v>
      </c>
    </row>
    <row r="22" spans="1:5">
      <c r="A22" s="9">
        <f t="shared" si="0"/>
        <v>12</v>
      </c>
      <c r="C22" s="3"/>
    </row>
    <row r="23" spans="1:5" ht="13.5" thickBot="1">
      <c r="A23" s="9">
        <f t="shared" si="0"/>
        <v>13</v>
      </c>
      <c r="C23" s="4" t="s">
        <v>15</v>
      </c>
      <c r="D23" s="18"/>
      <c r="E23" s="19">
        <f>ROUND(E21-E19,2)</f>
        <v>16666.669999999998</v>
      </c>
    </row>
    <row r="24" spans="1:5" ht="13.5" thickTop="1"/>
    <row r="26" spans="1:5" ht="30" customHeight="1">
      <c r="C26" s="314" t="s">
        <v>46</v>
      </c>
      <c r="D26" s="314"/>
      <c r="E26" s="314"/>
    </row>
  </sheetData>
  <mergeCells count="4">
    <mergeCell ref="C26:E26"/>
    <mergeCell ref="A3:E3"/>
    <mergeCell ref="A4:E4"/>
    <mergeCell ref="A6:E6"/>
  </mergeCells>
  <printOptions horizontalCentered="1"/>
  <pageMargins left="1" right="0.75" top="0.75" bottom="0.5" header="0.5" footer="0.5"/>
  <pageSetup orientation="portrait" r:id="rId1"/>
  <headerFooter alignWithMargins="0">
    <oddFooter>&amp;R&amp;"Times New Roman,Regular"Exhibit JW-2
Page &amp;P of &amp;N</oddFooter>
  </headerFooter>
  <ignoredErrors>
    <ignoredError sqref="C9: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RevReq</vt:lpstr>
      <vt:lpstr>Adj List</vt:lpstr>
      <vt:lpstr>Adj BS</vt:lpstr>
      <vt:lpstr>Adj IS</vt:lpstr>
      <vt:lpstr>1.01 FAC</vt:lpstr>
      <vt:lpstr>1.02 ES</vt:lpstr>
      <vt:lpstr>1.03 MRSM</vt:lpstr>
      <vt:lpstr>1.04 NFPPA</vt:lpstr>
      <vt:lpstr>1.05 RC</vt:lpstr>
      <vt:lpstr>1.06 CUST</vt:lpstr>
      <vt:lpstr>1.07 Depr</vt:lpstr>
      <vt:lpstr>1.08 DonaAdsDues</vt:lpstr>
      <vt:lpstr>1.09 Dir</vt:lpstr>
      <vt:lpstr>1.10 Life Ins</vt:lpstr>
      <vt:lpstr>1.11 401K</vt:lpstr>
      <vt:lpstr>1.12 Health</vt:lpstr>
      <vt:lpstr>1.13 Labor</vt:lpstr>
      <vt:lpstr>'1.01 FAC'!Print_Area</vt:lpstr>
      <vt:lpstr>'1.02 ES'!Print_Area</vt:lpstr>
      <vt:lpstr>'1.03 MRSM'!Print_Area</vt:lpstr>
      <vt:lpstr>'1.04 NFPPA'!Print_Area</vt:lpstr>
      <vt:lpstr>'1.05 RC'!Print_Area</vt:lpstr>
      <vt:lpstr>'1.06 CUST'!Print_Area</vt:lpstr>
      <vt:lpstr>'1.07 Depr'!Print_Area</vt:lpstr>
      <vt:lpstr>'1.08 DonaAdsDues'!Print_Area</vt:lpstr>
      <vt:lpstr>'1.09 Dir'!Print_Area</vt:lpstr>
      <vt:lpstr>'1.10 Life Ins'!Print_Area</vt:lpstr>
      <vt:lpstr>'1.11 401K'!Print_Area</vt:lpstr>
      <vt:lpstr>'1.12 Health'!Print_Area</vt:lpstr>
      <vt:lpstr>'1.13 Labor'!Print_Area</vt:lpstr>
      <vt:lpstr>'Adj BS'!Print_Area</vt:lpstr>
      <vt:lpstr>'Adj IS'!Print_Area</vt:lpstr>
      <vt:lpstr>'Adj List'!Print_Area</vt:lpstr>
      <vt:lpstr>RevReq!Print_Area</vt:lpstr>
      <vt:lpstr>'1.06 CUST'!Print_Titles</vt:lpstr>
      <vt:lpstr>'1.07 Depr'!Print_Titles</vt:lpstr>
      <vt:lpstr>'1.10 Life Ins'!Print_Titles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2020-06-03T16:03:26Z</cp:lastPrinted>
  <dcterms:created xsi:type="dcterms:W3CDTF">2012-11-02T18:45:21Z</dcterms:created>
  <dcterms:modified xsi:type="dcterms:W3CDTF">2020-06-03T16:03:30Z</dcterms:modified>
</cp:coreProperties>
</file>