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5" yWindow="840" windowWidth="11835" windowHeight="8970" tabRatio="741"/>
  </bookViews>
  <sheets>
    <sheet name="Present and Proposed Rates" sheetId="61" r:id="rId1"/>
    <sheet name="Res-1" sheetId="60" r:id="rId2"/>
    <sheet name="Residential NonTOU" sheetId="24" state="hidden" r:id="rId3"/>
    <sheet name="Resid. - TOU" sheetId="28" state="hidden" r:id="rId4"/>
    <sheet name="SmCom-2" sheetId="62" r:id="rId5"/>
    <sheet name="3Ph-3" sheetId="63" r:id="rId6"/>
    <sheet name="3PhTOD-3A" sheetId="65" r:id="rId7"/>
    <sheet name="LgTOD-4" sheetId="66" r:id="rId8"/>
    <sheet name="YL-5" sheetId="64" r:id="rId9"/>
    <sheet name="SL-6" sheetId="43" r:id="rId10"/>
    <sheet name="Summary" sheetId="13" r:id="rId11"/>
    <sheet name="ResIncr" sheetId="68" r:id="rId12"/>
    <sheet name="Notice-Abbrev" sheetId="69" r:id="rId13"/>
    <sheet name="Notice-Full" sheetId="73" r:id="rId14"/>
    <sheet name="BillDet" sheetId="71" r:id="rId15"/>
    <sheet name="BillDetLt" sheetId="72" r:id="rId16"/>
    <sheet name="List" sheetId="70" r:id="rId17"/>
  </sheets>
  <definedNames>
    <definedName name="_xlnm.Print_Area" localSheetId="5">'3Ph-3'!$A$1:$O$42</definedName>
    <definedName name="_xlnm.Print_Area" localSheetId="6">'3PhTOD-3A'!$A$1:$O$40</definedName>
    <definedName name="_xlnm.Print_Area" localSheetId="7">'LgTOD-4'!$A$1:$O$44</definedName>
    <definedName name="_xlnm.Print_Area" localSheetId="12">'Notice-Abbrev'!$A$1:$F$36</definedName>
    <definedName name="_xlnm.Print_Area" localSheetId="13">'Notice-Full'!$A$1:$F$60</definedName>
    <definedName name="_xlnm.Print_Area" localSheetId="0">'Present and Proposed Rates'!$A$1:$P$45</definedName>
    <definedName name="_xlnm.Print_Area" localSheetId="1">'Res-1'!$A$1:$O$37</definedName>
    <definedName name="_xlnm.Print_Area" localSheetId="3">'Resid. - TOU'!$A$1:$H$35</definedName>
    <definedName name="_xlnm.Print_Area" localSheetId="2">'Residential NonTOU'!$A$1:$W$28</definedName>
    <definedName name="_xlnm.Print_Area" localSheetId="9">'SL-6'!$A$1:$Q$26</definedName>
    <definedName name="_xlnm.Print_Area" localSheetId="4">'SmCom-2'!$A$1:$O$37</definedName>
    <definedName name="_xlnm.Print_Area" localSheetId="10">Summary!$A$1:$K$16</definedName>
    <definedName name="_xlnm.Print_Area" localSheetId="8">'YL-5'!$A$1:$Q$29</definedName>
  </definedNames>
  <calcPr calcId="145621"/>
</workbook>
</file>

<file path=xl/calcChain.xml><?xml version="1.0" encoding="utf-8"?>
<calcChain xmlns="http://schemas.openxmlformats.org/spreadsheetml/2006/main">
  <c r="J28" i="66" l="1"/>
  <c r="J29" i="66"/>
  <c r="J30" i="66"/>
  <c r="J31" i="66"/>
  <c r="J32" i="66"/>
  <c r="J27" i="66"/>
  <c r="J24" i="65"/>
  <c r="J25" i="65"/>
  <c r="J26" i="65"/>
  <c r="J27" i="65"/>
  <c r="J28" i="65"/>
  <c r="J23" i="65"/>
  <c r="J27" i="63"/>
  <c r="J28" i="63"/>
  <c r="J29" i="63"/>
  <c r="J30" i="63"/>
  <c r="J31" i="63"/>
  <c r="J26" i="63"/>
  <c r="J21" i="62"/>
  <c r="J22" i="62"/>
  <c r="J23" i="62"/>
  <c r="J24" i="62"/>
  <c r="J25" i="62"/>
  <c r="J20" i="62"/>
  <c r="J21" i="60"/>
  <c r="J22" i="60"/>
  <c r="J23" i="60"/>
  <c r="J24" i="60"/>
  <c r="J25" i="60"/>
  <c r="J20" i="60"/>
  <c r="F36" i="73" l="1"/>
  <c r="F35" i="73"/>
  <c r="F31" i="73"/>
  <c r="F32" i="73"/>
  <c r="F33" i="73"/>
  <c r="F30" i="73"/>
  <c r="E36" i="73"/>
  <c r="E35" i="73"/>
  <c r="E31" i="73"/>
  <c r="E32" i="73"/>
  <c r="E33" i="73"/>
  <c r="E30" i="73"/>
  <c r="E25" i="73"/>
  <c r="F25" i="73"/>
  <c r="E26" i="73"/>
  <c r="F26" i="73"/>
  <c r="E27" i="73"/>
  <c r="F27" i="73"/>
  <c r="E28" i="73"/>
  <c r="F28" i="73"/>
  <c r="F24" i="73"/>
  <c r="E24" i="73"/>
  <c r="C25" i="73"/>
  <c r="C26" i="73"/>
  <c r="C27" i="73"/>
  <c r="C28" i="73"/>
  <c r="C24" i="73"/>
  <c r="E21" i="73"/>
  <c r="F21" i="73"/>
  <c r="E22" i="73"/>
  <c r="F22" i="73"/>
  <c r="F20" i="73"/>
  <c r="E20" i="73"/>
  <c r="C21" i="73"/>
  <c r="C22" i="73"/>
  <c r="C20" i="73"/>
  <c r="E15" i="73"/>
  <c r="F15" i="73"/>
  <c r="E16" i="73"/>
  <c r="F16" i="73"/>
  <c r="E17" i="73"/>
  <c r="F17" i="73"/>
  <c r="E18" i="73"/>
  <c r="F18" i="73"/>
  <c r="F14" i="73"/>
  <c r="E14" i="73"/>
  <c r="E12" i="73"/>
  <c r="F12" i="73"/>
  <c r="F11" i="73"/>
  <c r="E11" i="73"/>
  <c r="C15" i="73"/>
  <c r="C16" i="73"/>
  <c r="C17" i="73"/>
  <c r="C18" i="73"/>
  <c r="C14" i="73"/>
  <c r="F59" i="73" l="1"/>
  <c r="E59" i="73"/>
  <c r="C59" i="73"/>
  <c r="F58" i="73"/>
  <c r="E58" i="73"/>
  <c r="C58" i="73"/>
  <c r="D57" i="73"/>
  <c r="C57" i="73"/>
  <c r="D56" i="73"/>
  <c r="C56" i="73"/>
  <c r="D55" i="73"/>
  <c r="C55" i="73"/>
  <c r="D54" i="73"/>
  <c r="C54" i="73"/>
  <c r="D53" i="73"/>
  <c r="C53" i="73"/>
  <c r="E47" i="73"/>
  <c r="D47" i="73"/>
  <c r="C47" i="73"/>
  <c r="E46" i="73"/>
  <c r="D46" i="73"/>
  <c r="C46" i="73"/>
  <c r="C45" i="73"/>
  <c r="C44" i="73"/>
  <c r="C43" i="73"/>
  <c r="C42" i="73"/>
  <c r="C41" i="73"/>
  <c r="F9" i="73"/>
  <c r="E9" i="73"/>
  <c r="F8" i="73"/>
  <c r="E8" i="73"/>
  <c r="A1" i="73"/>
  <c r="G11" i="61" l="1"/>
  <c r="R24" i="71" l="1"/>
  <c r="R25" i="71"/>
  <c r="R26" i="71"/>
  <c r="R27" i="71"/>
  <c r="R28" i="71"/>
  <c r="R29" i="71"/>
  <c r="R30" i="71"/>
  <c r="R31" i="71"/>
  <c r="R32" i="71"/>
  <c r="R33" i="71"/>
  <c r="R34" i="71"/>
  <c r="R35" i="71"/>
  <c r="O24" i="71"/>
  <c r="P24" i="71"/>
  <c r="Q24" i="71"/>
  <c r="O25" i="71"/>
  <c r="P25" i="71"/>
  <c r="Q25" i="71"/>
  <c r="O26" i="71"/>
  <c r="P26" i="71"/>
  <c r="Q26" i="71"/>
  <c r="O27" i="71"/>
  <c r="P27" i="71"/>
  <c r="Q27" i="71"/>
  <c r="O28" i="71"/>
  <c r="P28" i="71"/>
  <c r="Q28" i="71"/>
  <c r="O29" i="71"/>
  <c r="P29" i="71"/>
  <c r="Q29" i="71"/>
  <c r="O30" i="71"/>
  <c r="P30" i="71"/>
  <c r="Q30" i="71"/>
  <c r="O31" i="71"/>
  <c r="P31" i="71"/>
  <c r="Q31" i="71"/>
  <c r="O32" i="71"/>
  <c r="P32" i="71"/>
  <c r="Q32" i="71"/>
  <c r="O33" i="71"/>
  <c r="P33" i="71"/>
  <c r="Q33" i="71"/>
  <c r="O34" i="71"/>
  <c r="P34" i="71"/>
  <c r="Q34" i="71"/>
  <c r="O35" i="71"/>
  <c r="P35" i="71"/>
  <c r="Q35" i="71"/>
  <c r="M24" i="71"/>
  <c r="N24" i="71"/>
  <c r="M25" i="71"/>
  <c r="N25" i="71"/>
  <c r="M26" i="71"/>
  <c r="N26" i="71"/>
  <c r="M27" i="71"/>
  <c r="N27" i="71"/>
  <c r="M28" i="71"/>
  <c r="N28" i="71"/>
  <c r="M29" i="71"/>
  <c r="N29" i="71"/>
  <c r="M30" i="71"/>
  <c r="N30" i="71"/>
  <c r="M31" i="71"/>
  <c r="N31" i="71"/>
  <c r="M32" i="71"/>
  <c r="N32" i="71"/>
  <c r="M33" i="71"/>
  <c r="N33" i="71"/>
  <c r="M34" i="71"/>
  <c r="N34" i="71"/>
  <c r="M35" i="71"/>
  <c r="N35" i="71"/>
  <c r="L25" i="71"/>
  <c r="L26" i="71"/>
  <c r="L27" i="71"/>
  <c r="L28" i="71"/>
  <c r="L29" i="71"/>
  <c r="L30" i="71"/>
  <c r="L31" i="71"/>
  <c r="L32" i="71"/>
  <c r="L33" i="71"/>
  <c r="L34" i="71"/>
  <c r="L35" i="71"/>
  <c r="L24" i="71"/>
  <c r="D7" i="68"/>
  <c r="R10" i="61"/>
  <c r="M19" i="64"/>
  <c r="M16" i="43"/>
  <c r="E15" i="43"/>
  <c r="E14" i="43"/>
  <c r="E21" i="72"/>
  <c r="F21" i="72"/>
  <c r="F22" i="72"/>
  <c r="G21" i="72"/>
  <c r="H21" i="72"/>
  <c r="H22" i="72"/>
  <c r="I21" i="72"/>
  <c r="J21" i="72"/>
  <c r="J22" i="72"/>
  <c r="K21" i="72"/>
  <c r="L21" i="72"/>
  <c r="L22" i="72"/>
  <c r="M21" i="72"/>
  <c r="N21" i="72"/>
  <c r="N22" i="72"/>
  <c r="O21" i="72"/>
  <c r="P21" i="72"/>
  <c r="P22" i="72"/>
  <c r="Q21" i="72"/>
  <c r="E22" i="72"/>
  <c r="G22" i="72"/>
  <c r="I22" i="72"/>
  <c r="K22" i="72"/>
  <c r="M22" i="72"/>
  <c r="O22" i="72"/>
  <c r="Q22" i="72"/>
  <c r="D21" i="72"/>
  <c r="D22" i="72"/>
  <c r="R15" i="72"/>
  <c r="R14" i="72"/>
  <c r="R8" i="72"/>
  <c r="R9" i="72"/>
  <c r="R10" i="72"/>
  <c r="R7" i="72"/>
  <c r="E17" i="64"/>
  <c r="E16" i="64"/>
  <c r="E15" i="64"/>
  <c r="E14" i="64"/>
  <c r="P19" i="72"/>
  <c r="Q19" i="72"/>
  <c r="P18" i="72"/>
  <c r="Q18" i="72"/>
  <c r="O17" i="72"/>
  <c r="N17" i="72"/>
  <c r="M17" i="72"/>
  <c r="L17" i="72"/>
  <c r="K17" i="72"/>
  <c r="J17" i="72"/>
  <c r="I17" i="72"/>
  <c r="H17" i="72"/>
  <c r="G17" i="72"/>
  <c r="F17" i="72"/>
  <c r="E17" i="72"/>
  <c r="D17" i="72"/>
  <c r="P17" i="72"/>
  <c r="Q17" i="72"/>
  <c r="P15" i="72"/>
  <c r="Q15" i="72"/>
  <c r="P14" i="72"/>
  <c r="Q14" i="72"/>
  <c r="P10" i="72"/>
  <c r="Q10" i="72"/>
  <c r="P9" i="72"/>
  <c r="Q9" i="72"/>
  <c r="P8" i="72"/>
  <c r="Q8" i="72"/>
  <c r="P7" i="72"/>
  <c r="Q7" i="72"/>
  <c r="F15" i="64"/>
  <c r="H15" i="64"/>
  <c r="L14" i="63"/>
  <c r="W13" i="61"/>
  <c r="D12" i="60"/>
  <c r="H24" i="64"/>
  <c r="G40" i="66"/>
  <c r="G38" i="63"/>
  <c r="G32" i="60"/>
  <c r="D7" i="13" s="1"/>
  <c r="D16" i="65"/>
  <c r="L16" i="65" s="1"/>
  <c r="I65" i="71"/>
  <c r="I64" i="71"/>
  <c r="I63" i="71"/>
  <c r="I62" i="71"/>
  <c r="I61" i="71"/>
  <c r="I60" i="71"/>
  <c r="I59" i="71"/>
  <c r="I58" i="71"/>
  <c r="I57" i="71"/>
  <c r="I56" i="71"/>
  <c r="I55" i="71"/>
  <c r="I66" i="71" s="1"/>
  <c r="H66" i="71"/>
  <c r="H21" i="43" s="1"/>
  <c r="H72" i="71"/>
  <c r="G66" i="71"/>
  <c r="G72" i="71"/>
  <c r="F66" i="71"/>
  <c r="F72" i="71"/>
  <c r="E66" i="71"/>
  <c r="G35" i="65" s="1"/>
  <c r="D10" i="13" s="1"/>
  <c r="E72" i="71"/>
  <c r="D66" i="71"/>
  <c r="D72" i="71"/>
  <c r="C66" i="71"/>
  <c r="G32" i="62" s="1"/>
  <c r="D8" i="13" s="1"/>
  <c r="C72" i="71"/>
  <c r="I54" i="71"/>
  <c r="I50" i="71"/>
  <c r="I49" i="71"/>
  <c r="I48" i="71"/>
  <c r="I47" i="71"/>
  <c r="I46" i="71"/>
  <c r="I45" i="71"/>
  <c r="I44" i="71"/>
  <c r="I43" i="71"/>
  <c r="I42" i="71"/>
  <c r="I41" i="71"/>
  <c r="I40" i="71"/>
  <c r="H51" i="71"/>
  <c r="H71" i="71" s="1"/>
  <c r="G51" i="71"/>
  <c r="G71" i="71" s="1"/>
  <c r="F51" i="71"/>
  <c r="D24" i="66" s="1"/>
  <c r="E51" i="71"/>
  <c r="D20" i="65" s="1"/>
  <c r="D51" i="71"/>
  <c r="D71" i="71" s="1"/>
  <c r="C51" i="71"/>
  <c r="C71" i="71" s="1"/>
  <c r="I39" i="71"/>
  <c r="I35" i="71"/>
  <c r="I34" i="71"/>
  <c r="I33" i="71"/>
  <c r="I32" i="71"/>
  <c r="I31" i="71"/>
  <c r="I30" i="71"/>
  <c r="I29" i="71"/>
  <c r="I28" i="71"/>
  <c r="I27" i="71"/>
  <c r="I26" i="71"/>
  <c r="I25" i="71"/>
  <c r="H36" i="71"/>
  <c r="H70" i="71" s="1"/>
  <c r="G36" i="71"/>
  <c r="G70" i="71" s="1"/>
  <c r="F36" i="71"/>
  <c r="F70" i="71" s="1"/>
  <c r="E36" i="71"/>
  <c r="E70" i="71" s="1"/>
  <c r="D36" i="71"/>
  <c r="D70" i="71" s="1"/>
  <c r="C36" i="71"/>
  <c r="M36" i="71" s="1"/>
  <c r="I24" i="71"/>
  <c r="I36" i="71" s="1"/>
  <c r="G21" i="71"/>
  <c r="I20" i="71"/>
  <c r="I19" i="71"/>
  <c r="I18" i="71"/>
  <c r="I17" i="71"/>
  <c r="I16" i="71"/>
  <c r="I15" i="71"/>
  <c r="I14" i="71"/>
  <c r="I13" i="71"/>
  <c r="I12" i="71"/>
  <c r="I11" i="71"/>
  <c r="I10" i="71"/>
  <c r="H21" i="71"/>
  <c r="F21" i="71"/>
  <c r="F69" i="71" s="1"/>
  <c r="E21" i="71"/>
  <c r="D12" i="65" s="1"/>
  <c r="D21" i="71"/>
  <c r="D22" i="71" s="1"/>
  <c r="C21" i="71"/>
  <c r="D12" i="62" s="1"/>
  <c r="I9" i="71"/>
  <c r="C30" i="69"/>
  <c r="C31" i="69"/>
  <c r="C32" i="69"/>
  <c r="C33" i="69"/>
  <c r="C34" i="69"/>
  <c r="C35" i="69"/>
  <c r="C29" i="69"/>
  <c r="C18" i="69"/>
  <c r="C19" i="69"/>
  <c r="C20" i="69"/>
  <c r="C21" i="69"/>
  <c r="C22" i="69"/>
  <c r="C23" i="69"/>
  <c r="C17" i="69"/>
  <c r="A1" i="70"/>
  <c r="E9" i="69"/>
  <c r="E8" i="69"/>
  <c r="A1" i="69"/>
  <c r="D36" i="68"/>
  <c r="H7" i="68"/>
  <c r="H15" i="68" s="1"/>
  <c r="E7" i="68"/>
  <c r="E8" i="68"/>
  <c r="A1" i="68"/>
  <c r="C9" i="68"/>
  <c r="C10" i="68"/>
  <c r="C11" i="68"/>
  <c r="C12" i="68"/>
  <c r="C13" i="68"/>
  <c r="C14" i="68"/>
  <c r="C15" i="68"/>
  <c r="C16" i="68"/>
  <c r="C17" i="68"/>
  <c r="C18" i="68"/>
  <c r="C19" i="68"/>
  <c r="C20" i="68"/>
  <c r="C21" i="68"/>
  <c r="C22" i="68"/>
  <c r="C23" i="68"/>
  <c r="C24" i="68"/>
  <c r="C25" i="68"/>
  <c r="C26" i="68"/>
  <c r="C27" i="68"/>
  <c r="C28" i="68"/>
  <c r="C29" i="68"/>
  <c r="C30" i="68"/>
  <c r="C31" i="68"/>
  <c r="C32" i="68"/>
  <c r="C33" i="68"/>
  <c r="C34" i="68"/>
  <c r="C35" i="68"/>
  <c r="C36" i="68"/>
  <c r="C37" i="68"/>
  <c r="C38" i="68"/>
  <c r="N15" i="43"/>
  <c r="N14" i="43"/>
  <c r="N16" i="43"/>
  <c r="N15" i="64"/>
  <c r="N16" i="64"/>
  <c r="N17" i="64"/>
  <c r="N19" i="64"/>
  <c r="N14" i="64"/>
  <c r="O28" i="66"/>
  <c r="O29" i="66"/>
  <c r="O30" i="66"/>
  <c r="O31" i="66"/>
  <c r="O32" i="66"/>
  <c r="O27" i="66"/>
  <c r="L19" i="66"/>
  <c r="L13" i="66"/>
  <c r="O24" i="65"/>
  <c r="O25" i="65"/>
  <c r="O26" i="65"/>
  <c r="O27" i="65"/>
  <c r="O28" i="65"/>
  <c r="O23" i="65"/>
  <c r="O27" i="63"/>
  <c r="O28" i="63"/>
  <c r="O29" i="63"/>
  <c r="O30" i="63"/>
  <c r="O31" i="63"/>
  <c r="O26" i="63"/>
  <c r="L13" i="63"/>
  <c r="L12" i="63"/>
  <c r="O21" i="62"/>
  <c r="O22" i="62"/>
  <c r="O23" i="62"/>
  <c r="O24" i="62"/>
  <c r="O25" i="62"/>
  <c r="O20" i="62"/>
  <c r="G28" i="61"/>
  <c r="M18" i="66"/>
  <c r="H28" i="61"/>
  <c r="G29" i="61"/>
  <c r="H29" i="61"/>
  <c r="G23" i="61"/>
  <c r="J23" i="61" s="1"/>
  <c r="H23" i="61"/>
  <c r="G19" i="61"/>
  <c r="J19" i="61"/>
  <c r="G14" i="61"/>
  <c r="J14" i="61" s="1"/>
  <c r="H14" i="61"/>
  <c r="G39" i="61"/>
  <c r="O15" i="43"/>
  <c r="Q15" i="43"/>
  <c r="G38" i="61"/>
  <c r="H38" i="61" s="1"/>
  <c r="G35" i="61"/>
  <c r="O17" i="64"/>
  <c r="Q17" i="64" s="1"/>
  <c r="G34" i="61"/>
  <c r="O16" i="64" s="1"/>
  <c r="Q16" i="64" s="1"/>
  <c r="G33" i="61"/>
  <c r="H33" i="61" s="1"/>
  <c r="O15" i="64"/>
  <c r="Q15" i="64" s="1"/>
  <c r="G32" i="61"/>
  <c r="H32" i="61"/>
  <c r="G30" i="61"/>
  <c r="H30" i="61" s="1"/>
  <c r="J30" i="61"/>
  <c r="G27" i="61"/>
  <c r="M13" i="66"/>
  <c r="O13" i="66"/>
  <c r="G26" i="61"/>
  <c r="J26" i="61" s="1"/>
  <c r="G24" i="61"/>
  <c r="M20" i="65"/>
  <c r="H24" i="61"/>
  <c r="G22" i="61"/>
  <c r="M12" i="65"/>
  <c r="H22" i="61"/>
  <c r="G20" i="61"/>
  <c r="J20" i="61" s="1"/>
  <c r="G18" i="61"/>
  <c r="M14" i="63"/>
  <c r="O14" i="63" s="1"/>
  <c r="G17" i="61"/>
  <c r="M13" i="63"/>
  <c r="O13" i="63" s="1"/>
  <c r="G16" i="61"/>
  <c r="H16" i="61"/>
  <c r="G13" i="61"/>
  <c r="M12" i="62" s="1"/>
  <c r="H11" i="61"/>
  <c r="F9" i="69"/>
  <c r="O21" i="60"/>
  <c r="O22" i="60"/>
  <c r="O23" i="60"/>
  <c r="O24" i="60"/>
  <c r="O25" i="60"/>
  <c r="O20" i="60"/>
  <c r="M17" i="60"/>
  <c r="F16" i="64"/>
  <c r="H16" i="64" s="1"/>
  <c r="F17" i="64"/>
  <c r="H17" i="64"/>
  <c r="F14" i="64"/>
  <c r="H14" i="64" s="1"/>
  <c r="F15" i="43"/>
  <c r="H15" i="43" s="1"/>
  <c r="H16" i="43" s="1"/>
  <c r="H19" i="43" s="1"/>
  <c r="F14" i="43"/>
  <c r="H14" i="43"/>
  <c r="A3" i="43"/>
  <c r="B13" i="13"/>
  <c r="A2" i="43"/>
  <c r="A13" i="13" s="1"/>
  <c r="A3" i="64"/>
  <c r="B12" i="13"/>
  <c r="A2" i="64"/>
  <c r="A12" i="13" s="1"/>
  <c r="C13" i="13"/>
  <c r="C12" i="13"/>
  <c r="E23" i="63"/>
  <c r="E19" i="63"/>
  <c r="E14" i="63"/>
  <c r="G14" i="63" s="1"/>
  <c r="E13" i="63"/>
  <c r="G13" i="63" s="1"/>
  <c r="E12" i="63"/>
  <c r="G12" i="63" s="1"/>
  <c r="D15" i="63"/>
  <c r="L15" i="63"/>
  <c r="D11" i="13"/>
  <c r="E24" i="66"/>
  <c r="E19" i="66"/>
  <c r="G19" i="66"/>
  <c r="E18" i="66"/>
  <c r="E13" i="66"/>
  <c r="G13" i="66" s="1"/>
  <c r="E12" i="66"/>
  <c r="A3" i="66"/>
  <c r="B11" i="13"/>
  <c r="A2" i="66"/>
  <c r="A11" i="13" s="1"/>
  <c r="E20" i="65"/>
  <c r="E16" i="65"/>
  <c r="G16" i="65" s="1"/>
  <c r="E12" i="65"/>
  <c r="A3" i="65"/>
  <c r="B10" i="13" s="1"/>
  <c r="A2" i="65"/>
  <c r="A10" i="13" s="1"/>
  <c r="E19" i="64"/>
  <c r="D9" i="13"/>
  <c r="A3" i="63"/>
  <c r="B9" i="13" s="1"/>
  <c r="A2" i="63"/>
  <c r="A9" i="13" s="1"/>
  <c r="E17" i="62"/>
  <c r="E12" i="62"/>
  <c r="A3" i="62"/>
  <c r="B8" i="13" s="1"/>
  <c r="A2" i="62"/>
  <c r="A8" i="13"/>
  <c r="E17" i="60"/>
  <c r="E12" i="60"/>
  <c r="A3" i="60"/>
  <c r="B7" i="13"/>
  <c r="A2" i="60"/>
  <c r="A7" i="13" s="1"/>
  <c r="I20" i="61"/>
  <c r="E16" i="43"/>
  <c r="D17" i="28"/>
  <c r="E18" i="24"/>
  <c r="G18" i="24"/>
  <c r="D20" i="28"/>
  <c r="G20" i="28"/>
  <c r="D19" i="28"/>
  <c r="G19" i="28"/>
  <c r="G106" i="28"/>
  <c r="E106" i="28"/>
  <c r="D106" i="28"/>
  <c r="C106" i="28"/>
  <c r="G88" i="28"/>
  <c r="E88" i="28"/>
  <c r="D88" i="28"/>
  <c r="C88" i="28"/>
  <c r="D18" i="28"/>
  <c r="G70" i="28"/>
  <c r="E70" i="28"/>
  <c r="D70" i="28"/>
  <c r="C70" i="28"/>
  <c r="U12" i="24"/>
  <c r="W12" i="24"/>
  <c r="W23" i="24"/>
  <c r="W25" i="24"/>
  <c r="W27" i="24"/>
  <c r="U18" i="28"/>
  <c r="U12" i="28"/>
  <c r="M22" i="28"/>
  <c r="T24" i="28"/>
  <c r="W24" i="28"/>
  <c r="U19" i="24"/>
  <c r="M19" i="24"/>
  <c r="G52" i="28"/>
  <c r="G28" i="28"/>
  <c r="O24" i="28"/>
  <c r="E66" i="24"/>
  <c r="E46" i="24"/>
  <c r="D46" i="24"/>
  <c r="E52" i="28"/>
  <c r="F66" i="24"/>
  <c r="D66" i="24"/>
  <c r="C66" i="24"/>
  <c r="F46" i="24"/>
  <c r="C46" i="24"/>
  <c r="D12" i="24"/>
  <c r="L12" i="24"/>
  <c r="O12" i="24"/>
  <c r="D52" i="28"/>
  <c r="D12" i="28"/>
  <c r="H14" i="13"/>
  <c r="C52" i="28"/>
  <c r="T18" i="28"/>
  <c r="W18" i="28"/>
  <c r="G18" i="28"/>
  <c r="G24" i="24"/>
  <c r="T12" i="24"/>
  <c r="D16" i="24"/>
  <c r="T17" i="28"/>
  <c r="W17" i="28"/>
  <c r="W21" i="28"/>
  <c r="G17" i="28"/>
  <c r="G12" i="24"/>
  <c r="G22" i="24"/>
  <c r="G16" i="24"/>
  <c r="L16" i="24"/>
  <c r="L18" i="24"/>
  <c r="O16" i="24"/>
  <c r="L17" i="24"/>
  <c r="O17" i="24"/>
  <c r="O18" i="24"/>
  <c r="O19" i="24"/>
  <c r="O23" i="24"/>
  <c r="T16" i="24"/>
  <c r="W16" i="24"/>
  <c r="T17" i="24"/>
  <c r="W17" i="24"/>
  <c r="T18" i="24"/>
  <c r="W18" i="24"/>
  <c r="W19" i="24"/>
  <c r="G21" i="28"/>
  <c r="D21" i="28"/>
  <c r="L17" i="28"/>
  <c r="L18" i="28"/>
  <c r="O18" i="28"/>
  <c r="L21" i="28"/>
  <c r="O21" i="28"/>
  <c r="O17" i="28"/>
  <c r="O22" i="28"/>
  <c r="G26" i="24"/>
  <c r="G28" i="24"/>
  <c r="O25" i="24"/>
  <c r="O27" i="24"/>
  <c r="G12" i="28"/>
  <c r="G26" i="28"/>
  <c r="G30" i="28"/>
  <c r="G32" i="28"/>
  <c r="L12" i="28"/>
  <c r="O12" i="28"/>
  <c r="O27" i="28"/>
  <c r="O29" i="28"/>
  <c r="O31" i="28"/>
  <c r="T12" i="28"/>
  <c r="W12" i="28"/>
  <c r="W27" i="28"/>
  <c r="W29" i="28"/>
  <c r="W31" i="28"/>
  <c r="I11" i="61"/>
  <c r="I19" i="61"/>
  <c r="I16" i="61"/>
  <c r="I24" i="61"/>
  <c r="I22" i="61"/>
  <c r="I29" i="61"/>
  <c r="I13" i="61"/>
  <c r="I14" i="61"/>
  <c r="I26" i="61"/>
  <c r="I23" i="61"/>
  <c r="I30" i="61"/>
  <c r="I10" i="61"/>
  <c r="J22" i="61"/>
  <c r="J24" i="61"/>
  <c r="M24" i="66"/>
  <c r="J29" i="61"/>
  <c r="H19" i="61"/>
  <c r="H35" i="61"/>
  <c r="H27" i="61"/>
  <c r="O14" i="64"/>
  <c r="Q14" i="64" s="1"/>
  <c r="M23" i="63"/>
  <c r="H17" i="61"/>
  <c r="J13" i="61"/>
  <c r="D69" i="71"/>
  <c r="E69" i="71"/>
  <c r="C69" i="71"/>
  <c r="C22" i="71"/>
  <c r="H69" i="71"/>
  <c r="H22" i="71"/>
  <c r="I21" i="71"/>
  <c r="I22" i="71" s="1"/>
  <c r="F22" i="71"/>
  <c r="B21" i="71"/>
  <c r="B36" i="71"/>
  <c r="B70" i="71" s="1"/>
  <c r="B51" i="71"/>
  <c r="B71" i="71" s="1"/>
  <c r="B66" i="71"/>
  <c r="B72" i="71"/>
  <c r="I72" i="71" s="1"/>
  <c r="B69" i="71"/>
  <c r="B22" i="71"/>
  <c r="J16" i="61"/>
  <c r="M19" i="66"/>
  <c r="O19" i="66" s="1"/>
  <c r="M12" i="63"/>
  <c r="O12" i="63"/>
  <c r="H39" i="61"/>
  <c r="J11" i="61"/>
  <c r="H18" i="61"/>
  <c r="M19" i="63"/>
  <c r="D16" i="68"/>
  <c r="D17" i="68"/>
  <c r="E20" i="68"/>
  <c r="F20" i="68" s="1"/>
  <c r="E12" i="68"/>
  <c r="D26" i="68"/>
  <c r="E31" i="68"/>
  <c r="E17" i="68"/>
  <c r="D34" i="68"/>
  <c r="E36" i="68"/>
  <c r="F36" i="68" s="1"/>
  <c r="E27" i="68"/>
  <c r="F27" i="68" s="1"/>
  <c r="E10" i="68"/>
  <c r="E38" i="68"/>
  <c r="F38" i="68" s="1"/>
  <c r="E23" i="68"/>
  <c r="F23" i="68" s="1"/>
  <c r="E15" i="68"/>
  <c r="F15" i="68" s="1"/>
  <c r="E9" i="68"/>
  <c r="D21" i="68"/>
  <c r="E28" i="68"/>
  <c r="E19" i="68"/>
  <c r="D39" i="68"/>
  <c r="F39" i="68" s="1"/>
  <c r="D20" i="68"/>
  <c r="D13" i="68"/>
  <c r="D15" i="68"/>
  <c r="D32" i="68"/>
  <c r="D14" i="68"/>
  <c r="D18" i="68"/>
  <c r="D27" i="68"/>
  <c r="D12" i="68"/>
  <c r="D9" i="68"/>
  <c r="F9" i="68" s="1"/>
  <c r="E11" i="68"/>
  <c r="E14" i="68"/>
  <c r="E16" i="68"/>
  <c r="F16" i="68"/>
  <c r="E18" i="68"/>
  <c r="F18" i="68" s="1"/>
  <c r="E22" i="68"/>
  <c r="E24" i="68"/>
  <c r="F24" i="68" s="1"/>
  <c r="E25" i="68"/>
  <c r="F25" i="68" s="1"/>
  <c r="E26" i="68"/>
  <c r="E30" i="68"/>
  <c r="E32" i="68"/>
  <c r="F32" i="68" s="1"/>
  <c r="E33" i="68"/>
  <c r="F33" i="68" s="1"/>
  <c r="E37" i="68"/>
  <c r="E39" i="68"/>
  <c r="F37" i="68"/>
  <c r="H39" i="68"/>
  <c r="F12" i="68"/>
  <c r="H34" i="68"/>
  <c r="D23" i="68"/>
  <c r="D28" i="68"/>
  <c r="D8" i="68"/>
  <c r="F8" i="68" s="1"/>
  <c r="D35" i="68"/>
  <c r="D37" i="68"/>
  <c r="D19" i="68"/>
  <c r="F19" i="68" s="1"/>
  <c r="D38" i="68"/>
  <c r="D22" i="68"/>
  <c r="F22" i="68" s="1"/>
  <c r="D24" i="68"/>
  <c r="D29" i="68"/>
  <c r="D30" i="68"/>
  <c r="F30" i="68" s="1"/>
  <c r="D33" i="68"/>
  <c r="D31" i="68"/>
  <c r="D11" i="68"/>
  <c r="D10" i="68"/>
  <c r="F10" i="68" s="1"/>
  <c r="D25" i="68"/>
  <c r="E35" i="68"/>
  <c r="F35" i="68"/>
  <c r="E13" i="68"/>
  <c r="F13" i="68" s="1"/>
  <c r="E21" i="68"/>
  <c r="F21" i="68"/>
  <c r="E29" i="68"/>
  <c r="F29" i="68" s="1"/>
  <c r="E34" i="68"/>
  <c r="F34" i="68" s="1"/>
  <c r="F28" i="68" l="1"/>
  <c r="O15" i="63"/>
  <c r="H19" i="64"/>
  <c r="H22" i="64" s="1"/>
  <c r="E12" i="13" s="1"/>
  <c r="I12" i="13" s="1"/>
  <c r="J12" i="13" s="1"/>
  <c r="H19" i="68"/>
  <c r="H21" i="68"/>
  <c r="F14" i="68"/>
  <c r="H32" i="68"/>
  <c r="F17" i="68"/>
  <c r="M17" i="62"/>
  <c r="M16" i="65"/>
  <c r="O16" i="65" s="1"/>
  <c r="O14" i="43"/>
  <c r="Q14" i="43" s="1"/>
  <c r="Q16" i="43" s="1"/>
  <c r="Q19" i="43" s="1"/>
  <c r="M38" i="61" s="1"/>
  <c r="H26" i="61"/>
  <c r="H13" i="61"/>
  <c r="H20" i="61"/>
  <c r="H22" i="68"/>
  <c r="M12" i="66"/>
  <c r="H12" i="68"/>
  <c r="H38" i="68"/>
  <c r="F26" i="68"/>
  <c r="F11" i="68"/>
  <c r="F31" i="68"/>
  <c r="H34" i="61"/>
  <c r="Q19" i="64"/>
  <c r="Q22" i="64" s="1"/>
  <c r="Q21" i="43"/>
  <c r="G15" i="63"/>
  <c r="L38" i="61"/>
  <c r="E13" i="13"/>
  <c r="I13" i="13" s="1"/>
  <c r="J13" i="13" s="1"/>
  <c r="H31" i="68"/>
  <c r="H9" i="68"/>
  <c r="H16" i="68"/>
  <c r="H25" i="68"/>
  <c r="H17" i="68"/>
  <c r="H20" i="68"/>
  <c r="G12" i="60"/>
  <c r="H28" i="68"/>
  <c r="H29" i="68"/>
  <c r="H26" i="68"/>
  <c r="H11" i="68"/>
  <c r="H37" i="68"/>
  <c r="H27" i="68"/>
  <c r="H13" i="68"/>
  <c r="H30" i="68"/>
  <c r="H10" i="68"/>
  <c r="H35" i="68"/>
  <c r="H36" i="68"/>
  <c r="H14" i="68"/>
  <c r="H33" i="68"/>
  <c r="H23" i="68"/>
  <c r="H24" i="68"/>
  <c r="H18" i="68"/>
  <c r="H8" i="68"/>
  <c r="H23" i="43"/>
  <c r="D13" i="13"/>
  <c r="F13" i="13" s="1"/>
  <c r="G13" i="13" s="1"/>
  <c r="H25" i="43"/>
  <c r="H28" i="64"/>
  <c r="D12" i="13"/>
  <c r="I51" i="71"/>
  <c r="L20" i="65"/>
  <c r="O20" i="65" s="1"/>
  <c r="G20" i="65"/>
  <c r="G33" i="65" s="1"/>
  <c r="L24" i="66"/>
  <c r="O24" i="66" s="1"/>
  <c r="G24" i="66"/>
  <c r="D23" i="63"/>
  <c r="E71" i="71"/>
  <c r="F71" i="71"/>
  <c r="I71" i="71" s="1"/>
  <c r="I70" i="71"/>
  <c r="D17" i="60"/>
  <c r="C10" i="13"/>
  <c r="C70" i="71"/>
  <c r="D17" i="62"/>
  <c r="D19" i="63"/>
  <c r="D18" i="66"/>
  <c r="R36" i="71"/>
  <c r="L36" i="71"/>
  <c r="Q36" i="71"/>
  <c r="D38" i="62"/>
  <c r="D30" i="69" s="1"/>
  <c r="L12" i="62"/>
  <c r="O12" i="62" s="1"/>
  <c r="G12" i="62"/>
  <c r="D12" i="66"/>
  <c r="P36" i="71"/>
  <c r="L12" i="60"/>
  <c r="D38" i="60"/>
  <c r="D29" i="69" s="1"/>
  <c r="N36" i="71"/>
  <c r="O36" i="71"/>
  <c r="G22" i="71"/>
  <c r="G69" i="71"/>
  <c r="I69" i="71" s="1"/>
  <c r="D41" i="65"/>
  <c r="D32" i="69" s="1"/>
  <c r="G12" i="65"/>
  <c r="L12" i="65"/>
  <c r="E22" i="71"/>
  <c r="Z11" i="61"/>
  <c r="Z10" i="61"/>
  <c r="O33" i="65" l="1"/>
  <c r="H26" i="64"/>
  <c r="L32" i="61"/>
  <c r="F12" i="13"/>
  <c r="G12" i="13" s="1"/>
  <c r="L22" i="61"/>
  <c r="E10" i="13"/>
  <c r="G37" i="65"/>
  <c r="G39" i="65" s="1"/>
  <c r="M32" i="61"/>
  <c r="Q24" i="64"/>
  <c r="N38" i="61"/>
  <c r="D23" i="69" s="1"/>
  <c r="Q23" i="43"/>
  <c r="O38" i="61" s="1"/>
  <c r="Q25" i="43"/>
  <c r="P38" i="61" s="1"/>
  <c r="E35" i="69" s="1"/>
  <c r="D14" i="13"/>
  <c r="L23" i="63"/>
  <c r="O23" i="63" s="1"/>
  <c r="G23" i="63"/>
  <c r="D20" i="66"/>
  <c r="L18" i="66"/>
  <c r="O18" i="66" s="1"/>
  <c r="G18" i="66"/>
  <c r="G20" i="66" s="1"/>
  <c r="L19" i="63"/>
  <c r="O19" i="63" s="1"/>
  <c r="C9" i="13"/>
  <c r="G19" i="63"/>
  <c r="D43" i="63"/>
  <c r="D31" i="69" s="1"/>
  <c r="L17" i="60"/>
  <c r="O17" i="60" s="1"/>
  <c r="G17" i="60"/>
  <c r="C7" i="13"/>
  <c r="F10" i="13"/>
  <c r="G10" i="13" s="1"/>
  <c r="I10" i="13"/>
  <c r="J10" i="13" s="1"/>
  <c r="C8" i="13"/>
  <c r="L17" i="62"/>
  <c r="O17" i="62" s="1"/>
  <c r="G17" i="62"/>
  <c r="G30" i="62" s="1"/>
  <c r="O35" i="65"/>
  <c r="O39" i="65" s="1"/>
  <c r="P22" i="61" s="1"/>
  <c r="M22" i="61"/>
  <c r="D14" i="66"/>
  <c r="G12" i="66"/>
  <c r="G14" i="66" s="1"/>
  <c r="G38" i="66" s="1"/>
  <c r="L12" i="66"/>
  <c r="O12" i="66" s="1"/>
  <c r="O30" i="62"/>
  <c r="O12" i="65"/>
  <c r="E32" i="69" l="1"/>
  <c r="E56" i="73"/>
  <c r="F35" i="69"/>
  <c r="E23" i="69"/>
  <c r="N32" i="61"/>
  <c r="D22" i="69" s="1"/>
  <c r="Q28" i="64"/>
  <c r="P32" i="61" s="1"/>
  <c r="E34" i="69" s="1"/>
  <c r="Q26" i="64"/>
  <c r="O32" i="61" s="1"/>
  <c r="E8" i="13"/>
  <c r="I8" i="13" s="1"/>
  <c r="J8" i="13" s="1"/>
  <c r="L13" i="61"/>
  <c r="G34" i="62"/>
  <c r="G36" i="62" s="1"/>
  <c r="O36" i="63"/>
  <c r="G36" i="63"/>
  <c r="O20" i="66"/>
  <c r="N22" i="61"/>
  <c r="O37" i="65"/>
  <c r="O22" i="61" s="1"/>
  <c r="G30" i="60"/>
  <c r="C11" i="13"/>
  <c r="C14" i="13" s="1"/>
  <c r="L20" i="66"/>
  <c r="E11" i="13"/>
  <c r="G42" i="66"/>
  <c r="G44" i="66" s="1"/>
  <c r="L26" i="61"/>
  <c r="L14" i="66"/>
  <c r="D45" i="66"/>
  <c r="D33" i="69" s="1"/>
  <c r="M13" i="61"/>
  <c r="O32" i="62"/>
  <c r="F8" i="13"/>
  <c r="G8" i="13" s="1"/>
  <c r="O14" i="66"/>
  <c r="E44" i="73" l="1"/>
  <c r="F56" i="73"/>
  <c r="D20" i="69"/>
  <c r="D44" i="73"/>
  <c r="E22" i="69"/>
  <c r="F34" i="69"/>
  <c r="E7" i="13"/>
  <c r="E14" i="13" s="1"/>
  <c r="G34" i="60"/>
  <c r="G36" i="60" s="1"/>
  <c r="L10" i="61"/>
  <c r="E9" i="13"/>
  <c r="L16" i="61"/>
  <c r="G40" i="63"/>
  <c r="G42" i="63" s="1"/>
  <c r="E20" i="69"/>
  <c r="F32" i="69"/>
  <c r="M16" i="61"/>
  <c r="O38" i="63"/>
  <c r="F11" i="13"/>
  <c r="G11" i="13" s="1"/>
  <c r="I11" i="13"/>
  <c r="J11" i="13" s="1"/>
  <c r="O38" i="66"/>
  <c r="N13" i="61"/>
  <c r="O36" i="62"/>
  <c r="P13" i="61" s="1"/>
  <c r="O34" i="62"/>
  <c r="O13" i="61" s="1"/>
  <c r="D18" i="69" l="1"/>
  <c r="D42" i="73"/>
  <c r="E42" i="73"/>
  <c r="F54" i="73"/>
  <c r="E30" i="69"/>
  <c r="E54" i="73"/>
  <c r="L41" i="61"/>
  <c r="L44" i="61" s="1"/>
  <c r="L45" i="61" s="1"/>
  <c r="F9" i="13"/>
  <c r="G9" i="13" s="1"/>
  <c r="I9" i="13"/>
  <c r="J9" i="13" s="1"/>
  <c r="N16" i="61"/>
  <c r="O40" i="63"/>
  <c r="O16" i="61" s="1"/>
  <c r="O42" i="63"/>
  <c r="P16" i="61" s="1"/>
  <c r="F7" i="13"/>
  <c r="G7" i="13" s="1"/>
  <c r="I7" i="13"/>
  <c r="O40" i="66"/>
  <c r="M26" i="61"/>
  <c r="F30" i="69"/>
  <c r="E18" i="69"/>
  <c r="E43" i="73" l="1"/>
  <c r="F55" i="73"/>
  <c r="D19" i="69"/>
  <c r="D43" i="73"/>
  <c r="E31" i="69"/>
  <c r="E55" i="73"/>
  <c r="F31" i="69"/>
  <c r="E19" i="69"/>
  <c r="J7" i="13"/>
  <c r="I14" i="13"/>
  <c r="J14" i="13" s="1"/>
  <c r="F14" i="13"/>
  <c r="G14" i="13" s="1"/>
  <c r="O42" i="66"/>
  <c r="O26" i="61" s="1"/>
  <c r="N26" i="61"/>
  <c r="D45" i="73" s="1"/>
  <c r="O44" i="66"/>
  <c r="P26" i="61" s="1"/>
  <c r="E45" i="73" l="1"/>
  <c r="F57" i="73"/>
  <c r="E33" i="69"/>
  <c r="E57" i="73"/>
  <c r="D21" i="69"/>
  <c r="F33" i="69"/>
  <c r="E21" i="69"/>
  <c r="G10" i="61" l="1"/>
  <c r="Z14" i="61" s="1"/>
  <c r="Y14" i="61" s="1"/>
  <c r="F8" i="69" l="1"/>
  <c r="M12" i="60"/>
  <c r="O12" i="60" s="1"/>
  <c r="J10" i="61"/>
  <c r="H10" i="61"/>
  <c r="G7" i="68"/>
  <c r="G24" i="68" l="1"/>
  <c r="I24" i="68" s="1"/>
  <c r="J24" i="68" s="1"/>
  <c r="K24" i="68" s="1"/>
  <c r="G15" i="68"/>
  <c r="I15" i="68" s="1"/>
  <c r="J15" i="68" s="1"/>
  <c r="K15" i="68" s="1"/>
  <c r="G21" i="68"/>
  <c r="I21" i="68" s="1"/>
  <c r="J21" i="68" s="1"/>
  <c r="K21" i="68" s="1"/>
  <c r="G26" i="68"/>
  <c r="I26" i="68" s="1"/>
  <c r="J26" i="68" s="1"/>
  <c r="K26" i="68" s="1"/>
  <c r="G11" i="68"/>
  <c r="I11" i="68" s="1"/>
  <c r="J11" i="68" s="1"/>
  <c r="K11" i="68" s="1"/>
  <c r="G23" i="68"/>
  <c r="I23" i="68" s="1"/>
  <c r="J23" i="68" s="1"/>
  <c r="K23" i="68" s="1"/>
  <c r="G34" i="68"/>
  <c r="I34" i="68" s="1"/>
  <c r="J34" i="68" s="1"/>
  <c r="K34" i="68" s="1"/>
  <c r="G39" i="68"/>
  <c r="I39" i="68" s="1"/>
  <c r="J39" i="68" s="1"/>
  <c r="K39" i="68" s="1"/>
  <c r="G22" i="68"/>
  <c r="I22" i="68" s="1"/>
  <c r="J22" i="68" s="1"/>
  <c r="K22" i="68" s="1"/>
  <c r="G30" i="68"/>
  <c r="I30" i="68" s="1"/>
  <c r="J30" i="68" s="1"/>
  <c r="K30" i="68" s="1"/>
  <c r="G31" i="68"/>
  <c r="I31" i="68" s="1"/>
  <c r="J31" i="68" s="1"/>
  <c r="K31" i="68" s="1"/>
  <c r="G36" i="68"/>
  <c r="I36" i="68" s="1"/>
  <c r="J36" i="68" s="1"/>
  <c r="K36" i="68" s="1"/>
  <c r="G20" i="68"/>
  <c r="I20" i="68" s="1"/>
  <c r="J20" i="68" s="1"/>
  <c r="K20" i="68" s="1"/>
  <c r="G38" i="68"/>
  <c r="I38" i="68" s="1"/>
  <c r="J38" i="68" s="1"/>
  <c r="K38" i="68" s="1"/>
  <c r="G29" i="68"/>
  <c r="I29" i="68" s="1"/>
  <c r="J29" i="68" s="1"/>
  <c r="K29" i="68" s="1"/>
  <c r="G25" i="68"/>
  <c r="I25" i="68" s="1"/>
  <c r="J25" i="68" s="1"/>
  <c r="K25" i="68" s="1"/>
  <c r="G14" i="68"/>
  <c r="I14" i="68" s="1"/>
  <c r="J14" i="68" s="1"/>
  <c r="K14" i="68" s="1"/>
  <c r="G33" i="68"/>
  <c r="I33" i="68" s="1"/>
  <c r="J33" i="68" s="1"/>
  <c r="K33" i="68" s="1"/>
  <c r="G12" i="68"/>
  <c r="I12" i="68" s="1"/>
  <c r="J12" i="68" s="1"/>
  <c r="K12" i="68" s="1"/>
  <c r="G27" i="68"/>
  <c r="I27" i="68" s="1"/>
  <c r="J27" i="68" s="1"/>
  <c r="K27" i="68" s="1"/>
  <c r="G35" i="68"/>
  <c r="I35" i="68" s="1"/>
  <c r="J35" i="68" s="1"/>
  <c r="K35" i="68" s="1"/>
  <c r="G16" i="68"/>
  <c r="I16" i="68" s="1"/>
  <c r="J16" i="68" s="1"/>
  <c r="K16" i="68" s="1"/>
  <c r="G19" i="68"/>
  <c r="I19" i="68" s="1"/>
  <c r="J19" i="68" s="1"/>
  <c r="K19" i="68" s="1"/>
  <c r="G28" i="68"/>
  <c r="I28" i="68" s="1"/>
  <c r="J28" i="68" s="1"/>
  <c r="K28" i="68" s="1"/>
  <c r="G32" i="68"/>
  <c r="I32" i="68" s="1"/>
  <c r="J32" i="68" s="1"/>
  <c r="K32" i="68" s="1"/>
  <c r="G37" i="68"/>
  <c r="I37" i="68" s="1"/>
  <c r="J37" i="68" s="1"/>
  <c r="K37" i="68" s="1"/>
  <c r="G8" i="68"/>
  <c r="I8" i="68" s="1"/>
  <c r="J8" i="68" s="1"/>
  <c r="K8" i="68" s="1"/>
  <c r="G13" i="68"/>
  <c r="I13" i="68" s="1"/>
  <c r="J13" i="68" s="1"/>
  <c r="K13" i="68" s="1"/>
  <c r="G10" i="68"/>
  <c r="I10" i="68" s="1"/>
  <c r="J10" i="68" s="1"/>
  <c r="K10" i="68" s="1"/>
  <c r="G17" i="68"/>
  <c r="I17" i="68" s="1"/>
  <c r="J17" i="68" s="1"/>
  <c r="K17" i="68" s="1"/>
  <c r="G9" i="68"/>
  <c r="I9" i="68" s="1"/>
  <c r="J9" i="68" s="1"/>
  <c r="K9" i="68" s="1"/>
  <c r="G18" i="68"/>
  <c r="I18" i="68" s="1"/>
  <c r="J18" i="68" s="1"/>
  <c r="K18" i="68" s="1"/>
  <c r="O30" i="60"/>
  <c r="O32" i="60" l="1"/>
  <c r="M10" i="61"/>
  <c r="M41" i="61" s="1"/>
  <c r="O34" i="60" l="1"/>
  <c r="O10" i="61" s="1"/>
  <c r="N10" i="61"/>
  <c r="D41" i="73" s="1"/>
  <c r="O36" i="60"/>
  <c r="P10" i="61" s="1"/>
  <c r="E29" i="69" l="1"/>
  <c r="E53" i="73"/>
  <c r="E41" i="73"/>
  <c r="F53" i="73"/>
  <c r="D17" i="69"/>
  <c r="N41" i="61"/>
  <c r="D48" i="73" s="1"/>
  <c r="E17" i="69"/>
  <c r="F29" i="69"/>
  <c r="D24" i="69" l="1"/>
  <c r="N44" i="61"/>
  <c r="N45" i="61" s="1"/>
  <c r="O41" i="61"/>
  <c r="F60" i="73" l="1"/>
  <c r="E48" i="73"/>
  <c r="E24" i="69"/>
  <c r="F36" i="69"/>
</calcChain>
</file>

<file path=xl/sharedStrings.xml><?xml version="1.0" encoding="utf-8"?>
<sst xmlns="http://schemas.openxmlformats.org/spreadsheetml/2006/main" count="839" uniqueCount="250">
  <si>
    <t>Proposed Rate</t>
  </si>
  <si>
    <t>Billing</t>
  </si>
  <si>
    <t>Calculated</t>
  </si>
  <si>
    <t>Description</t>
  </si>
  <si>
    <t>Units</t>
  </si>
  <si>
    <t>Rate</t>
  </si>
  <si>
    <t>Billings</t>
  </si>
  <si>
    <t>Energy Charge</t>
  </si>
  <si>
    <t>kWh</t>
  </si>
  <si>
    <t>Customer Months</t>
  </si>
  <si>
    <t>Customer Charge</t>
  </si>
  <si>
    <t>Per kWh</t>
  </si>
  <si>
    <t>Per Customer</t>
  </si>
  <si>
    <t>Difference</t>
  </si>
  <si>
    <t>Customer Class</t>
  </si>
  <si>
    <t>Current  Rate Calculated Billings</t>
  </si>
  <si>
    <t>Lights</t>
  </si>
  <si>
    <t>Per Light</t>
  </si>
  <si>
    <t>Minimum Bills</t>
  </si>
  <si>
    <t>Revenue Per Books</t>
  </si>
  <si>
    <t>Percentage Difference</t>
  </si>
  <si>
    <t>Kwh</t>
  </si>
  <si>
    <t>All Kwh's</t>
  </si>
  <si>
    <t>Percent Change</t>
  </si>
  <si>
    <t>All kWh</t>
  </si>
  <si>
    <t>Cust</t>
  </si>
  <si>
    <t>Yard Lights</t>
  </si>
  <si>
    <t>MO-YR</t>
  </si>
  <si>
    <t>Percent Difference</t>
  </si>
  <si>
    <t>Distribution Demand</t>
  </si>
  <si>
    <t>Residential Service</t>
  </si>
  <si>
    <t>All Cust. Months</t>
  </si>
  <si>
    <t>Test Year Rate</t>
  </si>
  <si>
    <t>Purchased Power Demand</t>
  </si>
  <si>
    <t>Purchased Power Energy</t>
  </si>
  <si>
    <t>Test Year Rate Calculated Billings</t>
  </si>
  <si>
    <t>Facility Charge</t>
  </si>
  <si>
    <t>Total Rate 11</t>
  </si>
  <si>
    <t>Total Rate 10 &amp; 13</t>
  </si>
  <si>
    <t xml:space="preserve">No. Consumers </t>
  </si>
  <si>
    <t>On Peak</t>
  </si>
  <si>
    <t>Off Peak</t>
  </si>
  <si>
    <t>All Months</t>
  </si>
  <si>
    <t>Revenue</t>
  </si>
  <si>
    <t>Cost Based Rate @ 7% ROR</t>
  </si>
  <si>
    <t>All Customers</t>
  </si>
  <si>
    <t>kWh Sold</t>
  </si>
  <si>
    <t>kWh Revenue</t>
  </si>
  <si>
    <t>Service Revenue</t>
  </si>
  <si>
    <t>Cost Based Rates - 7% ROR</t>
  </si>
  <si>
    <t xml:space="preserve">Purchased Power Energy </t>
  </si>
  <si>
    <t>On Peak Energy</t>
  </si>
  <si>
    <t>Off Peak Energy</t>
  </si>
  <si>
    <t>Cost Based TOU Rates - 7% ROR</t>
  </si>
  <si>
    <t>Present and Proposed Rates</t>
  </si>
  <si>
    <t>Rate Class</t>
  </si>
  <si>
    <t xml:space="preserve">Billing  </t>
  </si>
  <si>
    <t>Present</t>
  </si>
  <si>
    <t xml:space="preserve">Increase </t>
  </si>
  <si>
    <t>Proposed</t>
  </si>
  <si>
    <t>Increase</t>
  </si>
  <si>
    <t>Classification</t>
  </si>
  <si>
    <t>Code</t>
  </si>
  <si>
    <t>Unit</t>
  </si>
  <si>
    <t>(Decrease)</t>
  </si>
  <si>
    <t>$</t>
  </si>
  <si>
    <t>%</t>
  </si>
  <si>
    <t>TOTAL</t>
  </si>
  <si>
    <t>Intermountain Rural Electric Association</t>
  </si>
  <si>
    <t>Service $</t>
  </si>
  <si>
    <t>Energy $</t>
  </si>
  <si>
    <t>Residential - Overhead A02</t>
  </si>
  <si>
    <t>Residential - Underground A03</t>
  </si>
  <si>
    <t>Residential TOU - Overhead A02T</t>
  </si>
  <si>
    <t>Residential TOU - Underground A03T</t>
  </si>
  <si>
    <t>Residential TOU Service</t>
  </si>
  <si>
    <t>On Peak Kwh - Rural</t>
  </si>
  <si>
    <t>Off Peak Kwh - Rural</t>
  </si>
  <si>
    <t>On Peak Kwh - City</t>
  </si>
  <si>
    <t>Off Peak Kwh - City</t>
  </si>
  <si>
    <t>Residential TOU - City Overhead CS2T</t>
  </si>
  <si>
    <t>Residential TOU - City Underground CS3T</t>
  </si>
  <si>
    <t>Total Rate Revenue</t>
  </si>
  <si>
    <t>Rate Code</t>
  </si>
  <si>
    <t>A02 &amp; A03</t>
  </si>
  <si>
    <t>A02T, A03T, C02T, C03T</t>
  </si>
  <si>
    <t>Total</t>
  </si>
  <si>
    <t>Difference from Test Year</t>
  </si>
  <si>
    <t>Percent Change from Test Year</t>
  </si>
  <si>
    <t>Avg Incr/(Decr) Per Customer Per Month</t>
  </si>
  <si>
    <t>Current</t>
  </si>
  <si>
    <t>Revenues</t>
  </si>
  <si>
    <t>Variance</t>
  </si>
  <si>
    <t xml:space="preserve">Present </t>
  </si>
  <si>
    <t>from Cost</t>
  </si>
  <si>
    <t>Based Rate</t>
  </si>
  <si>
    <t>Energy Charge (per kWh)</t>
  </si>
  <si>
    <t>Demand Charge (per kW)</t>
  </si>
  <si>
    <t>Proposed Rates</t>
  </si>
  <si>
    <t>Avg Bill</t>
  </si>
  <si>
    <t>Meade County RECC</t>
  </si>
  <si>
    <t>Small Comm</t>
  </si>
  <si>
    <t>3 Ph 0-999 KVA TOD</t>
  </si>
  <si>
    <t>Large 1000 KVA TOD</t>
  </si>
  <si>
    <t>Per Day</t>
  </si>
  <si>
    <t>Jan to Dec</t>
  </si>
  <si>
    <t>Other Charges</t>
  </si>
  <si>
    <t>Customer Charge (per day)</t>
  </si>
  <si>
    <t>Residential</t>
  </si>
  <si>
    <t>3 Phase</t>
  </si>
  <si>
    <t>3A</t>
  </si>
  <si>
    <t>Customer Charge (per day)(0-100 KVA)</t>
  </si>
  <si>
    <t>Customer Charge (per day)(Over 1,000 KVA)</t>
  </si>
  <si>
    <t>Customer Charge (per day)(101-1,000 KVA)</t>
  </si>
  <si>
    <t>Energy Charge (per kWh)(First 300 kWh/kW)</t>
  </si>
  <si>
    <t>Energy Charge (per kWh)(All remaining kWh)</t>
  </si>
  <si>
    <t>175W Unmetered</t>
  </si>
  <si>
    <t>175W Metered</t>
  </si>
  <si>
    <t>400W Unmetered</t>
  </si>
  <si>
    <t>400W Metered</t>
  </si>
  <si>
    <t xml:space="preserve">175W </t>
  </si>
  <si>
    <t>400W</t>
  </si>
  <si>
    <t>Customers</t>
  </si>
  <si>
    <t>Environmental Surcharge</t>
  </si>
  <si>
    <t>Member Rate Stability</t>
  </si>
  <si>
    <t>Non-FAC PPA</t>
  </si>
  <si>
    <t>Unbilled Revenue (Net)</t>
  </si>
  <si>
    <t>Fuel Adjustment Clause</t>
  </si>
  <si>
    <t>Charge 0-100 KVA</t>
  </si>
  <si>
    <t>Charge 101-1,000 KVA</t>
  </si>
  <si>
    <t>Charge Over 1,000 KVA</t>
  </si>
  <si>
    <t>Demand Charge</t>
  </si>
  <si>
    <t>kW</t>
  </si>
  <si>
    <t>Per kW</t>
  </si>
  <si>
    <t>Jan-Dec (Customer XF)</t>
  </si>
  <si>
    <t>Jan-Dec (Utility XF)</t>
  </si>
  <si>
    <t>First 300 kWh/KVA</t>
  </si>
  <si>
    <t>All Remaining kWh</t>
  </si>
  <si>
    <t>Per Month</t>
  </si>
  <si>
    <t>175 W</t>
  </si>
  <si>
    <t>400 W</t>
  </si>
  <si>
    <t>Street Lighting</t>
  </si>
  <si>
    <t>Summary of Consumption Analysis</t>
  </si>
  <si>
    <t>Private Outdoor Lighting</t>
  </si>
  <si>
    <t>Monthly</t>
  </si>
  <si>
    <t>Annual</t>
  </si>
  <si>
    <t>MEADE COUNTY RECC</t>
  </si>
  <si>
    <t>Rates</t>
  </si>
  <si>
    <t>Cost-Based</t>
  </si>
  <si>
    <t xml:space="preserve">Rate </t>
  </si>
  <si>
    <t xml:space="preserve">Customer </t>
  </si>
  <si>
    <t>Energy</t>
  </si>
  <si>
    <t>Customer Charge (Utility XF)</t>
  </si>
  <si>
    <t>Custoner Charge(Customer XF)</t>
  </si>
  <si>
    <t>Customer</t>
  </si>
  <si>
    <t>Monthly Base Rate Increase by KWH</t>
  </si>
  <si>
    <t xml:space="preserve">Residential </t>
  </si>
  <si>
    <t>Present Base Rates</t>
  </si>
  <si>
    <t>Proposed Base Rates</t>
  </si>
  <si>
    <t>#</t>
  </si>
  <si>
    <t xml:space="preserve">Energy </t>
  </si>
  <si>
    <t>AVG</t>
  </si>
  <si>
    <t>Public Notice of Proposed Rate Revisions</t>
  </si>
  <si>
    <t>Energy Charge Per kWh (all kWh)</t>
  </si>
  <si>
    <t>The amount of the change requested in both dollar amounts and percentage change for each customer classification to which the proposed rates will apply is set forth below:</t>
  </si>
  <si>
    <t>Dollars</t>
  </si>
  <si>
    <t>Percent</t>
  </si>
  <si>
    <t>The amount of the average usage and the effect upon the average bill for each customer classification to which the proposed rates will apply is set forth below:</t>
  </si>
  <si>
    <t>Average</t>
  </si>
  <si>
    <t>Usage (kWh)</t>
  </si>
  <si>
    <t>NA</t>
  </si>
  <si>
    <t>Customer Charge Per Day</t>
  </si>
  <si>
    <t>Street &amp; Hwy Lights</t>
  </si>
  <si>
    <t>List of Rate Schedules</t>
  </si>
  <si>
    <t>No changes are proposed to particular Rate Schedules.</t>
  </si>
  <si>
    <t>Item 6 - Monthly Billing Determinants</t>
  </si>
  <si>
    <t>Tariff Schedule</t>
  </si>
  <si>
    <t>Private Out Lights</t>
  </si>
  <si>
    <t>a. Number of Customers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</si>
  <si>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</si>
  <si>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</si>
  <si>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</si>
  <si>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</si>
  <si>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</si>
  <si>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</si>
  <si>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</si>
  <si>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</si>
  <si>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</si>
  <si>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</si>
  <si>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</si>
  <si>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</si>
  <si>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TOTALS</t>
  </si>
  <si>
    <t>AVERAGE</t>
  </si>
  <si>
    <t>b. kWh Sales</t>
  </si>
  <si>
    <t>c. kW Billing Demand (NCP)</t>
  </si>
  <si>
    <t xml:space="preserve">d. Revenue </t>
  </si>
  <si>
    <t>Total Customers</t>
  </si>
  <si>
    <t>Total Energy (kWh)</t>
  </si>
  <si>
    <t>Total Demand NCP (kW)</t>
  </si>
  <si>
    <t>Total Revenue ($)</t>
  </si>
  <si>
    <t>Other</t>
  </si>
  <si>
    <t>CostBased</t>
  </si>
  <si>
    <t>Diff</t>
  </si>
  <si>
    <t>Target</t>
  </si>
  <si>
    <t>Item 17 Street &amp; Outdoor Lights</t>
  </si>
  <si>
    <t>Year 2019</t>
  </si>
  <si>
    <t>Number of Lights Billed</t>
  </si>
  <si>
    <t>Schedule 5 Outdoor Lighting</t>
  </si>
  <si>
    <t>per month</t>
  </si>
  <si>
    <t>Unmetered Small (USL) 175W/70LED</t>
  </si>
  <si>
    <t>RATE 5 TYPE 1</t>
  </si>
  <si>
    <t>Unmetered Large (ULL) 400W/200LED</t>
  </si>
  <si>
    <t>RATE 5 TYPE 2</t>
  </si>
  <si>
    <t>Metered Small (MSL) 175W/70LED</t>
  </si>
  <si>
    <t>RATE 5 TYPE 3</t>
  </si>
  <si>
    <t>Metered Large (MLL) 400W/200LED</t>
  </si>
  <si>
    <t>RATE 5 TYPE 4</t>
  </si>
  <si>
    <t>Schedule 6 Street Lighting</t>
  </si>
  <si>
    <t>Street Light Small 175W</t>
  </si>
  <si>
    <t>RATE 6 TYPE 1</t>
  </si>
  <si>
    <t>Street Light Large 400W</t>
  </si>
  <si>
    <t>RATE 6 TYPE 2</t>
  </si>
  <si>
    <t>NUMBER OF LIGHTS BILLED</t>
  </si>
  <si>
    <t>KWH BILLED</t>
  </si>
  <si>
    <t>DOLLAR AMOUNT BILLED</t>
  </si>
  <si>
    <t>Total $</t>
  </si>
  <si>
    <t>Target:</t>
  </si>
  <si>
    <t>Variance $:</t>
  </si>
  <si>
    <t>Variance %:</t>
  </si>
  <si>
    <t>Residential Customer Charge Range Analysis</t>
  </si>
  <si>
    <t>Average KWH/Customer</t>
  </si>
  <si>
    <t>Daily</t>
  </si>
  <si>
    <t>Movement</t>
  </si>
  <si>
    <t>^</t>
  </si>
  <si>
    <t>Total movement across gap btwn Current and Cost-Based</t>
  </si>
  <si>
    <t>Rate 1</t>
  </si>
  <si>
    <t>Residential, Farm &amp; Non-Farm, Schools &amp; Churches</t>
  </si>
  <si>
    <t>Commercial Rate</t>
  </si>
  <si>
    <t>Three Phase Power Service, 0 KVA and Qreater - 3 Phase Service</t>
  </si>
  <si>
    <t>Three Phase Power Service, 0 KVA - 999 KVA- Optional Time-of-Day (TOO) Rate</t>
  </si>
  <si>
    <t>Large Power Service, 1,000 KVA and Larger (TOD)</t>
  </si>
  <si>
    <t>Outdoor LiQhting Service - Individual Consumers</t>
  </si>
  <si>
    <t>175 Watt unmetered, per month</t>
  </si>
  <si>
    <t>175 Watt metered, per month</t>
  </si>
  <si>
    <t>400 Watt unmetered, per month</t>
  </si>
  <si>
    <t>400 Watt metered, per month</t>
  </si>
  <si>
    <t>Street Lighting - Community, Municipalities, Towns</t>
  </si>
  <si>
    <t>175 Watt, per month</t>
  </si>
  <si>
    <t>400 Watt, per month</t>
  </si>
  <si>
    <t>Rate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</si>
</sst>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00"/>
    <numFmt numFmtId="166" formatCode="&quot;$&quot;#,##0.00000"/>
    <numFmt numFmtId="167" formatCode="0.0%"/>
    <numFmt numFmtId="168" formatCode="0.000%"/>
    <numFmt numFmtId="169" formatCode="_(* #,##0_);_(* \(#,##0\);_(* &quot;-&quot;??_);_(@_)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  <numFmt numFmtId="173" formatCode="_(* #,##0.000000_);_(* \(#,##0.000000\);_(* &quot;-&quot;??_);_(@_)"/>
    <numFmt numFmtId="174" formatCode="_(&quot;$&quot;* #,##0.0000_);_(&quot;$&quot;* \(#,##0.0000\);_(&quot;$&quot;* &quot;-&quot;??_);_(@_)"/>
    <numFmt numFmtId="175" formatCode="_(&quot;$&quot;* #,##0.00000_);_(&quot;$&quot;* \(#,##0.00000\);_(&quot;$&quot;* &quot;-&quot;??_);_(@_)"/>
    <numFmt numFmtId="176" formatCode="&quot;$&quot;#,##0.00"/>
    <numFmt numFmtId="177" formatCode="0.000000"/>
    <numFmt numFmtId="178" formatCode="[$-409]mmmm\-yy;@"/>
    <numFmt numFmtId="179" formatCode="&quot;$&quot;#,##0"/>
    <numFmt numFmtId="180" formatCode="&quot;$&quot;#,##0.000"/>
    <numFmt numFmtId="181" formatCode="_(&quot;$&quot;* #,##0.000_);_(&quot;$&quot;* \(#,##0.000\);_(&quot;$&quot;* &quot;-&quot;??_);_(@_)"/>
    <numFmt numFmtId="182" formatCode="&quot;$&quot;#,##0.000000"/>
  </numFmts>
  <fonts count="29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C00000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7030A0"/>
      <name val="Times New Roman"/>
      <family val="1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/>
    <xf numFmtId="0" fontId="8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1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4" fillId="0" borderId="2" xfId="0" applyFont="1" applyBorder="1" applyAlignment="1">
      <alignment wrapText="1"/>
    </xf>
    <xf numFmtId="0" fontId="3" fillId="0" borderId="2" xfId="0" applyFont="1" applyBorder="1"/>
    <xf numFmtId="41" fontId="3" fillId="0" borderId="0" xfId="0" applyNumberFormat="1" applyFont="1"/>
    <xf numFmtId="44" fontId="3" fillId="0" borderId="0" xfId="5" applyNumberFormat="1" applyFont="1"/>
    <xf numFmtId="44" fontId="3" fillId="0" borderId="0" xfId="0" applyNumberFormat="1" applyFont="1"/>
    <xf numFmtId="164" fontId="3" fillId="0" borderId="0" xfId="0" applyNumberFormat="1" applyFont="1"/>
    <xf numFmtId="0" fontId="4" fillId="0" borderId="2" xfId="0" applyFont="1" applyBorder="1"/>
    <xf numFmtId="41" fontId="4" fillId="0" borderId="2" xfId="0" applyNumberFormat="1" applyFont="1" applyBorder="1"/>
    <xf numFmtId="169" fontId="3" fillId="0" borderId="0" xfId="1" applyNumberFormat="1" applyFont="1"/>
    <xf numFmtId="165" fontId="3" fillId="0" borderId="0" xfId="0" applyNumberFormat="1" applyFont="1"/>
    <xf numFmtId="0" fontId="4" fillId="0" borderId="0" xfId="0" applyFont="1"/>
    <xf numFmtId="44" fontId="3" fillId="0" borderId="0" xfId="0" applyNumberFormat="1" applyFont="1" applyBorder="1"/>
    <xf numFmtId="164" fontId="3" fillId="0" borderId="0" xfId="0" applyNumberFormat="1" applyFont="1" applyBorder="1"/>
    <xf numFmtId="0" fontId="3" fillId="0" borderId="0" xfId="0" applyFont="1" applyBorder="1"/>
    <xf numFmtId="41" fontId="3" fillId="0" borderId="2" xfId="0" applyNumberFormat="1" applyFont="1" applyBorder="1"/>
    <xf numFmtId="166" fontId="3" fillId="0" borderId="0" xfId="0" applyNumberFormat="1" applyFont="1"/>
    <xf numFmtId="169" fontId="3" fillId="0" borderId="0" xfId="0" applyNumberFormat="1" applyFont="1"/>
    <xf numFmtId="0" fontId="4" fillId="0" borderId="0" xfId="0" applyFont="1" applyBorder="1"/>
    <xf numFmtId="43" fontId="3" fillId="0" borderId="0" xfId="0" applyNumberFormat="1" applyFont="1" applyBorder="1"/>
    <xf numFmtId="174" fontId="3" fillId="0" borderId="0" xfId="0" applyNumberFormat="1" applyFont="1"/>
    <xf numFmtId="43" fontId="3" fillId="0" borderId="0" xfId="0" applyNumberFormat="1" applyFont="1"/>
    <xf numFmtId="164" fontId="3" fillId="0" borderId="0" xfId="12" applyNumberFormat="1" applyFont="1"/>
    <xf numFmtId="10" fontId="3" fillId="0" borderId="0" xfId="12" applyNumberFormat="1" applyFont="1" applyBorder="1"/>
    <xf numFmtId="164" fontId="3" fillId="0" borderId="3" xfId="0" applyNumberFormat="1" applyFont="1" applyBorder="1"/>
    <xf numFmtId="10" fontId="3" fillId="0" borderId="0" xfId="12" applyNumberFormat="1" applyFont="1"/>
    <xf numFmtId="43" fontId="3" fillId="0" borderId="0" xfId="1" applyFont="1"/>
    <xf numFmtId="175" fontId="3" fillId="0" borderId="0" xfId="0" applyNumberFormat="1" applyFont="1"/>
    <xf numFmtId="166" fontId="3" fillId="0" borderId="2" xfId="0" applyNumberFormat="1" applyFont="1" applyBorder="1"/>
    <xf numFmtId="0" fontId="3" fillId="0" borderId="0" xfId="0" applyFont="1" applyFill="1"/>
    <xf numFmtId="0" fontId="2" fillId="0" borderId="2" xfId="0" applyFont="1" applyBorder="1"/>
    <xf numFmtId="0" fontId="2" fillId="0" borderId="2" xfId="0" applyFont="1" applyBorder="1" applyAlignment="1">
      <alignment horizontal="right" wrapText="1"/>
    </xf>
    <xf numFmtId="164" fontId="3" fillId="0" borderId="0" xfId="5" applyNumberFormat="1" applyFont="1"/>
    <xf numFmtId="169" fontId="3" fillId="0" borderId="2" xfId="1" applyNumberFormat="1" applyFont="1" applyBorder="1" applyAlignment="1">
      <alignment horizontal="right"/>
    </xf>
    <xf numFmtId="41" fontId="3" fillId="0" borderId="0" xfId="0" applyNumberFormat="1" applyFont="1" applyBorder="1"/>
    <xf numFmtId="166" fontId="3" fillId="0" borderId="0" xfId="0" applyNumberFormat="1" applyFont="1" applyBorder="1"/>
    <xf numFmtId="44" fontId="3" fillId="0" borderId="0" xfId="5" applyFont="1" applyBorder="1"/>
    <xf numFmtId="43" fontId="3" fillId="0" borderId="0" xfId="1" applyFont="1" applyBorder="1"/>
    <xf numFmtId="164" fontId="3" fillId="0" borderId="0" xfId="5" applyNumberFormat="1" applyFont="1" applyBorder="1" applyAlignment="1">
      <alignment horizontal="right"/>
    </xf>
    <xf numFmtId="0" fontId="2" fillId="0" borderId="0" xfId="0" applyFont="1" applyBorder="1"/>
    <xf numFmtId="44" fontId="3" fillId="0" borderId="0" xfId="5" applyNumberFormat="1" applyFont="1" applyBorder="1"/>
    <xf numFmtId="169" fontId="3" fillId="0" borderId="0" xfId="1" applyNumberFormat="1" applyFont="1" applyBorder="1"/>
    <xf numFmtId="169" fontId="3" fillId="0" borderId="2" xfId="1" applyNumberFormat="1" applyFont="1" applyBorder="1"/>
    <xf numFmtId="0" fontId="3" fillId="0" borderId="0" xfId="0" applyFont="1" applyFill="1" applyBorder="1"/>
    <xf numFmtId="41" fontId="3" fillId="0" borderId="0" xfId="0" applyNumberFormat="1" applyFont="1" applyBorder="1" applyAlignment="1">
      <alignment horizontal="right"/>
    </xf>
    <xf numFmtId="164" fontId="3" fillId="0" borderId="0" xfId="5" applyNumberFormat="1" applyFont="1" applyBorder="1"/>
    <xf numFmtId="169" fontId="3" fillId="0" borderId="0" xfId="1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169" fontId="3" fillId="0" borderId="0" xfId="1" applyNumberFormat="1" applyFont="1" applyAlignment="1">
      <alignment horizontal="right"/>
    </xf>
    <xf numFmtId="17" fontId="3" fillId="0" borderId="0" xfId="0" applyNumberFormat="1" applyFont="1" applyBorder="1"/>
    <xf numFmtId="169" fontId="3" fillId="0" borderId="0" xfId="0" applyNumberFormat="1" applyFont="1" applyBorder="1"/>
    <xf numFmtId="0" fontId="3" fillId="0" borderId="0" xfId="0" applyFont="1" applyFill="1" applyBorder="1" applyAlignment="1">
      <alignment horizontal="left"/>
    </xf>
    <xf numFmtId="44" fontId="3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/>
    <xf numFmtId="0" fontId="3" fillId="0" borderId="1" xfId="0" applyFont="1" applyFill="1" applyBorder="1"/>
    <xf numFmtId="0" fontId="2" fillId="0" borderId="1" xfId="0" applyFont="1" applyFill="1" applyBorder="1" applyAlignment="1">
      <alignment horizontal="right"/>
    </xf>
    <xf numFmtId="41" fontId="3" fillId="0" borderId="0" xfId="0" applyNumberFormat="1" applyFont="1" applyFill="1"/>
    <xf numFmtId="164" fontId="3" fillId="0" borderId="0" xfId="0" applyNumberFormat="1" applyFont="1" applyFill="1"/>
    <xf numFmtId="0" fontId="3" fillId="0" borderId="2" xfId="0" applyFont="1" applyFill="1" applyBorder="1" applyAlignment="1">
      <alignment horizontal="right"/>
    </xf>
    <xf numFmtId="169" fontId="3" fillId="0" borderId="0" xfId="1" applyNumberFormat="1" applyFont="1" applyFill="1"/>
    <xf numFmtId="164" fontId="3" fillId="0" borderId="0" xfId="0" applyNumberFormat="1" applyFont="1" applyFill="1" applyBorder="1"/>
    <xf numFmtId="169" fontId="3" fillId="0" borderId="0" xfId="1" applyNumberFormat="1" applyFont="1" applyFill="1" applyBorder="1"/>
    <xf numFmtId="0" fontId="3" fillId="0" borderId="2" xfId="0" applyFont="1" applyFill="1" applyBorder="1"/>
    <xf numFmtId="41" fontId="3" fillId="0" borderId="2" xfId="0" applyNumberFormat="1" applyFont="1" applyFill="1" applyBorder="1"/>
    <xf numFmtId="176" fontId="3" fillId="0" borderId="2" xfId="0" applyNumberFormat="1" applyFont="1" applyFill="1" applyBorder="1"/>
    <xf numFmtId="0" fontId="2" fillId="0" borderId="0" xfId="0" quotePrefix="1" applyFont="1" applyFill="1"/>
    <xf numFmtId="169" fontId="3" fillId="0" borderId="0" xfId="0" applyNumberFormat="1" applyFont="1" applyFill="1"/>
    <xf numFmtId="166" fontId="3" fillId="0" borderId="0" xfId="0" applyNumberFormat="1" applyFont="1" applyFill="1"/>
    <xf numFmtId="164" fontId="3" fillId="0" borderId="0" xfId="12" applyNumberFormat="1" applyFont="1" applyFill="1"/>
    <xf numFmtId="10" fontId="3" fillId="0" borderId="0" xfId="12" applyNumberFormat="1" applyFont="1" applyFill="1" applyBorder="1"/>
    <xf numFmtId="164" fontId="3" fillId="0" borderId="2" xfId="0" applyNumberFormat="1" applyFont="1" applyFill="1" applyBorder="1"/>
    <xf numFmtId="164" fontId="3" fillId="0" borderId="0" xfId="12" applyNumberFormat="1" applyFont="1" applyFill="1" applyBorder="1"/>
    <xf numFmtId="168" fontId="3" fillId="0" borderId="0" xfId="12" applyNumberFormat="1" applyFont="1" applyFill="1" applyBorder="1"/>
    <xf numFmtId="44" fontId="3" fillId="0" borderId="0" xfId="5" applyFont="1"/>
    <xf numFmtId="175" fontId="3" fillId="0" borderId="0" xfId="5" applyNumberFormat="1" applyFont="1" applyBorder="1"/>
    <xf numFmtId="175" fontId="3" fillId="0" borderId="0" xfId="5" applyNumberFormat="1" applyFont="1"/>
    <xf numFmtId="177" fontId="3" fillId="0" borderId="0" xfId="0" applyNumberFormat="1" applyFont="1" applyBorder="1"/>
    <xf numFmtId="164" fontId="3" fillId="0" borderId="0" xfId="1" applyNumberFormat="1" applyFont="1"/>
    <xf numFmtId="164" fontId="3" fillId="0" borderId="0" xfId="5" applyNumberFormat="1" applyFont="1" applyFill="1" applyBorder="1"/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/>
    <xf numFmtId="169" fontId="3" fillId="0" borderId="2" xfId="0" applyNumberFormat="1" applyFont="1" applyBorder="1"/>
    <xf numFmtId="166" fontId="3" fillId="0" borderId="0" xfId="0" applyNumberFormat="1" applyFont="1" applyFill="1" applyBorder="1"/>
    <xf numFmtId="41" fontId="3" fillId="0" borderId="3" xfId="0" applyNumberFormat="1" applyFont="1" applyFill="1" applyBorder="1"/>
    <xf numFmtId="164" fontId="3" fillId="0" borderId="3" xfId="0" applyNumberFormat="1" applyFont="1" applyFill="1" applyBorder="1"/>
    <xf numFmtId="10" fontId="3" fillId="0" borderId="3" xfId="12" applyNumberFormat="1" applyFont="1" applyFill="1" applyBorder="1"/>
    <xf numFmtId="164" fontId="3" fillId="0" borderId="3" xfId="5" applyNumberFormat="1" applyFont="1" applyFill="1" applyBorder="1"/>
    <xf numFmtId="8" fontId="3" fillId="0" borderId="0" xfId="0" applyNumberFormat="1" applyFont="1"/>
    <xf numFmtId="2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169" fontId="3" fillId="0" borderId="0" xfId="1" applyNumberFormat="1" applyFont="1" applyFill="1" applyBorder="1" applyAlignment="1">
      <alignment horizontal="right"/>
    </xf>
    <xf numFmtId="169" fontId="3" fillId="0" borderId="0" xfId="1" applyNumberFormat="1" applyFont="1" applyFill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171" fontId="3" fillId="0" borderId="0" xfId="1" applyNumberFormat="1" applyFont="1" applyBorder="1" applyAlignment="1">
      <alignment horizontal="right"/>
    </xf>
    <xf numFmtId="44" fontId="3" fillId="0" borderId="0" xfId="5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176" fontId="3" fillId="0" borderId="0" xfId="0" applyNumberFormat="1" applyFont="1"/>
    <xf numFmtId="172" fontId="3" fillId="0" borderId="2" xfId="1" applyNumberFormat="1" applyFont="1" applyBorder="1"/>
    <xf numFmtId="1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43" fontId="3" fillId="0" borderId="0" xfId="1" applyFont="1" applyFill="1"/>
    <xf numFmtId="44" fontId="3" fillId="0" borderId="0" xfId="5" applyFont="1" applyFill="1"/>
    <xf numFmtId="169" fontId="3" fillId="0" borderId="0" xfId="12" applyNumberFormat="1" applyFont="1"/>
    <xf numFmtId="169" fontId="3" fillId="0" borderId="0" xfId="0" applyNumberFormat="1" applyFont="1" applyFill="1" applyBorder="1" applyAlignment="1">
      <alignment horizontal="left"/>
    </xf>
    <xf numFmtId="10" fontId="3" fillId="0" borderId="0" xfId="12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/>
    <xf numFmtId="1" fontId="3" fillId="0" borderId="2" xfId="0" applyNumberFormat="1" applyFont="1" applyFill="1" applyBorder="1" applyAlignment="1">
      <alignment horizontal="right"/>
    </xf>
    <xf numFmtId="1" fontId="3" fillId="0" borderId="2" xfId="0" applyNumberFormat="1" applyFont="1" applyFill="1" applyBorder="1"/>
    <xf numFmtId="172" fontId="3" fillId="0" borderId="0" xfId="1" applyNumberFormat="1" applyFont="1" applyBorder="1"/>
    <xf numFmtId="172" fontId="3" fillId="0" borderId="0" xfId="1" applyNumberFormat="1" applyFont="1"/>
    <xf numFmtId="0" fontId="2" fillId="0" borderId="0" xfId="0" applyFont="1" applyFill="1" applyBorder="1" applyAlignment="1">
      <alignment horizontal="right"/>
    </xf>
    <xf numFmtId="41" fontId="3" fillId="0" borderId="0" xfId="0" applyNumberFormat="1" applyFont="1" applyFill="1" applyBorder="1"/>
    <xf numFmtId="44" fontId="3" fillId="0" borderId="0" xfId="0" applyNumberFormat="1" applyFont="1" applyFill="1" applyBorder="1"/>
    <xf numFmtId="0" fontId="2" fillId="0" borderId="0" xfId="0" applyFont="1" applyFill="1" applyBorder="1"/>
    <xf numFmtId="41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/>
    <xf numFmtId="176" fontId="3" fillId="0" borderId="0" xfId="0" applyNumberFormat="1" applyFont="1" applyFill="1" applyBorder="1"/>
    <xf numFmtId="0" fontId="2" fillId="0" borderId="0" xfId="0" quotePrefix="1" applyFont="1" applyFill="1" applyBorder="1"/>
    <xf numFmtId="169" fontId="3" fillId="0" borderId="0" xfId="0" applyNumberFormat="1" applyFont="1" applyFill="1" applyBorder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4" fontId="3" fillId="0" borderId="0" xfId="6" applyNumberFormat="1" applyFo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41" fontId="3" fillId="0" borderId="0" xfId="0" applyNumberFormat="1" applyFont="1" applyFill="1" applyAlignment="1">
      <alignment horizontal="right"/>
    </xf>
    <xf numFmtId="164" fontId="3" fillId="0" borderId="0" xfId="5" applyNumberFormat="1" applyFont="1" applyFill="1" applyAlignment="1">
      <alignment horizontal="right"/>
    </xf>
    <xf numFmtId="164" fontId="3" fillId="0" borderId="0" xfId="5" applyNumberFormat="1" applyFont="1" applyFill="1"/>
    <xf numFmtId="10" fontId="3" fillId="0" borderId="0" xfId="12" applyNumberFormat="1" applyFont="1" applyFill="1"/>
    <xf numFmtId="41" fontId="3" fillId="0" borderId="0" xfId="0" applyNumberFormat="1" applyFont="1" applyFill="1" applyBorder="1" applyAlignment="1">
      <alignment horizontal="right"/>
    </xf>
    <xf numFmtId="178" fontId="3" fillId="0" borderId="0" xfId="0" applyNumberFormat="1" applyFont="1" applyBorder="1"/>
    <xf numFmtId="2" fontId="3" fillId="0" borderId="2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44" fontId="3" fillId="0" borderId="0" xfId="5" applyFont="1" applyFill="1" applyBorder="1"/>
    <xf numFmtId="44" fontId="3" fillId="0" borderId="2" xfId="5" applyFont="1" applyBorder="1"/>
    <xf numFmtId="44" fontId="3" fillId="0" borderId="0" xfId="5" applyNumberFormat="1" applyFont="1" applyFill="1"/>
    <xf numFmtId="44" fontId="3" fillId="0" borderId="0" xfId="5" applyNumberFormat="1" applyFont="1" applyFill="1" applyBorder="1"/>
    <xf numFmtId="44" fontId="3" fillId="0" borderId="2" xfId="5" applyNumberFormat="1" applyFont="1" applyBorder="1"/>
    <xf numFmtId="44" fontId="3" fillId="0" borderId="2" xfId="5" applyNumberFormat="1" applyFont="1" applyFill="1" applyBorder="1"/>
    <xf numFmtId="0" fontId="2" fillId="0" borderId="0" xfId="0" applyFont="1" applyAlignment="1">
      <alignment horizontal="left"/>
    </xf>
    <xf numFmtId="44" fontId="3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Fill="1"/>
    <xf numFmtId="9" fontId="3" fillId="0" borderId="0" xfId="12" applyFont="1"/>
    <xf numFmtId="0" fontId="2" fillId="0" borderId="0" xfId="11" applyFont="1" applyAlignment="1">
      <alignment horizontal="left"/>
    </xf>
    <xf numFmtId="0" fontId="3" fillId="0" borderId="0" xfId="11" applyFont="1"/>
    <xf numFmtId="0" fontId="3" fillId="0" borderId="0" xfId="11" applyFont="1" applyFill="1"/>
    <xf numFmtId="10" fontId="3" fillId="0" borderId="0" xfId="15" applyNumberFormat="1" applyFont="1"/>
    <xf numFmtId="0" fontId="6" fillId="0" borderId="0" xfId="11" applyFont="1"/>
    <xf numFmtId="0" fontId="3" fillId="0" borderId="0" xfId="11" applyFont="1" applyAlignment="1">
      <alignment horizontal="left"/>
    </xf>
    <xf numFmtId="0" fontId="2" fillId="0" borderId="2" xfId="11" applyFont="1" applyBorder="1" applyAlignment="1">
      <alignment horizontal="center"/>
    </xf>
    <xf numFmtId="0" fontId="2" fillId="0" borderId="0" xfId="11" applyFont="1" applyBorder="1" applyAlignment="1">
      <alignment horizontal="right"/>
    </xf>
    <xf numFmtId="0" fontId="2" fillId="0" borderId="0" xfId="11" applyFont="1" applyAlignment="1">
      <alignment horizontal="right"/>
    </xf>
    <xf numFmtId="0" fontId="2" fillId="0" borderId="0" xfId="11" applyFont="1"/>
    <xf numFmtId="0" fontId="2" fillId="0" borderId="0" xfId="11" applyFont="1" applyAlignment="1">
      <alignment horizontal="center"/>
    </xf>
    <xf numFmtId="0" fontId="2" fillId="0" borderId="0" xfId="11" applyFont="1" applyFill="1" applyAlignment="1">
      <alignment horizontal="right"/>
    </xf>
    <xf numFmtId="0" fontId="2" fillId="0" borderId="2" xfId="11" applyFont="1" applyBorder="1"/>
    <xf numFmtId="0" fontId="2" fillId="0" borderId="2" xfId="11" applyFont="1" applyBorder="1" applyAlignment="1">
      <alignment horizontal="left"/>
    </xf>
    <xf numFmtId="0" fontId="2" fillId="0" borderId="2" xfId="11" applyFont="1" applyBorder="1" applyAlignment="1">
      <alignment horizontal="right"/>
    </xf>
    <xf numFmtId="0" fontId="3" fillId="0" borderId="0" xfId="9" applyFont="1" applyFill="1"/>
    <xf numFmtId="43" fontId="3" fillId="0" borderId="0" xfId="3" applyFont="1"/>
    <xf numFmtId="167" fontId="3" fillId="0" borderId="0" xfId="14" applyNumberFormat="1" applyFont="1"/>
    <xf numFmtId="164" fontId="3" fillId="0" borderId="0" xfId="11" applyNumberFormat="1" applyFont="1" applyFill="1"/>
    <xf numFmtId="9" fontId="3" fillId="0" borderId="0" xfId="15" applyFont="1" applyFill="1"/>
    <xf numFmtId="172" fontId="3" fillId="0" borderId="0" xfId="3" applyNumberFormat="1" applyFont="1"/>
    <xf numFmtId="0" fontId="3" fillId="2" borderId="0" xfId="9" applyFont="1" applyFill="1"/>
    <xf numFmtId="10" fontId="3" fillId="2" borderId="0" xfId="14" applyNumberFormat="1" applyFont="1" applyFill="1" applyAlignment="1">
      <alignment horizontal="left"/>
    </xf>
    <xf numFmtId="0" fontId="3" fillId="2" borderId="0" xfId="11" applyFont="1" applyFill="1"/>
    <xf numFmtId="164" fontId="3" fillId="2" borderId="0" xfId="6" applyNumberFormat="1" applyFont="1" applyFill="1"/>
    <xf numFmtId="167" fontId="3" fillId="2" borderId="0" xfId="14" applyNumberFormat="1" applyFont="1" applyFill="1"/>
    <xf numFmtId="167" fontId="3" fillId="0" borderId="0" xfId="15" applyNumberFormat="1" applyFont="1"/>
    <xf numFmtId="0" fontId="3" fillId="0" borderId="3" xfId="11" applyFont="1" applyBorder="1" applyAlignment="1">
      <alignment vertical="center"/>
    </xf>
    <xf numFmtId="0" fontId="3" fillId="0" borderId="3" xfId="11" applyFont="1" applyBorder="1" applyAlignment="1">
      <alignment horizontal="left" vertical="center"/>
    </xf>
    <xf numFmtId="164" fontId="3" fillId="0" borderId="3" xfId="11" applyNumberFormat="1" applyFont="1" applyBorder="1" applyAlignment="1">
      <alignment vertical="center"/>
    </xf>
    <xf numFmtId="164" fontId="3" fillId="0" borderId="3" xfId="11" applyNumberFormat="1" applyFont="1" applyFill="1" applyBorder="1" applyAlignment="1">
      <alignment vertical="center"/>
    </xf>
    <xf numFmtId="167" fontId="3" fillId="0" borderId="3" xfId="15" applyNumberFormat="1" applyFont="1" applyBorder="1" applyAlignment="1">
      <alignment vertical="center"/>
    </xf>
    <xf numFmtId="10" fontId="2" fillId="0" borderId="0" xfId="14" applyNumberFormat="1" applyFont="1" applyAlignment="1">
      <alignment vertical="center"/>
    </xf>
    <xf numFmtId="0" fontId="3" fillId="0" borderId="0" xfId="11" applyFont="1" applyAlignment="1">
      <alignment vertical="center"/>
    </xf>
    <xf numFmtId="41" fontId="4" fillId="0" borderId="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2" fontId="3" fillId="0" borderId="0" xfId="11" applyNumberFormat="1" applyFont="1" applyFill="1"/>
    <xf numFmtId="44" fontId="3" fillId="0" borderId="0" xfId="11" applyNumberFormat="1" applyFont="1" applyFill="1"/>
    <xf numFmtId="5" fontId="3" fillId="0" borderId="0" xfId="5" applyNumberFormat="1" applyFont="1" applyFill="1"/>
    <xf numFmtId="5" fontId="3" fillId="2" borderId="0" xfId="5" applyNumberFormat="1" applyFont="1" applyFill="1"/>
    <xf numFmtId="0" fontId="3" fillId="3" borderId="0" xfId="11" applyFont="1" applyFill="1"/>
    <xf numFmtId="0" fontId="2" fillId="3" borderId="0" xfId="11" applyFont="1" applyFill="1"/>
    <xf numFmtId="0" fontId="3" fillId="3" borderId="0" xfId="11" applyFont="1" applyFill="1" applyAlignment="1">
      <alignment vertical="center"/>
    </xf>
    <xf numFmtId="41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15" fillId="0" borderId="0" xfId="11" applyFont="1"/>
    <xf numFmtId="0" fontId="3" fillId="0" borderId="0" xfId="1" applyNumberFormat="1" applyFont="1" applyFill="1" applyAlignment="1">
      <alignment horizontal="left"/>
    </xf>
    <xf numFmtId="0" fontId="3" fillId="0" borderId="0" xfId="14" applyNumberFormat="1" applyFont="1" applyFill="1" applyAlignment="1">
      <alignment horizontal="left"/>
    </xf>
    <xf numFmtId="0" fontId="3" fillId="2" borderId="0" xfId="14" applyNumberFormat="1" applyFont="1" applyFill="1" applyAlignment="1">
      <alignment horizontal="left"/>
    </xf>
    <xf numFmtId="182" fontId="3" fillId="0" borderId="0" xfId="0" applyNumberFormat="1" applyFont="1" applyBorder="1"/>
    <xf numFmtId="181" fontId="3" fillId="0" borderId="0" xfId="5" applyNumberFormat="1" applyFont="1"/>
    <xf numFmtId="170" fontId="3" fillId="0" borderId="0" xfId="3" applyNumberFormat="1" applyFont="1"/>
    <xf numFmtId="173" fontId="3" fillId="0" borderId="0" xfId="3" applyNumberFormat="1" applyFont="1"/>
    <xf numFmtId="0" fontId="4" fillId="0" borderId="2" xfId="0" applyFont="1" applyBorder="1" applyAlignment="1">
      <alignment horizontal="right" wrapText="1"/>
    </xf>
    <xf numFmtId="176" fontId="3" fillId="0" borderId="0" xfId="0" applyNumberFormat="1" applyFont="1" applyBorder="1"/>
    <xf numFmtId="164" fontId="3" fillId="0" borderId="0" xfId="12" applyNumberFormat="1" applyFont="1" applyBorder="1"/>
    <xf numFmtId="0" fontId="3" fillId="0" borderId="4" xfId="0" applyFont="1" applyBorder="1" applyAlignment="1">
      <alignment horizontal="right"/>
    </xf>
    <xf numFmtId="164" fontId="3" fillId="0" borderId="4" xfId="0" applyNumberFormat="1" applyFont="1" applyBorder="1"/>
    <xf numFmtId="41" fontId="3" fillId="0" borderId="4" xfId="0" applyNumberFormat="1" applyFont="1" applyBorder="1"/>
    <xf numFmtId="41" fontId="4" fillId="0" borderId="0" xfId="0" applyNumberFormat="1" applyFont="1" applyFill="1" applyAlignment="1">
      <alignment horizontal="right"/>
    </xf>
    <xf numFmtId="164" fontId="3" fillId="0" borderId="4" xfId="5" applyNumberFormat="1" applyFont="1" applyFill="1" applyBorder="1"/>
    <xf numFmtId="169" fontId="3" fillId="0" borderId="4" xfId="0" applyNumberFormat="1" applyFont="1" applyFill="1" applyBorder="1"/>
    <xf numFmtId="0" fontId="2" fillId="0" borderId="4" xfId="0" applyFont="1" applyFill="1" applyBorder="1"/>
    <xf numFmtId="0" fontId="3" fillId="0" borderId="4" xfId="0" applyFont="1" applyFill="1" applyBorder="1"/>
    <xf numFmtId="166" fontId="3" fillId="0" borderId="4" xfId="0" applyNumberFormat="1" applyFont="1" applyFill="1" applyBorder="1"/>
    <xf numFmtId="0" fontId="2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3" fillId="0" borderId="5" xfId="0" applyFont="1" applyBorder="1"/>
    <xf numFmtId="164" fontId="3" fillId="0" borderId="5" xfId="0" applyNumberFormat="1" applyFont="1" applyBorder="1"/>
    <xf numFmtId="169" fontId="3" fillId="0" borderId="5" xfId="1" applyNumberFormat="1" applyFont="1" applyBorder="1"/>
    <xf numFmtId="164" fontId="3" fillId="0" borderId="5" xfId="0" applyNumberFormat="1" applyFont="1" applyFill="1" applyBorder="1"/>
    <xf numFmtId="44" fontId="3" fillId="0" borderId="5" xfId="0" applyNumberFormat="1" applyFont="1" applyBorder="1"/>
    <xf numFmtId="164" fontId="3" fillId="0" borderId="5" xfId="12" applyNumberFormat="1" applyFont="1" applyBorder="1"/>
    <xf numFmtId="10" fontId="3" fillId="0" borderId="5" xfId="12" applyNumberFormat="1" applyFont="1" applyBorder="1"/>
    <xf numFmtId="43" fontId="3" fillId="0" borderId="0" xfId="3" applyNumberFormat="1" applyFont="1"/>
    <xf numFmtId="0" fontId="3" fillId="0" borderId="5" xfId="0" applyFont="1" applyFill="1" applyBorder="1"/>
    <xf numFmtId="0" fontId="2" fillId="0" borderId="5" xfId="0" applyFont="1" applyFill="1" applyBorder="1" applyAlignment="1">
      <alignment horizontal="right"/>
    </xf>
    <xf numFmtId="0" fontId="2" fillId="0" borderId="5" xfId="0" quotePrefix="1" applyFont="1" applyFill="1" applyBorder="1"/>
    <xf numFmtId="9" fontId="3" fillId="0" borderId="0" xfId="12" applyFont="1" applyFill="1"/>
    <xf numFmtId="0" fontId="3" fillId="0" borderId="0" xfId="11" applyFont="1" applyAlignment="1">
      <alignment horizontal="right"/>
    </xf>
    <xf numFmtId="0" fontId="2" fillId="0" borderId="0" xfId="11" applyFont="1" applyBorder="1" applyAlignment="1">
      <alignment horizontal="center"/>
    </xf>
    <xf numFmtId="0" fontId="3" fillId="0" borderId="0" xfId="11" applyFont="1" applyBorder="1" applyAlignment="1">
      <alignment vertical="center"/>
    </xf>
    <xf numFmtId="43" fontId="3" fillId="0" borderId="0" xfId="11" applyNumberFormat="1" applyFont="1"/>
    <xf numFmtId="0" fontId="5" fillId="0" borderId="0" xfId="0" applyFont="1"/>
    <xf numFmtId="170" fontId="3" fillId="0" borderId="0" xfId="11" applyNumberFormat="1" applyFont="1"/>
    <xf numFmtId="0" fontId="6" fillId="0" borderId="0" xfId="10" applyFont="1"/>
    <xf numFmtId="0" fontId="5" fillId="0" borderId="0" xfId="10" applyAlignment="1">
      <alignment horizontal="center"/>
    </xf>
    <xf numFmtId="0" fontId="5" fillId="0" borderId="0" xfId="10"/>
    <xf numFmtId="0" fontId="6" fillId="0" borderId="0" xfId="10" applyFont="1" applyAlignment="1">
      <alignment horizontal="left"/>
    </xf>
    <xf numFmtId="0" fontId="9" fillId="0" borderId="7" xfId="10" applyFont="1" applyBorder="1" applyAlignment="1">
      <alignment horizontal="center" vertical="center"/>
    </xf>
    <xf numFmtId="0" fontId="9" fillId="0" borderId="8" xfId="10" applyFont="1" applyBorder="1" applyAlignment="1">
      <alignment horizontal="center" vertical="center"/>
    </xf>
    <xf numFmtId="0" fontId="9" fillId="0" borderId="9" xfId="10" applyFont="1" applyBorder="1" applyAlignment="1">
      <alignment horizontal="center" vertical="center"/>
    </xf>
    <xf numFmtId="0" fontId="9" fillId="0" borderId="10" xfId="10" applyFont="1" applyBorder="1" applyAlignment="1">
      <alignment horizontal="center" vertical="center"/>
    </xf>
    <xf numFmtId="0" fontId="9" fillId="0" borderId="11" xfId="10" applyFont="1" applyBorder="1" applyAlignment="1">
      <alignment horizontal="center" vertical="center"/>
    </xf>
    <xf numFmtId="0" fontId="9" fillId="0" borderId="11" xfId="10" applyFont="1" applyFill="1" applyBorder="1" applyAlignment="1">
      <alignment horizontal="center" vertical="center"/>
    </xf>
    <xf numFmtId="0" fontId="9" fillId="0" borderId="12" xfId="10" applyFont="1" applyFill="1" applyBorder="1" applyAlignment="1">
      <alignment horizontal="center" vertical="center"/>
    </xf>
    <xf numFmtId="0" fontId="9" fillId="0" borderId="0" xfId="10" applyFont="1"/>
    <xf numFmtId="0" fontId="9" fillId="0" borderId="13" xfId="10" applyFont="1" applyBorder="1" applyAlignment="1">
      <alignment horizontal="center" vertical="center"/>
    </xf>
    <xf numFmtId="0" fontId="9" fillId="0" borderId="14" xfId="10" applyFont="1" applyBorder="1" applyAlignment="1">
      <alignment horizontal="center" vertical="center"/>
    </xf>
    <xf numFmtId="44" fontId="10" fillId="0" borderId="14" xfId="10" applyNumberFormat="1" applyFont="1" applyBorder="1" applyAlignment="1">
      <alignment horizontal="center" vertical="center"/>
    </xf>
    <xf numFmtId="175" fontId="10" fillId="0" borderId="14" xfId="6" applyNumberFormat="1" applyFont="1" applyBorder="1" applyAlignment="1">
      <alignment horizontal="center" vertical="center"/>
    </xf>
    <xf numFmtId="0" fontId="10" fillId="0" borderId="14" xfId="10" applyFont="1" applyBorder="1" applyAlignment="1">
      <alignment horizontal="center" vertical="center"/>
    </xf>
    <xf numFmtId="0" fontId="9" fillId="0" borderId="14" xfId="10" applyFont="1" applyFill="1" applyBorder="1" applyAlignment="1">
      <alignment horizontal="center" vertical="center"/>
    </xf>
    <xf numFmtId="0" fontId="9" fillId="0" borderId="15" xfId="10" applyFont="1" applyFill="1" applyBorder="1" applyAlignment="1">
      <alignment horizontal="center" vertical="center"/>
    </xf>
    <xf numFmtId="0" fontId="5" fillId="0" borderId="16" xfId="10" applyBorder="1" applyAlignment="1">
      <alignment horizontal="center"/>
    </xf>
    <xf numFmtId="169" fontId="0" fillId="0" borderId="17" xfId="4" applyNumberFormat="1" applyFont="1" applyBorder="1"/>
    <xf numFmtId="44" fontId="5" fillId="0" borderId="18" xfId="10" applyNumberFormat="1" applyFont="1" applyBorder="1"/>
    <xf numFmtId="44" fontId="5" fillId="0" borderId="0" xfId="10" applyNumberFormat="1" applyFont="1" applyBorder="1"/>
    <xf numFmtId="44" fontId="5" fillId="0" borderId="5" xfId="10" applyNumberFormat="1" applyFont="1" applyBorder="1"/>
    <xf numFmtId="44" fontId="5" fillId="0" borderId="18" xfId="7" applyFont="1" applyBorder="1"/>
    <xf numFmtId="44" fontId="5" fillId="0" borderId="5" xfId="7" applyNumberFormat="1" applyFont="1" applyBorder="1"/>
    <xf numFmtId="44" fontId="5" fillId="0" borderId="18" xfId="7" applyNumberFormat="1" applyFont="1" applyBorder="1"/>
    <xf numFmtId="167" fontId="5" fillId="0" borderId="19" xfId="16" applyNumberFormat="1" applyFont="1" applyBorder="1"/>
    <xf numFmtId="0" fontId="5" fillId="0" borderId="13" xfId="10" applyBorder="1" applyAlignment="1">
      <alignment horizontal="center"/>
    </xf>
    <xf numFmtId="169" fontId="5" fillId="0" borderId="20" xfId="3" applyNumberFormat="1" applyFont="1" applyBorder="1"/>
    <xf numFmtId="44" fontId="5" fillId="0" borderId="20" xfId="10" applyNumberFormat="1" applyFont="1" applyBorder="1"/>
    <xf numFmtId="44" fontId="5" fillId="0" borderId="21" xfId="10" applyNumberFormat="1" applyFont="1" applyBorder="1"/>
    <xf numFmtId="44" fontId="5" fillId="0" borderId="22" xfId="10" applyNumberFormat="1" applyFont="1" applyBorder="1"/>
    <xf numFmtId="44" fontId="5" fillId="0" borderId="20" xfId="7" applyFont="1" applyBorder="1"/>
    <xf numFmtId="44" fontId="5" fillId="0" borderId="22" xfId="7" applyNumberFormat="1" applyFont="1" applyBorder="1"/>
    <xf numFmtId="44" fontId="5" fillId="0" borderId="20" xfId="7" applyNumberFormat="1" applyFont="1" applyBorder="1"/>
    <xf numFmtId="167" fontId="5" fillId="0" borderId="23" xfId="16" applyNumberFormat="1" applyFont="1" applyBorder="1"/>
    <xf numFmtId="0" fontId="5" fillId="0" borderId="0" xfId="10" applyAlignment="1">
      <alignment vertical="center"/>
    </xf>
    <xf numFmtId="0" fontId="5" fillId="0" borderId="24" xfId="10" applyBorder="1" applyAlignment="1">
      <alignment horizontal="center" vertical="center"/>
    </xf>
    <xf numFmtId="169" fontId="0" fillId="0" borderId="25" xfId="4" applyNumberFormat="1" applyFont="1" applyBorder="1" applyAlignment="1">
      <alignment vertical="center"/>
    </xf>
    <xf numFmtId="44" fontId="5" fillId="0" borderId="26" xfId="10" applyNumberFormat="1" applyFont="1" applyBorder="1" applyAlignment="1">
      <alignment vertical="center"/>
    </xf>
    <xf numFmtId="44" fontId="5" fillId="0" borderId="27" xfId="10" applyNumberFormat="1" applyFont="1" applyBorder="1" applyAlignment="1">
      <alignment vertical="center"/>
    </xf>
    <xf numFmtId="44" fontId="5" fillId="0" borderId="28" xfId="10" applyNumberFormat="1" applyFont="1" applyBorder="1" applyAlignment="1">
      <alignment vertical="center"/>
    </xf>
    <xf numFmtId="44" fontId="5" fillId="0" borderId="26" xfId="7" applyFont="1" applyBorder="1" applyAlignment="1">
      <alignment vertical="center"/>
    </xf>
    <xf numFmtId="44" fontId="5" fillId="0" borderId="28" xfId="7" applyNumberFormat="1" applyFont="1" applyBorder="1" applyAlignment="1">
      <alignment vertical="center"/>
    </xf>
    <xf numFmtId="44" fontId="5" fillId="0" borderId="26" xfId="7" applyNumberFormat="1" applyFont="1" applyBorder="1" applyAlignment="1">
      <alignment vertical="center"/>
    </xf>
    <xf numFmtId="167" fontId="5" fillId="0" borderId="29" xfId="16" applyNumberFormat="1" applyFont="1" applyBorder="1" applyAlignment="1">
      <alignment vertical="center"/>
    </xf>
    <xf numFmtId="0" fontId="5" fillId="0" borderId="0" xfId="0" applyFont="1" applyFill="1"/>
    <xf numFmtId="0" fontId="9" fillId="0" borderId="0" xfId="0" applyFont="1" applyFill="1"/>
    <xf numFmtId="0" fontId="11" fillId="0" borderId="0" xfId="0" applyFont="1" applyFill="1"/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/>
    </xf>
    <xf numFmtId="0" fontId="12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11" applyFont="1" applyFill="1"/>
    <xf numFmtId="0" fontId="12" fillId="0" borderId="0" xfId="9" applyFont="1" applyFill="1"/>
    <xf numFmtId="166" fontId="5" fillId="0" borderId="0" xfId="3" applyNumberFormat="1" applyFont="1" applyFill="1"/>
    <xf numFmtId="0" fontId="5" fillId="0" borderId="0" xfId="0" applyFont="1" applyAlignment="1">
      <alignment horizontal="center"/>
    </xf>
    <xf numFmtId="0" fontId="16" fillId="0" borderId="0" xfId="0" applyFont="1"/>
    <xf numFmtId="0" fontId="9" fillId="0" borderId="0" xfId="0" applyFont="1" applyAlignment="1">
      <alignment horizontal="center" vertical="top" wrapText="1"/>
    </xf>
    <xf numFmtId="0" fontId="17" fillId="0" borderId="30" xfId="0" applyFont="1" applyBorder="1" applyAlignment="1">
      <alignment horizontal="right"/>
    </xf>
    <xf numFmtId="179" fontId="16" fillId="0" borderId="0" xfId="0" applyNumberFormat="1" applyFont="1"/>
    <xf numFmtId="176" fontId="16" fillId="0" borderId="0" xfId="0" applyNumberFormat="1" applyFont="1"/>
    <xf numFmtId="0" fontId="5" fillId="0" borderId="4" xfId="0" applyFont="1" applyFill="1" applyBorder="1"/>
    <xf numFmtId="179" fontId="16" fillId="0" borderId="4" xfId="0" applyNumberFormat="1" applyFont="1" applyBorder="1"/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169" fontId="0" fillId="0" borderId="0" xfId="3" applyNumberFormat="1" applyFont="1"/>
    <xf numFmtId="0" fontId="9" fillId="0" borderId="0" xfId="0" applyFont="1" applyAlignment="1">
      <alignment horizontal="left"/>
    </xf>
    <xf numFmtId="0" fontId="11" fillId="0" borderId="0" xfId="0" applyFont="1"/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169" fontId="0" fillId="0" borderId="0" xfId="3" applyNumberFormat="1" applyFont="1" applyAlignment="1">
      <alignment horizontal="right"/>
    </xf>
    <xf numFmtId="169" fontId="0" fillId="0" borderId="4" xfId="3" applyNumberFormat="1" applyFont="1" applyBorder="1" applyAlignment="1">
      <alignment horizontal="right"/>
    </xf>
    <xf numFmtId="0" fontId="18" fillId="0" borderId="0" xfId="0" applyFont="1"/>
    <xf numFmtId="0" fontId="19" fillId="0" borderId="0" xfId="0" applyFont="1" applyAlignment="1">
      <alignment horizontal="right"/>
    </xf>
    <xf numFmtId="0" fontId="19" fillId="0" borderId="0" xfId="1" applyNumberFormat="1" applyFont="1" applyAlignment="1">
      <alignment horizontal="center"/>
    </xf>
    <xf numFmtId="0" fontId="18" fillId="0" borderId="0" xfId="1" quotePrefix="1" applyNumberFormat="1" applyFont="1" applyAlignment="1">
      <alignment horizontal="center" vertical="top"/>
    </xf>
    <xf numFmtId="0" fontId="20" fillId="0" borderId="0" xfId="0" applyFont="1"/>
    <xf numFmtId="37" fontId="20" fillId="0" borderId="0" xfId="0" applyNumberFormat="1" applyFont="1" applyAlignment="1">
      <alignment horizontal="center" vertical="top"/>
    </xf>
    <xf numFmtId="37" fontId="20" fillId="0" borderId="0" xfId="0" quotePrefix="1" applyNumberFormat="1" applyFont="1" applyAlignment="1">
      <alignment horizontal="center" vertical="top"/>
    </xf>
    <xf numFmtId="39" fontId="18" fillId="0" borderId="0" xfId="0" applyNumberFormat="1" applyFont="1" applyAlignment="1">
      <alignment horizontal="center" vertical="top"/>
    </xf>
    <xf numFmtId="39" fontId="18" fillId="0" borderId="0" xfId="0" quotePrefix="1" applyNumberFormat="1" applyFont="1" applyAlignment="1">
      <alignment horizontal="center" vertical="top"/>
    </xf>
    <xf numFmtId="0" fontId="19" fillId="0" borderId="0" xfId="0" applyFont="1"/>
    <xf numFmtId="169" fontId="0" fillId="0" borderId="0" xfId="1" applyNumberFormat="1" applyFont="1"/>
    <xf numFmtId="0" fontId="19" fillId="0" borderId="4" xfId="0" applyFont="1" applyBorder="1"/>
    <xf numFmtId="169" fontId="0" fillId="0" borderId="4" xfId="1" applyNumberFormat="1" applyFont="1" applyBorder="1"/>
    <xf numFmtId="0" fontId="19" fillId="0" borderId="0" xfId="0" applyFont="1" applyFill="1"/>
    <xf numFmtId="169" fontId="0" fillId="0" borderId="0" xfId="0" applyNumberForma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43" fontId="3" fillId="0" borderId="0" xfId="11" applyNumberFormat="1" applyFont="1" applyFill="1"/>
    <xf numFmtId="9" fontId="3" fillId="0" borderId="0" xfId="11" applyNumberFormat="1" applyFont="1" applyFill="1"/>
    <xf numFmtId="7" fontId="3" fillId="0" borderId="0" xfId="5" applyNumberFormat="1" applyFont="1" applyFill="1"/>
    <xf numFmtId="0" fontId="14" fillId="0" borderId="0" xfId="0" applyFont="1"/>
    <xf numFmtId="0" fontId="22" fillId="4" borderId="0" xfId="0" applyFont="1" applyFill="1"/>
    <xf numFmtId="0" fontId="23" fillId="0" borderId="0" xfId="0" applyFont="1"/>
    <xf numFmtId="0" fontId="24" fillId="0" borderId="0" xfId="0" applyFont="1" applyAlignment="1">
      <alignment horizontal="center"/>
    </xf>
    <xf numFmtId="0" fontId="25" fillId="0" borderId="0" xfId="0" applyFont="1"/>
    <xf numFmtId="0" fontId="14" fillId="0" borderId="0" xfId="0" applyFont="1" applyAlignment="1">
      <alignment horizontal="center"/>
    </xf>
    <xf numFmtId="169" fontId="14" fillId="0" borderId="0" xfId="1" applyNumberFormat="1" applyFont="1" applyAlignment="1">
      <alignment horizontal="center"/>
    </xf>
    <xf numFmtId="0" fontId="14" fillId="6" borderId="2" xfId="0" applyFont="1" applyFill="1" applyBorder="1" applyAlignment="1">
      <alignment horizontal="right"/>
    </xf>
    <xf numFmtId="44" fontId="13" fillId="0" borderId="0" xfId="5" applyFont="1"/>
    <xf numFmtId="169" fontId="26" fillId="0" borderId="0" xfId="1" applyNumberFormat="1" applyFont="1" applyAlignment="1">
      <alignment horizontal="center"/>
    </xf>
    <xf numFmtId="169" fontId="22" fillId="6" borderId="0" xfId="1" applyNumberFormat="1" applyFont="1" applyFill="1" applyAlignment="1">
      <alignment horizontal="center"/>
    </xf>
    <xf numFmtId="0" fontId="14" fillId="0" borderId="0" xfId="0" applyFont="1" applyFill="1"/>
    <xf numFmtId="44" fontId="13" fillId="0" borderId="0" xfId="5" applyFont="1" applyFill="1"/>
    <xf numFmtId="0" fontId="25" fillId="0" borderId="0" xfId="0" applyFont="1" applyFill="1"/>
    <xf numFmtId="169" fontId="26" fillId="0" borderId="0" xfId="1" applyNumberFormat="1" applyFont="1" applyFill="1" applyAlignment="1">
      <alignment horizontal="center"/>
    </xf>
    <xf numFmtId="0" fontId="0" fillId="0" borderId="0" xfId="0" applyFont="1"/>
    <xf numFmtId="0" fontId="24" fillId="0" borderId="0" xfId="0" applyFont="1"/>
    <xf numFmtId="0" fontId="27" fillId="0" borderId="0" xfId="0" applyFont="1"/>
    <xf numFmtId="169" fontId="26" fillId="0" borderId="0" xfId="1" applyNumberFormat="1" applyFont="1" applyAlignment="1">
      <alignment horizontal="right"/>
    </xf>
    <xf numFmtId="169" fontId="0" fillId="0" borderId="0" xfId="1" applyNumberFormat="1" applyFont="1" applyAlignment="1">
      <alignment horizontal="center"/>
    </xf>
    <xf numFmtId="44" fontId="22" fillId="0" borderId="0" xfId="5" applyFont="1"/>
    <xf numFmtId="169" fontId="14" fillId="0" borderId="0" xfId="0" applyNumberFormat="1" applyFont="1" applyAlignment="1">
      <alignment horizontal="center"/>
    </xf>
    <xf numFmtId="44" fontId="22" fillId="0" borderId="0" xfId="5" applyFont="1" applyAlignment="1">
      <alignment horizontal="center"/>
    </xf>
    <xf numFmtId="164" fontId="22" fillId="6" borderId="0" xfId="5" applyNumberFormat="1" applyFont="1" applyFill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69" fontId="3" fillId="3" borderId="0" xfId="1" applyNumberFormat="1" applyFont="1" applyFill="1" applyAlignment="1">
      <alignment horizontal="right"/>
    </xf>
    <xf numFmtId="167" fontId="3" fillId="0" borderId="0" xfId="12" applyNumberFormat="1" applyFont="1"/>
    <xf numFmtId="180" fontId="5" fillId="0" borderId="0" xfId="3" applyNumberFormat="1" applyFont="1" applyFill="1"/>
    <xf numFmtId="10" fontId="3" fillId="0" borderId="3" xfId="15" applyNumberFormat="1" applyFont="1" applyBorder="1" applyAlignment="1">
      <alignment vertical="center"/>
    </xf>
    <xf numFmtId="10" fontId="3" fillId="0" borderId="0" xfId="14" applyNumberFormat="1" applyFont="1"/>
    <xf numFmtId="10" fontId="3" fillId="2" borderId="0" xfId="14" applyNumberFormat="1" applyFont="1" applyFill="1"/>
    <xf numFmtId="10" fontId="16" fillId="0" borderId="0" xfId="12" applyNumberFormat="1" applyFont="1"/>
    <xf numFmtId="10" fontId="16" fillId="0" borderId="4" xfId="15" applyNumberFormat="1" applyFont="1" applyBorder="1"/>
    <xf numFmtId="10" fontId="16" fillId="0" borderId="0" xfId="15" applyNumberFormat="1" applyFont="1"/>
    <xf numFmtId="0" fontId="16" fillId="0" borderId="0" xfId="0" applyFont="1" applyFill="1"/>
    <xf numFmtId="0" fontId="21" fillId="0" borderId="0" xfId="11" applyFont="1" applyAlignment="1">
      <alignment horizontal="right"/>
    </xf>
    <xf numFmtId="0" fontId="21" fillId="0" borderId="0" xfId="11" applyFont="1"/>
    <xf numFmtId="9" fontId="16" fillId="0" borderId="0" xfId="12" applyNumberFormat="1" applyFont="1"/>
    <xf numFmtId="9" fontId="16" fillId="0" borderId="0" xfId="15" applyNumberFormat="1" applyFont="1"/>
    <xf numFmtId="0" fontId="1" fillId="0" borderId="0" xfId="0" applyFont="1" applyFill="1" applyAlignment="1">
      <alignment horizontal="center"/>
    </xf>
    <xf numFmtId="169" fontId="3" fillId="0" borderId="3" xfId="1" applyNumberFormat="1" applyFont="1" applyFill="1" applyBorder="1"/>
    <xf numFmtId="0" fontId="2" fillId="0" borderId="0" xfId="0" applyFont="1" applyFill="1" applyBorder="1" applyAlignment="1">
      <alignment horizontal="center"/>
    </xf>
    <xf numFmtId="0" fontId="28" fillId="0" borderId="0" xfId="11" applyFont="1" applyFill="1" applyAlignment="1">
      <alignment horizontal="right"/>
    </xf>
    <xf numFmtId="43" fontId="3" fillId="0" borderId="0" xfId="1" applyNumberFormat="1" applyFont="1" applyFill="1"/>
    <xf numFmtId="170" fontId="3" fillId="0" borderId="0" xfId="11" applyNumberFormat="1" applyFont="1" applyFill="1"/>
    <xf numFmtId="2" fontId="3" fillId="5" borderId="0" xfId="11" applyNumberFormat="1" applyFont="1" applyFill="1"/>
    <xf numFmtId="164" fontId="1" fillId="0" borderId="0" xfId="0" applyNumberFormat="1" applyFont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176" fontId="5" fillId="0" borderId="0" xfId="3" applyNumberFormat="1" applyFont="1" applyFill="1"/>
    <xf numFmtId="182" fontId="5" fillId="0" borderId="0" xfId="3" applyNumberFormat="1" applyFont="1" applyFill="1"/>
    <xf numFmtId="43" fontId="16" fillId="0" borderId="0" xfId="0" applyNumberFormat="1" applyFont="1"/>
    <xf numFmtId="0" fontId="2" fillId="0" borderId="2" xfId="11" applyFont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9" fillId="0" borderId="36" xfId="10" applyFont="1" applyBorder="1" applyAlignment="1">
      <alignment horizontal="center" vertical="center"/>
    </xf>
    <xf numFmtId="0" fontId="9" fillId="0" borderId="37" xfId="10" applyFont="1" applyBorder="1" applyAlignment="1">
      <alignment horizontal="center" vertical="center"/>
    </xf>
    <xf numFmtId="0" fontId="9" fillId="0" borderId="38" xfId="10" applyFont="1" applyBorder="1" applyAlignment="1">
      <alignment horizontal="center" vertical="center"/>
    </xf>
    <xf numFmtId="0" fontId="9" fillId="0" borderId="38" xfId="10" applyFont="1" applyFill="1" applyBorder="1" applyAlignment="1">
      <alignment horizontal="center" vertical="center"/>
    </xf>
    <xf numFmtId="0" fontId="9" fillId="0" borderId="39" xfId="1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17" fillId="0" borderId="2" xfId="0" applyFont="1" applyBorder="1" applyAlignment="1">
      <alignment horizontal="center"/>
    </xf>
  </cellXfs>
  <cellStyles count="17">
    <cellStyle name="Comma" xfId="1" builtinId="3"/>
    <cellStyle name="Comma 2" xfId="2"/>
    <cellStyle name="Comma 3" xfId="3"/>
    <cellStyle name="Comma 3 2" xfId="4"/>
    <cellStyle name="Currency" xfId="5" builtinId="4"/>
    <cellStyle name="Currency 2" xfId="6"/>
    <cellStyle name="Currency 2 2" xfId="7"/>
    <cellStyle name="Currency 3" xfId="8"/>
    <cellStyle name="Normal" xfId="0" builtinId="0"/>
    <cellStyle name="Normal 2" xfId="9"/>
    <cellStyle name="Normal 2 2" xfId="10"/>
    <cellStyle name="Normal 3" xfId="11"/>
    <cellStyle name="Percent" xfId="12" builtinId="5"/>
    <cellStyle name="Percent 2" xfId="13"/>
    <cellStyle name="Percent 2 2" xfId="14"/>
    <cellStyle name="Percent 3" xfId="15"/>
    <cellStyle name="Percent 3 2" xfId="16"/>
  </cellStyles>
  <dxfs count="0"/>
  <tableStyles count="0" defaultTableStyle="TableStyleMedium9" defaultPivotStyle="PivotStyleLight16"/>
  <colors>
    <mruColors>
      <color rgb="FFFFFFCC"/>
      <color rgb="FFFFFF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2"/>
  <sheetViews>
    <sheetView tabSelected="1" zoomScale="75" zoomScaleNormal="75" workbookViewId="0">
      <pane xSplit="3" ySplit="8" topLeftCell="D9" activePane="bottomRight" state="frozen"/>
      <selection activeCell="C3" sqref="C3"/>
      <selection pane="topRight" activeCell="C3" sqref="C3"/>
      <selection pane="bottomLeft" activeCell="C3" sqref="C3"/>
      <selection pane="bottomRight" activeCell="K4" sqref="K4"/>
    </sheetView>
  </sheetViews>
  <sheetFormatPr defaultRowHeight="15.75" x14ac:dyDescent="0.25"/>
  <cols>
    <col min="1" max="1" width="34.140625" style="159" customWidth="1"/>
    <col min="2" max="2" width="8.28515625" style="163" customWidth="1"/>
    <col min="3" max="3" width="45.28515625" style="159" customWidth="1"/>
    <col min="4" max="4" width="3" style="159" customWidth="1"/>
    <col min="5" max="5" width="12.5703125" style="159" hidden="1" customWidth="1"/>
    <col min="6" max="6" width="13.5703125" style="159" customWidth="1"/>
    <col min="7" max="7" width="11.42578125" style="159" customWidth="1"/>
    <col min="8" max="8" width="12" style="159" customWidth="1"/>
    <col min="9" max="10" width="12" style="159" hidden="1" customWidth="1"/>
    <col min="11" max="11" width="6.42578125" style="159" customWidth="1"/>
    <col min="12" max="12" width="17.28515625" style="159" bestFit="1" customWidth="1"/>
    <col min="13" max="13" width="15" style="159" customWidth="1"/>
    <col min="14" max="14" width="17.42578125" style="159" customWidth="1"/>
    <col min="15" max="15" width="14.28515625" style="159" customWidth="1"/>
    <col min="16" max="16" width="15.140625" style="160" customWidth="1"/>
    <col min="17" max="17" width="14.42578125" style="159" customWidth="1"/>
    <col min="18" max="18" width="15.5703125" style="159" bestFit="1" customWidth="1"/>
    <col min="19" max="19" width="16.140625" style="159" bestFit="1" customWidth="1"/>
    <col min="20" max="20" width="1.85546875" style="198" customWidth="1"/>
    <col min="21" max="21" width="7.85546875" style="159" customWidth="1"/>
    <col min="22" max="22" width="11.42578125" style="159" customWidth="1"/>
    <col min="23" max="23" width="10.140625" style="159" customWidth="1"/>
    <col min="24" max="24" width="16.42578125" style="159" customWidth="1"/>
    <col min="25" max="25" width="11.42578125" style="159" customWidth="1"/>
    <col min="26" max="26" width="22" style="159" customWidth="1"/>
    <col min="27" max="27" width="13" style="159" customWidth="1"/>
    <col min="28" max="28" width="9.140625" style="159"/>
    <col min="29" max="29" width="4.7109375" style="159" customWidth="1"/>
    <col min="30" max="30" width="13.5703125" style="159" customWidth="1"/>
    <col min="31" max="31" width="22.28515625" style="159" customWidth="1"/>
    <col min="32" max="33" width="9.140625" style="159"/>
    <col min="34" max="34" width="11.42578125" style="159" customWidth="1"/>
    <col min="35" max="35" width="12.42578125" style="159" customWidth="1"/>
    <col min="36" max="36" width="11.42578125" style="159" customWidth="1"/>
    <col min="37" max="37" width="16.140625" style="159" customWidth="1"/>
    <col min="38" max="38" width="11.42578125" style="159" customWidth="1"/>
    <col min="39" max="39" width="12.140625" style="159" customWidth="1"/>
    <col min="40" max="40" width="11.42578125" style="159" customWidth="1"/>
    <col min="41" max="16384" width="9.140625" style="159"/>
  </cols>
  <sheetData>
    <row r="1" spans="1:29" ht="18.75" x14ac:dyDescent="0.3">
      <c r="A1" s="133" t="s">
        <v>146</v>
      </c>
      <c r="B1" s="158"/>
      <c r="F1" s="167"/>
      <c r="G1" s="168"/>
      <c r="H1" s="167"/>
      <c r="M1" s="203"/>
    </row>
    <row r="2" spans="1:29" x14ac:dyDescent="0.25">
      <c r="B2" s="159"/>
      <c r="C2" s="375"/>
      <c r="F2" s="376"/>
      <c r="H2" s="376"/>
    </row>
    <row r="3" spans="1:29" ht="18.75" x14ac:dyDescent="0.3">
      <c r="A3" s="162" t="s">
        <v>54</v>
      </c>
      <c r="G3" s="167"/>
    </row>
    <row r="5" spans="1:29" x14ac:dyDescent="0.25">
      <c r="A5" s="393" t="s">
        <v>55</v>
      </c>
      <c r="B5" s="393"/>
      <c r="C5" s="393"/>
      <c r="D5" s="239"/>
      <c r="E5" s="393" t="s">
        <v>147</v>
      </c>
      <c r="F5" s="393"/>
      <c r="G5" s="393"/>
      <c r="H5" s="393"/>
      <c r="I5" s="165" t="s">
        <v>90</v>
      </c>
      <c r="J5" s="165" t="s">
        <v>59</v>
      </c>
      <c r="L5" s="393" t="s">
        <v>91</v>
      </c>
      <c r="M5" s="393"/>
      <c r="N5" s="393"/>
      <c r="O5" s="393"/>
      <c r="P5" s="393"/>
    </row>
    <row r="6" spans="1:29" x14ac:dyDescent="0.25">
      <c r="I6" s="166" t="s">
        <v>92</v>
      </c>
      <c r="J6" s="166" t="s">
        <v>92</v>
      </c>
      <c r="P6" s="159"/>
    </row>
    <row r="7" spans="1:29" s="167" customFormat="1" x14ac:dyDescent="0.25">
      <c r="B7" s="158"/>
      <c r="C7" s="168" t="s">
        <v>56</v>
      </c>
      <c r="D7" s="168"/>
      <c r="E7" s="168" t="s">
        <v>148</v>
      </c>
      <c r="F7" s="166" t="s">
        <v>93</v>
      </c>
      <c r="G7" s="166" t="s">
        <v>59</v>
      </c>
      <c r="H7" s="166" t="s">
        <v>58</v>
      </c>
      <c r="I7" s="166" t="s">
        <v>94</v>
      </c>
      <c r="J7" s="166" t="s">
        <v>94</v>
      </c>
      <c r="L7" s="169" t="s">
        <v>57</v>
      </c>
      <c r="M7" s="166" t="s">
        <v>59</v>
      </c>
      <c r="N7" s="166" t="s">
        <v>60</v>
      </c>
      <c r="O7" s="166" t="s">
        <v>60</v>
      </c>
      <c r="P7" s="166" t="s">
        <v>60</v>
      </c>
      <c r="Q7" s="159"/>
      <c r="T7" s="199"/>
    </row>
    <row r="8" spans="1:29" s="167" customFormat="1" x14ac:dyDescent="0.25">
      <c r="A8" s="170" t="s">
        <v>61</v>
      </c>
      <c r="B8" s="171" t="s">
        <v>62</v>
      </c>
      <c r="C8" s="164" t="s">
        <v>63</v>
      </c>
      <c r="D8" s="239"/>
      <c r="E8" s="168" t="s">
        <v>149</v>
      </c>
      <c r="F8" s="172" t="s">
        <v>5</v>
      </c>
      <c r="G8" s="172" t="s">
        <v>5</v>
      </c>
      <c r="H8" s="172" t="s">
        <v>64</v>
      </c>
      <c r="I8" s="172" t="s">
        <v>95</v>
      </c>
      <c r="J8" s="172" t="s">
        <v>95</v>
      </c>
      <c r="L8" s="172" t="s">
        <v>43</v>
      </c>
      <c r="M8" s="172" t="s">
        <v>43</v>
      </c>
      <c r="N8" s="172" t="s">
        <v>65</v>
      </c>
      <c r="O8" s="172" t="s">
        <v>66</v>
      </c>
      <c r="P8" s="172" t="s">
        <v>99</v>
      </c>
      <c r="Q8" s="159"/>
      <c r="T8" s="199"/>
      <c r="W8" s="167" t="s">
        <v>229</v>
      </c>
    </row>
    <row r="9" spans="1:29" x14ac:dyDescent="0.25">
      <c r="W9" s="160"/>
      <c r="X9" s="160"/>
      <c r="Y9" s="382" t="s">
        <v>232</v>
      </c>
      <c r="Z9" s="382" t="s">
        <v>144</v>
      </c>
      <c r="AA9" s="382" t="s">
        <v>231</v>
      </c>
      <c r="AB9" s="160"/>
      <c r="AC9" s="160"/>
    </row>
    <row r="10" spans="1:29" s="160" customFormat="1" x14ac:dyDescent="0.25">
      <c r="A10" s="173" t="s">
        <v>108</v>
      </c>
      <c r="B10" s="204">
        <v>1</v>
      </c>
      <c r="C10" s="159" t="s">
        <v>107</v>
      </c>
      <c r="D10" s="159"/>
      <c r="E10" s="209"/>
      <c r="F10" s="209">
        <v>0.57199999999999995</v>
      </c>
      <c r="G10" s="209">
        <f>ROUND(AA14,3)</f>
        <v>0.70299999999999996</v>
      </c>
      <c r="H10" s="209">
        <f>G10-F10</f>
        <v>0.13100000000000001</v>
      </c>
      <c r="I10" s="174" t="e">
        <f>F10-#REF!</f>
        <v>#REF!</v>
      </c>
      <c r="J10" s="174" t="e">
        <f>G10-#REF!</f>
        <v>#REF!</v>
      </c>
      <c r="K10" s="159"/>
      <c r="L10" s="136">
        <f>'Res-1'!G30</f>
        <v>39929718.992059231</v>
      </c>
      <c r="M10" s="136">
        <f>'Res-1'!O30</f>
        <v>41334244.183725893</v>
      </c>
      <c r="N10" s="136">
        <f>'Res-1'!O32</f>
        <v>1404525.1916666627</v>
      </c>
      <c r="O10" s="369">
        <f>'Res-1'!O34</f>
        <v>3.5174933035365931E-2</v>
      </c>
      <c r="P10" s="338">
        <f>'Res-1'!O36</f>
        <v>4.2229166666666549</v>
      </c>
      <c r="Q10" s="159"/>
      <c r="R10" s="241">
        <f>F10*360/12</f>
        <v>17.16</v>
      </c>
      <c r="S10" s="159"/>
      <c r="T10" s="198"/>
      <c r="W10" s="336">
        <v>17.16</v>
      </c>
      <c r="X10" s="160" t="s">
        <v>90</v>
      </c>
      <c r="Y10" s="337">
        <v>0.25</v>
      </c>
      <c r="Z10" s="112">
        <f>Y10*W13+W10</f>
        <v>20.642499999999998</v>
      </c>
    </row>
    <row r="11" spans="1:29" s="160" customFormat="1" x14ac:dyDescent="0.25">
      <c r="A11" s="173"/>
      <c r="B11" s="205"/>
      <c r="C11" s="159" t="s">
        <v>96</v>
      </c>
      <c r="D11" s="159"/>
      <c r="E11" s="210"/>
      <c r="F11" s="210">
        <v>9.7665000000000002E-2</v>
      </c>
      <c r="G11" s="210">
        <f>F11*$G$51</f>
        <v>9.7665000000000002E-2</v>
      </c>
      <c r="H11" s="178">
        <f>G11-F11</f>
        <v>0</v>
      </c>
      <c r="I11" s="178" t="e">
        <f>F11-#REF!</f>
        <v>#REF!</v>
      </c>
      <c r="J11" s="178" t="e">
        <f>G11-#REF!</f>
        <v>#REF!</v>
      </c>
      <c r="K11" s="159"/>
      <c r="L11" s="136"/>
      <c r="M11" s="136"/>
      <c r="N11" s="136"/>
      <c r="O11" s="369"/>
      <c r="P11" s="196"/>
      <c r="R11" s="241"/>
      <c r="S11" s="159"/>
      <c r="T11" s="198"/>
      <c r="W11" s="112">
        <v>31.09</v>
      </c>
      <c r="X11" s="160" t="s">
        <v>201</v>
      </c>
      <c r="Y11" s="337">
        <v>0.33</v>
      </c>
      <c r="Z11" s="112">
        <f>Y11*W13+W10</f>
        <v>21.756900000000002</v>
      </c>
    </row>
    <row r="12" spans="1:29" s="160" customFormat="1" ht="9" customHeight="1" x14ac:dyDescent="0.25">
      <c r="A12" s="179"/>
      <c r="B12" s="206"/>
      <c r="C12" s="181"/>
      <c r="D12" s="181"/>
      <c r="E12" s="181"/>
      <c r="F12" s="181"/>
      <c r="G12" s="181"/>
      <c r="H12" s="181"/>
      <c r="I12" s="181"/>
      <c r="J12" s="181"/>
      <c r="K12" s="181"/>
      <c r="L12" s="182"/>
      <c r="M12" s="182"/>
      <c r="N12" s="182"/>
      <c r="O12" s="370"/>
      <c r="P12" s="197"/>
      <c r="R12" s="159"/>
      <c r="S12" s="159"/>
      <c r="T12" s="198"/>
    </row>
    <row r="13" spans="1:29" s="160" customFormat="1" x14ac:dyDescent="0.25">
      <c r="A13" s="173" t="s">
        <v>101</v>
      </c>
      <c r="B13" s="205">
        <v>2</v>
      </c>
      <c r="C13" s="159" t="s">
        <v>107</v>
      </c>
      <c r="D13" s="159"/>
      <c r="E13" s="209"/>
      <c r="F13" s="209">
        <v>0.81599999999999995</v>
      </c>
      <c r="G13" s="209">
        <f>F13*$G$51</f>
        <v>0.81599999999999995</v>
      </c>
      <c r="H13" s="209">
        <f>G13-F13</f>
        <v>0</v>
      </c>
      <c r="I13" s="174" t="e">
        <f>F13-#REF!</f>
        <v>#REF!</v>
      </c>
      <c r="J13" s="174" t="e">
        <f>G13-#REF!</f>
        <v>#REF!</v>
      </c>
      <c r="K13" s="159"/>
      <c r="L13" s="136">
        <f>'SmCom-2'!G30</f>
        <v>3177730.6470392831</v>
      </c>
      <c r="M13" s="136">
        <f>'SmCom-2'!O30</f>
        <v>3177730.6470392831</v>
      </c>
      <c r="N13" s="136">
        <f>'SmCom-2'!O32</f>
        <v>0</v>
      </c>
      <c r="O13" s="369">
        <f>'SmCom-2'!O34</f>
        <v>0</v>
      </c>
      <c r="P13" s="196">
        <f>'SmCom-2'!O36</f>
        <v>0</v>
      </c>
      <c r="Q13" s="159"/>
      <c r="R13" s="241"/>
      <c r="S13" s="159"/>
      <c r="T13" s="198"/>
      <c r="W13" s="336">
        <f>W11-W10</f>
        <v>13.93</v>
      </c>
      <c r="X13" s="160" t="s">
        <v>202</v>
      </c>
      <c r="Y13" s="337"/>
      <c r="Z13" s="112"/>
    </row>
    <row r="14" spans="1:29" s="160" customFormat="1" x14ac:dyDescent="0.25">
      <c r="A14" s="173"/>
      <c r="B14" s="205"/>
      <c r="C14" s="159" t="s">
        <v>96</v>
      </c>
      <c r="D14" s="159"/>
      <c r="E14" s="210"/>
      <c r="F14" s="210">
        <v>0.104294</v>
      </c>
      <c r="G14" s="210">
        <f>F14*$G$51</f>
        <v>0.104294</v>
      </c>
      <c r="H14" s="178">
        <f>G14-F14</f>
        <v>0</v>
      </c>
      <c r="I14" s="178" t="e">
        <f>F14-#REF!</f>
        <v>#REF!</v>
      </c>
      <c r="J14" s="178" t="e">
        <f>G14-#REF!</f>
        <v>#REF!</v>
      </c>
      <c r="K14" s="159"/>
      <c r="L14" s="136"/>
      <c r="M14" s="136"/>
      <c r="N14" s="136"/>
      <c r="O14" s="369"/>
      <c r="P14" s="196"/>
      <c r="R14" s="243"/>
      <c r="S14" s="159"/>
      <c r="T14" s="198"/>
      <c r="X14" s="160" t="s">
        <v>203</v>
      </c>
      <c r="Y14" s="237">
        <f>(Z14-W10)/W13</f>
        <v>0.28212491026561376</v>
      </c>
      <c r="Z14" s="383">
        <f>G10*360/12</f>
        <v>21.09</v>
      </c>
      <c r="AA14" s="384">
        <v>0.70299999999999996</v>
      </c>
    </row>
    <row r="15" spans="1:29" s="160" customFormat="1" ht="9" customHeight="1" x14ac:dyDescent="0.25">
      <c r="A15" s="179"/>
      <c r="B15" s="206"/>
      <c r="C15" s="181"/>
      <c r="D15" s="181"/>
      <c r="E15" s="181"/>
      <c r="F15" s="181"/>
      <c r="G15" s="181"/>
      <c r="H15" s="181"/>
      <c r="I15" s="181"/>
      <c r="J15" s="181"/>
      <c r="K15" s="181"/>
      <c r="L15" s="182"/>
      <c r="M15" s="182"/>
      <c r="N15" s="182"/>
      <c r="O15" s="370"/>
      <c r="P15" s="197"/>
      <c r="R15" s="159"/>
      <c r="S15" s="159"/>
      <c r="T15" s="198"/>
    </row>
    <row r="16" spans="1:29" s="160" customFormat="1" x14ac:dyDescent="0.25">
      <c r="A16" s="173" t="s">
        <v>109</v>
      </c>
      <c r="B16" s="205">
        <v>3</v>
      </c>
      <c r="C16" s="159" t="s">
        <v>111</v>
      </c>
      <c r="D16" s="159"/>
      <c r="E16" s="209"/>
      <c r="F16" s="209">
        <v>1.786</v>
      </c>
      <c r="G16" s="209">
        <f>F16*$G$51</f>
        <v>1.786</v>
      </c>
      <c r="H16" s="209">
        <f>G16-F16</f>
        <v>0</v>
      </c>
      <c r="I16" s="174" t="e">
        <f>F16-#REF!</f>
        <v>#REF!</v>
      </c>
      <c r="J16" s="174" t="e">
        <f>G16-#REF!</f>
        <v>#REF!</v>
      </c>
      <c r="K16" s="159"/>
      <c r="L16" s="136">
        <f>'3Ph-3'!G36</f>
        <v>8492810.361028051</v>
      </c>
      <c r="M16" s="136">
        <f>'3Ph-3'!O36</f>
        <v>8492810.361028051</v>
      </c>
      <c r="N16" s="136">
        <f>'3Ph-3'!O38</f>
        <v>0</v>
      </c>
      <c r="O16" s="369">
        <f>'3Ph-3'!O40</f>
        <v>0</v>
      </c>
      <c r="P16" s="196">
        <f>'3Ph-3'!O42</f>
        <v>0</v>
      </c>
      <c r="Q16" s="159"/>
      <c r="R16" s="159"/>
      <c r="S16" s="159"/>
      <c r="T16" s="198"/>
      <c r="Y16" s="169" t="s">
        <v>233</v>
      </c>
    </row>
    <row r="17" spans="1:25" s="160" customFormat="1" x14ac:dyDescent="0.25">
      <c r="A17" s="173"/>
      <c r="B17" s="205"/>
      <c r="C17" s="159" t="s">
        <v>113</v>
      </c>
      <c r="D17" s="159"/>
      <c r="E17" s="209"/>
      <c r="F17" s="209">
        <v>3.1179999999999999</v>
      </c>
      <c r="G17" s="209">
        <f>F17*$G$51</f>
        <v>3.1179999999999999</v>
      </c>
      <c r="H17" s="209">
        <f>G17-F17</f>
        <v>0</v>
      </c>
      <c r="I17" s="174"/>
      <c r="J17" s="174"/>
      <c r="K17" s="159"/>
      <c r="L17" s="136"/>
      <c r="M17" s="136"/>
      <c r="N17" s="136"/>
      <c r="O17" s="369"/>
      <c r="P17" s="196"/>
      <c r="Q17" s="159"/>
      <c r="R17" s="159"/>
      <c r="S17" s="159"/>
      <c r="T17" s="198"/>
      <c r="Y17" s="160" t="s">
        <v>234</v>
      </c>
    </row>
    <row r="18" spans="1:25" s="160" customFormat="1" x14ac:dyDescent="0.25">
      <c r="A18" s="173"/>
      <c r="B18" s="205"/>
      <c r="C18" s="159" t="s">
        <v>112</v>
      </c>
      <c r="D18" s="159"/>
      <c r="E18" s="209"/>
      <c r="F18" s="209">
        <v>4.45</v>
      </c>
      <c r="G18" s="209">
        <f>F18*$G$51</f>
        <v>4.45</v>
      </c>
      <c r="H18" s="209">
        <f>G18-F18</f>
        <v>0</v>
      </c>
      <c r="I18" s="174"/>
      <c r="J18" s="174"/>
      <c r="K18" s="159"/>
      <c r="L18" s="136"/>
      <c r="M18" s="136"/>
      <c r="N18" s="136"/>
      <c r="O18" s="369"/>
      <c r="P18" s="196"/>
      <c r="Q18" s="159"/>
      <c r="R18" s="159"/>
      <c r="S18" s="159"/>
      <c r="T18" s="198"/>
    </row>
    <row r="19" spans="1:25" s="160" customFormat="1" x14ac:dyDescent="0.25">
      <c r="A19" s="173"/>
      <c r="B19" s="205"/>
      <c r="C19" s="159" t="s">
        <v>96</v>
      </c>
      <c r="D19" s="159"/>
      <c r="E19" s="210"/>
      <c r="F19" s="210">
        <v>6.5794000000000005E-2</v>
      </c>
      <c r="G19" s="210">
        <f>F19*$G$51</f>
        <v>6.5794000000000005E-2</v>
      </c>
      <c r="H19" s="178">
        <f>G19-F19</f>
        <v>0</v>
      </c>
      <c r="I19" s="178" t="e">
        <f>F19-#REF!</f>
        <v>#REF!</v>
      </c>
      <c r="J19" s="178" t="e">
        <f>G19-#REF!</f>
        <v>#REF!</v>
      </c>
      <c r="K19" s="159"/>
      <c r="L19" s="136"/>
      <c r="M19" s="136"/>
      <c r="N19" s="136"/>
      <c r="O19" s="369"/>
      <c r="P19" s="196"/>
      <c r="R19" s="159"/>
      <c r="S19" s="159"/>
      <c r="T19" s="198"/>
    </row>
    <row r="20" spans="1:25" s="160" customFormat="1" x14ac:dyDescent="0.25">
      <c r="A20" s="173"/>
      <c r="B20" s="205"/>
      <c r="C20" s="159" t="s">
        <v>97</v>
      </c>
      <c r="D20" s="159"/>
      <c r="E20" s="31"/>
      <c r="F20" s="31">
        <v>11</v>
      </c>
      <c r="G20" s="174">
        <f>F20*$G$51</f>
        <v>11</v>
      </c>
      <c r="H20" s="174">
        <f>G20-F20</f>
        <v>0</v>
      </c>
      <c r="I20" s="31" t="e">
        <f>F20-#REF!</f>
        <v>#REF!</v>
      </c>
      <c r="J20" s="31" t="e">
        <f>G20-#REF!</f>
        <v>#REF!</v>
      </c>
      <c r="K20" s="159"/>
      <c r="L20" s="136"/>
      <c r="M20" s="136"/>
      <c r="N20" s="136"/>
      <c r="O20" s="369"/>
      <c r="P20" s="196"/>
      <c r="R20" s="159"/>
      <c r="S20" s="159"/>
      <c r="T20" s="198"/>
    </row>
    <row r="21" spans="1:25" s="160" customFormat="1" ht="9" customHeight="1" x14ac:dyDescent="0.25">
      <c r="A21" s="179"/>
      <c r="B21" s="206"/>
      <c r="C21" s="181"/>
      <c r="D21" s="181"/>
      <c r="E21" s="181"/>
      <c r="F21" s="181"/>
      <c r="G21" s="181"/>
      <c r="H21" s="181"/>
      <c r="I21" s="181"/>
      <c r="J21" s="181"/>
      <c r="K21" s="181"/>
      <c r="L21" s="182"/>
      <c r="M21" s="182"/>
      <c r="N21" s="182"/>
      <c r="O21" s="370"/>
      <c r="P21" s="197"/>
      <c r="R21" s="159"/>
      <c r="S21" s="159"/>
      <c r="T21" s="198"/>
    </row>
    <row r="22" spans="1:25" s="160" customFormat="1" x14ac:dyDescent="0.25">
      <c r="A22" s="173" t="s">
        <v>102</v>
      </c>
      <c r="B22" s="205" t="s">
        <v>110</v>
      </c>
      <c r="C22" s="159" t="s">
        <v>107</v>
      </c>
      <c r="D22" s="159"/>
      <c r="E22" s="209"/>
      <c r="F22" s="209">
        <v>2.641</v>
      </c>
      <c r="G22" s="209">
        <f>F22*$G$51</f>
        <v>2.641</v>
      </c>
      <c r="H22" s="209">
        <f>G22-F22</f>
        <v>0</v>
      </c>
      <c r="I22" s="174" t="e">
        <f>F22-#REF!</f>
        <v>#REF!</v>
      </c>
      <c r="J22" s="174" t="e">
        <f>G22-#REF!</f>
        <v>#REF!</v>
      </c>
      <c r="K22" s="159"/>
      <c r="L22" s="136">
        <f>'3PhTOD-3A'!G33</f>
        <v>72384.557690000031</v>
      </c>
      <c r="M22" s="136">
        <f>'3PhTOD-3A'!O33</f>
        <v>72384.557690000031</v>
      </c>
      <c r="N22" s="136">
        <f>'3PhTOD-3A'!O35</f>
        <v>0</v>
      </c>
      <c r="O22" s="369">
        <f>'3PhTOD-3A'!O37</f>
        <v>0</v>
      </c>
      <c r="P22" s="196">
        <f>'3PhTOD-3A'!O39</f>
        <v>0</v>
      </c>
      <c r="Q22" s="159"/>
      <c r="R22" s="159"/>
      <c r="S22" s="159"/>
      <c r="T22" s="198"/>
    </row>
    <row r="23" spans="1:25" s="160" customFormat="1" x14ac:dyDescent="0.25">
      <c r="A23" s="173"/>
      <c r="B23" s="205"/>
      <c r="C23" s="159" t="s">
        <v>96</v>
      </c>
      <c r="D23" s="159"/>
      <c r="E23" s="210"/>
      <c r="F23" s="210">
        <v>6.5794000000000005E-2</v>
      </c>
      <c r="G23" s="178">
        <f>F23*$G$51</f>
        <v>6.5794000000000005E-2</v>
      </c>
      <c r="H23" s="178">
        <f>G23-F23</f>
        <v>0</v>
      </c>
      <c r="I23" s="178" t="e">
        <f>F23-#REF!</f>
        <v>#REF!</v>
      </c>
      <c r="J23" s="178" t="e">
        <f>G23-#REF!</f>
        <v>#REF!</v>
      </c>
      <c r="K23" s="159"/>
      <c r="L23" s="136"/>
      <c r="M23" s="136"/>
      <c r="N23" s="136"/>
      <c r="O23" s="369"/>
      <c r="P23" s="196"/>
      <c r="R23" s="159"/>
      <c r="S23" s="159"/>
      <c r="T23" s="198"/>
    </row>
    <row r="24" spans="1:25" s="160" customFormat="1" x14ac:dyDescent="0.25">
      <c r="A24" s="173"/>
      <c r="B24" s="205"/>
      <c r="C24" s="159" t="s">
        <v>97</v>
      </c>
      <c r="D24" s="159"/>
      <c r="E24" s="31"/>
      <c r="F24" s="31">
        <v>11</v>
      </c>
      <c r="G24" s="174">
        <f>F24*$G$51</f>
        <v>11</v>
      </c>
      <c r="H24" s="174">
        <f>G24-F24</f>
        <v>0</v>
      </c>
      <c r="I24" s="31" t="e">
        <f>F24-#REF!</f>
        <v>#REF!</v>
      </c>
      <c r="J24" s="31" t="e">
        <f>G24-#REF!</f>
        <v>#REF!</v>
      </c>
      <c r="K24" s="159"/>
      <c r="L24" s="136"/>
      <c r="M24" s="136"/>
      <c r="N24" s="136"/>
      <c r="O24" s="369"/>
      <c r="P24" s="196"/>
      <c r="R24" s="159"/>
      <c r="S24" s="159"/>
      <c r="T24" s="198"/>
    </row>
    <row r="25" spans="1:25" s="160" customFormat="1" ht="9" customHeight="1" x14ac:dyDescent="0.25">
      <c r="A25" s="179"/>
      <c r="B25" s="206"/>
      <c r="C25" s="181"/>
      <c r="D25" s="181"/>
      <c r="E25" s="181"/>
      <c r="F25" s="181"/>
      <c r="G25" s="181"/>
      <c r="H25" s="181"/>
      <c r="I25" s="181"/>
      <c r="J25" s="181"/>
      <c r="K25" s="181"/>
      <c r="L25" s="182"/>
      <c r="M25" s="182"/>
      <c r="N25" s="182"/>
      <c r="O25" s="370"/>
      <c r="P25" s="197"/>
      <c r="R25" s="159"/>
      <c r="S25" s="159"/>
      <c r="T25" s="198"/>
    </row>
    <row r="26" spans="1:25" s="160" customFormat="1" x14ac:dyDescent="0.25">
      <c r="A26" s="173" t="s">
        <v>103</v>
      </c>
      <c r="B26" s="205">
        <v>4</v>
      </c>
      <c r="C26" s="159" t="s">
        <v>152</v>
      </c>
      <c r="D26" s="159"/>
      <c r="E26" s="174"/>
      <c r="F26" s="174">
        <v>805.93</v>
      </c>
      <c r="G26" s="174">
        <f>F26*$G$51</f>
        <v>805.93</v>
      </c>
      <c r="H26" s="233">
        <f>G26-F26</f>
        <v>0</v>
      </c>
      <c r="I26" s="174" t="e">
        <f>F26-#REF!</f>
        <v>#REF!</v>
      </c>
      <c r="J26" s="174" t="e">
        <f>G26-#REF!</f>
        <v>#REF!</v>
      </c>
      <c r="K26" s="159"/>
      <c r="L26" s="136">
        <f>'LgTOD-4'!G38</f>
        <v>803723.3932090489</v>
      </c>
      <c r="M26" s="136">
        <f>'LgTOD-4'!O38</f>
        <v>803723.3932090489</v>
      </c>
      <c r="N26" s="136">
        <f>'LgTOD-4'!O40</f>
        <v>0</v>
      </c>
      <c r="O26" s="369">
        <f>'LgTOD-4'!O42</f>
        <v>0</v>
      </c>
      <c r="P26" s="196">
        <f>'LgTOD-4'!O44</f>
        <v>0</v>
      </c>
      <c r="Q26" s="159"/>
      <c r="R26" s="159"/>
      <c r="S26" s="159"/>
      <c r="T26" s="198"/>
    </row>
    <row r="27" spans="1:25" s="160" customFormat="1" x14ac:dyDescent="0.25">
      <c r="A27" s="173"/>
      <c r="B27" s="205"/>
      <c r="C27" s="159" t="s">
        <v>153</v>
      </c>
      <c r="D27" s="159"/>
      <c r="E27" s="174"/>
      <c r="F27" s="174">
        <v>142.22999999999999</v>
      </c>
      <c r="G27" s="174">
        <f>F27*$G$51</f>
        <v>142.22999999999999</v>
      </c>
      <c r="H27" s="233">
        <f>G27-F27</f>
        <v>0</v>
      </c>
      <c r="I27" s="174"/>
      <c r="J27" s="174"/>
      <c r="K27" s="159"/>
      <c r="L27" s="136"/>
      <c r="M27" s="136"/>
      <c r="N27" s="136"/>
      <c r="O27" s="369"/>
      <c r="P27" s="196"/>
      <c r="Q27" s="159"/>
      <c r="R27" s="159"/>
      <c r="S27" s="159"/>
      <c r="T27" s="198"/>
    </row>
    <row r="28" spans="1:25" s="160" customFormat="1" x14ac:dyDescent="0.25">
      <c r="A28" s="173"/>
      <c r="B28" s="205"/>
      <c r="C28" s="159" t="s">
        <v>114</v>
      </c>
      <c r="D28" s="159"/>
      <c r="E28" s="210"/>
      <c r="F28" s="210">
        <v>6.0553000000000003E-2</v>
      </c>
      <c r="G28" s="178">
        <f>F28*$G$51</f>
        <v>6.0553000000000003E-2</v>
      </c>
      <c r="H28" s="178">
        <f>G28-F28</f>
        <v>0</v>
      </c>
      <c r="I28" s="174"/>
      <c r="J28" s="174"/>
      <c r="K28" s="159"/>
      <c r="L28" s="136"/>
      <c r="M28" s="136"/>
      <c r="N28" s="136"/>
      <c r="O28" s="369"/>
      <c r="P28" s="196"/>
      <c r="Q28" s="159"/>
      <c r="R28" s="159"/>
      <c r="S28" s="159"/>
      <c r="T28" s="198"/>
    </row>
    <row r="29" spans="1:25" s="160" customFormat="1" x14ac:dyDescent="0.25">
      <c r="A29" s="173"/>
      <c r="B29" s="205"/>
      <c r="C29" s="159" t="s">
        <v>115</v>
      </c>
      <c r="D29" s="159"/>
      <c r="E29" s="210"/>
      <c r="F29" s="210">
        <v>5.2130000000000003E-2</v>
      </c>
      <c r="G29" s="178">
        <f>F29*$G$51</f>
        <v>5.2130000000000003E-2</v>
      </c>
      <c r="H29" s="178">
        <f>G29-F29</f>
        <v>0</v>
      </c>
      <c r="I29" s="178" t="e">
        <f>F29-#REF!</f>
        <v>#REF!</v>
      </c>
      <c r="J29" s="178" t="e">
        <f>G29-#REF!</f>
        <v>#REF!</v>
      </c>
      <c r="K29" s="159"/>
      <c r="L29" s="136"/>
      <c r="M29" s="136"/>
      <c r="N29" s="136"/>
      <c r="O29" s="369"/>
      <c r="P29" s="196"/>
      <c r="R29" s="159"/>
      <c r="S29" s="159"/>
      <c r="T29" s="198"/>
    </row>
    <row r="30" spans="1:25" s="160" customFormat="1" x14ac:dyDescent="0.25">
      <c r="A30" s="173"/>
      <c r="B30" s="205"/>
      <c r="C30" s="159" t="s">
        <v>97</v>
      </c>
      <c r="D30" s="159"/>
      <c r="E30" s="31"/>
      <c r="F30" s="31">
        <v>10.5</v>
      </c>
      <c r="G30" s="174">
        <f>F30*$G$51</f>
        <v>10.5</v>
      </c>
      <c r="H30" s="174">
        <f>G30-F30</f>
        <v>0</v>
      </c>
      <c r="I30" s="31" t="e">
        <f>F30-#REF!</f>
        <v>#REF!</v>
      </c>
      <c r="J30" s="31" t="e">
        <f>G30-#REF!</f>
        <v>#REF!</v>
      </c>
      <c r="K30" s="159"/>
      <c r="L30" s="136"/>
      <c r="M30" s="136"/>
      <c r="N30" s="136"/>
      <c r="O30" s="369"/>
      <c r="P30" s="196"/>
      <c r="R30" s="159"/>
      <c r="S30" s="159"/>
      <c r="T30" s="198"/>
    </row>
    <row r="31" spans="1:25" s="160" customFormat="1" ht="9" customHeight="1" x14ac:dyDescent="0.25">
      <c r="A31" s="179"/>
      <c r="B31" s="206"/>
      <c r="C31" s="181"/>
      <c r="D31" s="181"/>
      <c r="E31" s="181"/>
      <c r="F31" s="181"/>
      <c r="G31" s="181"/>
      <c r="H31" s="181"/>
      <c r="I31" s="181"/>
      <c r="J31" s="181"/>
      <c r="K31" s="181"/>
      <c r="L31" s="182"/>
      <c r="M31" s="182"/>
      <c r="N31" s="182"/>
      <c r="O31" s="370"/>
      <c r="P31" s="197"/>
      <c r="T31" s="198"/>
    </row>
    <row r="32" spans="1:25" s="160" customFormat="1" x14ac:dyDescent="0.25">
      <c r="A32" s="173" t="s">
        <v>143</v>
      </c>
      <c r="B32" s="205">
        <v>5</v>
      </c>
      <c r="C32" s="34" t="s">
        <v>116</v>
      </c>
      <c r="D32" s="34"/>
      <c r="E32" s="174"/>
      <c r="F32" s="174">
        <v>10.93</v>
      </c>
      <c r="G32" s="174">
        <f>F32*$G$51</f>
        <v>10.93</v>
      </c>
      <c r="H32" s="174">
        <f>G32-F32</f>
        <v>0</v>
      </c>
      <c r="I32" s="181"/>
      <c r="J32" s="181"/>
      <c r="K32" s="159"/>
      <c r="L32" s="136">
        <f>'YL-5'!H22</f>
        <v>1419347.8</v>
      </c>
      <c r="M32" s="136">
        <f>'YL-5'!Q22</f>
        <v>1419347.8</v>
      </c>
      <c r="N32" s="136">
        <f>'YL-5'!Q24</f>
        <v>0</v>
      </c>
      <c r="O32" s="369">
        <f>'YL-5'!Q26</f>
        <v>0</v>
      </c>
      <c r="P32" s="149">
        <f>'YL-5'!Q28</f>
        <v>0</v>
      </c>
      <c r="Q32" s="159"/>
      <c r="R32" s="176"/>
      <c r="S32" s="113"/>
      <c r="T32" s="198"/>
      <c r="U32" s="195"/>
    </row>
    <row r="33" spans="1:21" s="160" customFormat="1" x14ac:dyDescent="0.25">
      <c r="A33" s="173"/>
      <c r="B33" s="205"/>
      <c r="C33" s="34" t="s">
        <v>117</v>
      </c>
      <c r="D33" s="34"/>
      <c r="E33" s="174"/>
      <c r="F33" s="174">
        <v>4.7699999999999996</v>
      </c>
      <c r="G33" s="174">
        <f>F33*$G$51</f>
        <v>4.7699999999999996</v>
      </c>
      <c r="H33" s="174">
        <f>G33-F33</f>
        <v>0</v>
      </c>
      <c r="I33" s="181"/>
      <c r="J33" s="181"/>
      <c r="K33" s="159"/>
      <c r="L33" s="136"/>
      <c r="M33" s="136"/>
      <c r="N33" s="136"/>
      <c r="O33" s="369"/>
      <c r="S33" s="194"/>
      <c r="T33" s="198"/>
    </row>
    <row r="34" spans="1:21" s="160" customFormat="1" x14ac:dyDescent="0.25">
      <c r="A34" s="173"/>
      <c r="B34" s="205"/>
      <c r="C34" s="34" t="s">
        <v>118</v>
      </c>
      <c r="D34" s="34"/>
      <c r="E34" s="174"/>
      <c r="F34" s="174">
        <v>16.420000000000002</v>
      </c>
      <c r="G34" s="174">
        <f>F34*$G$51</f>
        <v>16.420000000000002</v>
      </c>
      <c r="H34" s="174">
        <f>G34-F34</f>
        <v>0</v>
      </c>
      <c r="I34" s="181"/>
      <c r="J34" s="181"/>
      <c r="K34" s="159"/>
      <c r="L34" s="136"/>
      <c r="M34" s="136"/>
      <c r="N34" s="136"/>
      <c r="O34" s="369"/>
      <c r="P34" s="68"/>
      <c r="T34" s="198"/>
    </row>
    <row r="35" spans="1:21" s="160" customFormat="1" x14ac:dyDescent="0.25">
      <c r="A35" s="173"/>
      <c r="B35" s="205"/>
      <c r="C35" s="34" t="s">
        <v>119</v>
      </c>
      <c r="D35" s="34"/>
      <c r="E35" s="174"/>
      <c r="F35" s="174">
        <v>4.7699999999999996</v>
      </c>
      <c r="G35" s="174">
        <f>F35*$G$51</f>
        <v>4.7699999999999996</v>
      </c>
      <c r="H35" s="174">
        <f>G35-F35</f>
        <v>0</v>
      </c>
      <c r="I35" s="181"/>
      <c r="J35" s="181"/>
      <c r="K35" s="159"/>
      <c r="L35" s="136"/>
      <c r="M35" s="136"/>
      <c r="N35" s="136"/>
      <c r="O35" s="369"/>
      <c r="R35" s="176"/>
      <c r="S35" s="177"/>
      <c r="T35" s="198"/>
    </row>
    <row r="36" spans="1:21" s="160" customFormat="1" ht="9" customHeight="1" x14ac:dyDescent="0.25">
      <c r="A36" s="179"/>
      <c r="B36" s="180"/>
      <c r="C36" s="181"/>
      <c r="D36" s="181"/>
      <c r="E36" s="181"/>
      <c r="F36" s="181"/>
      <c r="G36" s="181"/>
      <c r="H36" s="181"/>
      <c r="I36" s="181"/>
      <c r="J36" s="181"/>
      <c r="K36" s="181"/>
      <c r="L36" s="182"/>
      <c r="M36" s="182"/>
      <c r="N36" s="182"/>
      <c r="O36" s="370"/>
      <c r="P36" s="181"/>
      <c r="T36" s="198"/>
    </row>
    <row r="37" spans="1:21" s="160" customFormat="1" ht="9" customHeight="1" x14ac:dyDescent="0.25">
      <c r="A37" s="179"/>
      <c r="B37" s="206"/>
      <c r="C37" s="181"/>
      <c r="D37" s="181"/>
      <c r="E37" s="181"/>
      <c r="F37" s="181"/>
      <c r="G37" s="181"/>
      <c r="H37" s="181"/>
      <c r="I37" s="181"/>
      <c r="J37" s="181"/>
      <c r="K37" s="181"/>
      <c r="L37" s="182"/>
      <c r="M37" s="182"/>
      <c r="N37" s="182"/>
      <c r="O37" s="370"/>
      <c r="P37" s="197"/>
      <c r="T37" s="198"/>
    </row>
    <row r="38" spans="1:21" s="160" customFormat="1" x14ac:dyDescent="0.25">
      <c r="A38" s="173" t="s">
        <v>141</v>
      </c>
      <c r="B38" s="205">
        <v>6</v>
      </c>
      <c r="C38" s="34" t="s">
        <v>120</v>
      </c>
      <c r="D38" s="34"/>
      <c r="E38" s="174"/>
      <c r="F38" s="174">
        <v>9.98</v>
      </c>
      <c r="G38" s="174">
        <f>F38*$G$51</f>
        <v>9.98</v>
      </c>
      <c r="H38" s="174">
        <f>G38-F38</f>
        <v>0</v>
      </c>
      <c r="I38" s="181"/>
      <c r="J38" s="181"/>
      <c r="K38" s="159"/>
      <c r="L38" s="136">
        <f>'SL-6'!H19</f>
        <v>121011.16000000002</v>
      </c>
      <c r="M38" s="136">
        <f>'SL-6'!Q19</f>
        <v>121011.16000000002</v>
      </c>
      <c r="N38" s="136">
        <f>'SL-6'!Q21</f>
        <v>0</v>
      </c>
      <c r="O38" s="369">
        <f>'SL-6'!Q23</f>
        <v>0</v>
      </c>
      <c r="P38" s="149">
        <f>'SL-6'!Q25</f>
        <v>0</v>
      </c>
      <c r="Q38" s="159"/>
      <c r="R38" s="176"/>
      <c r="S38" s="113"/>
      <c r="T38" s="198"/>
      <c r="U38" s="195"/>
    </row>
    <row r="39" spans="1:21" s="160" customFormat="1" x14ac:dyDescent="0.25">
      <c r="A39" s="173"/>
      <c r="B39" s="205"/>
      <c r="C39" s="34" t="s">
        <v>121</v>
      </c>
      <c r="D39" s="34"/>
      <c r="E39" s="174"/>
      <c r="F39" s="174">
        <v>15.72</v>
      </c>
      <c r="G39" s="174">
        <f>F39*$G$51</f>
        <v>15.72</v>
      </c>
      <c r="H39" s="174">
        <f>G39-F39</f>
        <v>0</v>
      </c>
      <c r="I39" s="181"/>
      <c r="J39" s="181"/>
      <c r="K39" s="159"/>
      <c r="L39" s="136"/>
      <c r="M39" s="136"/>
      <c r="N39" s="136"/>
      <c r="O39" s="175"/>
      <c r="P39" s="68"/>
      <c r="T39" s="198"/>
    </row>
    <row r="40" spans="1:21" s="160" customFormat="1" ht="9" customHeight="1" x14ac:dyDescent="0.25">
      <c r="A40" s="179"/>
      <c r="B40" s="180"/>
      <c r="C40" s="181"/>
      <c r="D40" s="181"/>
      <c r="E40" s="181"/>
      <c r="F40" s="181"/>
      <c r="G40" s="181"/>
      <c r="H40" s="181"/>
      <c r="I40" s="181"/>
      <c r="J40" s="181"/>
      <c r="K40" s="181"/>
      <c r="L40" s="182"/>
      <c r="M40" s="182"/>
      <c r="N40" s="182"/>
      <c r="O40" s="183"/>
      <c r="P40" s="181"/>
      <c r="T40" s="198"/>
    </row>
    <row r="41" spans="1:21" s="191" customFormat="1" ht="31.5" customHeight="1" thickBot="1" x14ac:dyDescent="0.3">
      <c r="A41" s="185" t="s">
        <v>67</v>
      </c>
      <c r="B41" s="186"/>
      <c r="C41" s="185"/>
      <c r="D41" s="240"/>
      <c r="E41" s="185"/>
      <c r="F41" s="185"/>
      <c r="G41" s="185"/>
      <c r="H41" s="185"/>
      <c r="I41" s="185"/>
      <c r="J41" s="185"/>
      <c r="K41" s="159"/>
      <c r="L41" s="187">
        <f>SUM(L10:L40)</f>
        <v>54016726.911025606</v>
      </c>
      <c r="M41" s="187">
        <f>SUM(M10:M40)</f>
        <v>55421252.102692269</v>
      </c>
      <c r="N41" s="188">
        <f>SUM(N10:N40)</f>
        <v>1404525.1916666627</v>
      </c>
      <c r="O41" s="368">
        <f>N41/L41</f>
        <v>2.6001671555926475E-2</v>
      </c>
      <c r="P41" s="189"/>
      <c r="Q41" s="190"/>
      <c r="T41" s="200"/>
    </row>
    <row r="42" spans="1:21" ht="16.5" thickTop="1" x14ac:dyDescent="0.25"/>
    <row r="43" spans="1:21" x14ac:dyDescent="0.25">
      <c r="H43" s="238" t="s">
        <v>226</v>
      </c>
      <c r="L43" s="37">
        <v>54025672.210000001</v>
      </c>
      <c r="M43" s="37"/>
      <c r="N43" s="37">
        <v>1408425.8431462522</v>
      </c>
      <c r="O43" s="184"/>
    </row>
    <row r="44" spans="1:21" x14ac:dyDescent="0.25">
      <c r="H44" s="238" t="s">
        <v>227</v>
      </c>
      <c r="L44" s="37">
        <f>L41-L43</f>
        <v>-8945.2989743947983</v>
      </c>
      <c r="M44" s="37"/>
      <c r="N44" s="37">
        <f>N41-N43</f>
        <v>-3900.65147958952</v>
      </c>
      <c r="O44" s="161"/>
    </row>
    <row r="45" spans="1:21" x14ac:dyDescent="0.25">
      <c r="H45" s="238" t="s">
        <v>228</v>
      </c>
      <c r="L45" s="30">
        <f>L44/L43</f>
        <v>-1.6557496850060568E-4</v>
      </c>
      <c r="M45" s="30"/>
      <c r="N45" s="30">
        <f>N44/N43</f>
        <v>-2.769511436169006E-3</v>
      </c>
    </row>
    <row r="46" spans="1:21" x14ac:dyDescent="0.25">
      <c r="A46" s="173"/>
    </row>
    <row r="47" spans="1:21" x14ac:dyDescent="0.25">
      <c r="A47" s="173"/>
    </row>
    <row r="48" spans="1:21" x14ac:dyDescent="0.25">
      <c r="A48" s="173"/>
      <c r="N48" s="37"/>
    </row>
    <row r="49" spans="1:40" x14ac:dyDescent="0.25">
      <c r="A49" s="173"/>
      <c r="N49" s="37"/>
    </row>
    <row r="50" spans="1:40" s="160" customFormat="1" x14ac:dyDescent="0.25">
      <c r="A50" s="173"/>
      <c r="B50" s="163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O50" s="159"/>
      <c r="T50" s="198"/>
      <c r="V50" s="159"/>
      <c r="Y50" s="159"/>
      <c r="AH50" s="159"/>
      <c r="AJ50" s="159"/>
      <c r="AL50" s="159"/>
      <c r="AN50" s="159"/>
    </row>
    <row r="51" spans="1:40" s="160" customFormat="1" x14ac:dyDescent="0.25">
      <c r="A51" s="173"/>
      <c r="B51" s="163"/>
      <c r="C51" s="159"/>
      <c r="D51" s="159"/>
      <c r="E51" s="159"/>
      <c r="F51" s="159"/>
      <c r="G51" s="385">
        <v>1</v>
      </c>
      <c r="H51" s="159"/>
      <c r="I51" s="159"/>
      <c r="J51" s="159"/>
      <c r="K51" s="159"/>
      <c r="L51" s="159"/>
      <c r="M51" s="159"/>
      <c r="N51" s="37"/>
      <c r="O51" s="159"/>
      <c r="T51" s="198"/>
      <c r="V51" s="159"/>
      <c r="Y51" s="159"/>
      <c r="AH51" s="159"/>
      <c r="AJ51" s="159"/>
      <c r="AL51" s="159"/>
      <c r="AN51" s="159"/>
    </row>
    <row r="52" spans="1:40" s="160" customFormat="1" x14ac:dyDescent="0.25">
      <c r="A52" s="173"/>
      <c r="B52" s="163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T52" s="198"/>
      <c r="V52" s="159"/>
      <c r="Y52" s="159"/>
      <c r="AH52" s="159"/>
      <c r="AJ52" s="159"/>
      <c r="AL52" s="159"/>
      <c r="AN52" s="159"/>
    </row>
    <row r="53" spans="1:40" x14ac:dyDescent="0.25">
      <c r="A53" s="173"/>
    </row>
    <row r="55" spans="1:40" x14ac:dyDescent="0.25">
      <c r="P55" s="159"/>
    </row>
    <row r="56" spans="1:40" s="160" customFormat="1" x14ac:dyDescent="0.25">
      <c r="A56" s="159"/>
      <c r="B56" s="163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98"/>
      <c r="U56" s="159"/>
      <c r="V56" s="159"/>
      <c r="W56" s="159"/>
      <c r="X56" s="159"/>
      <c r="Y56" s="159"/>
      <c r="AH56" s="159"/>
      <c r="AJ56" s="159"/>
      <c r="AL56" s="159"/>
      <c r="AN56" s="159"/>
    </row>
    <row r="57" spans="1:40" x14ac:dyDescent="0.25">
      <c r="P57" s="159"/>
    </row>
    <row r="58" spans="1:40" s="160" customFormat="1" x14ac:dyDescent="0.25">
      <c r="A58" s="159"/>
      <c r="B58" s="163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98"/>
      <c r="U58" s="159"/>
      <c r="V58" s="159"/>
      <c r="W58" s="159"/>
      <c r="X58" s="159"/>
      <c r="Y58" s="159"/>
      <c r="AH58" s="159"/>
      <c r="AJ58" s="159"/>
      <c r="AL58" s="159"/>
      <c r="AN58" s="159"/>
    </row>
    <row r="59" spans="1:40" x14ac:dyDescent="0.25">
      <c r="P59" s="159"/>
    </row>
    <row r="60" spans="1:40" x14ac:dyDescent="0.25">
      <c r="P60" s="159"/>
    </row>
    <row r="61" spans="1:40" x14ac:dyDescent="0.25">
      <c r="P61" s="159"/>
    </row>
    <row r="62" spans="1:40" x14ac:dyDescent="0.25">
      <c r="N62" s="37"/>
    </row>
  </sheetData>
  <dataConsolidate/>
  <mergeCells count="3">
    <mergeCell ref="A5:C5"/>
    <mergeCell ref="L5:P5"/>
    <mergeCell ref="E5:H5"/>
  </mergeCells>
  <printOptions horizontalCentered="1"/>
  <pageMargins left="0.25" right="0.25" top="0.75" bottom="0.75" header="0.3" footer="0.3"/>
  <pageSetup scale="64" orientation="landscape" r:id="rId1"/>
  <colBreaks count="1" manualBreakCount="1">
    <brk id="16" max="4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3"/>
  <sheetViews>
    <sheetView view="pageBreakPreview" zoomScale="85" zoomScaleNormal="100" zoomScaleSheetLayoutView="85" workbookViewId="0">
      <selection sqref="A1:C1"/>
    </sheetView>
  </sheetViews>
  <sheetFormatPr defaultRowHeight="15.75" x14ac:dyDescent="0.25"/>
  <cols>
    <col min="1" max="1" width="4.28515625" style="2" customWidth="1"/>
    <col min="2" max="2" width="21.28515625" style="2" customWidth="1"/>
    <col min="3" max="3" width="4.7109375" style="2" customWidth="1"/>
    <col min="4" max="4" width="12.42578125" style="2" bestFit="1" customWidth="1"/>
    <col min="5" max="5" width="11.42578125" style="2" bestFit="1" customWidth="1"/>
    <col min="6" max="6" width="10.85546875" style="2" bestFit="1" customWidth="1"/>
    <col min="7" max="7" width="2.7109375" style="2" customWidth="1"/>
    <col min="8" max="8" width="12.140625" style="2" bestFit="1" customWidth="1"/>
    <col min="9" max="9" width="3.140625" style="2" customWidth="1"/>
    <col min="10" max="10" width="5.140625" style="2" customWidth="1"/>
    <col min="11" max="11" width="15.5703125" style="2" bestFit="1" customWidth="1"/>
    <col min="12" max="12" width="4.5703125" style="2" customWidth="1"/>
    <col min="13" max="13" width="13.7109375" style="2" bestFit="1" customWidth="1"/>
    <col min="14" max="14" width="11.42578125" style="2" bestFit="1" customWidth="1"/>
    <col min="15" max="15" width="10.85546875" style="2" bestFit="1" customWidth="1"/>
    <col min="16" max="16" width="3.42578125" style="2" customWidth="1"/>
    <col min="17" max="17" width="16.7109375" style="2" bestFit="1" customWidth="1"/>
    <col min="18" max="18" width="6.7109375" style="2" customWidth="1"/>
    <col min="19" max="19" width="27.5703125" style="2" customWidth="1"/>
    <col min="20" max="20" width="11.7109375" style="2" customWidth="1"/>
    <col min="21" max="21" width="13" style="2" customWidth="1"/>
    <col min="22" max="22" width="10.5703125" style="2" customWidth="1"/>
    <col min="23" max="23" width="2.7109375" style="2" customWidth="1"/>
    <col min="24" max="24" width="16.7109375" style="2" customWidth="1"/>
    <col min="25" max="25" width="9.140625" style="2"/>
    <col min="26" max="27" width="6.7109375" style="2" customWidth="1"/>
    <col min="28" max="28" width="27.5703125" style="2" customWidth="1"/>
    <col min="29" max="29" width="11.7109375" style="2" customWidth="1"/>
    <col min="30" max="30" width="13" style="2" customWidth="1"/>
    <col min="31" max="31" width="10.5703125" style="2" customWidth="1"/>
    <col min="32" max="32" width="2.7109375" style="2" customWidth="1"/>
    <col min="33" max="33" width="16.7109375" style="2" customWidth="1"/>
    <col min="34" max="16384" width="9.140625" style="2"/>
  </cols>
  <sheetData>
    <row r="1" spans="1:33" x14ac:dyDescent="0.25">
      <c r="A1" s="1" t="s">
        <v>100</v>
      </c>
      <c r="B1" s="34"/>
      <c r="C1" s="34"/>
      <c r="D1" s="34"/>
      <c r="E1" s="34"/>
      <c r="F1" s="34"/>
      <c r="G1" s="34"/>
      <c r="H1" s="34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19"/>
      <c r="Z1" s="48"/>
      <c r="AA1" s="48"/>
      <c r="AB1" s="48"/>
      <c r="AC1" s="48"/>
      <c r="AD1" s="48"/>
      <c r="AE1" s="48"/>
      <c r="AF1" s="48"/>
      <c r="AG1" s="48"/>
    </row>
    <row r="2" spans="1:33" x14ac:dyDescent="0.25">
      <c r="A2" s="34" t="str">
        <f>'Present and Proposed Rates'!A38</f>
        <v>Street Lighting</v>
      </c>
      <c r="B2" s="34"/>
      <c r="C2" s="34"/>
      <c r="D2" s="34"/>
      <c r="E2" s="34"/>
      <c r="F2" s="34"/>
      <c r="G2" s="34"/>
      <c r="H2" s="34"/>
      <c r="I2" s="48"/>
      <c r="J2" s="48"/>
      <c r="K2" s="48"/>
      <c r="L2" s="48"/>
      <c r="M2" s="48"/>
      <c r="N2" s="48"/>
      <c r="O2" s="386"/>
      <c r="P2" s="48"/>
      <c r="Q2" s="48"/>
      <c r="R2" s="48"/>
      <c r="S2" s="48"/>
      <c r="T2" s="48"/>
      <c r="U2" s="48"/>
      <c r="V2" s="48"/>
      <c r="W2" s="48"/>
      <c r="X2" s="48"/>
      <c r="Y2" s="19"/>
      <c r="Z2" s="48"/>
      <c r="AA2" s="48"/>
      <c r="AB2" s="48"/>
      <c r="AC2" s="48"/>
      <c r="AD2" s="48"/>
      <c r="AE2" s="48"/>
      <c r="AF2" s="48"/>
      <c r="AG2" s="48"/>
    </row>
    <row r="3" spans="1:33" ht="16.5" thickBot="1" x14ac:dyDescent="0.3">
      <c r="A3" s="34">
        <f>'Present and Proposed Rates'!B38</f>
        <v>6</v>
      </c>
      <c r="B3" s="34"/>
      <c r="C3" s="34"/>
      <c r="D3" s="34"/>
      <c r="E3" s="34"/>
      <c r="F3" s="34"/>
      <c r="G3" s="34"/>
      <c r="H3" s="34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19"/>
      <c r="Z3" s="48"/>
      <c r="AA3" s="48"/>
      <c r="AB3" s="48"/>
      <c r="AC3" s="48"/>
      <c r="AD3" s="48"/>
      <c r="AE3" s="48"/>
      <c r="AF3" s="48"/>
      <c r="AG3" s="48"/>
    </row>
    <row r="4" spans="1:33" x14ac:dyDescent="0.25">
      <c r="A4" s="34"/>
      <c r="B4" s="34"/>
      <c r="C4" s="34"/>
      <c r="D4" s="34"/>
      <c r="E4" s="401" t="s">
        <v>32</v>
      </c>
      <c r="F4" s="402"/>
      <c r="G4" s="402"/>
      <c r="H4" s="403"/>
      <c r="I4" s="234"/>
      <c r="J4" s="34"/>
      <c r="K4" s="34"/>
      <c r="L4" s="34"/>
      <c r="M4" s="34"/>
      <c r="N4" s="401" t="s">
        <v>98</v>
      </c>
      <c r="O4" s="402"/>
      <c r="P4" s="402"/>
      <c r="Q4" s="403"/>
      <c r="R4" s="34"/>
      <c r="S4" s="34"/>
      <c r="T4" s="48"/>
      <c r="U4" s="406"/>
      <c r="V4" s="406"/>
      <c r="W4" s="406"/>
      <c r="X4" s="406"/>
      <c r="Y4" s="19"/>
      <c r="Z4" s="48"/>
      <c r="AA4" s="48"/>
      <c r="AB4" s="48"/>
      <c r="AC4" s="48"/>
      <c r="AD4" s="406"/>
      <c r="AE4" s="406"/>
      <c r="AF4" s="406"/>
      <c r="AG4" s="406"/>
    </row>
    <row r="5" spans="1:33" ht="16.5" thickBot="1" x14ac:dyDescent="0.3">
      <c r="A5" s="34"/>
      <c r="B5" s="34"/>
      <c r="C5" s="34"/>
      <c r="D5" s="34"/>
      <c r="E5" s="404"/>
      <c r="F5" s="400"/>
      <c r="G5" s="400"/>
      <c r="H5" s="405"/>
      <c r="I5" s="223"/>
      <c r="J5" s="34"/>
      <c r="K5" s="34"/>
      <c r="L5" s="34"/>
      <c r="M5" s="34"/>
      <c r="N5" s="404"/>
      <c r="O5" s="400"/>
      <c r="P5" s="400"/>
      <c r="Q5" s="405"/>
      <c r="R5" s="19"/>
      <c r="S5" s="19"/>
      <c r="T5" s="381"/>
      <c r="U5" s="406"/>
      <c r="V5" s="406"/>
      <c r="W5" s="406"/>
      <c r="X5" s="406"/>
      <c r="Y5" s="19"/>
      <c r="Z5" s="381"/>
      <c r="AA5" s="381"/>
      <c r="AB5" s="381"/>
      <c r="AC5" s="381"/>
      <c r="AD5" s="406"/>
      <c r="AE5" s="406"/>
      <c r="AF5" s="406"/>
      <c r="AG5" s="406"/>
    </row>
    <row r="6" spans="1:33" x14ac:dyDescent="0.25">
      <c r="A6" s="34"/>
      <c r="B6" s="34"/>
      <c r="C6" s="34"/>
      <c r="D6" s="34"/>
      <c r="E6" s="61" t="s">
        <v>1</v>
      </c>
      <c r="F6" s="61"/>
      <c r="G6" s="61"/>
      <c r="H6" s="61" t="s">
        <v>2</v>
      </c>
      <c r="I6" s="235"/>
      <c r="J6" s="34"/>
      <c r="K6" s="34"/>
      <c r="L6" s="34"/>
      <c r="M6" s="34"/>
      <c r="N6" s="61" t="s">
        <v>1</v>
      </c>
      <c r="O6" s="61"/>
      <c r="P6" s="61"/>
      <c r="Q6" s="61" t="s">
        <v>2</v>
      </c>
      <c r="R6" s="102"/>
      <c r="S6" s="102"/>
      <c r="T6" s="124"/>
      <c r="U6" s="124"/>
      <c r="V6" s="124"/>
      <c r="W6" s="124"/>
      <c r="X6" s="124"/>
      <c r="Y6" s="19"/>
      <c r="Z6" s="124"/>
      <c r="AA6" s="124"/>
      <c r="AB6" s="124"/>
      <c r="AC6" s="124"/>
      <c r="AD6" s="124"/>
      <c r="AE6" s="124"/>
      <c r="AF6" s="124"/>
      <c r="AG6" s="124"/>
    </row>
    <row r="7" spans="1:33" ht="16.5" thickBot="1" x14ac:dyDescent="0.3">
      <c r="A7" s="62" t="s">
        <v>3</v>
      </c>
      <c r="B7" s="63"/>
      <c r="C7" s="63"/>
      <c r="D7" s="63"/>
      <c r="E7" s="64" t="s">
        <v>4</v>
      </c>
      <c r="F7" s="398" t="s">
        <v>5</v>
      </c>
      <c r="G7" s="398"/>
      <c r="H7" s="64" t="s">
        <v>6</v>
      </c>
      <c r="I7" s="235"/>
      <c r="J7" s="62" t="s">
        <v>3</v>
      </c>
      <c r="K7" s="63"/>
      <c r="L7" s="63"/>
      <c r="M7" s="63"/>
      <c r="N7" s="64" t="s">
        <v>4</v>
      </c>
      <c r="O7" s="398" t="s">
        <v>5</v>
      </c>
      <c r="P7" s="398"/>
      <c r="Q7" s="64" t="s">
        <v>6</v>
      </c>
      <c r="R7" s="102"/>
      <c r="S7" s="102"/>
      <c r="T7" s="124"/>
      <c r="U7" s="124"/>
      <c r="V7" s="407"/>
      <c r="W7" s="407"/>
      <c r="X7" s="124"/>
      <c r="Y7" s="19"/>
      <c r="Z7" s="124"/>
      <c r="AA7" s="124"/>
      <c r="AB7" s="124"/>
      <c r="AC7" s="124"/>
      <c r="AD7" s="124"/>
      <c r="AE7" s="407"/>
      <c r="AF7" s="407"/>
      <c r="AG7" s="124"/>
    </row>
    <row r="8" spans="1:33" x14ac:dyDescent="0.25">
      <c r="A8" s="34"/>
      <c r="B8" s="34"/>
      <c r="C8" s="34"/>
      <c r="D8" s="34"/>
      <c r="E8" s="34"/>
      <c r="F8" s="34"/>
      <c r="G8" s="34"/>
      <c r="H8" s="34"/>
      <c r="I8" s="234"/>
      <c r="J8" s="34"/>
      <c r="K8" s="34"/>
      <c r="L8" s="34"/>
      <c r="M8" s="34"/>
      <c r="N8" s="34"/>
      <c r="O8" s="34"/>
      <c r="P8" s="34"/>
      <c r="Q8" s="34"/>
      <c r="R8" s="102"/>
      <c r="S8" s="102"/>
      <c r="T8" s="48"/>
      <c r="U8" s="48"/>
      <c r="V8" s="48"/>
      <c r="W8" s="48"/>
      <c r="X8" s="48"/>
      <c r="Y8" s="19"/>
      <c r="Z8" s="48"/>
      <c r="AA8" s="48"/>
      <c r="AB8" s="48"/>
      <c r="AC8" s="48"/>
      <c r="AD8" s="48"/>
      <c r="AE8" s="48"/>
      <c r="AF8" s="48"/>
      <c r="AG8" s="48"/>
    </row>
    <row r="9" spans="1:33" x14ac:dyDescent="0.25">
      <c r="A9" s="34"/>
      <c r="B9" s="34"/>
      <c r="C9" s="34"/>
      <c r="D9" s="34"/>
      <c r="E9" s="34"/>
      <c r="F9" s="34"/>
      <c r="G9" s="34"/>
      <c r="H9" s="34"/>
      <c r="I9" s="234"/>
      <c r="J9" s="34"/>
      <c r="K9" s="34"/>
      <c r="L9" s="34"/>
      <c r="M9" s="34"/>
      <c r="N9" s="34"/>
      <c r="O9" s="34"/>
      <c r="P9" s="34"/>
      <c r="Q9" s="34"/>
      <c r="R9" s="102"/>
      <c r="S9" s="102"/>
      <c r="T9" s="48"/>
      <c r="U9" s="48"/>
      <c r="V9" s="48"/>
      <c r="W9" s="48"/>
      <c r="X9" s="78"/>
      <c r="Y9" s="19"/>
      <c r="Z9" s="48"/>
      <c r="AA9" s="48"/>
      <c r="AB9" s="48"/>
      <c r="AC9" s="48"/>
      <c r="AD9" s="48"/>
      <c r="AE9" s="48"/>
      <c r="AF9" s="48"/>
      <c r="AG9" s="78"/>
    </row>
    <row r="10" spans="1:33" x14ac:dyDescent="0.25">
      <c r="A10" s="34"/>
      <c r="B10" s="34"/>
      <c r="C10" s="34"/>
      <c r="D10" s="34"/>
      <c r="E10" s="65"/>
      <c r="F10" s="34"/>
      <c r="G10" s="34"/>
      <c r="H10" s="58"/>
      <c r="I10" s="234"/>
      <c r="J10" s="34"/>
      <c r="K10" s="34"/>
      <c r="L10" s="34"/>
      <c r="M10" s="34"/>
      <c r="N10" s="65"/>
      <c r="O10" s="34"/>
      <c r="P10" s="34"/>
      <c r="Q10" s="58"/>
      <c r="R10" s="102"/>
      <c r="S10" s="102"/>
      <c r="T10" s="48"/>
      <c r="U10" s="125"/>
      <c r="V10" s="48"/>
      <c r="W10" s="48"/>
      <c r="X10" s="69"/>
      <c r="Y10" s="19"/>
      <c r="Z10" s="48"/>
      <c r="AA10" s="48"/>
      <c r="AB10" s="48"/>
      <c r="AC10" s="48"/>
      <c r="AD10" s="125"/>
      <c r="AE10" s="48"/>
      <c r="AF10" s="48"/>
      <c r="AG10" s="69"/>
    </row>
    <row r="11" spans="1:33" x14ac:dyDescent="0.25">
      <c r="A11" s="59" t="s">
        <v>26</v>
      </c>
      <c r="B11" s="34"/>
      <c r="C11" s="34"/>
      <c r="D11" s="34"/>
      <c r="E11" s="217" t="s">
        <v>144</v>
      </c>
      <c r="F11" s="34"/>
      <c r="G11" s="34"/>
      <c r="H11" s="217" t="s">
        <v>145</v>
      </c>
      <c r="I11" s="234"/>
      <c r="J11" s="59" t="s">
        <v>26</v>
      </c>
      <c r="K11" s="34"/>
      <c r="L11" s="34"/>
      <c r="M11" s="34"/>
      <c r="N11" s="217" t="s">
        <v>144</v>
      </c>
      <c r="O11" s="34"/>
      <c r="P11" s="34"/>
      <c r="Q11" s="217" t="s">
        <v>145</v>
      </c>
      <c r="R11" s="89"/>
      <c r="S11" s="89"/>
      <c r="T11" s="48"/>
      <c r="U11" s="125"/>
      <c r="V11" s="48"/>
      <c r="W11" s="48"/>
      <c r="X11" s="126"/>
      <c r="Y11" s="19"/>
      <c r="Z11" s="127"/>
      <c r="AA11" s="48"/>
      <c r="AB11" s="48"/>
      <c r="AC11" s="48"/>
      <c r="AD11" s="125"/>
      <c r="AE11" s="48"/>
      <c r="AF11" s="48"/>
      <c r="AG11" s="126"/>
    </row>
    <row r="12" spans="1:33" x14ac:dyDescent="0.25">
      <c r="A12" s="34"/>
      <c r="B12" s="34"/>
      <c r="C12" s="34"/>
      <c r="D12" s="67" t="s">
        <v>21</v>
      </c>
      <c r="E12" s="192" t="s">
        <v>16</v>
      </c>
      <c r="F12" s="193" t="s">
        <v>17</v>
      </c>
      <c r="G12" s="34"/>
      <c r="H12" s="192" t="s">
        <v>6</v>
      </c>
      <c r="I12" s="234"/>
      <c r="J12" s="34"/>
      <c r="K12" s="34"/>
      <c r="L12" s="34"/>
      <c r="M12" s="67" t="s">
        <v>21</v>
      </c>
      <c r="N12" s="192" t="s">
        <v>16</v>
      </c>
      <c r="O12" s="193" t="s">
        <v>17</v>
      </c>
      <c r="P12" s="34"/>
      <c r="Q12" s="192" t="s">
        <v>6</v>
      </c>
      <c r="S12" s="89"/>
      <c r="T12" s="111"/>
      <c r="U12" s="128"/>
      <c r="V12" s="129"/>
      <c r="W12" s="48"/>
      <c r="X12" s="126"/>
      <c r="Y12" s="19"/>
      <c r="Z12" s="48"/>
      <c r="AA12" s="48"/>
      <c r="AB12" s="48"/>
      <c r="AC12" s="111"/>
      <c r="AD12" s="128"/>
      <c r="AE12" s="129"/>
      <c r="AF12" s="48"/>
      <c r="AG12" s="126"/>
    </row>
    <row r="13" spans="1:33" x14ac:dyDescent="0.25">
      <c r="A13" s="34"/>
      <c r="B13" s="34"/>
      <c r="C13" s="34"/>
      <c r="D13" s="101"/>
      <c r="E13" s="68"/>
      <c r="F13" s="113"/>
      <c r="G13" s="34"/>
      <c r="H13" s="69"/>
      <c r="I13" s="234"/>
      <c r="J13" s="34"/>
      <c r="K13" s="34"/>
      <c r="L13" s="34"/>
      <c r="M13" s="101"/>
      <c r="N13" s="68"/>
      <c r="O13" s="113"/>
      <c r="P13" s="34"/>
      <c r="Q13" s="69"/>
      <c r="S13" s="89"/>
      <c r="T13" s="125"/>
      <c r="U13" s="70"/>
      <c r="V13" s="130"/>
      <c r="W13" s="48"/>
      <c r="X13" s="69"/>
      <c r="Y13" s="19"/>
      <c r="Z13" s="48"/>
      <c r="AA13" s="48"/>
      <c r="AB13" s="48"/>
      <c r="AC13" s="125"/>
      <c r="AD13" s="70"/>
      <c r="AE13" s="130"/>
      <c r="AF13" s="48"/>
      <c r="AG13" s="69"/>
    </row>
    <row r="14" spans="1:33" x14ac:dyDescent="0.25">
      <c r="A14" s="34"/>
      <c r="B14" s="34" t="s">
        <v>139</v>
      </c>
      <c r="C14" s="34"/>
      <c r="D14" s="365"/>
      <c r="E14" s="68">
        <f>BillDetLt!Q14</f>
        <v>428.16666666666669</v>
      </c>
      <c r="F14" s="112">
        <f>'Present and Proposed Rates'!F38</f>
        <v>9.98</v>
      </c>
      <c r="G14" s="34"/>
      <c r="H14" s="87">
        <f>E14*F14*12</f>
        <v>51277.240000000005</v>
      </c>
      <c r="I14" s="234"/>
      <c r="J14" s="34"/>
      <c r="K14" s="34" t="s">
        <v>139</v>
      </c>
      <c r="L14" s="34"/>
      <c r="M14" s="365"/>
      <c r="N14" s="68">
        <f>E14</f>
        <v>428.16666666666669</v>
      </c>
      <c r="O14" s="112">
        <f>'Present and Proposed Rates'!G38</f>
        <v>9.98</v>
      </c>
      <c r="P14" s="34"/>
      <c r="Q14" s="87">
        <f>N14*O14*12</f>
        <v>51277.240000000005</v>
      </c>
      <c r="S14" s="89"/>
      <c r="T14" s="125"/>
      <c r="U14" s="70"/>
      <c r="V14" s="130"/>
      <c r="W14" s="48"/>
      <c r="X14" s="69"/>
      <c r="Y14" s="19"/>
      <c r="Z14" s="48"/>
      <c r="AA14" s="48"/>
      <c r="AB14" s="48"/>
      <c r="AC14" s="125"/>
      <c r="AD14" s="70"/>
      <c r="AE14" s="130"/>
      <c r="AF14" s="48"/>
      <c r="AG14" s="69"/>
    </row>
    <row r="15" spans="1:33" x14ac:dyDescent="0.25">
      <c r="A15" s="34"/>
      <c r="B15" s="34" t="s">
        <v>140</v>
      </c>
      <c r="C15" s="34"/>
      <c r="D15" s="365"/>
      <c r="E15" s="68">
        <f>BillDetLt!Q15</f>
        <v>369.66666666666669</v>
      </c>
      <c r="F15" s="112">
        <f>'Present and Proposed Rates'!F39</f>
        <v>15.72</v>
      </c>
      <c r="G15" s="34"/>
      <c r="H15" s="87">
        <f>E15*F15*12</f>
        <v>69733.920000000013</v>
      </c>
      <c r="I15" s="234"/>
      <c r="J15" s="34"/>
      <c r="K15" s="34" t="s">
        <v>140</v>
      </c>
      <c r="L15" s="34"/>
      <c r="M15" s="365"/>
      <c r="N15" s="68">
        <f>E15</f>
        <v>369.66666666666669</v>
      </c>
      <c r="O15" s="112">
        <f>'Present and Proposed Rates'!G39</f>
        <v>15.72</v>
      </c>
      <c r="P15" s="34"/>
      <c r="Q15" s="87">
        <f>N15*O15*12</f>
        <v>69733.920000000013</v>
      </c>
      <c r="S15" s="89"/>
      <c r="T15" s="125"/>
      <c r="U15" s="70"/>
      <c r="V15" s="130"/>
      <c r="W15" s="48"/>
      <c r="X15" s="69"/>
      <c r="Y15" s="19"/>
      <c r="Z15" s="48"/>
      <c r="AA15" s="48"/>
      <c r="AB15" s="48"/>
      <c r="AC15" s="125"/>
      <c r="AD15" s="70"/>
      <c r="AE15" s="130"/>
      <c r="AF15" s="48"/>
      <c r="AG15" s="69"/>
    </row>
    <row r="16" spans="1:33" x14ac:dyDescent="0.25">
      <c r="A16" s="34"/>
      <c r="B16" s="220" t="s">
        <v>86</v>
      </c>
      <c r="C16" s="221"/>
      <c r="D16" s="219">
        <v>1045113</v>
      </c>
      <c r="E16" s="219">
        <f>SUM(E14:E15)</f>
        <v>797.83333333333337</v>
      </c>
      <c r="F16" s="222"/>
      <c r="G16" s="34"/>
      <c r="H16" s="218">
        <f>SUM(H14:H15)</f>
        <v>121011.16000000002</v>
      </c>
      <c r="I16" s="236"/>
      <c r="J16" s="34"/>
      <c r="K16" s="220" t="s">
        <v>86</v>
      </c>
      <c r="L16" s="221"/>
      <c r="M16" s="219">
        <f>D16</f>
        <v>1045113</v>
      </c>
      <c r="N16" s="219">
        <f>SUM(N14:N15)</f>
        <v>797.83333333333337</v>
      </c>
      <c r="O16" s="222"/>
      <c r="P16" s="34"/>
      <c r="Q16" s="218">
        <f>SUM(Q14:Q15)</f>
        <v>121011.16000000002</v>
      </c>
      <c r="R16" s="131"/>
      <c r="S16" s="48"/>
      <c r="T16" s="132"/>
      <c r="U16" s="125"/>
      <c r="V16" s="92"/>
      <c r="W16" s="48"/>
      <c r="X16" s="69"/>
      <c r="Y16" s="19"/>
      <c r="Z16" s="48"/>
      <c r="AA16" s="131"/>
      <c r="AB16" s="48"/>
      <c r="AC16" s="132"/>
      <c r="AD16" s="125"/>
      <c r="AE16" s="92"/>
      <c r="AF16" s="48"/>
      <c r="AG16" s="69"/>
    </row>
    <row r="17" spans="1:33" x14ac:dyDescent="0.25">
      <c r="A17" s="34"/>
      <c r="B17" s="74"/>
      <c r="C17" s="34"/>
      <c r="E17" s="68"/>
      <c r="F17" s="76"/>
      <c r="G17" s="34"/>
      <c r="H17" s="69"/>
      <c r="I17" s="236"/>
      <c r="J17" s="34"/>
      <c r="K17" s="74"/>
      <c r="L17" s="34"/>
      <c r="N17" s="68"/>
      <c r="O17" s="76"/>
      <c r="P17" s="34"/>
      <c r="Q17" s="69"/>
      <c r="R17" s="131"/>
      <c r="S17" s="48"/>
      <c r="T17" s="132"/>
      <c r="U17" s="125"/>
      <c r="V17" s="92"/>
      <c r="W17" s="48"/>
      <c r="X17" s="69"/>
      <c r="Y17" s="19"/>
      <c r="Z17" s="48"/>
      <c r="AA17" s="131"/>
      <c r="AB17" s="48"/>
      <c r="AC17" s="132"/>
      <c r="AD17" s="125"/>
      <c r="AE17" s="92"/>
      <c r="AF17" s="48"/>
      <c r="AG17" s="69"/>
    </row>
    <row r="18" spans="1:33" x14ac:dyDescent="0.25">
      <c r="A18" s="34"/>
      <c r="B18" s="34"/>
      <c r="C18" s="34"/>
      <c r="D18" s="34"/>
      <c r="E18" s="65"/>
      <c r="F18" s="34"/>
      <c r="G18" s="34"/>
      <c r="H18" s="66"/>
      <c r="I18" s="234"/>
      <c r="J18" s="34"/>
      <c r="K18" s="34"/>
      <c r="L18" s="34"/>
      <c r="M18" s="34"/>
      <c r="N18" s="65"/>
      <c r="O18" s="34"/>
      <c r="P18" s="34"/>
      <c r="Q18" s="66"/>
      <c r="R18" s="48"/>
      <c r="S18" s="48"/>
      <c r="T18" s="48"/>
      <c r="U18" s="125"/>
      <c r="V18" s="48"/>
      <c r="W18" s="48"/>
      <c r="X18" s="69"/>
      <c r="Y18" s="19"/>
      <c r="Z18" s="48"/>
      <c r="AA18" s="48"/>
      <c r="AB18" s="48"/>
      <c r="AC18" s="48"/>
      <c r="AD18" s="125"/>
      <c r="AE18" s="48"/>
      <c r="AF18" s="48"/>
      <c r="AG18" s="69"/>
    </row>
    <row r="19" spans="1:33" ht="16.5" thickBot="1" x14ac:dyDescent="0.3">
      <c r="A19" s="59" t="s">
        <v>86</v>
      </c>
      <c r="B19" s="34"/>
      <c r="C19" s="34"/>
      <c r="D19" s="75"/>
      <c r="E19" s="34"/>
      <c r="F19" s="34"/>
      <c r="G19" s="34"/>
      <c r="H19" s="96">
        <f>H16</f>
        <v>121011.16000000002</v>
      </c>
      <c r="I19" s="234"/>
      <c r="J19" s="1" t="s">
        <v>82</v>
      </c>
      <c r="K19" s="34"/>
      <c r="L19" s="34"/>
      <c r="M19" s="75"/>
      <c r="N19" s="34"/>
      <c r="O19" s="34"/>
      <c r="P19" s="34"/>
      <c r="Q19" s="96">
        <f>Q16</f>
        <v>121011.16000000002</v>
      </c>
      <c r="R19" s="48"/>
      <c r="S19" s="48"/>
      <c r="T19" s="69"/>
      <c r="U19" s="48"/>
      <c r="V19" s="48"/>
      <c r="W19" s="48"/>
      <c r="X19" s="87"/>
      <c r="Y19" s="19"/>
      <c r="Z19" s="127"/>
      <c r="AA19" s="48"/>
      <c r="AB19" s="48"/>
      <c r="AC19" s="48"/>
      <c r="AD19" s="48"/>
      <c r="AE19" s="48"/>
      <c r="AF19" s="48"/>
      <c r="AG19" s="87"/>
    </row>
    <row r="20" spans="1:33" ht="16.5" thickTop="1" x14ac:dyDescent="0.25">
      <c r="A20" s="59"/>
      <c r="B20" s="34"/>
      <c r="C20" s="34"/>
      <c r="D20" s="34"/>
      <c r="E20" s="34"/>
      <c r="F20" s="34"/>
      <c r="G20" s="34"/>
      <c r="H20" s="69"/>
      <c r="I20" s="234"/>
      <c r="J20" s="1"/>
      <c r="K20" s="34"/>
      <c r="L20" s="34"/>
      <c r="M20" s="34"/>
      <c r="N20" s="34"/>
      <c r="O20" s="34"/>
      <c r="P20" s="34"/>
      <c r="Q20" s="69"/>
      <c r="R20" s="48"/>
      <c r="S20" s="48"/>
      <c r="T20" s="48"/>
      <c r="U20" s="48"/>
      <c r="V20" s="48"/>
      <c r="W20" s="48"/>
      <c r="X20" s="69"/>
      <c r="Y20" s="19"/>
      <c r="Z20" s="127"/>
      <c r="AA20" s="48"/>
      <c r="AB20" s="48"/>
      <c r="AC20" s="48"/>
      <c r="AD20" s="48"/>
      <c r="AE20" s="48"/>
      <c r="AF20" s="48"/>
      <c r="AG20" s="69"/>
    </row>
    <row r="21" spans="1:33" x14ac:dyDescent="0.25">
      <c r="A21" s="44" t="s">
        <v>19</v>
      </c>
      <c r="B21" s="34"/>
      <c r="C21" s="34"/>
      <c r="D21" s="34"/>
      <c r="E21" s="70"/>
      <c r="F21" s="34"/>
      <c r="G21" s="34"/>
      <c r="H21" s="66">
        <f>BillDet!H66</f>
        <v>124757.02</v>
      </c>
      <c r="I21" s="234"/>
      <c r="J21" s="127" t="s">
        <v>87</v>
      </c>
      <c r="K21" s="34"/>
      <c r="L21" s="34"/>
      <c r="M21" s="34"/>
      <c r="N21" s="70"/>
      <c r="O21" s="34"/>
      <c r="P21" s="34"/>
      <c r="Q21" s="66">
        <f>Q19-H19</f>
        <v>0</v>
      </c>
      <c r="R21" s="48"/>
      <c r="S21" s="48"/>
      <c r="T21" s="48"/>
      <c r="U21" s="80"/>
      <c r="V21" s="48"/>
      <c r="W21" s="48"/>
      <c r="X21" s="80"/>
      <c r="Y21" s="19"/>
      <c r="Z21" s="44"/>
      <c r="AA21" s="48"/>
      <c r="AB21" s="48"/>
      <c r="AC21" s="48"/>
      <c r="AD21" s="80"/>
      <c r="AE21" s="48"/>
      <c r="AF21" s="48"/>
      <c r="AG21" s="80"/>
    </row>
    <row r="22" spans="1:33" x14ac:dyDescent="0.25">
      <c r="A22" s="10"/>
      <c r="B22" s="34"/>
      <c r="C22" s="34"/>
      <c r="D22" s="34"/>
      <c r="E22" s="48"/>
      <c r="F22" s="34"/>
      <c r="G22" s="34"/>
      <c r="H22" s="58"/>
      <c r="I22" s="234"/>
      <c r="J22" s="48"/>
      <c r="K22" s="34"/>
      <c r="L22" s="34"/>
      <c r="M22" s="34"/>
      <c r="N22" s="48"/>
      <c r="O22" s="34"/>
      <c r="P22" s="34"/>
      <c r="Q22" s="58"/>
      <c r="R22" s="48"/>
      <c r="S22" s="48"/>
      <c r="T22" s="48"/>
      <c r="U22" s="69"/>
      <c r="V22" s="48"/>
      <c r="W22" s="48"/>
      <c r="X22" s="69"/>
      <c r="Y22" s="19"/>
      <c r="Z22" s="17"/>
      <c r="AA22" s="48"/>
      <c r="AB22" s="48"/>
      <c r="AC22" s="48"/>
      <c r="AD22" s="69"/>
      <c r="AE22" s="48"/>
      <c r="AF22" s="48"/>
      <c r="AG22" s="69"/>
    </row>
    <row r="23" spans="1:33" x14ac:dyDescent="0.25">
      <c r="A23" s="44" t="s">
        <v>13</v>
      </c>
      <c r="B23" s="34"/>
      <c r="C23" s="34"/>
      <c r="D23" s="34"/>
      <c r="E23" s="80"/>
      <c r="F23" s="34"/>
      <c r="G23" s="34"/>
      <c r="H23" s="77">
        <f>H19-H21</f>
        <v>-3745.859999999986</v>
      </c>
      <c r="I23" s="234"/>
      <c r="J23" s="127" t="s">
        <v>88</v>
      </c>
      <c r="K23" s="34"/>
      <c r="L23" s="34"/>
      <c r="M23" s="34"/>
      <c r="N23" s="80"/>
      <c r="O23" s="34"/>
      <c r="P23" s="34"/>
      <c r="Q23" s="237">
        <f>Q21/H19</f>
        <v>0</v>
      </c>
      <c r="R23" s="48"/>
      <c r="S23" s="48"/>
      <c r="T23" s="48"/>
      <c r="U23" s="81"/>
      <c r="V23" s="48"/>
      <c r="W23" s="48"/>
      <c r="X23" s="81"/>
      <c r="Y23" s="19"/>
      <c r="Z23" s="44"/>
      <c r="AA23" s="48"/>
      <c r="AB23" s="48"/>
      <c r="AC23" s="48"/>
      <c r="AD23" s="81"/>
      <c r="AE23" s="48"/>
      <c r="AF23" s="48"/>
      <c r="AG23" s="81"/>
    </row>
    <row r="24" spans="1:33" x14ac:dyDescent="0.25">
      <c r="A24" s="10"/>
      <c r="B24" s="34"/>
      <c r="C24" s="34"/>
      <c r="D24" s="34"/>
      <c r="E24" s="69"/>
      <c r="F24" s="34"/>
      <c r="G24" s="34"/>
      <c r="H24" s="66"/>
      <c r="I24" s="226"/>
      <c r="J24" s="34"/>
      <c r="K24" s="34"/>
      <c r="L24" s="34"/>
      <c r="M24" s="34"/>
      <c r="N24" s="69"/>
      <c r="O24" s="34"/>
      <c r="P24" s="34"/>
      <c r="Q24" s="66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</row>
    <row r="25" spans="1:33" x14ac:dyDescent="0.25">
      <c r="A25" s="44" t="s">
        <v>28</v>
      </c>
      <c r="B25" s="34"/>
      <c r="C25" s="34"/>
      <c r="D25" s="34"/>
      <c r="E25" s="81"/>
      <c r="F25" s="34"/>
      <c r="G25" s="34"/>
      <c r="H25" s="81">
        <f>(H19-H21)/H21</f>
        <v>-3.0025244270823283E-2</v>
      </c>
      <c r="I25" s="226"/>
      <c r="J25" s="59" t="s">
        <v>89</v>
      </c>
      <c r="K25" s="34"/>
      <c r="L25" s="34"/>
      <c r="M25" s="34"/>
      <c r="N25" s="81"/>
      <c r="O25" s="34"/>
      <c r="P25" s="34"/>
      <c r="Q25" s="147">
        <f>Q21/N16</f>
        <v>0</v>
      </c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</row>
    <row r="26" spans="1:33" x14ac:dyDescent="0.25">
      <c r="A26" s="11"/>
      <c r="B26" s="34"/>
      <c r="C26" s="34"/>
      <c r="D26" s="34"/>
      <c r="E26" s="34"/>
      <c r="F26" s="34"/>
      <c r="G26" s="34"/>
      <c r="H26" s="69"/>
      <c r="I26" s="229"/>
      <c r="J26" s="69"/>
      <c r="R26" s="69"/>
      <c r="S26" s="69"/>
      <c r="T26" s="48"/>
      <c r="U26" s="48"/>
      <c r="V26" s="48"/>
      <c r="W26" s="48"/>
      <c r="X26" s="42"/>
      <c r="Y26" s="19"/>
      <c r="Z26" s="69"/>
      <c r="AA26" s="69"/>
      <c r="AB26" s="69"/>
      <c r="AC26" s="48"/>
      <c r="AD26" s="48"/>
      <c r="AE26" s="48"/>
      <c r="AF26" s="48"/>
      <c r="AG26" s="42"/>
    </row>
    <row r="27" spans="1:33" ht="15" customHeight="1" x14ac:dyDescent="0.25">
      <c r="H27" s="10"/>
      <c r="I27" s="10"/>
      <c r="J27" s="17"/>
      <c r="R27" s="10"/>
      <c r="S27" s="10"/>
      <c r="Z27" s="10"/>
      <c r="AA27" s="10"/>
      <c r="AB27" s="10"/>
    </row>
    <row r="28" spans="1:33" x14ac:dyDescent="0.25">
      <c r="H28" s="55"/>
      <c r="I28" s="102"/>
      <c r="J28" s="102"/>
    </row>
    <row r="29" spans="1:33" x14ac:dyDescent="0.25">
      <c r="H29" s="55"/>
      <c r="I29" s="102"/>
      <c r="J29" s="102"/>
    </row>
    <row r="30" spans="1:33" x14ac:dyDescent="0.25">
      <c r="H30" s="55"/>
      <c r="I30" s="102"/>
      <c r="J30" s="102"/>
    </row>
    <row r="31" spans="1:33" x14ac:dyDescent="0.25">
      <c r="H31" s="55"/>
      <c r="I31" s="102"/>
      <c r="J31" s="102"/>
    </row>
    <row r="32" spans="1:33" x14ac:dyDescent="0.25">
      <c r="H32" s="55"/>
      <c r="I32" s="102"/>
      <c r="J32" s="102"/>
    </row>
    <row r="33" spans="8:10" x14ac:dyDescent="0.25">
      <c r="H33" s="19"/>
      <c r="I33" s="89"/>
      <c r="J33" s="89"/>
    </row>
  </sheetData>
  <mergeCells count="8">
    <mergeCell ref="E4:H5"/>
    <mergeCell ref="U4:X5"/>
    <mergeCell ref="AD4:AG5"/>
    <mergeCell ref="F7:G7"/>
    <mergeCell ref="V7:W7"/>
    <mergeCell ref="AE7:AF7"/>
    <mergeCell ref="N4:Q5"/>
    <mergeCell ref="O7:P7"/>
  </mergeCells>
  <pageMargins left="0.75" right="0.75" top="1" bottom="1" header="0.5" footer="0.5"/>
  <pageSetup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view="pageBreakPreview" zoomScale="85" zoomScaleNormal="75" zoomScaleSheetLayoutView="85" workbookViewId="0">
      <selection sqref="A1:C1"/>
    </sheetView>
  </sheetViews>
  <sheetFormatPr defaultRowHeight="15.75" x14ac:dyDescent="0.25"/>
  <cols>
    <col min="1" max="1" width="34.7109375" style="2" bestFit="1" customWidth="1"/>
    <col min="2" max="2" width="11.85546875" style="99" bestFit="1" customWidth="1"/>
    <col min="3" max="3" width="17" style="2" customWidth="1"/>
    <col min="4" max="4" width="17.140625" style="2" customWidth="1"/>
    <col min="5" max="5" width="19.140625" style="2" customWidth="1"/>
    <col min="6" max="6" width="14.7109375" style="2" customWidth="1"/>
    <col min="7" max="7" width="12.5703125" style="2" bestFit="1" customWidth="1"/>
    <col min="8" max="8" width="19.140625" style="2" hidden="1" customWidth="1"/>
    <col min="9" max="9" width="15.85546875" style="2" hidden="1" customWidth="1"/>
    <col min="10" max="10" width="15.7109375" style="2" hidden="1" customWidth="1"/>
    <col min="11" max="11" width="4.5703125" style="2" customWidth="1"/>
    <col min="12" max="12" width="20" style="2" customWidth="1"/>
    <col min="13" max="13" width="13.7109375" style="2" bestFit="1" customWidth="1"/>
    <col min="14" max="16384" width="9.140625" style="2"/>
  </cols>
  <sheetData>
    <row r="1" spans="1:13" ht="18.75" x14ac:dyDescent="0.3">
      <c r="A1" s="1" t="s">
        <v>100</v>
      </c>
      <c r="B1" s="155"/>
    </row>
    <row r="2" spans="1:13" x14ac:dyDescent="0.25">
      <c r="A2" s="34" t="s">
        <v>142</v>
      </c>
    </row>
    <row r="3" spans="1:13" x14ac:dyDescent="0.25">
      <c r="A3" s="34"/>
    </row>
    <row r="5" spans="1:13" ht="57" customHeight="1" x14ac:dyDescent="0.25">
      <c r="A5" s="35" t="s">
        <v>14</v>
      </c>
      <c r="B5" s="134" t="s">
        <v>83</v>
      </c>
      <c r="C5" s="36" t="s">
        <v>8</v>
      </c>
      <c r="D5" s="36" t="s">
        <v>19</v>
      </c>
      <c r="E5" s="36" t="s">
        <v>35</v>
      </c>
      <c r="F5" s="36" t="s">
        <v>13</v>
      </c>
      <c r="G5" s="36" t="s">
        <v>20</v>
      </c>
      <c r="H5" s="36" t="s">
        <v>15</v>
      </c>
      <c r="I5" s="36" t="s">
        <v>13</v>
      </c>
      <c r="J5" s="36" t="s">
        <v>20</v>
      </c>
    </row>
    <row r="6" spans="1:13" x14ac:dyDescent="0.25">
      <c r="A6" s="34"/>
      <c r="B6" s="137"/>
    </row>
    <row r="7" spans="1:13" s="34" customFormat="1" x14ac:dyDescent="0.25">
      <c r="A7" s="34" t="str">
        <f>'Res-1'!A2</f>
        <v>Residential</v>
      </c>
      <c r="B7" s="137">
        <f>'Res-1'!A3</f>
        <v>1</v>
      </c>
      <c r="C7" s="139">
        <f>'Res-1'!D17</f>
        <v>334594628</v>
      </c>
      <c r="D7" s="140">
        <f>'Res-1'!G32</f>
        <v>40017423.410000004</v>
      </c>
      <c r="E7" s="141">
        <f>'Res-1'!G30</f>
        <v>39929718.992059231</v>
      </c>
      <c r="F7" s="141">
        <f t="shared" ref="F7:F13" si="0">E7-D7</f>
        <v>-87704.41794077307</v>
      </c>
      <c r="G7" s="142">
        <f t="shared" ref="G7:G13" si="1">F7/D7</f>
        <v>-2.1916557955816941E-3</v>
      </c>
      <c r="H7" s="141">
        <v>0</v>
      </c>
      <c r="I7" s="141">
        <f t="shared" ref="I7:I13" si="2">H7-E7</f>
        <v>-39929718.992059231</v>
      </c>
      <c r="J7" s="142">
        <f t="shared" ref="J7:J14" si="3">I7/E7</f>
        <v>-1</v>
      </c>
      <c r="L7" s="2"/>
      <c r="M7" s="2"/>
    </row>
    <row r="8" spans="1:13" s="34" customFormat="1" x14ac:dyDescent="0.25">
      <c r="A8" s="34" t="str">
        <f>'SmCom-2'!A2</f>
        <v>Small Comm</v>
      </c>
      <c r="B8" s="137">
        <f>'SmCom-2'!A3</f>
        <v>2</v>
      </c>
      <c r="C8" s="139">
        <f>'SmCom-2'!D17</f>
        <v>24557917</v>
      </c>
      <c r="D8" s="101">
        <f>'SmCom-2'!G32</f>
        <v>3175580.3999999994</v>
      </c>
      <c r="E8" s="68">
        <f>'SmCom-2'!G30</f>
        <v>3177730.6470392831</v>
      </c>
      <c r="F8" s="68">
        <f t="shared" si="0"/>
        <v>2150.2470392836258</v>
      </c>
      <c r="G8" s="142">
        <f t="shared" si="1"/>
        <v>6.7711938242332836E-4</v>
      </c>
      <c r="H8" s="68">
        <v>0</v>
      </c>
      <c r="I8" s="68">
        <f t="shared" si="2"/>
        <v>-3177730.6470392831</v>
      </c>
      <c r="J8" s="142">
        <f t="shared" si="3"/>
        <v>-1</v>
      </c>
      <c r="L8" s="2"/>
      <c r="M8" s="2"/>
    </row>
    <row r="9" spans="1:13" s="34" customFormat="1" x14ac:dyDescent="0.25">
      <c r="A9" s="34" t="str">
        <f>'3Ph-3'!A2</f>
        <v>3 Phase</v>
      </c>
      <c r="B9" s="137">
        <f>'3Ph-3'!A3</f>
        <v>3</v>
      </c>
      <c r="C9" s="139">
        <f>'3Ph-3'!D19</f>
        <v>72854700</v>
      </c>
      <c r="D9" s="101">
        <f>'3Ph-3'!G38</f>
        <v>8386897.79</v>
      </c>
      <c r="E9" s="68">
        <f>'3Ph-3'!G36</f>
        <v>8492810.361028051</v>
      </c>
      <c r="F9" s="68">
        <f>E9-D9</f>
        <v>105912.57102805097</v>
      </c>
      <c r="G9" s="142">
        <f>F9/D9</f>
        <v>1.2628336922662195E-2</v>
      </c>
      <c r="H9" s="68">
        <v>0</v>
      </c>
      <c r="I9" s="68">
        <f>H9-E9</f>
        <v>-8492810.361028051</v>
      </c>
      <c r="J9" s="142">
        <f>I9/E9</f>
        <v>-1</v>
      </c>
      <c r="L9" s="2"/>
      <c r="M9" s="2"/>
    </row>
    <row r="10" spans="1:13" s="34" customFormat="1" x14ac:dyDescent="0.25">
      <c r="A10" s="34" t="str">
        <f>'3PhTOD-3A'!A2</f>
        <v>3 Ph 0-999 KVA TOD</v>
      </c>
      <c r="B10" s="137" t="str">
        <f>'3PhTOD-3A'!A3</f>
        <v>3A</v>
      </c>
      <c r="C10" s="143">
        <f>'3PhTOD-3A'!D16</f>
        <v>668885</v>
      </c>
      <c r="D10" s="100">
        <f>'3PhTOD-3A'!G35</f>
        <v>76771.260000000009</v>
      </c>
      <c r="E10" s="70">
        <f>'3PhTOD-3A'!G33</f>
        <v>72384.557690000031</v>
      </c>
      <c r="F10" s="70">
        <f t="shared" si="0"/>
        <v>-4386.7023099999788</v>
      </c>
      <c r="G10" s="78">
        <f t="shared" si="1"/>
        <v>-5.7139902484340858E-2</v>
      </c>
      <c r="H10" s="70">
        <v>0</v>
      </c>
      <c r="I10" s="70">
        <f t="shared" si="2"/>
        <v>-72384.557690000031</v>
      </c>
      <c r="J10" s="78">
        <f t="shared" si="3"/>
        <v>-1</v>
      </c>
      <c r="L10" s="2"/>
      <c r="M10" s="2"/>
    </row>
    <row r="11" spans="1:13" s="34" customFormat="1" x14ac:dyDescent="0.25">
      <c r="A11" s="34" t="str">
        <f>'LgTOD-4'!A2</f>
        <v>Large 1000 KVA TOD</v>
      </c>
      <c r="B11" s="137">
        <f>'LgTOD-4'!A3</f>
        <v>4</v>
      </c>
      <c r="C11" s="143">
        <f>'LgTOD-4'!D20</f>
        <v>6686242</v>
      </c>
      <c r="D11" s="100">
        <f>'LgTOD-4'!G40</f>
        <v>802425.00999999989</v>
      </c>
      <c r="E11" s="70">
        <f>'LgTOD-4'!G38</f>
        <v>803723.3932090489</v>
      </c>
      <c r="F11" s="70">
        <f t="shared" si="0"/>
        <v>1298.3832090490032</v>
      </c>
      <c r="G11" s="78">
        <f t="shared" si="1"/>
        <v>1.6180742036554958E-3</v>
      </c>
      <c r="H11" s="70">
        <v>0</v>
      </c>
      <c r="I11" s="70">
        <f t="shared" si="2"/>
        <v>-803723.3932090489</v>
      </c>
      <c r="J11" s="78">
        <f t="shared" si="3"/>
        <v>-1</v>
      </c>
      <c r="L11" s="2"/>
      <c r="M11" s="2"/>
    </row>
    <row r="12" spans="1:13" s="34" customFormat="1" x14ac:dyDescent="0.25">
      <c r="A12" s="34" t="str">
        <f>'YL-5'!A2</f>
        <v>Private Outdoor Lighting</v>
      </c>
      <c r="B12" s="137">
        <f>'YL-5'!A3</f>
        <v>5</v>
      </c>
      <c r="C12" s="143">
        <f>'YL-5'!D19</f>
        <v>9737149</v>
      </c>
      <c r="D12" s="100">
        <f>'YL-5'!H24</f>
        <v>1441817.1199999999</v>
      </c>
      <c r="E12" s="70">
        <f>'YL-5'!H22</f>
        <v>1419347.8</v>
      </c>
      <c r="F12" s="70">
        <f t="shared" si="0"/>
        <v>-22469.319999999832</v>
      </c>
      <c r="G12" s="78">
        <f t="shared" si="1"/>
        <v>-1.5584029131239498E-2</v>
      </c>
      <c r="H12" s="70">
        <v>0</v>
      </c>
      <c r="I12" s="70">
        <f t="shared" si="2"/>
        <v>-1419347.8</v>
      </c>
      <c r="J12" s="78">
        <f t="shared" si="3"/>
        <v>-1</v>
      </c>
      <c r="L12" s="2"/>
      <c r="M12" s="2"/>
    </row>
    <row r="13" spans="1:13" s="34" customFormat="1" x14ac:dyDescent="0.25">
      <c r="A13" s="34" t="str">
        <f>'SL-6'!A2</f>
        <v>Street Lighting</v>
      </c>
      <c r="B13" s="137">
        <f>'SL-6'!A3</f>
        <v>6</v>
      </c>
      <c r="C13" s="139">
        <f>'SL-6'!D16</f>
        <v>1045113</v>
      </c>
      <c r="D13" s="101">
        <f>'SL-6'!H21</f>
        <v>124757.02</v>
      </c>
      <c r="E13" s="68">
        <f>'SL-6'!H19</f>
        <v>121011.16000000002</v>
      </c>
      <c r="F13" s="68">
        <f t="shared" si="0"/>
        <v>-3745.859999999986</v>
      </c>
      <c r="G13" s="78">
        <f t="shared" si="1"/>
        <v>-3.0025244270823283E-2</v>
      </c>
      <c r="H13" s="68">
        <v>0</v>
      </c>
      <c r="I13" s="68">
        <f t="shared" si="2"/>
        <v>-121011.16000000002</v>
      </c>
      <c r="J13" s="142">
        <f t="shared" si="3"/>
        <v>-1</v>
      </c>
      <c r="L13" s="2"/>
      <c r="M13" s="2"/>
    </row>
    <row r="14" spans="1:13" s="34" customFormat="1" ht="16.5" thickBot="1" x14ac:dyDescent="0.3">
      <c r="A14" s="387" t="s">
        <v>67</v>
      </c>
      <c r="B14" s="388"/>
      <c r="C14" s="93">
        <f>SUM(C7:C13)</f>
        <v>450144634</v>
      </c>
      <c r="D14" s="96">
        <f>SUM(D7:D13)</f>
        <v>54025672.009999998</v>
      </c>
      <c r="E14" s="380">
        <f>SUM(E7:E13)</f>
        <v>54016726.911025606</v>
      </c>
      <c r="F14" s="94">
        <f>SUM(F7:F13)</f>
        <v>-8945.0989743892715</v>
      </c>
      <c r="G14" s="95">
        <f>F14/D14</f>
        <v>-1.6557126716968109E-4</v>
      </c>
      <c r="H14" s="96">
        <f>SUM(H7:H13)</f>
        <v>0</v>
      </c>
      <c r="I14" s="94">
        <f>SUM(I7:I13)</f>
        <v>-54016726.911025606</v>
      </c>
      <c r="J14" s="95">
        <f t="shared" si="3"/>
        <v>-1</v>
      </c>
      <c r="L14" s="2"/>
      <c r="M14" s="2"/>
    </row>
    <row r="15" spans="1:13" ht="16.5" thickTop="1" x14ac:dyDescent="0.25">
      <c r="E15" s="11"/>
      <c r="H15" s="11"/>
    </row>
    <row r="16" spans="1:13" ht="15.75" customHeight="1" x14ac:dyDescent="0.25">
      <c r="C16" s="68"/>
      <c r="D16" s="14"/>
      <c r="E16" s="57"/>
      <c r="H16" s="57"/>
    </row>
    <row r="17" spans="1:10" ht="15.75" customHeight="1" x14ac:dyDescent="0.25">
      <c r="C17" s="68"/>
      <c r="D17" s="14"/>
      <c r="E17" s="57"/>
      <c r="G17" s="22"/>
      <c r="H17" s="115"/>
    </row>
    <row r="18" spans="1:10" ht="15.75" customHeight="1" x14ac:dyDescent="0.25">
      <c r="C18" s="68"/>
      <c r="D18" s="14"/>
      <c r="E18" s="57"/>
      <c r="F18" s="22"/>
      <c r="H18" s="116"/>
    </row>
    <row r="19" spans="1:10" ht="15.75" customHeight="1" x14ac:dyDescent="0.25">
      <c r="C19" s="30"/>
      <c r="D19" s="30"/>
      <c r="F19" s="114"/>
      <c r="G19" s="30"/>
      <c r="H19" s="39"/>
    </row>
    <row r="20" spans="1:10" ht="15.75" customHeight="1" x14ac:dyDescent="0.25">
      <c r="F20" s="22"/>
    </row>
    <row r="21" spans="1:10" x14ac:dyDescent="0.25">
      <c r="A21" s="52"/>
      <c r="C21" s="68"/>
      <c r="D21" s="68"/>
      <c r="E21" s="138"/>
      <c r="F21" s="19"/>
      <c r="G21" s="19"/>
      <c r="H21" s="19"/>
      <c r="I21" s="19"/>
      <c r="J21" s="19"/>
    </row>
    <row r="22" spans="1:10" x14ac:dyDescent="0.25">
      <c r="A22" s="44"/>
      <c r="B22" s="3"/>
      <c r="C22" s="107"/>
      <c r="D22" s="107"/>
      <c r="E22" s="107"/>
      <c r="F22" s="107"/>
      <c r="G22" s="107"/>
      <c r="H22" s="107"/>
      <c r="I22" s="107"/>
      <c r="J22" s="107"/>
    </row>
    <row r="23" spans="1:10" x14ac:dyDescent="0.25">
      <c r="C23" s="135"/>
      <c r="D23" s="135"/>
      <c r="E23" s="135"/>
      <c r="F23" s="135"/>
      <c r="G23" s="135"/>
      <c r="H23" s="135"/>
      <c r="I23" s="19"/>
      <c r="J23" s="19"/>
    </row>
    <row r="24" spans="1:10" x14ac:dyDescent="0.25">
      <c r="A24" s="111"/>
      <c r="B24" s="117"/>
      <c r="C24" s="49"/>
      <c r="D24" s="51"/>
      <c r="E24" s="28"/>
      <c r="F24" s="50"/>
      <c r="G24" s="50"/>
      <c r="H24" s="28"/>
      <c r="I24" s="50"/>
      <c r="J24" s="28"/>
    </row>
    <row r="25" spans="1:10" x14ac:dyDescent="0.25">
      <c r="A25" s="111"/>
      <c r="B25" s="117"/>
      <c r="C25" s="49"/>
      <c r="D25" s="43"/>
      <c r="E25" s="70"/>
      <c r="F25" s="87"/>
      <c r="G25" s="78"/>
      <c r="H25" s="70"/>
      <c r="I25" s="87"/>
      <c r="J25" s="78"/>
    </row>
    <row r="26" spans="1:10" x14ac:dyDescent="0.25">
      <c r="A26" s="111"/>
      <c r="B26" s="117"/>
      <c r="C26" s="49"/>
      <c r="D26" s="51"/>
      <c r="E26" s="28"/>
      <c r="F26" s="70"/>
      <c r="G26" s="70"/>
      <c r="H26" s="28"/>
      <c r="I26" s="87"/>
      <c r="J26" s="78"/>
    </row>
    <row r="27" spans="1:10" x14ac:dyDescent="0.25">
      <c r="A27" s="111"/>
      <c r="B27" s="117"/>
      <c r="C27" s="49"/>
      <c r="D27" s="43"/>
      <c r="E27" s="70"/>
      <c r="F27" s="70"/>
      <c r="G27" s="70"/>
      <c r="H27" s="70"/>
      <c r="I27" s="87"/>
      <c r="J27" s="78"/>
    </row>
    <row r="28" spans="1:10" x14ac:dyDescent="0.25">
      <c r="A28" s="111"/>
      <c r="B28" s="117"/>
      <c r="C28" s="49"/>
      <c r="D28" s="51"/>
      <c r="E28" s="28"/>
      <c r="F28" s="70"/>
      <c r="G28" s="70"/>
      <c r="H28" s="28"/>
      <c r="I28" s="87"/>
      <c r="J28" s="78"/>
    </row>
    <row r="29" spans="1:10" x14ac:dyDescent="0.25">
      <c r="A29" s="111"/>
      <c r="B29" s="117"/>
      <c r="C29" s="49"/>
      <c r="D29" s="43"/>
      <c r="E29" s="70"/>
      <c r="F29" s="70"/>
      <c r="G29" s="70"/>
      <c r="H29" s="70"/>
      <c r="I29" s="87"/>
      <c r="J29" s="78"/>
    </row>
    <row r="30" spans="1:10" x14ac:dyDescent="0.25">
      <c r="A30" s="111"/>
      <c r="B30" s="117"/>
      <c r="C30" s="51"/>
      <c r="D30" s="51"/>
      <c r="E30" s="28"/>
      <c r="F30" s="70"/>
      <c r="G30" s="70"/>
      <c r="H30" s="28"/>
      <c r="I30" s="87"/>
      <c r="J30" s="78"/>
    </row>
    <row r="31" spans="1:10" x14ac:dyDescent="0.25">
      <c r="A31" s="53"/>
      <c r="B31" s="89"/>
      <c r="C31" s="39"/>
      <c r="D31" s="45"/>
      <c r="E31" s="42"/>
      <c r="F31" s="46"/>
      <c r="G31" s="46"/>
      <c r="H31" s="42"/>
      <c r="I31" s="18"/>
      <c r="J31" s="28"/>
    </row>
    <row r="32" spans="1:10" x14ac:dyDescent="0.25">
      <c r="A32" s="52"/>
      <c r="C32" s="8"/>
      <c r="D32" s="51"/>
      <c r="E32" s="28"/>
      <c r="F32" s="14"/>
      <c r="G32" s="14"/>
      <c r="H32" s="28"/>
    </row>
    <row r="33" spans="1:8" x14ac:dyDescent="0.25">
      <c r="C33" s="8"/>
      <c r="E33" s="31"/>
      <c r="F33" s="26"/>
      <c r="H33" s="86"/>
    </row>
    <row r="34" spans="1:8" x14ac:dyDescent="0.25">
      <c r="C34" s="8"/>
      <c r="F34" s="8"/>
      <c r="G34" s="8"/>
    </row>
    <row r="36" spans="1:8" x14ac:dyDescent="0.25">
      <c r="G36" s="30"/>
    </row>
    <row r="38" spans="1:8" x14ac:dyDescent="0.25">
      <c r="A38" s="52"/>
      <c r="C38" s="82"/>
    </row>
    <row r="39" spans="1:8" x14ac:dyDescent="0.25">
      <c r="A39" s="52"/>
    </row>
  </sheetData>
  <phoneticPr fontId="0" type="noConversion"/>
  <pageMargins left="0.75" right="0.35" top="1" bottom="1" header="0.5" footer="0.5"/>
  <pageSetup scale="97" orientation="landscape" r:id="rId1"/>
  <headerFooter alignWithMargins="0"/>
  <ignoredErrors>
    <ignoredError sqref="G14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opLeftCell="A28" zoomScaleNormal="100" workbookViewId="0">
      <selection sqref="A1:C1"/>
    </sheetView>
  </sheetViews>
  <sheetFormatPr defaultRowHeight="12.75" x14ac:dyDescent="0.2"/>
  <cols>
    <col min="1" max="1" width="3.42578125" style="246" customWidth="1"/>
    <col min="2" max="2" width="5.28515625" style="245" customWidth="1"/>
    <col min="3" max="4" width="9.140625" style="246"/>
    <col min="5" max="5" width="10.28515625" style="246" bestFit="1" customWidth="1"/>
    <col min="6" max="6" width="9.140625" style="246"/>
    <col min="7" max="7" width="10.5703125" style="246" customWidth="1"/>
    <col min="8" max="8" width="10.28515625" style="246" bestFit="1" customWidth="1"/>
    <col min="9" max="9" width="9.140625" style="246"/>
    <col min="10" max="10" width="8.28515625" style="246" bestFit="1" customWidth="1"/>
    <col min="11" max="11" width="7.7109375" style="246" customWidth="1"/>
    <col min="12" max="12" width="9.140625" style="246"/>
  </cols>
  <sheetData>
    <row r="1" spans="1:12" ht="18.75" x14ac:dyDescent="0.3">
      <c r="A1" s="244" t="str">
        <f>'Present and Proposed Rates'!A1</f>
        <v>MEADE COUNTY RECC</v>
      </c>
    </row>
    <row r="2" spans="1:12" ht="18.75" x14ac:dyDescent="0.3">
      <c r="A2" s="162" t="s">
        <v>155</v>
      </c>
      <c r="H2" s="247"/>
    </row>
    <row r="3" spans="1:12" ht="18.75" x14ac:dyDescent="0.3">
      <c r="A3" s="244" t="s">
        <v>156</v>
      </c>
    </row>
    <row r="4" spans="1:12" ht="24" customHeight="1" thickBot="1" x14ac:dyDescent="0.25"/>
    <row r="5" spans="1:12" ht="13.5" thickTop="1" x14ac:dyDescent="0.2">
      <c r="B5" s="248"/>
      <c r="C5" s="249" t="s">
        <v>144</v>
      </c>
      <c r="D5" s="408" t="s">
        <v>157</v>
      </c>
      <c r="E5" s="408"/>
      <c r="F5" s="409"/>
      <c r="G5" s="410" t="s">
        <v>158</v>
      </c>
      <c r="H5" s="408"/>
      <c r="I5" s="409"/>
      <c r="J5" s="411" t="s">
        <v>60</v>
      </c>
      <c r="K5" s="412"/>
    </row>
    <row r="6" spans="1:12" x14ac:dyDescent="0.2">
      <c r="B6" s="250" t="s">
        <v>159</v>
      </c>
      <c r="C6" s="251" t="s">
        <v>8</v>
      </c>
      <c r="D6" s="252" t="s">
        <v>154</v>
      </c>
      <c r="E6" s="252" t="s">
        <v>160</v>
      </c>
      <c r="F6" s="252" t="s">
        <v>86</v>
      </c>
      <c r="G6" s="252" t="s">
        <v>150</v>
      </c>
      <c r="H6" s="252" t="s">
        <v>151</v>
      </c>
      <c r="I6" s="252" t="s">
        <v>86</v>
      </c>
      <c r="J6" s="253" t="s">
        <v>65</v>
      </c>
      <c r="K6" s="254" t="s">
        <v>66</v>
      </c>
    </row>
    <row r="7" spans="1:12" ht="18" customHeight="1" thickBot="1" x14ac:dyDescent="0.25">
      <c r="A7" s="255"/>
      <c r="B7" s="256"/>
      <c r="C7" s="257"/>
      <c r="D7" s="258">
        <f>'Present and Proposed Rates'!F10*360/12</f>
        <v>17.16</v>
      </c>
      <c r="E7" s="259">
        <f>'Present and Proposed Rates'!F11</f>
        <v>9.7665000000000002E-2</v>
      </c>
      <c r="F7" s="260"/>
      <c r="G7" s="258">
        <f>'Present and Proposed Rates'!G10*360/12</f>
        <v>21.09</v>
      </c>
      <c r="H7" s="259">
        <f>'Present and Proposed Rates'!F11</f>
        <v>9.7665000000000002E-2</v>
      </c>
      <c r="I7" s="257"/>
      <c r="J7" s="261"/>
      <c r="K7" s="262"/>
      <c r="L7" s="255"/>
    </row>
    <row r="8" spans="1:12" ht="13.5" thickTop="1" x14ac:dyDescent="0.2">
      <c r="B8" s="263">
        <v>1</v>
      </c>
      <c r="C8" s="264">
        <v>0</v>
      </c>
      <c r="D8" s="265">
        <f>D$7</f>
        <v>17.16</v>
      </c>
      <c r="E8" s="266">
        <f>$E$7*C8</f>
        <v>0</v>
      </c>
      <c r="F8" s="267">
        <f>E8+D8</f>
        <v>17.16</v>
      </c>
      <c r="G8" s="268">
        <f>$G$7</f>
        <v>21.09</v>
      </c>
      <c r="H8" s="266">
        <f>$H$7*C8</f>
        <v>0</v>
      </c>
      <c r="I8" s="269">
        <f>G8+H8</f>
        <v>21.09</v>
      </c>
      <c r="J8" s="270">
        <f t="shared" ref="J8:J39" si="0">I8-F8</f>
        <v>3.9299999999999997</v>
      </c>
      <c r="K8" s="271">
        <f t="shared" ref="K8:K39" si="1">J8/F8</f>
        <v>0.22902097902097901</v>
      </c>
    </row>
    <row r="9" spans="1:12" x14ac:dyDescent="0.2">
      <c r="B9" s="263">
        <v>2</v>
      </c>
      <c r="C9" s="264">
        <f t="shared" ref="C9:C38" si="2">C8+100</f>
        <v>100</v>
      </c>
      <c r="D9" s="265">
        <f t="shared" ref="D9:D39" si="3">D$7</f>
        <v>17.16</v>
      </c>
      <c r="E9" s="266">
        <f t="shared" ref="E9:E39" si="4">$E$7*C9</f>
        <v>9.7665000000000006</v>
      </c>
      <c r="F9" s="267">
        <f t="shared" ref="F9:F39" si="5">E9+D9</f>
        <v>26.926500000000001</v>
      </c>
      <c r="G9" s="268">
        <f t="shared" ref="G9:G39" si="6">$G$7</f>
        <v>21.09</v>
      </c>
      <c r="H9" s="266">
        <f t="shared" ref="H9:H39" si="7">$H$7*C9</f>
        <v>9.7665000000000006</v>
      </c>
      <c r="I9" s="269">
        <f t="shared" ref="I9:I39" si="8">G9+H9</f>
        <v>30.8565</v>
      </c>
      <c r="J9" s="270">
        <f t="shared" si="0"/>
        <v>3.9299999999999997</v>
      </c>
      <c r="K9" s="271">
        <f t="shared" si="1"/>
        <v>0.1459528717063116</v>
      </c>
    </row>
    <row r="10" spans="1:12" x14ac:dyDescent="0.2">
      <c r="B10" s="263">
        <v>2</v>
      </c>
      <c r="C10" s="264">
        <f t="shared" si="2"/>
        <v>200</v>
      </c>
      <c r="D10" s="265">
        <f t="shared" si="3"/>
        <v>17.16</v>
      </c>
      <c r="E10" s="266">
        <f t="shared" si="4"/>
        <v>19.533000000000001</v>
      </c>
      <c r="F10" s="267">
        <f t="shared" si="5"/>
        <v>36.692999999999998</v>
      </c>
      <c r="G10" s="268">
        <f t="shared" si="6"/>
        <v>21.09</v>
      </c>
      <c r="H10" s="266">
        <f t="shared" si="7"/>
        <v>19.533000000000001</v>
      </c>
      <c r="I10" s="269">
        <f t="shared" si="8"/>
        <v>40.623000000000005</v>
      </c>
      <c r="J10" s="270">
        <f t="shared" si="0"/>
        <v>3.9300000000000068</v>
      </c>
      <c r="K10" s="271">
        <f t="shared" si="1"/>
        <v>0.1071048973918733</v>
      </c>
    </row>
    <row r="11" spans="1:12" x14ac:dyDescent="0.2">
      <c r="B11" s="263">
        <v>3</v>
      </c>
      <c r="C11" s="264">
        <f t="shared" si="2"/>
        <v>300</v>
      </c>
      <c r="D11" s="265">
        <f t="shared" si="3"/>
        <v>17.16</v>
      </c>
      <c r="E11" s="266">
        <f t="shared" si="4"/>
        <v>29.299500000000002</v>
      </c>
      <c r="F11" s="267">
        <f t="shared" si="5"/>
        <v>46.459500000000006</v>
      </c>
      <c r="G11" s="268">
        <f t="shared" si="6"/>
        <v>21.09</v>
      </c>
      <c r="H11" s="266">
        <f t="shared" si="7"/>
        <v>29.299500000000002</v>
      </c>
      <c r="I11" s="269">
        <f t="shared" si="8"/>
        <v>50.389499999999998</v>
      </c>
      <c r="J11" s="270">
        <f t="shared" si="0"/>
        <v>3.9299999999999926</v>
      </c>
      <c r="K11" s="271">
        <f t="shared" si="1"/>
        <v>8.4589804022858456E-2</v>
      </c>
    </row>
    <row r="12" spans="1:12" x14ac:dyDescent="0.2">
      <c r="B12" s="263">
        <v>4</v>
      </c>
      <c r="C12" s="264">
        <f t="shared" si="2"/>
        <v>400</v>
      </c>
      <c r="D12" s="265">
        <f t="shared" si="3"/>
        <v>17.16</v>
      </c>
      <c r="E12" s="266">
        <f t="shared" si="4"/>
        <v>39.066000000000003</v>
      </c>
      <c r="F12" s="267">
        <f t="shared" si="5"/>
        <v>56.225999999999999</v>
      </c>
      <c r="G12" s="268">
        <f t="shared" si="6"/>
        <v>21.09</v>
      </c>
      <c r="H12" s="266">
        <f t="shared" si="7"/>
        <v>39.066000000000003</v>
      </c>
      <c r="I12" s="269">
        <f t="shared" si="8"/>
        <v>60.156000000000006</v>
      </c>
      <c r="J12" s="270">
        <f t="shared" si="0"/>
        <v>3.9300000000000068</v>
      </c>
      <c r="K12" s="271">
        <f t="shared" si="1"/>
        <v>6.9896489168712106E-2</v>
      </c>
    </row>
    <row r="13" spans="1:12" x14ac:dyDescent="0.2">
      <c r="B13" s="263">
        <v>2</v>
      </c>
      <c r="C13" s="264">
        <f t="shared" si="2"/>
        <v>500</v>
      </c>
      <c r="D13" s="265">
        <f t="shared" si="3"/>
        <v>17.16</v>
      </c>
      <c r="E13" s="266">
        <f t="shared" si="4"/>
        <v>48.832500000000003</v>
      </c>
      <c r="F13" s="267">
        <f t="shared" si="5"/>
        <v>65.992500000000007</v>
      </c>
      <c r="G13" s="268">
        <f t="shared" si="6"/>
        <v>21.09</v>
      </c>
      <c r="H13" s="266">
        <f t="shared" si="7"/>
        <v>48.832500000000003</v>
      </c>
      <c r="I13" s="269">
        <f t="shared" si="8"/>
        <v>69.922499999999999</v>
      </c>
      <c r="J13" s="270">
        <f t="shared" si="0"/>
        <v>3.9299999999999926</v>
      </c>
      <c r="K13" s="271">
        <f t="shared" si="1"/>
        <v>5.9552221843391179E-2</v>
      </c>
    </row>
    <row r="14" spans="1:12" x14ac:dyDescent="0.2">
      <c r="B14" s="263">
        <v>3</v>
      </c>
      <c r="C14" s="264">
        <f t="shared" si="2"/>
        <v>600</v>
      </c>
      <c r="D14" s="265">
        <f t="shared" si="3"/>
        <v>17.16</v>
      </c>
      <c r="E14" s="266">
        <f t="shared" si="4"/>
        <v>58.599000000000004</v>
      </c>
      <c r="F14" s="267">
        <f t="shared" si="5"/>
        <v>75.759</v>
      </c>
      <c r="G14" s="268">
        <f t="shared" si="6"/>
        <v>21.09</v>
      </c>
      <c r="H14" s="266">
        <f t="shared" si="7"/>
        <v>58.599000000000004</v>
      </c>
      <c r="I14" s="269">
        <f t="shared" si="8"/>
        <v>79.689000000000007</v>
      </c>
      <c r="J14" s="270">
        <f t="shared" si="0"/>
        <v>3.9300000000000068</v>
      </c>
      <c r="K14" s="271">
        <f t="shared" si="1"/>
        <v>5.1875024749534801E-2</v>
      </c>
    </row>
    <row r="15" spans="1:12" x14ac:dyDescent="0.2">
      <c r="B15" s="263">
        <v>4</v>
      </c>
      <c r="C15" s="264">
        <f t="shared" si="2"/>
        <v>700</v>
      </c>
      <c r="D15" s="265">
        <f t="shared" si="3"/>
        <v>17.16</v>
      </c>
      <c r="E15" s="266">
        <f t="shared" si="4"/>
        <v>68.365499999999997</v>
      </c>
      <c r="F15" s="267">
        <f t="shared" si="5"/>
        <v>85.525499999999994</v>
      </c>
      <c r="G15" s="268">
        <f t="shared" si="6"/>
        <v>21.09</v>
      </c>
      <c r="H15" s="266">
        <f t="shared" si="7"/>
        <v>68.365499999999997</v>
      </c>
      <c r="I15" s="269">
        <f t="shared" si="8"/>
        <v>89.455500000000001</v>
      </c>
      <c r="J15" s="270">
        <f t="shared" si="0"/>
        <v>3.9300000000000068</v>
      </c>
      <c r="K15" s="271">
        <f t="shared" si="1"/>
        <v>4.5951207534595029E-2</v>
      </c>
    </row>
    <row r="16" spans="1:12" x14ac:dyDescent="0.2">
      <c r="B16" s="263">
        <v>5</v>
      </c>
      <c r="C16" s="264">
        <f t="shared" si="2"/>
        <v>800</v>
      </c>
      <c r="D16" s="265">
        <f t="shared" si="3"/>
        <v>17.16</v>
      </c>
      <c r="E16" s="266">
        <f t="shared" si="4"/>
        <v>78.132000000000005</v>
      </c>
      <c r="F16" s="267">
        <f t="shared" si="5"/>
        <v>95.292000000000002</v>
      </c>
      <c r="G16" s="268">
        <f t="shared" si="6"/>
        <v>21.09</v>
      </c>
      <c r="H16" s="266">
        <f t="shared" si="7"/>
        <v>78.132000000000005</v>
      </c>
      <c r="I16" s="269">
        <f t="shared" si="8"/>
        <v>99.222000000000008</v>
      </c>
      <c r="J16" s="270">
        <f t="shared" si="0"/>
        <v>3.9300000000000068</v>
      </c>
      <c r="K16" s="271">
        <f t="shared" si="1"/>
        <v>4.1241657222012409E-2</v>
      </c>
    </row>
    <row r="17" spans="2:11" x14ac:dyDescent="0.2">
      <c r="B17" s="263">
        <v>6</v>
      </c>
      <c r="C17" s="264">
        <f t="shared" si="2"/>
        <v>900</v>
      </c>
      <c r="D17" s="265">
        <f t="shared" si="3"/>
        <v>17.16</v>
      </c>
      <c r="E17" s="266">
        <f t="shared" si="4"/>
        <v>87.898499999999999</v>
      </c>
      <c r="F17" s="267">
        <f t="shared" si="5"/>
        <v>105.0585</v>
      </c>
      <c r="G17" s="268">
        <f t="shared" si="6"/>
        <v>21.09</v>
      </c>
      <c r="H17" s="266">
        <f t="shared" si="7"/>
        <v>87.898499999999999</v>
      </c>
      <c r="I17" s="269">
        <f t="shared" si="8"/>
        <v>108.9885</v>
      </c>
      <c r="J17" s="270">
        <f t="shared" si="0"/>
        <v>3.9300000000000068</v>
      </c>
      <c r="K17" s="271">
        <f t="shared" si="1"/>
        <v>3.7407729979011761E-2</v>
      </c>
    </row>
    <row r="18" spans="2:11" x14ac:dyDescent="0.2">
      <c r="B18" s="263">
        <v>7</v>
      </c>
      <c r="C18" s="264">
        <f t="shared" si="2"/>
        <v>1000</v>
      </c>
      <c r="D18" s="265">
        <f t="shared" si="3"/>
        <v>17.16</v>
      </c>
      <c r="E18" s="266">
        <f t="shared" si="4"/>
        <v>97.665000000000006</v>
      </c>
      <c r="F18" s="267">
        <f t="shared" si="5"/>
        <v>114.825</v>
      </c>
      <c r="G18" s="268">
        <f t="shared" si="6"/>
        <v>21.09</v>
      </c>
      <c r="H18" s="266">
        <f t="shared" si="7"/>
        <v>97.665000000000006</v>
      </c>
      <c r="I18" s="269">
        <f t="shared" si="8"/>
        <v>118.75500000000001</v>
      </c>
      <c r="J18" s="270">
        <f t="shared" si="0"/>
        <v>3.9300000000000068</v>
      </c>
      <c r="K18" s="271">
        <f t="shared" si="1"/>
        <v>3.4225996080992874E-2</v>
      </c>
    </row>
    <row r="19" spans="2:11" x14ac:dyDescent="0.2">
      <c r="B19" s="263">
        <v>8</v>
      </c>
      <c r="C19" s="264">
        <f t="shared" si="2"/>
        <v>1100</v>
      </c>
      <c r="D19" s="265">
        <f t="shared" si="3"/>
        <v>17.16</v>
      </c>
      <c r="E19" s="266">
        <f t="shared" si="4"/>
        <v>107.4315</v>
      </c>
      <c r="F19" s="267">
        <f t="shared" si="5"/>
        <v>124.5915</v>
      </c>
      <c r="G19" s="268">
        <f t="shared" si="6"/>
        <v>21.09</v>
      </c>
      <c r="H19" s="266">
        <f t="shared" si="7"/>
        <v>107.4315</v>
      </c>
      <c r="I19" s="269">
        <f t="shared" si="8"/>
        <v>128.5215</v>
      </c>
      <c r="J19" s="270">
        <f t="shared" si="0"/>
        <v>3.9300000000000068</v>
      </c>
      <c r="K19" s="271">
        <f t="shared" si="1"/>
        <v>3.154308279457272E-2</v>
      </c>
    </row>
    <row r="20" spans="2:11" x14ac:dyDescent="0.2">
      <c r="B20" s="263">
        <v>9</v>
      </c>
      <c r="C20" s="264">
        <f t="shared" si="2"/>
        <v>1200</v>
      </c>
      <c r="D20" s="265">
        <f t="shared" si="3"/>
        <v>17.16</v>
      </c>
      <c r="E20" s="266">
        <f t="shared" si="4"/>
        <v>117.19800000000001</v>
      </c>
      <c r="F20" s="267">
        <f t="shared" si="5"/>
        <v>134.358</v>
      </c>
      <c r="G20" s="268">
        <f t="shared" si="6"/>
        <v>21.09</v>
      </c>
      <c r="H20" s="266">
        <f t="shared" si="7"/>
        <v>117.19800000000001</v>
      </c>
      <c r="I20" s="269">
        <f t="shared" si="8"/>
        <v>138.28800000000001</v>
      </c>
      <c r="J20" s="270">
        <f t="shared" si="0"/>
        <v>3.9300000000000068</v>
      </c>
      <c r="K20" s="271">
        <f t="shared" si="1"/>
        <v>2.9250212119858933E-2</v>
      </c>
    </row>
    <row r="21" spans="2:11" x14ac:dyDescent="0.2">
      <c r="B21" s="263">
        <v>10</v>
      </c>
      <c r="C21" s="264">
        <f t="shared" si="2"/>
        <v>1300</v>
      </c>
      <c r="D21" s="265">
        <f t="shared" si="3"/>
        <v>17.16</v>
      </c>
      <c r="E21" s="266">
        <f t="shared" si="4"/>
        <v>126.9645</v>
      </c>
      <c r="F21" s="267">
        <f t="shared" si="5"/>
        <v>144.12450000000001</v>
      </c>
      <c r="G21" s="268">
        <f t="shared" si="6"/>
        <v>21.09</v>
      </c>
      <c r="H21" s="266">
        <f t="shared" si="7"/>
        <v>126.9645</v>
      </c>
      <c r="I21" s="269">
        <f t="shared" si="8"/>
        <v>148.05449999999999</v>
      </c>
      <c r="J21" s="270">
        <f t="shared" si="0"/>
        <v>3.9299999999999784</v>
      </c>
      <c r="K21" s="271">
        <f t="shared" si="1"/>
        <v>2.7268091129544095E-2</v>
      </c>
    </row>
    <row r="22" spans="2:11" x14ac:dyDescent="0.2">
      <c r="B22" s="263">
        <v>11</v>
      </c>
      <c r="C22" s="264">
        <f t="shared" si="2"/>
        <v>1400</v>
      </c>
      <c r="D22" s="265">
        <f t="shared" si="3"/>
        <v>17.16</v>
      </c>
      <c r="E22" s="266">
        <f t="shared" si="4"/>
        <v>136.73099999999999</v>
      </c>
      <c r="F22" s="267">
        <f t="shared" si="5"/>
        <v>153.89099999999999</v>
      </c>
      <c r="G22" s="268">
        <f t="shared" si="6"/>
        <v>21.09</v>
      </c>
      <c r="H22" s="266">
        <f t="shared" si="7"/>
        <v>136.73099999999999</v>
      </c>
      <c r="I22" s="269">
        <f t="shared" si="8"/>
        <v>157.821</v>
      </c>
      <c r="J22" s="270">
        <f t="shared" si="0"/>
        <v>3.9300000000000068</v>
      </c>
      <c r="K22" s="271">
        <f t="shared" si="1"/>
        <v>2.5537555802483621E-2</v>
      </c>
    </row>
    <row r="23" spans="2:11" x14ac:dyDescent="0.2">
      <c r="B23" s="263">
        <v>12</v>
      </c>
      <c r="C23" s="264">
        <f t="shared" si="2"/>
        <v>1500</v>
      </c>
      <c r="D23" s="265">
        <f t="shared" si="3"/>
        <v>17.16</v>
      </c>
      <c r="E23" s="266">
        <f t="shared" si="4"/>
        <v>146.4975</v>
      </c>
      <c r="F23" s="267">
        <f t="shared" si="5"/>
        <v>163.6575</v>
      </c>
      <c r="G23" s="268">
        <f t="shared" si="6"/>
        <v>21.09</v>
      </c>
      <c r="H23" s="266">
        <f t="shared" si="7"/>
        <v>146.4975</v>
      </c>
      <c r="I23" s="269">
        <f t="shared" si="8"/>
        <v>167.58750000000001</v>
      </c>
      <c r="J23" s="270">
        <f t="shared" si="0"/>
        <v>3.9300000000000068</v>
      </c>
      <c r="K23" s="271">
        <f t="shared" si="1"/>
        <v>2.4013564914531913E-2</v>
      </c>
    </row>
    <row r="24" spans="2:11" x14ac:dyDescent="0.2">
      <c r="B24" s="263">
        <v>13</v>
      </c>
      <c r="C24" s="264">
        <f t="shared" si="2"/>
        <v>1600</v>
      </c>
      <c r="D24" s="265">
        <f t="shared" si="3"/>
        <v>17.16</v>
      </c>
      <c r="E24" s="266">
        <f t="shared" si="4"/>
        <v>156.26400000000001</v>
      </c>
      <c r="F24" s="267">
        <f t="shared" si="5"/>
        <v>173.42400000000001</v>
      </c>
      <c r="G24" s="268">
        <f t="shared" si="6"/>
        <v>21.09</v>
      </c>
      <c r="H24" s="266">
        <f t="shared" si="7"/>
        <v>156.26400000000001</v>
      </c>
      <c r="I24" s="269">
        <f t="shared" si="8"/>
        <v>177.35400000000001</v>
      </c>
      <c r="J24" s="270">
        <f t="shared" si="0"/>
        <v>3.9300000000000068</v>
      </c>
      <c r="K24" s="271">
        <f t="shared" si="1"/>
        <v>2.2661223360088606E-2</v>
      </c>
    </row>
    <row r="25" spans="2:11" x14ac:dyDescent="0.2">
      <c r="B25" s="263">
        <v>14</v>
      </c>
      <c r="C25" s="264">
        <f t="shared" si="2"/>
        <v>1700</v>
      </c>
      <c r="D25" s="265">
        <f t="shared" si="3"/>
        <v>17.16</v>
      </c>
      <c r="E25" s="266">
        <f t="shared" si="4"/>
        <v>166.03049999999999</v>
      </c>
      <c r="F25" s="267">
        <f t="shared" si="5"/>
        <v>183.19049999999999</v>
      </c>
      <c r="G25" s="268">
        <f t="shared" si="6"/>
        <v>21.09</v>
      </c>
      <c r="H25" s="266">
        <f t="shared" si="7"/>
        <v>166.03049999999999</v>
      </c>
      <c r="I25" s="269">
        <f t="shared" si="8"/>
        <v>187.12049999999999</v>
      </c>
      <c r="J25" s="270">
        <f t="shared" si="0"/>
        <v>3.9300000000000068</v>
      </c>
      <c r="K25" s="271">
        <f t="shared" si="1"/>
        <v>2.1453077534042471E-2</v>
      </c>
    </row>
    <row r="26" spans="2:11" x14ac:dyDescent="0.2">
      <c r="B26" s="263">
        <v>15</v>
      </c>
      <c r="C26" s="264">
        <f t="shared" si="2"/>
        <v>1800</v>
      </c>
      <c r="D26" s="265">
        <f t="shared" si="3"/>
        <v>17.16</v>
      </c>
      <c r="E26" s="266">
        <f t="shared" si="4"/>
        <v>175.797</v>
      </c>
      <c r="F26" s="267">
        <f t="shared" si="5"/>
        <v>192.95699999999999</v>
      </c>
      <c r="G26" s="268">
        <f t="shared" si="6"/>
        <v>21.09</v>
      </c>
      <c r="H26" s="266">
        <f t="shared" si="7"/>
        <v>175.797</v>
      </c>
      <c r="I26" s="269">
        <f t="shared" si="8"/>
        <v>196.887</v>
      </c>
      <c r="J26" s="270">
        <f t="shared" si="0"/>
        <v>3.9300000000000068</v>
      </c>
      <c r="K26" s="271">
        <f t="shared" si="1"/>
        <v>2.0367232077613182E-2</v>
      </c>
    </row>
    <row r="27" spans="2:11" x14ac:dyDescent="0.2">
      <c r="B27" s="263">
        <v>16</v>
      </c>
      <c r="C27" s="264">
        <f t="shared" si="2"/>
        <v>1900</v>
      </c>
      <c r="D27" s="265">
        <f t="shared" si="3"/>
        <v>17.16</v>
      </c>
      <c r="E27" s="266">
        <f t="shared" si="4"/>
        <v>185.5635</v>
      </c>
      <c r="F27" s="267">
        <f t="shared" si="5"/>
        <v>202.7235</v>
      </c>
      <c r="G27" s="268">
        <f t="shared" si="6"/>
        <v>21.09</v>
      </c>
      <c r="H27" s="266">
        <f t="shared" si="7"/>
        <v>185.5635</v>
      </c>
      <c r="I27" s="269">
        <f t="shared" si="8"/>
        <v>206.65350000000001</v>
      </c>
      <c r="J27" s="270">
        <f t="shared" si="0"/>
        <v>3.9300000000000068</v>
      </c>
      <c r="K27" s="271">
        <f t="shared" si="1"/>
        <v>1.9386010995271919E-2</v>
      </c>
    </row>
    <row r="28" spans="2:11" x14ac:dyDescent="0.2">
      <c r="B28" s="263">
        <v>17</v>
      </c>
      <c r="C28" s="264">
        <f t="shared" si="2"/>
        <v>2000</v>
      </c>
      <c r="D28" s="265">
        <f t="shared" si="3"/>
        <v>17.16</v>
      </c>
      <c r="E28" s="266">
        <f t="shared" si="4"/>
        <v>195.33</v>
      </c>
      <c r="F28" s="267">
        <f t="shared" si="5"/>
        <v>212.49</v>
      </c>
      <c r="G28" s="268">
        <f t="shared" si="6"/>
        <v>21.09</v>
      </c>
      <c r="H28" s="266">
        <f t="shared" si="7"/>
        <v>195.33</v>
      </c>
      <c r="I28" s="269">
        <f t="shared" si="8"/>
        <v>216.42000000000002</v>
      </c>
      <c r="J28" s="270">
        <f t="shared" si="0"/>
        <v>3.9300000000000068</v>
      </c>
      <c r="K28" s="271">
        <f t="shared" si="1"/>
        <v>1.8494987999435299E-2</v>
      </c>
    </row>
    <row r="29" spans="2:11" x14ac:dyDescent="0.2">
      <c r="B29" s="263">
        <v>18</v>
      </c>
      <c r="C29" s="264">
        <f t="shared" si="2"/>
        <v>2100</v>
      </c>
      <c r="D29" s="265">
        <f t="shared" si="3"/>
        <v>17.16</v>
      </c>
      <c r="E29" s="266">
        <f t="shared" si="4"/>
        <v>205.09649999999999</v>
      </c>
      <c r="F29" s="267">
        <f t="shared" si="5"/>
        <v>222.25649999999999</v>
      </c>
      <c r="G29" s="268">
        <f t="shared" si="6"/>
        <v>21.09</v>
      </c>
      <c r="H29" s="266">
        <f t="shared" si="7"/>
        <v>205.09649999999999</v>
      </c>
      <c r="I29" s="269">
        <f t="shared" si="8"/>
        <v>226.1865</v>
      </c>
      <c r="J29" s="270">
        <f t="shared" si="0"/>
        <v>3.9300000000000068</v>
      </c>
      <c r="K29" s="271">
        <f t="shared" si="1"/>
        <v>1.7682272509465448E-2</v>
      </c>
    </row>
    <row r="30" spans="2:11" x14ac:dyDescent="0.2">
      <c r="B30" s="263">
        <v>19</v>
      </c>
      <c r="C30" s="264">
        <f t="shared" si="2"/>
        <v>2200</v>
      </c>
      <c r="D30" s="265">
        <f t="shared" si="3"/>
        <v>17.16</v>
      </c>
      <c r="E30" s="266">
        <f t="shared" si="4"/>
        <v>214.863</v>
      </c>
      <c r="F30" s="267">
        <f t="shared" si="5"/>
        <v>232.023</v>
      </c>
      <c r="G30" s="268">
        <f t="shared" si="6"/>
        <v>21.09</v>
      </c>
      <c r="H30" s="266">
        <f t="shared" si="7"/>
        <v>214.863</v>
      </c>
      <c r="I30" s="269">
        <f t="shared" si="8"/>
        <v>235.953</v>
      </c>
      <c r="J30" s="270">
        <f t="shared" si="0"/>
        <v>3.9300000000000068</v>
      </c>
      <c r="K30" s="271">
        <f t="shared" si="1"/>
        <v>1.6937975976519599E-2</v>
      </c>
    </row>
    <row r="31" spans="2:11" x14ac:dyDescent="0.2">
      <c r="B31" s="263">
        <v>20</v>
      </c>
      <c r="C31" s="264">
        <f t="shared" si="2"/>
        <v>2300</v>
      </c>
      <c r="D31" s="265">
        <f t="shared" si="3"/>
        <v>17.16</v>
      </c>
      <c r="E31" s="266">
        <f t="shared" si="4"/>
        <v>224.62950000000001</v>
      </c>
      <c r="F31" s="267">
        <f t="shared" si="5"/>
        <v>241.7895</v>
      </c>
      <c r="G31" s="268">
        <f t="shared" si="6"/>
        <v>21.09</v>
      </c>
      <c r="H31" s="266">
        <f t="shared" si="7"/>
        <v>224.62950000000001</v>
      </c>
      <c r="I31" s="269">
        <f t="shared" si="8"/>
        <v>245.71950000000001</v>
      </c>
      <c r="J31" s="270">
        <f t="shared" si="0"/>
        <v>3.9300000000000068</v>
      </c>
      <c r="K31" s="271">
        <f t="shared" si="1"/>
        <v>1.6253807547474172E-2</v>
      </c>
    </row>
    <row r="32" spans="2:11" x14ac:dyDescent="0.2">
      <c r="B32" s="263">
        <v>21</v>
      </c>
      <c r="C32" s="264">
        <f t="shared" si="2"/>
        <v>2400</v>
      </c>
      <c r="D32" s="265">
        <f t="shared" si="3"/>
        <v>17.16</v>
      </c>
      <c r="E32" s="266">
        <f t="shared" si="4"/>
        <v>234.39600000000002</v>
      </c>
      <c r="F32" s="267">
        <f t="shared" si="5"/>
        <v>251.55600000000001</v>
      </c>
      <c r="G32" s="268">
        <f t="shared" si="6"/>
        <v>21.09</v>
      </c>
      <c r="H32" s="266">
        <f t="shared" si="7"/>
        <v>234.39600000000002</v>
      </c>
      <c r="I32" s="269">
        <f t="shared" si="8"/>
        <v>255.48600000000002</v>
      </c>
      <c r="J32" s="270">
        <f t="shared" si="0"/>
        <v>3.9300000000000068</v>
      </c>
      <c r="K32" s="271">
        <f t="shared" si="1"/>
        <v>1.5622763917378265E-2</v>
      </c>
    </row>
    <row r="33" spans="1:12" x14ac:dyDescent="0.2">
      <c r="B33" s="263">
        <v>22</v>
      </c>
      <c r="C33" s="264">
        <f t="shared" si="2"/>
        <v>2500</v>
      </c>
      <c r="D33" s="265">
        <f t="shared" si="3"/>
        <v>17.16</v>
      </c>
      <c r="E33" s="266">
        <f t="shared" si="4"/>
        <v>244.16249999999999</v>
      </c>
      <c r="F33" s="267">
        <f t="shared" si="5"/>
        <v>261.32249999999999</v>
      </c>
      <c r="G33" s="268">
        <f t="shared" si="6"/>
        <v>21.09</v>
      </c>
      <c r="H33" s="266">
        <f t="shared" si="7"/>
        <v>244.16249999999999</v>
      </c>
      <c r="I33" s="269">
        <f t="shared" si="8"/>
        <v>265.2525</v>
      </c>
      <c r="J33" s="270">
        <f t="shared" si="0"/>
        <v>3.9300000000000068</v>
      </c>
      <c r="K33" s="271">
        <f t="shared" si="1"/>
        <v>1.503888872944353E-2</v>
      </c>
    </row>
    <row r="34" spans="1:12" x14ac:dyDescent="0.2">
      <c r="B34" s="263">
        <v>23</v>
      </c>
      <c r="C34" s="264">
        <f t="shared" si="2"/>
        <v>2600</v>
      </c>
      <c r="D34" s="265">
        <f t="shared" si="3"/>
        <v>17.16</v>
      </c>
      <c r="E34" s="266">
        <f t="shared" si="4"/>
        <v>253.929</v>
      </c>
      <c r="F34" s="267">
        <f t="shared" si="5"/>
        <v>271.089</v>
      </c>
      <c r="G34" s="268">
        <f t="shared" si="6"/>
        <v>21.09</v>
      </c>
      <c r="H34" s="266">
        <f t="shared" si="7"/>
        <v>253.929</v>
      </c>
      <c r="I34" s="269">
        <f t="shared" si="8"/>
        <v>275.01900000000001</v>
      </c>
      <c r="J34" s="270">
        <f t="shared" si="0"/>
        <v>3.9300000000000068</v>
      </c>
      <c r="K34" s="271">
        <f t="shared" si="1"/>
        <v>1.4497083983488843E-2</v>
      </c>
    </row>
    <row r="35" spans="1:12" x14ac:dyDescent="0.2">
      <c r="B35" s="263">
        <v>24</v>
      </c>
      <c r="C35" s="264">
        <f t="shared" si="2"/>
        <v>2700</v>
      </c>
      <c r="D35" s="265">
        <f t="shared" si="3"/>
        <v>17.16</v>
      </c>
      <c r="E35" s="266">
        <f t="shared" si="4"/>
        <v>263.69549999999998</v>
      </c>
      <c r="F35" s="267">
        <f t="shared" si="5"/>
        <v>280.85550000000001</v>
      </c>
      <c r="G35" s="268">
        <f t="shared" si="6"/>
        <v>21.09</v>
      </c>
      <c r="H35" s="266">
        <f t="shared" si="7"/>
        <v>263.69549999999998</v>
      </c>
      <c r="I35" s="269">
        <f t="shared" si="8"/>
        <v>284.78549999999996</v>
      </c>
      <c r="J35" s="270">
        <f t="shared" si="0"/>
        <v>3.92999999999995</v>
      </c>
      <c r="K35" s="271">
        <f t="shared" si="1"/>
        <v>1.3992960793005478E-2</v>
      </c>
    </row>
    <row r="36" spans="1:12" x14ac:dyDescent="0.2">
      <c r="B36" s="263">
        <v>25</v>
      </c>
      <c r="C36" s="264">
        <f t="shared" si="2"/>
        <v>2800</v>
      </c>
      <c r="D36" s="265">
        <f t="shared" si="3"/>
        <v>17.16</v>
      </c>
      <c r="E36" s="266">
        <f t="shared" si="4"/>
        <v>273.46199999999999</v>
      </c>
      <c r="F36" s="267">
        <f t="shared" si="5"/>
        <v>290.62200000000001</v>
      </c>
      <c r="G36" s="268">
        <f t="shared" si="6"/>
        <v>21.09</v>
      </c>
      <c r="H36" s="266">
        <f t="shared" si="7"/>
        <v>273.46199999999999</v>
      </c>
      <c r="I36" s="269">
        <f t="shared" si="8"/>
        <v>294.55199999999996</v>
      </c>
      <c r="J36" s="270">
        <f t="shared" si="0"/>
        <v>3.92999999999995</v>
      </c>
      <c r="K36" s="271">
        <f t="shared" si="1"/>
        <v>1.352272023453128E-2</v>
      </c>
    </row>
    <row r="37" spans="1:12" x14ac:dyDescent="0.2">
      <c r="B37" s="263">
        <v>26</v>
      </c>
      <c r="C37" s="264">
        <f t="shared" si="2"/>
        <v>2900</v>
      </c>
      <c r="D37" s="265">
        <f t="shared" si="3"/>
        <v>17.16</v>
      </c>
      <c r="E37" s="266">
        <f t="shared" si="4"/>
        <v>283.2285</v>
      </c>
      <c r="F37" s="267">
        <f t="shared" si="5"/>
        <v>300.38850000000002</v>
      </c>
      <c r="G37" s="268">
        <f t="shared" si="6"/>
        <v>21.09</v>
      </c>
      <c r="H37" s="266">
        <f t="shared" si="7"/>
        <v>283.2285</v>
      </c>
      <c r="I37" s="269">
        <f t="shared" si="8"/>
        <v>304.31849999999997</v>
      </c>
      <c r="J37" s="270">
        <f t="shared" si="0"/>
        <v>3.92999999999995</v>
      </c>
      <c r="K37" s="271">
        <f t="shared" si="1"/>
        <v>1.3083057440614236E-2</v>
      </c>
    </row>
    <row r="38" spans="1:12" ht="13.5" thickBot="1" x14ac:dyDescent="0.25">
      <c r="B38" s="272">
        <v>27</v>
      </c>
      <c r="C38" s="273">
        <f t="shared" si="2"/>
        <v>3000</v>
      </c>
      <c r="D38" s="274">
        <f t="shared" si="3"/>
        <v>17.16</v>
      </c>
      <c r="E38" s="275">
        <f t="shared" si="4"/>
        <v>292.995</v>
      </c>
      <c r="F38" s="276">
        <f t="shared" si="5"/>
        <v>310.15500000000003</v>
      </c>
      <c r="G38" s="277">
        <f t="shared" si="6"/>
        <v>21.09</v>
      </c>
      <c r="H38" s="275">
        <f t="shared" si="7"/>
        <v>292.995</v>
      </c>
      <c r="I38" s="278">
        <f t="shared" si="8"/>
        <v>314.08499999999998</v>
      </c>
      <c r="J38" s="279">
        <f t="shared" si="0"/>
        <v>3.92999999999995</v>
      </c>
      <c r="K38" s="280">
        <f t="shared" si="1"/>
        <v>1.2671083812932081E-2</v>
      </c>
    </row>
    <row r="39" spans="1:12" ht="14.25" thickTop="1" thickBot="1" x14ac:dyDescent="0.25">
      <c r="A39" s="281"/>
      <c r="B39" s="282" t="s">
        <v>161</v>
      </c>
      <c r="C39" s="283">
        <v>1111</v>
      </c>
      <c r="D39" s="284">
        <f t="shared" si="3"/>
        <v>17.16</v>
      </c>
      <c r="E39" s="285">
        <f t="shared" si="4"/>
        <v>108.505815</v>
      </c>
      <c r="F39" s="286">
        <f t="shared" si="5"/>
        <v>125.66581499999999</v>
      </c>
      <c r="G39" s="287">
        <f t="shared" si="6"/>
        <v>21.09</v>
      </c>
      <c r="H39" s="285">
        <f t="shared" si="7"/>
        <v>108.505815</v>
      </c>
      <c r="I39" s="288">
        <f t="shared" si="8"/>
        <v>129.59581499999999</v>
      </c>
      <c r="J39" s="289">
        <f t="shared" si="0"/>
        <v>3.9299999999999926</v>
      </c>
      <c r="K39" s="290">
        <f t="shared" si="1"/>
        <v>3.1273421494938725E-2</v>
      </c>
      <c r="L39" s="281"/>
    </row>
    <row r="40" spans="1:12" ht="13.5" thickTop="1" x14ac:dyDescent="0.2"/>
  </sheetData>
  <mergeCells count="3">
    <mergeCell ref="D5:F5"/>
    <mergeCell ref="G5:I5"/>
    <mergeCell ref="J5:K5"/>
  </mergeCells>
  <pageMargins left="0.7" right="0.7" top="0.75" bottom="0.75" header="0.3" footer="0.3"/>
  <pageSetup paperSize="9" scale="9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36"/>
  <sheetViews>
    <sheetView topLeftCell="A7" zoomScaleNormal="100" workbookViewId="0">
      <selection activeCell="D27" sqref="D27"/>
    </sheetView>
  </sheetViews>
  <sheetFormatPr defaultRowHeight="12.75" x14ac:dyDescent="0.2"/>
  <cols>
    <col min="1" max="2" width="2.7109375" style="302" customWidth="1"/>
    <col min="3" max="3" width="37.5703125" style="302" bestFit="1" customWidth="1"/>
    <col min="4" max="4" width="13.5703125" style="302" customWidth="1"/>
    <col min="5" max="6" width="14" style="302" bestFit="1" customWidth="1"/>
    <col min="7" max="7" width="9.140625" style="302"/>
    <col min="8" max="8" width="37" bestFit="1" customWidth="1"/>
  </cols>
  <sheetData>
    <row r="1" spans="1:7" ht="18.75" x14ac:dyDescent="0.3">
      <c r="A1" s="133" t="str">
        <f>'Present and Proposed Rates'!A1</f>
        <v>MEADE COUNTY RECC</v>
      </c>
      <c r="B1" s="291"/>
      <c r="C1" s="291"/>
      <c r="D1" s="291"/>
      <c r="E1" s="291"/>
      <c r="F1" s="291"/>
      <c r="G1" s="291"/>
    </row>
    <row r="2" spans="1:7" x14ac:dyDescent="0.2">
      <c r="A2" s="292"/>
      <c r="B2" s="291"/>
      <c r="C2" s="291"/>
      <c r="D2" s="291"/>
      <c r="E2" s="291"/>
      <c r="F2" s="291"/>
      <c r="G2" s="291"/>
    </row>
    <row r="3" spans="1:7" x14ac:dyDescent="0.2">
      <c r="A3" s="292" t="s">
        <v>162</v>
      </c>
      <c r="B3" s="291"/>
      <c r="C3" s="291"/>
      <c r="D3" s="291"/>
      <c r="E3" s="291"/>
      <c r="F3" s="291"/>
      <c r="G3" s="291"/>
    </row>
    <row r="4" spans="1:7" x14ac:dyDescent="0.2">
      <c r="A4" s="291"/>
      <c r="B4" s="291"/>
      <c r="C4" s="291"/>
      <c r="D4" s="291"/>
      <c r="E4" s="291"/>
      <c r="F4" s="291"/>
      <c r="G4" s="291"/>
    </row>
    <row r="5" spans="1:7" x14ac:dyDescent="0.2">
      <c r="A5" s="291"/>
      <c r="B5" s="291"/>
      <c r="C5" s="291"/>
      <c r="D5" s="291"/>
      <c r="E5" s="413" t="s">
        <v>147</v>
      </c>
      <c r="F5" s="413"/>
      <c r="G5" s="291"/>
    </row>
    <row r="6" spans="1:7" x14ac:dyDescent="0.2">
      <c r="A6" s="291"/>
      <c r="B6" s="293" t="s">
        <v>55</v>
      </c>
      <c r="C6" s="291"/>
      <c r="D6" s="294" t="s">
        <v>62</v>
      </c>
      <c r="E6" s="295" t="s">
        <v>57</v>
      </c>
      <c r="F6" s="295" t="s">
        <v>59</v>
      </c>
      <c r="G6" s="291"/>
    </row>
    <row r="7" spans="1:7" x14ac:dyDescent="0.2">
      <c r="A7" s="291"/>
      <c r="B7" s="296" t="s">
        <v>30</v>
      </c>
      <c r="C7" s="291"/>
      <c r="D7" s="379" t="s">
        <v>235</v>
      </c>
      <c r="E7" s="291"/>
      <c r="F7" s="291"/>
      <c r="G7" s="291"/>
    </row>
    <row r="8" spans="1:7" x14ac:dyDescent="0.2">
      <c r="A8" s="291"/>
      <c r="B8" s="296"/>
      <c r="C8" s="298" t="s">
        <v>171</v>
      </c>
      <c r="D8" s="298"/>
      <c r="E8" s="367">
        <f>'Present and Proposed Rates'!F10</f>
        <v>0.57199999999999995</v>
      </c>
      <c r="F8" s="367">
        <f>'Present and Proposed Rates'!G10</f>
        <v>0.70299999999999996</v>
      </c>
      <c r="G8" s="291"/>
    </row>
    <row r="9" spans="1:7" x14ac:dyDescent="0.2">
      <c r="A9" s="291"/>
      <c r="B9" s="299"/>
      <c r="C9" s="298" t="s">
        <v>163</v>
      </c>
      <c r="D9" s="298"/>
      <c r="E9" s="300">
        <f>'Present and Proposed Rates'!F11</f>
        <v>9.7665000000000002E-2</v>
      </c>
      <c r="F9" s="300">
        <f>'Present and Proposed Rates'!G11</f>
        <v>9.7665000000000002E-2</v>
      </c>
      <c r="G9" s="291"/>
    </row>
    <row r="10" spans="1:7" x14ac:dyDescent="0.2">
      <c r="A10" s="291"/>
      <c r="B10" s="299"/>
      <c r="C10" s="298"/>
      <c r="D10" s="298"/>
      <c r="E10" s="300"/>
      <c r="F10" s="300"/>
      <c r="G10" s="291"/>
    </row>
    <row r="11" spans="1:7" x14ac:dyDescent="0.2">
      <c r="A11" s="291"/>
      <c r="B11" s="296" t="s">
        <v>174</v>
      </c>
      <c r="C11" s="291"/>
      <c r="D11" s="297"/>
      <c r="E11" s="291"/>
      <c r="F11" s="242"/>
      <c r="G11" s="291"/>
    </row>
    <row r="12" spans="1:7" x14ac:dyDescent="0.2">
      <c r="A12" s="291"/>
      <c r="C12" s="374"/>
      <c r="D12" s="374"/>
      <c r="E12" s="374"/>
      <c r="G12" s="291"/>
    </row>
    <row r="13" spans="1:7" ht="39.75" customHeight="1" x14ac:dyDescent="0.2">
      <c r="A13" s="291"/>
      <c r="C13" s="414" t="s">
        <v>164</v>
      </c>
      <c r="D13" s="414"/>
      <c r="E13" s="414"/>
      <c r="G13" s="291"/>
    </row>
    <row r="14" spans="1:7" x14ac:dyDescent="0.2">
      <c r="A14" s="291"/>
      <c r="C14" s="303"/>
      <c r="D14" s="303"/>
      <c r="E14" s="303"/>
      <c r="G14" s="291"/>
    </row>
    <row r="15" spans="1:7" x14ac:dyDescent="0.2">
      <c r="D15" s="415" t="s">
        <v>60</v>
      </c>
      <c r="E15" s="415"/>
    </row>
    <row r="16" spans="1:7" x14ac:dyDescent="0.2">
      <c r="C16" s="293" t="s">
        <v>55</v>
      </c>
      <c r="D16" s="304" t="s">
        <v>165</v>
      </c>
      <c r="E16" s="304" t="s">
        <v>166</v>
      </c>
    </row>
    <row r="17" spans="3:7" x14ac:dyDescent="0.2">
      <c r="C17" s="242" t="str">
        <f>List!B5</f>
        <v>Residential</v>
      </c>
      <c r="D17" s="305">
        <f>'Present and Proposed Rates'!N10</f>
        <v>1404525.1916666627</v>
      </c>
      <c r="E17" s="371">
        <f>'Present and Proposed Rates'!O10</f>
        <v>3.5174933035365931E-2</v>
      </c>
    </row>
    <row r="18" spans="3:7" x14ac:dyDescent="0.2">
      <c r="C18" s="242" t="str">
        <f>List!B6</f>
        <v>Small Comm</v>
      </c>
      <c r="D18" s="305">
        <f>'Present and Proposed Rates'!N13</f>
        <v>0</v>
      </c>
      <c r="E18" s="377">
        <f>'Present and Proposed Rates'!O13</f>
        <v>0</v>
      </c>
    </row>
    <row r="19" spans="3:7" x14ac:dyDescent="0.2">
      <c r="C19" s="242" t="str">
        <f>List!B7</f>
        <v>3 Phase</v>
      </c>
      <c r="D19" s="305">
        <f>'Present and Proposed Rates'!N16</f>
        <v>0</v>
      </c>
      <c r="E19" s="377">
        <f>'Present and Proposed Rates'!O16</f>
        <v>0</v>
      </c>
    </row>
    <row r="20" spans="3:7" x14ac:dyDescent="0.2">
      <c r="C20" s="242" t="str">
        <f>List!B8</f>
        <v>3 Ph 0-999 KVA TOD</v>
      </c>
      <c r="D20" s="305">
        <f>'Present and Proposed Rates'!N22</f>
        <v>0</v>
      </c>
      <c r="E20" s="377">
        <f>'Present and Proposed Rates'!O22</f>
        <v>0</v>
      </c>
    </row>
    <row r="21" spans="3:7" x14ac:dyDescent="0.2">
      <c r="C21" s="242" t="str">
        <f>List!B9</f>
        <v>Large 1000 KVA TOD</v>
      </c>
      <c r="D21" s="305">
        <f>'Present and Proposed Rates'!N26</f>
        <v>0</v>
      </c>
      <c r="E21" s="377">
        <f>'Present and Proposed Rates'!O26</f>
        <v>0</v>
      </c>
    </row>
    <row r="22" spans="3:7" x14ac:dyDescent="0.2">
      <c r="C22" s="242" t="str">
        <f>List!B10</f>
        <v>Private Outdoor Lighting</v>
      </c>
      <c r="D22" s="305">
        <f>'Present and Proposed Rates'!N32</f>
        <v>0</v>
      </c>
      <c r="E22" s="377">
        <f>'Present and Proposed Rates'!O32</f>
        <v>0</v>
      </c>
    </row>
    <row r="23" spans="3:7" x14ac:dyDescent="0.2">
      <c r="C23" s="242" t="str">
        <f>List!B11</f>
        <v>Street &amp; Hwy Lights</v>
      </c>
      <c r="D23" s="305">
        <f>'Present and Proposed Rates'!N38</f>
        <v>0</v>
      </c>
      <c r="E23" s="377">
        <f>'Present and Proposed Rates'!O38</f>
        <v>0</v>
      </c>
    </row>
    <row r="24" spans="3:7" x14ac:dyDescent="0.2">
      <c r="C24" s="307" t="s">
        <v>86</v>
      </c>
      <c r="D24" s="308">
        <f>'Present and Proposed Rates'!N41</f>
        <v>1404525.1916666627</v>
      </c>
      <c r="E24" s="372">
        <f>'Present and Proposed Rates'!O41</f>
        <v>2.6001671555926475E-2</v>
      </c>
      <c r="G24" s="306"/>
    </row>
    <row r="25" spans="3:7" x14ac:dyDescent="0.2">
      <c r="G25" s="306"/>
    </row>
    <row r="26" spans="3:7" ht="39" customHeight="1" x14ac:dyDescent="0.2">
      <c r="C26" s="414" t="s">
        <v>167</v>
      </c>
      <c r="D26" s="414"/>
      <c r="E26" s="414"/>
      <c r="F26" s="414"/>
      <c r="G26" s="306"/>
    </row>
    <row r="27" spans="3:7" x14ac:dyDescent="0.2">
      <c r="D27" s="309" t="s">
        <v>168</v>
      </c>
      <c r="E27" s="415" t="s">
        <v>60</v>
      </c>
      <c r="F27" s="415"/>
      <c r="G27" s="306"/>
    </row>
    <row r="28" spans="3:7" x14ac:dyDescent="0.2">
      <c r="C28" s="293" t="s">
        <v>55</v>
      </c>
      <c r="D28" s="310" t="s">
        <v>169</v>
      </c>
      <c r="E28" s="304" t="s">
        <v>165</v>
      </c>
      <c r="F28" s="304" t="s">
        <v>166</v>
      </c>
      <c r="G28" s="306"/>
    </row>
    <row r="29" spans="3:7" x14ac:dyDescent="0.2">
      <c r="C29" s="242" t="str">
        <f>List!B5</f>
        <v>Residential</v>
      </c>
      <c r="D29" s="311">
        <f>'Res-1'!D38</f>
        <v>1006.0091762979711</v>
      </c>
      <c r="E29" s="306">
        <f>'Present and Proposed Rates'!P10</f>
        <v>4.2229166666666549</v>
      </c>
      <c r="F29" s="373">
        <f>'Present and Proposed Rates'!O10</f>
        <v>3.5174933035365931E-2</v>
      </c>
    </row>
    <row r="30" spans="3:7" x14ac:dyDescent="0.2">
      <c r="C30" s="242" t="str">
        <f>List!B6</f>
        <v>Small Comm</v>
      </c>
      <c r="D30" s="311">
        <f>'SmCom-2'!D38</f>
        <v>1204.7643740188382</v>
      </c>
      <c r="E30" s="305">
        <f>'Present and Proposed Rates'!P13</f>
        <v>0</v>
      </c>
      <c r="F30" s="378">
        <f>'Present and Proposed Rates'!O13</f>
        <v>0</v>
      </c>
    </row>
    <row r="31" spans="3:7" x14ac:dyDescent="0.2">
      <c r="C31" s="242" t="str">
        <f>List!B7</f>
        <v>3 Phase</v>
      </c>
      <c r="D31" s="311">
        <f>'3Ph-3'!D43</f>
        <v>15312.042875157629</v>
      </c>
      <c r="E31" s="305">
        <f>'Present and Proposed Rates'!P16</f>
        <v>0</v>
      </c>
      <c r="F31" s="378">
        <f>'Present and Proposed Rates'!O16</f>
        <v>0</v>
      </c>
    </row>
    <row r="32" spans="3:7" x14ac:dyDescent="0.2">
      <c r="C32" s="242" t="str">
        <f>List!B8</f>
        <v>3 Ph 0-999 KVA TOD</v>
      </c>
      <c r="D32" s="311">
        <f>'3PhTOD-3A'!D41</f>
        <v>12863.173076923076</v>
      </c>
      <c r="E32" s="305">
        <f>'Present and Proposed Rates'!P22</f>
        <v>0</v>
      </c>
      <c r="F32" s="378">
        <f>'Present and Proposed Rates'!O22</f>
        <v>0</v>
      </c>
    </row>
    <row r="33" spans="3:6" x14ac:dyDescent="0.2">
      <c r="C33" s="242" t="str">
        <f>List!B9</f>
        <v>Large 1000 KVA TOD</v>
      </c>
      <c r="D33" s="311">
        <f>'LgTOD-4'!D45</f>
        <v>15477.412037037036</v>
      </c>
      <c r="E33" s="305">
        <f>'Present and Proposed Rates'!P26</f>
        <v>0</v>
      </c>
      <c r="F33" s="378">
        <f>'Present and Proposed Rates'!O26</f>
        <v>0</v>
      </c>
    </row>
    <row r="34" spans="3:6" x14ac:dyDescent="0.2">
      <c r="C34" s="242" t="str">
        <f>List!B10</f>
        <v>Private Outdoor Lighting</v>
      </c>
      <c r="D34" s="316" t="s">
        <v>170</v>
      </c>
      <c r="E34" s="305">
        <f>'Present and Proposed Rates'!P32</f>
        <v>0</v>
      </c>
      <c r="F34" s="378">
        <f>'Present and Proposed Rates'!O32</f>
        <v>0</v>
      </c>
    </row>
    <row r="35" spans="3:6" x14ac:dyDescent="0.2">
      <c r="C35" s="242" t="str">
        <f>List!B11</f>
        <v>Street &amp; Hwy Lights</v>
      </c>
      <c r="D35" s="316" t="s">
        <v>170</v>
      </c>
      <c r="E35" s="305">
        <f>'Present and Proposed Rates'!P38</f>
        <v>0</v>
      </c>
      <c r="F35" s="378">
        <f>'Present and Proposed Rates'!O38</f>
        <v>0</v>
      </c>
    </row>
    <row r="36" spans="3:6" x14ac:dyDescent="0.2">
      <c r="C36" s="307" t="s">
        <v>86</v>
      </c>
      <c r="D36" s="317" t="s">
        <v>170</v>
      </c>
      <c r="E36" s="317" t="s">
        <v>170</v>
      </c>
      <c r="F36" s="372">
        <f>'Present and Proposed Rates'!O41</f>
        <v>2.6001671555926475E-2</v>
      </c>
    </row>
  </sheetData>
  <mergeCells count="5">
    <mergeCell ref="E5:F5"/>
    <mergeCell ref="C13:E13"/>
    <mergeCell ref="D15:E15"/>
    <mergeCell ref="C26:F26"/>
    <mergeCell ref="E27:F27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60"/>
  <sheetViews>
    <sheetView zoomScaleNormal="100" workbookViewId="0">
      <selection activeCell="D27" sqref="D27"/>
    </sheetView>
  </sheetViews>
  <sheetFormatPr defaultRowHeight="12.75" x14ac:dyDescent="0.2"/>
  <cols>
    <col min="1" max="2" width="2.7109375" style="302" customWidth="1"/>
    <col min="3" max="3" width="64.7109375" style="302" customWidth="1"/>
    <col min="4" max="4" width="13.42578125" style="302" customWidth="1"/>
    <col min="5" max="6" width="14" style="302" bestFit="1" customWidth="1"/>
    <col min="7" max="7" width="9.140625" style="302"/>
    <col min="8" max="8" width="37" bestFit="1" customWidth="1"/>
  </cols>
  <sheetData>
    <row r="1" spans="1:7" ht="18.75" x14ac:dyDescent="0.3">
      <c r="A1" s="133" t="str">
        <f>'Present and Proposed Rates'!A1</f>
        <v>MEADE COUNTY RECC</v>
      </c>
      <c r="B1" s="291"/>
      <c r="C1" s="291"/>
      <c r="D1" s="291"/>
      <c r="E1" s="291"/>
      <c r="F1" s="291"/>
      <c r="G1" s="291"/>
    </row>
    <row r="2" spans="1:7" x14ac:dyDescent="0.2">
      <c r="A2" s="292"/>
      <c r="B2" s="291"/>
      <c r="C2" s="291"/>
      <c r="D2" s="291"/>
      <c r="E2" s="291"/>
      <c r="F2" s="291"/>
      <c r="G2" s="291"/>
    </row>
    <row r="3" spans="1:7" x14ac:dyDescent="0.2">
      <c r="A3" s="292" t="s">
        <v>162</v>
      </c>
      <c r="B3" s="291"/>
      <c r="C3" s="291"/>
      <c r="D3" s="291"/>
      <c r="E3" s="291"/>
      <c r="F3" s="291"/>
      <c r="G3" s="291"/>
    </row>
    <row r="4" spans="1:7" x14ac:dyDescent="0.2">
      <c r="A4" s="291"/>
      <c r="B4" s="291"/>
      <c r="C4" s="291"/>
      <c r="D4" s="291"/>
      <c r="E4" s="291"/>
      <c r="F4" s="291"/>
      <c r="G4" s="291"/>
    </row>
    <row r="5" spans="1:7" x14ac:dyDescent="0.2">
      <c r="A5" s="291"/>
      <c r="B5" s="291"/>
      <c r="C5" s="291"/>
      <c r="D5" s="291"/>
      <c r="E5" s="413" t="s">
        <v>147</v>
      </c>
      <c r="F5" s="413"/>
      <c r="G5" s="291"/>
    </row>
    <row r="6" spans="1:7" x14ac:dyDescent="0.2">
      <c r="A6" s="291"/>
      <c r="B6" s="293" t="s">
        <v>55</v>
      </c>
      <c r="C6" s="291"/>
      <c r="D6" s="294" t="s">
        <v>249</v>
      </c>
      <c r="E6" s="295" t="s">
        <v>57</v>
      </c>
      <c r="F6" s="295" t="s">
        <v>59</v>
      </c>
      <c r="G6" s="291"/>
    </row>
    <row r="7" spans="1:7" x14ac:dyDescent="0.2">
      <c r="A7" s="291"/>
      <c r="B7" s="296" t="s">
        <v>236</v>
      </c>
      <c r="C7" s="291"/>
      <c r="D7" s="379">
        <v>1</v>
      </c>
      <c r="E7" s="291"/>
      <c r="F7" s="291"/>
      <c r="G7" s="291"/>
    </row>
    <row r="8" spans="1:7" x14ac:dyDescent="0.2">
      <c r="A8" s="291"/>
      <c r="B8" s="296"/>
      <c r="C8" s="298" t="s">
        <v>171</v>
      </c>
      <c r="D8" s="298"/>
      <c r="E8" s="367">
        <f>'Present and Proposed Rates'!F10</f>
        <v>0.57199999999999995</v>
      </c>
      <c r="F8" s="367">
        <f>'Present and Proposed Rates'!G10</f>
        <v>0.70299999999999996</v>
      </c>
      <c r="G8" s="291"/>
    </row>
    <row r="9" spans="1:7" x14ac:dyDescent="0.2">
      <c r="A9" s="291"/>
      <c r="B9" s="299"/>
      <c r="C9" s="298" t="s">
        <v>163</v>
      </c>
      <c r="D9" s="298"/>
      <c r="E9" s="391">
        <f>'Present and Proposed Rates'!F11</f>
        <v>9.7665000000000002E-2</v>
      </c>
      <c r="F9" s="391">
        <f>'Present and Proposed Rates'!G11</f>
        <v>9.7665000000000002E-2</v>
      </c>
      <c r="G9" s="291"/>
    </row>
    <row r="10" spans="1:7" x14ac:dyDescent="0.2">
      <c r="B10" s="296" t="s">
        <v>237</v>
      </c>
      <c r="D10" s="389">
        <v>2</v>
      </c>
    </row>
    <row r="11" spans="1:7" x14ac:dyDescent="0.2">
      <c r="C11" s="298" t="s">
        <v>171</v>
      </c>
      <c r="E11" s="367">
        <f>'Present and Proposed Rates'!F13</f>
        <v>0.81599999999999995</v>
      </c>
      <c r="F11" s="367">
        <f>'Present and Proposed Rates'!G13</f>
        <v>0.81599999999999995</v>
      </c>
    </row>
    <row r="12" spans="1:7" x14ac:dyDescent="0.2">
      <c r="C12" s="298" t="s">
        <v>163</v>
      </c>
      <c r="E12" s="391">
        <f>'Present and Proposed Rates'!F14</f>
        <v>0.104294</v>
      </c>
      <c r="F12" s="391">
        <f>'Present and Proposed Rates'!G14</f>
        <v>0.104294</v>
      </c>
    </row>
    <row r="13" spans="1:7" x14ac:dyDescent="0.2">
      <c r="B13" s="296" t="s">
        <v>238</v>
      </c>
      <c r="D13" s="389">
        <v>3</v>
      </c>
    </row>
    <row r="14" spans="1:7" x14ac:dyDescent="0.2">
      <c r="C14" s="302" t="str">
        <f>'Present and Proposed Rates'!C16</f>
        <v>Customer Charge (per day)(0-100 KVA)</v>
      </c>
      <c r="E14" s="367">
        <f>'Present and Proposed Rates'!F16</f>
        <v>1.786</v>
      </c>
      <c r="F14" s="367">
        <f>'Present and Proposed Rates'!G16</f>
        <v>1.786</v>
      </c>
    </row>
    <row r="15" spans="1:7" x14ac:dyDescent="0.2">
      <c r="C15" s="302" t="str">
        <f>'Present and Proposed Rates'!C17</f>
        <v>Customer Charge (per day)(101-1,000 KVA)</v>
      </c>
      <c r="E15" s="367">
        <f>'Present and Proposed Rates'!F17</f>
        <v>3.1179999999999999</v>
      </c>
      <c r="F15" s="367">
        <f>'Present and Proposed Rates'!G17</f>
        <v>3.1179999999999999</v>
      </c>
    </row>
    <row r="16" spans="1:7" x14ac:dyDescent="0.2">
      <c r="C16" s="302" t="str">
        <f>'Present and Proposed Rates'!C18</f>
        <v>Customer Charge (per day)(Over 1,000 KVA)</v>
      </c>
      <c r="E16" s="367">
        <f>'Present and Proposed Rates'!F18</f>
        <v>4.45</v>
      </c>
      <c r="F16" s="367">
        <f>'Present and Proposed Rates'!G18</f>
        <v>4.45</v>
      </c>
    </row>
    <row r="17" spans="2:6" x14ac:dyDescent="0.2">
      <c r="C17" s="302" t="str">
        <f>'Present and Proposed Rates'!C19</f>
        <v>Energy Charge (per kWh)</v>
      </c>
      <c r="E17" s="391">
        <f>'Present and Proposed Rates'!F19</f>
        <v>6.5794000000000005E-2</v>
      </c>
      <c r="F17" s="391">
        <f>'Present and Proposed Rates'!G19</f>
        <v>6.5794000000000005E-2</v>
      </c>
    </row>
    <row r="18" spans="2:6" x14ac:dyDescent="0.2">
      <c r="C18" s="302" t="str">
        <f>'Present and Proposed Rates'!C20</f>
        <v>Demand Charge (per kW)</v>
      </c>
      <c r="E18" s="390">
        <f>'Present and Proposed Rates'!F20</f>
        <v>11</v>
      </c>
      <c r="F18" s="390">
        <f>'Present and Proposed Rates'!G20</f>
        <v>11</v>
      </c>
    </row>
    <row r="19" spans="2:6" x14ac:dyDescent="0.2">
      <c r="B19" s="296" t="s">
        <v>239</v>
      </c>
      <c r="D19" s="389" t="s">
        <v>110</v>
      </c>
    </row>
    <row r="20" spans="2:6" x14ac:dyDescent="0.2">
      <c r="C20" s="302" t="str">
        <f>'Present and Proposed Rates'!C22</f>
        <v>Customer Charge (per day)</v>
      </c>
      <c r="E20" s="367">
        <f>'Present and Proposed Rates'!F22</f>
        <v>2.641</v>
      </c>
      <c r="F20" s="367">
        <f>'Present and Proposed Rates'!G22</f>
        <v>2.641</v>
      </c>
    </row>
    <row r="21" spans="2:6" x14ac:dyDescent="0.2">
      <c r="C21" s="302" t="str">
        <f>'Present and Proposed Rates'!C23</f>
        <v>Energy Charge (per kWh)</v>
      </c>
      <c r="E21" s="391">
        <f>'Present and Proposed Rates'!F23</f>
        <v>6.5794000000000005E-2</v>
      </c>
      <c r="F21" s="391">
        <f>'Present and Proposed Rates'!G23</f>
        <v>6.5794000000000005E-2</v>
      </c>
    </row>
    <row r="22" spans="2:6" x14ac:dyDescent="0.2">
      <c r="C22" s="302" t="str">
        <f>'Present and Proposed Rates'!C24</f>
        <v>Demand Charge (per kW)</v>
      </c>
      <c r="E22" s="390">
        <f>'Present and Proposed Rates'!F24</f>
        <v>11</v>
      </c>
      <c r="F22" s="390">
        <f>'Present and Proposed Rates'!G24</f>
        <v>11</v>
      </c>
    </row>
    <row r="23" spans="2:6" x14ac:dyDescent="0.2">
      <c r="B23" s="296" t="s">
        <v>240</v>
      </c>
      <c r="D23" s="389">
        <v>4</v>
      </c>
    </row>
    <row r="24" spans="2:6" x14ac:dyDescent="0.2">
      <c r="C24" s="302" t="str">
        <f>'Present and Proposed Rates'!C26</f>
        <v>Customer Charge (Utility XF)</v>
      </c>
      <c r="E24" s="390">
        <f>'Present and Proposed Rates'!F26</f>
        <v>805.93</v>
      </c>
      <c r="F24" s="390">
        <f>'Present and Proposed Rates'!G26</f>
        <v>805.93</v>
      </c>
    </row>
    <row r="25" spans="2:6" x14ac:dyDescent="0.2">
      <c r="C25" s="302" t="str">
        <f>'Present and Proposed Rates'!C27</f>
        <v>Custoner Charge(Customer XF)</v>
      </c>
      <c r="E25" s="390">
        <f>'Present and Proposed Rates'!F27</f>
        <v>142.22999999999999</v>
      </c>
      <c r="F25" s="390">
        <f>'Present and Proposed Rates'!G27</f>
        <v>142.22999999999999</v>
      </c>
    </row>
    <row r="26" spans="2:6" x14ac:dyDescent="0.2">
      <c r="C26" s="302" t="str">
        <f>'Present and Proposed Rates'!C28</f>
        <v>Energy Charge (per kWh)(First 300 kWh/kW)</v>
      </c>
      <c r="E26" s="391">
        <f>'Present and Proposed Rates'!F28</f>
        <v>6.0553000000000003E-2</v>
      </c>
      <c r="F26" s="391">
        <f>'Present and Proposed Rates'!G28</f>
        <v>6.0553000000000003E-2</v>
      </c>
    </row>
    <row r="27" spans="2:6" x14ac:dyDescent="0.2">
      <c r="C27" s="302" t="str">
        <f>'Present and Proposed Rates'!C29</f>
        <v>Energy Charge (per kWh)(All remaining kWh)</v>
      </c>
      <c r="E27" s="391">
        <f>'Present and Proposed Rates'!F29</f>
        <v>5.2130000000000003E-2</v>
      </c>
      <c r="F27" s="391">
        <f>'Present and Proposed Rates'!G29</f>
        <v>5.2130000000000003E-2</v>
      </c>
    </row>
    <row r="28" spans="2:6" x14ac:dyDescent="0.2">
      <c r="C28" s="302" t="str">
        <f>'Present and Proposed Rates'!C30</f>
        <v>Demand Charge (per kW)</v>
      </c>
      <c r="E28" s="390">
        <f>'Present and Proposed Rates'!F30</f>
        <v>10.5</v>
      </c>
      <c r="F28" s="390">
        <f>'Present and Proposed Rates'!G30</f>
        <v>10.5</v>
      </c>
    </row>
    <row r="29" spans="2:6" x14ac:dyDescent="0.2">
      <c r="B29" s="296" t="s">
        <v>241</v>
      </c>
      <c r="D29" s="389">
        <v>5</v>
      </c>
      <c r="E29" s="392"/>
      <c r="F29" s="392"/>
    </row>
    <row r="30" spans="2:6" x14ac:dyDescent="0.2">
      <c r="C30" s="302" t="s">
        <v>242</v>
      </c>
      <c r="D30" s="389"/>
      <c r="E30" s="390">
        <f>'YL-5'!F14</f>
        <v>10.93</v>
      </c>
      <c r="F30" s="390">
        <f>'YL-5'!O14</f>
        <v>10.93</v>
      </c>
    </row>
    <row r="31" spans="2:6" x14ac:dyDescent="0.2">
      <c r="C31" s="302" t="s">
        <v>243</v>
      </c>
      <c r="D31" s="389"/>
      <c r="E31" s="390">
        <f>'YL-5'!F15</f>
        <v>4.7699999999999996</v>
      </c>
      <c r="F31" s="390">
        <f>'YL-5'!O15</f>
        <v>4.7699999999999996</v>
      </c>
    </row>
    <row r="32" spans="2:6" x14ac:dyDescent="0.2">
      <c r="C32" s="302" t="s">
        <v>244</v>
      </c>
      <c r="D32" s="389"/>
      <c r="E32" s="390">
        <f>'YL-5'!F16</f>
        <v>16.420000000000002</v>
      </c>
      <c r="F32" s="390">
        <f>'YL-5'!O16</f>
        <v>16.420000000000002</v>
      </c>
    </row>
    <row r="33" spans="1:7" x14ac:dyDescent="0.2">
      <c r="C33" s="302" t="s">
        <v>245</v>
      </c>
      <c r="D33" s="389"/>
      <c r="E33" s="390">
        <f>'YL-5'!F17</f>
        <v>4.7699999999999996</v>
      </c>
      <c r="F33" s="390">
        <f>'YL-5'!O17</f>
        <v>4.7699999999999996</v>
      </c>
    </row>
    <row r="34" spans="1:7" x14ac:dyDescent="0.2">
      <c r="B34" s="296" t="s">
        <v>246</v>
      </c>
      <c r="D34" s="389">
        <v>6</v>
      </c>
    </row>
    <row r="35" spans="1:7" x14ac:dyDescent="0.2">
      <c r="C35" s="302" t="s">
        <v>247</v>
      </c>
      <c r="E35" s="390">
        <f>'SL-6'!F14</f>
        <v>9.98</v>
      </c>
      <c r="F35" s="390">
        <f>'SL-6'!O14</f>
        <v>9.98</v>
      </c>
    </row>
    <row r="36" spans="1:7" x14ac:dyDescent="0.2">
      <c r="C36" s="302" t="s">
        <v>248</v>
      </c>
      <c r="E36" s="390">
        <f>'SL-6'!F15</f>
        <v>15.72</v>
      </c>
      <c r="F36" s="390">
        <f>'SL-6'!O15</f>
        <v>15.72</v>
      </c>
    </row>
    <row r="37" spans="1:7" x14ac:dyDescent="0.2">
      <c r="A37" s="291"/>
      <c r="C37" s="374"/>
      <c r="D37" s="374"/>
      <c r="E37" s="374"/>
      <c r="G37" s="291"/>
    </row>
    <row r="38" spans="1:7" ht="30" customHeight="1" x14ac:dyDescent="0.2">
      <c r="A38" s="291"/>
      <c r="C38" s="414" t="s">
        <v>164</v>
      </c>
      <c r="D38" s="414"/>
      <c r="E38" s="414"/>
      <c r="G38" s="291"/>
    </row>
    <row r="39" spans="1:7" x14ac:dyDescent="0.2">
      <c r="D39" s="415" t="s">
        <v>60</v>
      </c>
      <c r="E39" s="415"/>
    </row>
    <row r="40" spans="1:7" x14ac:dyDescent="0.2">
      <c r="C40" s="293" t="s">
        <v>55</v>
      </c>
      <c r="D40" s="304" t="s">
        <v>165</v>
      </c>
      <c r="E40" s="304" t="s">
        <v>166</v>
      </c>
    </row>
    <row r="41" spans="1:7" x14ac:dyDescent="0.2">
      <c r="C41" s="242" t="str">
        <f>List!B5</f>
        <v>Residential</v>
      </c>
      <c r="D41" s="305">
        <f>'Present and Proposed Rates'!N10</f>
        <v>1404525.1916666627</v>
      </c>
      <c r="E41" s="371">
        <f>'Present and Proposed Rates'!O10</f>
        <v>3.5174933035365931E-2</v>
      </c>
    </row>
    <row r="42" spans="1:7" x14ac:dyDescent="0.2">
      <c r="C42" s="242" t="str">
        <f>List!B6</f>
        <v>Small Comm</v>
      </c>
      <c r="D42" s="305">
        <f>'Present and Proposed Rates'!N13</f>
        <v>0</v>
      </c>
      <c r="E42" s="377">
        <f>'Present and Proposed Rates'!O13</f>
        <v>0</v>
      </c>
    </row>
    <row r="43" spans="1:7" x14ac:dyDescent="0.2">
      <c r="C43" s="242" t="str">
        <f>List!B7</f>
        <v>3 Phase</v>
      </c>
      <c r="D43" s="305">
        <f>'Present and Proposed Rates'!N16</f>
        <v>0</v>
      </c>
      <c r="E43" s="377">
        <f>'Present and Proposed Rates'!O16</f>
        <v>0</v>
      </c>
    </row>
    <row r="44" spans="1:7" x14ac:dyDescent="0.2">
      <c r="C44" s="242" t="str">
        <f>List!B8</f>
        <v>3 Ph 0-999 KVA TOD</v>
      </c>
      <c r="D44" s="305">
        <f>'Present and Proposed Rates'!N22</f>
        <v>0</v>
      </c>
      <c r="E44" s="377">
        <f>'Present and Proposed Rates'!O22</f>
        <v>0</v>
      </c>
    </row>
    <row r="45" spans="1:7" x14ac:dyDescent="0.2">
      <c r="C45" s="242" t="str">
        <f>List!B9</f>
        <v>Large 1000 KVA TOD</v>
      </c>
      <c r="D45" s="305">
        <f>'Present and Proposed Rates'!N26</f>
        <v>0</v>
      </c>
      <c r="E45" s="377">
        <f>'Present and Proposed Rates'!O26</f>
        <v>0</v>
      </c>
    </row>
    <row r="46" spans="1:7" x14ac:dyDescent="0.2">
      <c r="C46" s="242" t="str">
        <f>List!B10</f>
        <v>Private Outdoor Lighting</v>
      </c>
      <c r="D46" s="305">
        <f>'Present and Proposed Rates'!N32</f>
        <v>0</v>
      </c>
      <c r="E46" s="377">
        <f>'Present and Proposed Rates'!O32</f>
        <v>0</v>
      </c>
    </row>
    <row r="47" spans="1:7" x14ac:dyDescent="0.2">
      <c r="C47" s="242" t="str">
        <f>List!B11</f>
        <v>Street &amp; Hwy Lights</v>
      </c>
      <c r="D47" s="305">
        <f>'Present and Proposed Rates'!N38</f>
        <v>0</v>
      </c>
      <c r="E47" s="377">
        <f>'Present and Proposed Rates'!O38</f>
        <v>0</v>
      </c>
    </row>
    <row r="48" spans="1:7" x14ac:dyDescent="0.2">
      <c r="C48" s="307" t="s">
        <v>86</v>
      </c>
      <c r="D48" s="308">
        <f>'Present and Proposed Rates'!N41</f>
        <v>1404525.1916666627</v>
      </c>
      <c r="E48" s="372">
        <f>'Present and Proposed Rates'!O41</f>
        <v>2.6001671555926475E-2</v>
      </c>
      <c r="G48" s="306"/>
    </row>
    <row r="49" spans="3:7" x14ac:dyDescent="0.2">
      <c r="G49" s="306"/>
    </row>
    <row r="50" spans="3:7" ht="27" customHeight="1" x14ac:dyDescent="0.2">
      <c r="C50" s="414" t="s">
        <v>167</v>
      </c>
      <c r="D50" s="414"/>
      <c r="E50" s="414"/>
      <c r="F50" s="414"/>
      <c r="G50" s="306"/>
    </row>
    <row r="51" spans="3:7" x14ac:dyDescent="0.2">
      <c r="D51" s="309" t="s">
        <v>168</v>
      </c>
      <c r="E51" s="415" t="s">
        <v>60</v>
      </c>
      <c r="F51" s="415"/>
      <c r="G51" s="306"/>
    </row>
    <row r="52" spans="3:7" x14ac:dyDescent="0.2">
      <c r="C52" s="293" t="s">
        <v>55</v>
      </c>
      <c r="D52" s="310" t="s">
        <v>169</v>
      </c>
      <c r="E52" s="304" t="s">
        <v>165</v>
      </c>
      <c r="F52" s="304" t="s">
        <v>166</v>
      </c>
      <c r="G52" s="306"/>
    </row>
    <row r="53" spans="3:7" x14ac:dyDescent="0.2">
      <c r="C53" s="242" t="str">
        <f>List!B5</f>
        <v>Residential</v>
      </c>
      <c r="D53" s="311">
        <f>'Res-1'!D38</f>
        <v>1006.0091762979711</v>
      </c>
      <c r="E53" s="306">
        <f>'Present and Proposed Rates'!P10</f>
        <v>4.2229166666666549</v>
      </c>
      <c r="F53" s="373">
        <f>'Present and Proposed Rates'!O10</f>
        <v>3.5174933035365931E-2</v>
      </c>
    </row>
    <row r="54" spans="3:7" x14ac:dyDescent="0.2">
      <c r="C54" s="242" t="str">
        <f>List!B6</f>
        <v>Small Comm</v>
      </c>
      <c r="D54" s="311">
        <f>'SmCom-2'!D38</f>
        <v>1204.7643740188382</v>
      </c>
      <c r="E54" s="305">
        <f>'Present and Proposed Rates'!P13</f>
        <v>0</v>
      </c>
      <c r="F54" s="378">
        <f>'Present and Proposed Rates'!O13</f>
        <v>0</v>
      </c>
    </row>
    <row r="55" spans="3:7" x14ac:dyDescent="0.2">
      <c r="C55" s="242" t="str">
        <f>List!B7</f>
        <v>3 Phase</v>
      </c>
      <c r="D55" s="311">
        <f>'3Ph-3'!D43</f>
        <v>15312.042875157629</v>
      </c>
      <c r="E55" s="305">
        <f>'Present and Proposed Rates'!P16</f>
        <v>0</v>
      </c>
      <c r="F55" s="378">
        <f>'Present and Proposed Rates'!O16</f>
        <v>0</v>
      </c>
    </row>
    <row r="56" spans="3:7" x14ac:dyDescent="0.2">
      <c r="C56" s="242" t="str">
        <f>List!B8</f>
        <v>3 Ph 0-999 KVA TOD</v>
      </c>
      <c r="D56" s="311">
        <f>'3PhTOD-3A'!D41</f>
        <v>12863.173076923076</v>
      </c>
      <c r="E56" s="305">
        <f>'Present and Proposed Rates'!P22</f>
        <v>0</v>
      </c>
      <c r="F56" s="378">
        <f>'Present and Proposed Rates'!O22</f>
        <v>0</v>
      </c>
    </row>
    <row r="57" spans="3:7" x14ac:dyDescent="0.2">
      <c r="C57" s="242" t="str">
        <f>List!B9</f>
        <v>Large 1000 KVA TOD</v>
      </c>
      <c r="D57" s="311">
        <f>'LgTOD-4'!D45</f>
        <v>15477.412037037036</v>
      </c>
      <c r="E57" s="305">
        <f>'Present and Proposed Rates'!P26</f>
        <v>0</v>
      </c>
      <c r="F57" s="378">
        <f>'Present and Proposed Rates'!O26</f>
        <v>0</v>
      </c>
    </row>
    <row r="58" spans="3:7" x14ac:dyDescent="0.2">
      <c r="C58" s="242" t="str">
        <f>List!B10</f>
        <v>Private Outdoor Lighting</v>
      </c>
      <c r="D58" s="316" t="s">
        <v>170</v>
      </c>
      <c r="E58" s="305">
        <f>'Present and Proposed Rates'!P32</f>
        <v>0</v>
      </c>
      <c r="F58" s="378">
        <f>'Present and Proposed Rates'!O32</f>
        <v>0</v>
      </c>
    </row>
    <row r="59" spans="3:7" x14ac:dyDescent="0.2">
      <c r="C59" s="242" t="str">
        <f>List!B11</f>
        <v>Street &amp; Hwy Lights</v>
      </c>
      <c r="D59" s="316" t="s">
        <v>170</v>
      </c>
      <c r="E59" s="305">
        <f>'Present and Proposed Rates'!P38</f>
        <v>0</v>
      </c>
      <c r="F59" s="378">
        <f>'Present and Proposed Rates'!O38</f>
        <v>0</v>
      </c>
    </row>
    <row r="60" spans="3:7" x14ac:dyDescent="0.2">
      <c r="C60" s="307" t="s">
        <v>86</v>
      </c>
      <c r="D60" s="317" t="s">
        <v>170</v>
      </c>
      <c r="E60" s="317" t="s">
        <v>170</v>
      </c>
      <c r="F60" s="372">
        <f>'Present and Proposed Rates'!O41</f>
        <v>2.6001671555926475E-2</v>
      </c>
    </row>
  </sheetData>
  <mergeCells count="5">
    <mergeCell ref="E5:F5"/>
    <mergeCell ref="C38:E38"/>
    <mergeCell ref="D39:E39"/>
    <mergeCell ref="C50:F50"/>
    <mergeCell ref="E51:F51"/>
  </mergeCells>
  <pageMargins left="0.7" right="0.7" top="0.75" bottom="0.75" header="0.3" footer="0.3"/>
  <pageSetup scale="8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73"/>
  <sheetViews>
    <sheetView workbookViewId="0">
      <selection activeCell="C15" sqref="C15"/>
    </sheetView>
  </sheetViews>
  <sheetFormatPr defaultRowHeight="15.75" x14ac:dyDescent="0.25"/>
  <cols>
    <col min="1" max="1" width="24.42578125" style="327" customWidth="1"/>
    <col min="2" max="9" width="12.7109375" customWidth="1"/>
    <col min="10" max="10" width="9.42578125" bestFit="1" customWidth="1"/>
  </cols>
  <sheetData>
    <row r="1" spans="1:10" x14ac:dyDescent="0.25">
      <c r="A1" s="318" t="s">
        <v>175</v>
      </c>
      <c r="B1" s="319"/>
      <c r="C1" s="319"/>
      <c r="D1" s="319"/>
      <c r="E1" s="319"/>
      <c r="F1" s="319"/>
      <c r="G1" s="319"/>
      <c r="H1" s="319"/>
      <c r="I1" s="319"/>
      <c r="J1" s="319"/>
    </row>
    <row r="2" spans="1:10" x14ac:dyDescent="0.25">
      <c r="A2" s="318"/>
      <c r="B2" s="320"/>
      <c r="C2" s="320"/>
      <c r="D2" s="320"/>
      <c r="E2" s="320"/>
      <c r="F2" s="320"/>
      <c r="G2" s="320"/>
      <c r="H2" s="320"/>
      <c r="I2" s="320"/>
      <c r="J2" s="320"/>
    </row>
    <row r="3" spans="1:10" x14ac:dyDescent="0.25">
      <c r="A3" s="335" t="s">
        <v>176</v>
      </c>
      <c r="B3" s="321">
        <v>1</v>
      </c>
      <c r="C3" s="321">
        <v>2</v>
      </c>
      <c r="D3" s="321">
        <v>3</v>
      </c>
      <c r="E3" s="321" t="s">
        <v>110</v>
      </c>
      <c r="F3" s="321">
        <v>4</v>
      </c>
      <c r="G3" s="321">
        <v>5</v>
      </c>
      <c r="H3" s="321">
        <v>6</v>
      </c>
      <c r="I3" s="321"/>
      <c r="J3" s="321"/>
    </row>
    <row r="4" spans="1:10" ht="30.75" customHeight="1" x14ac:dyDescent="0.2">
      <c r="A4" s="333" t="s">
        <v>3</v>
      </c>
      <c r="B4" s="334" t="s">
        <v>108</v>
      </c>
      <c r="C4" s="334" t="s">
        <v>101</v>
      </c>
      <c r="D4" s="334" t="s">
        <v>109</v>
      </c>
      <c r="E4" s="334" t="s">
        <v>102</v>
      </c>
      <c r="F4" s="334" t="s">
        <v>103</v>
      </c>
      <c r="G4" s="334" t="s">
        <v>177</v>
      </c>
      <c r="H4" s="334" t="s">
        <v>172</v>
      </c>
      <c r="I4" s="333" t="s">
        <v>67</v>
      </c>
      <c r="J4" s="333"/>
    </row>
    <row r="5" spans="1:10" x14ac:dyDescent="0.25">
      <c r="A5" s="322"/>
      <c r="B5" s="323"/>
      <c r="C5" s="323"/>
      <c r="D5" s="323"/>
      <c r="E5" s="323"/>
      <c r="F5" s="323"/>
      <c r="G5" s="323"/>
      <c r="H5" s="324"/>
      <c r="I5" s="324"/>
      <c r="J5" s="324"/>
    </row>
    <row r="6" spans="1:10" x14ac:dyDescent="0.25">
      <c r="A6" s="318"/>
      <c r="B6" s="325"/>
      <c r="C6" s="325"/>
      <c r="D6" s="325"/>
      <c r="E6" s="325"/>
      <c r="F6" s="325"/>
      <c r="G6" s="325"/>
      <c r="H6" s="326"/>
      <c r="I6" s="326"/>
      <c r="J6" s="326"/>
    </row>
    <row r="8" spans="1:10" x14ac:dyDescent="0.25">
      <c r="A8" s="318" t="s">
        <v>178</v>
      </c>
    </row>
    <row r="9" spans="1:10" x14ac:dyDescent="0.25">
      <c r="A9" s="327" t="s">
        <v>179</v>
      </c>
      <c r="B9" s="328">
        <v>27583</v>
      </c>
      <c r="C9" s="328">
        <v>1682</v>
      </c>
      <c r="D9" s="328">
        <v>396</v>
      </c>
      <c r="E9" s="328">
        <v>5</v>
      </c>
      <c r="F9" s="328">
        <v>3</v>
      </c>
      <c r="G9" s="328">
        <v>0</v>
      </c>
      <c r="H9" s="328">
        <v>6</v>
      </c>
      <c r="I9" s="328">
        <f>SUM(B9:H9)</f>
        <v>29675</v>
      </c>
    </row>
    <row r="10" spans="1:10" x14ac:dyDescent="0.25">
      <c r="A10" s="327" t="s">
        <v>180</v>
      </c>
      <c r="B10" s="328">
        <v>27635</v>
      </c>
      <c r="C10" s="328">
        <v>1682</v>
      </c>
      <c r="D10" s="328">
        <v>396</v>
      </c>
      <c r="E10" s="328">
        <v>5</v>
      </c>
      <c r="F10" s="328">
        <v>3</v>
      </c>
      <c r="G10" s="328">
        <v>0</v>
      </c>
      <c r="H10" s="328">
        <v>6</v>
      </c>
      <c r="I10" s="328">
        <f t="shared" ref="I10:I20" si="0">SUM(B10:H10)</f>
        <v>29727</v>
      </c>
    </row>
    <row r="11" spans="1:10" x14ac:dyDescent="0.25">
      <c r="A11" s="327" t="s">
        <v>181</v>
      </c>
      <c r="B11" s="328">
        <v>27636</v>
      </c>
      <c r="C11" s="328">
        <v>1701</v>
      </c>
      <c r="D11" s="328">
        <v>398</v>
      </c>
      <c r="E11" s="328">
        <v>6</v>
      </c>
      <c r="F11" s="328">
        <v>3</v>
      </c>
      <c r="G11" s="328">
        <v>0</v>
      </c>
      <c r="H11" s="328">
        <v>6</v>
      </c>
      <c r="I11" s="328">
        <f t="shared" si="0"/>
        <v>29750</v>
      </c>
    </row>
    <row r="12" spans="1:10" x14ac:dyDescent="0.25">
      <c r="A12" s="327" t="s">
        <v>182</v>
      </c>
      <c r="B12" s="328">
        <v>27599</v>
      </c>
      <c r="C12" s="328">
        <v>1694</v>
      </c>
      <c r="D12" s="328">
        <v>397</v>
      </c>
      <c r="E12" s="328">
        <v>4</v>
      </c>
      <c r="F12" s="328">
        <v>3</v>
      </c>
      <c r="G12" s="328">
        <v>0</v>
      </c>
      <c r="H12" s="328">
        <v>6</v>
      </c>
      <c r="I12" s="328">
        <f t="shared" si="0"/>
        <v>29703</v>
      </c>
    </row>
    <row r="13" spans="1:10" x14ac:dyDescent="0.25">
      <c r="A13" s="327" t="s">
        <v>183</v>
      </c>
      <c r="B13" s="328">
        <v>27670</v>
      </c>
      <c r="C13" s="328">
        <v>1693</v>
      </c>
      <c r="D13" s="328">
        <v>397</v>
      </c>
      <c r="E13" s="328">
        <v>5</v>
      </c>
      <c r="F13" s="328">
        <v>3</v>
      </c>
      <c r="G13" s="328">
        <v>0</v>
      </c>
      <c r="H13" s="328">
        <v>6</v>
      </c>
      <c r="I13" s="328">
        <f t="shared" si="0"/>
        <v>29774</v>
      </c>
    </row>
    <row r="14" spans="1:10" x14ac:dyDescent="0.25">
      <c r="A14" s="327" t="s">
        <v>184</v>
      </c>
      <c r="B14" s="328">
        <v>27727</v>
      </c>
      <c r="C14" s="328">
        <v>1710</v>
      </c>
      <c r="D14" s="328">
        <v>398</v>
      </c>
      <c r="E14" s="328">
        <v>3</v>
      </c>
      <c r="F14" s="328">
        <v>3</v>
      </c>
      <c r="G14" s="328">
        <v>0</v>
      </c>
      <c r="H14" s="328">
        <v>6</v>
      </c>
      <c r="I14" s="328">
        <f t="shared" si="0"/>
        <v>29847</v>
      </c>
    </row>
    <row r="15" spans="1:10" x14ac:dyDescent="0.25">
      <c r="A15" s="327" t="s">
        <v>185</v>
      </c>
      <c r="B15" s="328">
        <v>27760</v>
      </c>
      <c r="C15" s="328">
        <v>1706</v>
      </c>
      <c r="D15" s="328">
        <v>397</v>
      </c>
      <c r="E15" s="328">
        <v>4</v>
      </c>
      <c r="F15" s="328">
        <v>3</v>
      </c>
      <c r="G15" s="328">
        <v>0</v>
      </c>
      <c r="H15" s="328">
        <v>6</v>
      </c>
      <c r="I15" s="328">
        <f t="shared" si="0"/>
        <v>29876</v>
      </c>
    </row>
    <row r="16" spans="1:10" x14ac:dyDescent="0.25">
      <c r="A16" s="327" t="s">
        <v>186</v>
      </c>
      <c r="B16" s="328">
        <v>27765</v>
      </c>
      <c r="C16" s="328">
        <v>1709</v>
      </c>
      <c r="D16" s="328">
        <v>396</v>
      </c>
      <c r="E16" s="328">
        <v>4</v>
      </c>
      <c r="F16" s="328">
        <v>3</v>
      </c>
      <c r="G16" s="328">
        <v>0</v>
      </c>
      <c r="H16" s="328">
        <v>6</v>
      </c>
      <c r="I16" s="328">
        <f t="shared" si="0"/>
        <v>29883</v>
      </c>
    </row>
    <row r="17" spans="1:18" x14ac:dyDescent="0.25">
      <c r="A17" s="327" t="s">
        <v>187</v>
      </c>
      <c r="B17" s="328">
        <v>27792</v>
      </c>
      <c r="C17" s="328">
        <v>1702</v>
      </c>
      <c r="D17" s="328">
        <v>398</v>
      </c>
      <c r="E17" s="328">
        <v>4</v>
      </c>
      <c r="F17" s="328">
        <v>3</v>
      </c>
      <c r="G17" s="328">
        <v>0</v>
      </c>
      <c r="H17" s="328">
        <v>6</v>
      </c>
      <c r="I17" s="328">
        <f t="shared" si="0"/>
        <v>29905</v>
      </c>
    </row>
    <row r="18" spans="1:18" x14ac:dyDescent="0.25">
      <c r="A18" s="327" t="s">
        <v>188</v>
      </c>
      <c r="B18" s="328">
        <v>27781</v>
      </c>
      <c r="C18" s="328">
        <v>1698</v>
      </c>
      <c r="D18" s="328">
        <v>396</v>
      </c>
      <c r="E18" s="328">
        <v>4</v>
      </c>
      <c r="F18" s="328">
        <v>3</v>
      </c>
      <c r="G18" s="328">
        <v>0</v>
      </c>
      <c r="H18" s="328">
        <v>6</v>
      </c>
      <c r="I18" s="328">
        <f t="shared" si="0"/>
        <v>29888</v>
      </c>
    </row>
    <row r="19" spans="1:18" x14ac:dyDescent="0.25">
      <c r="A19" s="327" t="s">
        <v>189</v>
      </c>
      <c r="B19" s="328">
        <v>27853</v>
      </c>
      <c r="C19" s="328">
        <v>1705</v>
      </c>
      <c r="D19" s="328">
        <v>394</v>
      </c>
      <c r="E19" s="328">
        <v>4</v>
      </c>
      <c r="F19" s="328">
        <v>3</v>
      </c>
      <c r="G19" s="328">
        <v>0</v>
      </c>
      <c r="H19" s="328">
        <v>6</v>
      </c>
      <c r="I19" s="328">
        <f t="shared" si="0"/>
        <v>29965</v>
      </c>
    </row>
    <row r="20" spans="1:18" x14ac:dyDescent="0.25">
      <c r="A20" s="327" t="s">
        <v>190</v>
      </c>
      <c r="B20" s="328">
        <v>27795</v>
      </c>
      <c r="C20" s="328">
        <v>1702</v>
      </c>
      <c r="D20" s="328">
        <v>395</v>
      </c>
      <c r="E20" s="328">
        <v>4</v>
      </c>
      <c r="F20" s="328">
        <v>3</v>
      </c>
      <c r="G20" s="328">
        <v>0</v>
      </c>
      <c r="H20" s="328">
        <v>6</v>
      </c>
      <c r="I20" s="328">
        <f t="shared" si="0"/>
        <v>29905</v>
      </c>
    </row>
    <row r="21" spans="1:18" x14ac:dyDescent="0.25">
      <c r="A21" s="329" t="s">
        <v>191</v>
      </c>
      <c r="B21" s="330">
        <f>SUM(B9:B20)</f>
        <v>332596</v>
      </c>
      <c r="C21" s="330">
        <f t="shared" ref="C21:I21" si="1">SUM(C9:C20)</f>
        <v>20384</v>
      </c>
      <c r="D21" s="330">
        <f t="shared" si="1"/>
        <v>4758</v>
      </c>
      <c r="E21" s="330">
        <f t="shared" si="1"/>
        <v>52</v>
      </c>
      <c r="F21" s="330">
        <f t="shared" si="1"/>
        <v>36</v>
      </c>
      <c r="G21" s="330">
        <f t="shared" si="1"/>
        <v>0</v>
      </c>
      <c r="H21" s="330">
        <f t="shared" si="1"/>
        <v>72</v>
      </c>
      <c r="I21" s="330">
        <f t="shared" si="1"/>
        <v>357898</v>
      </c>
    </row>
    <row r="22" spans="1:18" x14ac:dyDescent="0.25">
      <c r="A22" s="327" t="s">
        <v>192</v>
      </c>
      <c r="B22" s="328">
        <f>B21/12</f>
        <v>27716.333333333332</v>
      </c>
      <c r="C22" s="328">
        <f t="shared" ref="C22:I22" si="2">C21/12</f>
        <v>1698.6666666666667</v>
      </c>
      <c r="D22" s="328">
        <f t="shared" si="2"/>
        <v>396.5</v>
      </c>
      <c r="E22" s="328">
        <f t="shared" si="2"/>
        <v>4.333333333333333</v>
      </c>
      <c r="F22" s="328">
        <f t="shared" si="2"/>
        <v>3</v>
      </c>
      <c r="G22" s="328">
        <f t="shared" si="2"/>
        <v>0</v>
      </c>
      <c r="H22" s="328">
        <f t="shared" si="2"/>
        <v>6</v>
      </c>
      <c r="I22" s="328">
        <f t="shared" si="2"/>
        <v>29824.833333333332</v>
      </c>
    </row>
    <row r="23" spans="1:18" x14ac:dyDescent="0.25">
      <c r="A23" s="318" t="s">
        <v>193</v>
      </c>
      <c r="B23" s="328"/>
      <c r="C23" s="328"/>
      <c r="D23" s="328"/>
      <c r="E23" s="328"/>
      <c r="F23" s="328"/>
      <c r="G23" s="328"/>
      <c r="H23" s="328"/>
      <c r="I23" s="328"/>
      <c r="L23" t="s">
        <v>230</v>
      </c>
    </row>
    <row r="24" spans="1:18" x14ac:dyDescent="0.25">
      <c r="A24" s="327" t="s">
        <v>179</v>
      </c>
      <c r="B24" s="328">
        <v>37841633</v>
      </c>
      <c r="C24" s="328">
        <v>2093203</v>
      </c>
      <c r="D24" s="328">
        <v>5623419</v>
      </c>
      <c r="E24" s="328">
        <v>45641</v>
      </c>
      <c r="F24" s="328">
        <v>513529</v>
      </c>
      <c r="G24" s="328">
        <v>810140</v>
      </c>
      <c r="H24" s="328">
        <v>85804</v>
      </c>
      <c r="I24" s="328">
        <f t="shared" ref="I24:I65" si="3">SUM(B24:H24)</f>
        <v>47013369</v>
      </c>
      <c r="L24" s="328">
        <f>B24/B9</f>
        <v>1371.9186817967588</v>
      </c>
      <c r="M24" s="328">
        <f t="shared" ref="M24:N36" si="4">C24/C9</f>
        <v>1244.4726516052319</v>
      </c>
      <c r="N24" s="328">
        <f t="shared" si="4"/>
        <v>14200.55303030303</v>
      </c>
      <c r="O24" s="328">
        <f>E24/E9</f>
        <v>9128.2000000000007</v>
      </c>
      <c r="P24" s="328">
        <f t="shared" ref="P24:P36" si="5">F24/F9</f>
        <v>171176.33333333334</v>
      </c>
      <c r="Q24" s="328" t="e">
        <f t="shared" ref="Q24:R36" si="6">G24/G9</f>
        <v>#DIV/0!</v>
      </c>
      <c r="R24" s="328">
        <f t="shared" si="6"/>
        <v>14300.666666666666</v>
      </c>
    </row>
    <row r="25" spans="1:18" x14ac:dyDescent="0.25">
      <c r="A25" s="327" t="s">
        <v>180</v>
      </c>
      <c r="B25" s="328">
        <v>34109878</v>
      </c>
      <c r="C25" s="328">
        <v>2071441</v>
      </c>
      <c r="D25" s="328">
        <v>6148478</v>
      </c>
      <c r="E25" s="328">
        <v>48826</v>
      </c>
      <c r="F25" s="328">
        <v>446671</v>
      </c>
      <c r="G25" s="328">
        <v>809729</v>
      </c>
      <c r="H25" s="328">
        <v>87922</v>
      </c>
      <c r="I25" s="328">
        <f t="shared" si="3"/>
        <v>43722945</v>
      </c>
      <c r="L25" s="328">
        <f t="shared" ref="L25:L36" si="7">B25/B10</f>
        <v>1234.2999095350099</v>
      </c>
      <c r="M25" s="328">
        <f t="shared" si="4"/>
        <v>1231.5344827586207</v>
      </c>
      <c r="N25" s="328">
        <f t="shared" si="4"/>
        <v>15526.459595959595</v>
      </c>
      <c r="O25" s="328">
        <f t="shared" ref="O25:O36" si="8">E25/E10</f>
        <v>9765.2000000000007</v>
      </c>
      <c r="P25" s="328">
        <f t="shared" si="5"/>
        <v>148890.33333333334</v>
      </c>
      <c r="Q25" s="328" t="e">
        <f t="shared" si="6"/>
        <v>#DIV/0!</v>
      </c>
      <c r="R25" s="328">
        <f t="shared" si="6"/>
        <v>14653.666666666666</v>
      </c>
    </row>
    <row r="26" spans="1:18" x14ac:dyDescent="0.25">
      <c r="A26" s="327" t="s">
        <v>181</v>
      </c>
      <c r="B26" s="328">
        <v>28676910</v>
      </c>
      <c r="C26" s="328">
        <v>1818054</v>
      </c>
      <c r="D26" s="328">
        <v>5136618</v>
      </c>
      <c r="E26" s="328">
        <v>57724</v>
      </c>
      <c r="F26" s="328">
        <v>357431</v>
      </c>
      <c r="G26" s="328">
        <v>810483</v>
      </c>
      <c r="H26" s="328">
        <v>85490</v>
      </c>
      <c r="I26" s="328">
        <f t="shared" si="3"/>
        <v>36942710</v>
      </c>
      <c r="L26" s="328">
        <f t="shared" si="7"/>
        <v>1037.6650021710811</v>
      </c>
      <c r="M26" s="328">
        <f t="shared" si="4"/>
        <v>1068.8148148148148</v>
      </c>
      <c r="N26" s="328">
        <f t="shared" si="4"/>
        <v>12906.075376884422</v>
      </c>
      <c r="O26" s="328">
        <f t="shared" si="8"/>
        <v>9620.6666666666661</v>
      </c>
      <c r="P26" s="328">
        <f t="shared" si="5"/>
        <v>119143.66666666667</v>
      </c>
      <c r="Q26" s="328" t="e">
        <f t="shared" si="6"/>
        <v>#DIV/0!</v>
      </c>
      <c r="R26" s="328">
        <f t="shared" si="6"/>
        <v>14248.333333333334</v>
      </c>
    </row>
    <row r="27" spans="1:18" x14ac:dyDescent="0.25">
      <c r="A27" s="327" t="s">
        <v>182</v>
      </c>
      <c r="B27" s="328">
        <v>18355647</v>
      </c>
      <c r="C27" s="328">
        <v>1696244</v>
      </c>
      <c r="D27" s="328">
        <v>5763391</v>
      </c>
      <c r="E27" s="328">
        <v>44477</v>
      </c>
      <c r="F27" s="328">
        <v>542542</v>
      </c>
      <c r="G27" s="328">
        <v>810089</v>
      </c>
      <c r="H27" s="328">
        <v>89476</v>
      </c>
      <c r="I27" s="328">
        <f t="shared" si="3"/>
        <v>27301866</v>
      </c>
      <c r="L27" s="328">
        <f t="shared" si="7"/>
        <v>665.08377115112864</v>
      </c>
      <c r="M27" s="328">
        <f t="shared" si="4"/>
        <v>1001.3246753246754</v>
      </c>
      <c r="N27" s="328">
        <f t="shared" si="4"/>
        <v>14517.357682619648</v>
      </c>
      <c r="O27" s="328">
        <f t="shared" si="8"/>
        <v>11119.25</v>
      </c>
      <c r="P27" s="328">
        <f t="shared" si="5"/>
        <v>180847.33333333334</v>
      </c>
      <c r="Q27" s="328" t="e">
        <f t="shared" si="6"/>
        <v>#DIV/0!</v>
      </c>
      <c r="R27" s="328">
        <f t="shared" si="6"/>
        <v>14912.666666666666</v>
      </c>
    </row>
    <row r="28" spans="1:18" x14ac:dyDescent="0.25">
      <c r="A28" s="327" t="s">
        <v>183</v>
      </c>
      <c r="B28" s="328">
        <v>19888183</v>
      </c>
      <c r="C28" s="328">
        <v>1890807</v>
      </c>
      <c r="D28" s="328">
        <v>5876173</v>
      </c>
      <c r="E28" s="328">
        <v>72671</v>
      </c>
      <c r="F28" s="328">
        <v>468457</v>
      </c>
      <c r="G28" s="328">
        <v>811679</v>
      </c>
      <c r="H28" s="328">
        <v>85781</v>
      </c>
      <c r="I28" s="328">
        <f t="shared" si="3"/>
        <v>29093751</v>
      </c>
      <c r="L28" s="328">
        <f t="shared" si="7"/>
        <v>718.76338995301774</v>
      </c>
      <c r="M28" s="328">
        <f t="shared" si="4"/>
        <v>1116.8381571175428</v>
      </c>
      <c r="N28" s="328">
        <f t="shared" si="4"/>
        <v>14801.443324937029</v>
      </c>
      <c r="O28" s="328">
        <f t="shared" si="8"/>
        <v>14534.2</v>
      </c>
      <c r="P28" s="328">
        <f t="shared" si="5"/>
        <v>156152.33333333334</v>
      </c>
      <c r="Q28" s="328" t="e">
        <f t="shared" si="6"/>
        <v>#DIV/0!</v>
      </c>
      <c r="R28" s="328">
        <f t="shared" si="6"/>
        <v>14296.833333333334</v>
      </c>
    </row>
    <row r="29" spans="1:18" x14ac:dyDescent="0.25">
      <c r="A29" s="327" t="s">
        <v>184</v>
      </c>
      <c r="B29" s="328">
        <v>24981855</v>
      </c>
      <c r="C29" s="328">
        <v>2195545</v>
      </c>
      <c r="D29" s="328">
        <v>6303402</v>
      </c>
      <c r="E29" s="328">
        <v>36949</v>
      </c>
      <c r="F29" s="328">
        <v>622487</v>
      </c>
      <c r="G29" s="328">
        <v>810605</v>
      </c>
      <c r="H29" s="328">
        <v>87703</v>
      </c>
      <c r="I29" s="328">
        <f t="shared" si="3"/>
        <v>35038546</v>
      </c>
      <c r="L29" s="328">
        <f t="shared" si="7"/>
        <v>900.99379666029506</v>
      </c>
      <c r="M29" s="328">
        <f t="shared" si="4"/>
        <v>1283.9444444444443</v>
      </c>
      <c r="N29" s="328">
        <f t="shared" si="4"/>
        <v>15837.693467336683</v>
      </c>
      <c r="O29" s="328">
        <f t="shared" si="8"/>
        <v>12316.333333333334</v>
      </c>
      <c r="P29" s="328">
        <f t="shared" si="5"/>
        <v>207495.66666666666</v>
      </c>
      <c r="Q29" s="328" t="e">
        <f t="shared" si="6"/>
        <v>#DIV/0!</v>
      </c>
      <c r="R29" s="328">
        <f t="shared" si="6"/>
        <v>14617.166666666666</v>
      </c>
    </row>
    <row r="30" spans="1:18" x14ac:dyDescent="0.25">
      <c r="A30" s="327" t="s">
        <v>185</v>
      </c>
      <c r="B30" s="328">
        <v>31776553</v>
      </c>
      <c r="C30" s="328">
        <v>2559558</v>
      </c>
      <c r="D30" s="328">
        <v>6375822</v>
      </c>
      <c r="E30" s="328">
        <v>60024</v>
      </c>
      <c r="F30" s="328">
        <v>609581</v>
      </c>
      <c r="G30" s="328">
        <v>812080</v>
      </c>
      <c r="H30" s="328">
        <v>86660</v>
      </c>
      <c r="I30" s="328">
        <f t="shared" si="3"/>
        <v>42280278</v>
      </c>
      <c r="L30" s="328">
        <f t="shared" si="7"/>
        <v>1144.6885086455331</v>
      </c>
      <c r="M30" s="328">
        <f t="shared" si="4"/>
        <v>1500.3270808909731</v>
      </c>
      <c r="N30" s="328">
        <f t="shared" si="4"/>
        <v>16060.005037783376</v>
      </c>
      <c r="O30" s="328">
        <f t="shared" si="8"/>
        <v>15006</v>
      </c>
      <c r="P30" s="328">
        <f t="shared" si="5"/>
        <v>203193.66666666666</v>
      </c>
      <c r="Q30" s="328" t="e">
        <f t="shared" si="6"/>
        <v>#DIV/0!</v>
      </c>
      <c r="R30" s="328">
        <f t="shared" si="6"/>
        <v>14443.333333333334</v>
      </c>
    </row>
    <row r="31" spans="1:18" x14ac:dyDescent="0.25">
      <c r="A31" s="331" t="s">
        <v>186</v>
      </c>
      <c r="B31" s="328">
        <v>28961964</v>
      </c>
      <c r="C31" s="328">
        <v>2450618</v>
      </c>
      <c r="D31" s="328">
        <v>7179101</v>
      </c>
      <c r="E31" s="328">
        <v>68293</v>
      </c>
      <c r="F31" s="328">
        <v>564230</v>
      </c>
      <c r="G31" s="328">
        <v>810559</v>
      </c>
      <c r="H31" s="328">
        <v>87907</v>
      </c>
      <c r="I31" s="328">
        <f t="shared" si="3"/>
        <v>40122672</v>
      </c>
      <c r="L31" s="328">
        <f t="shared" si="7"/>
        <v>1043.1105348460292</v>
      </c>
      <c r="M31" s="328">
        <f t="shared" si="4"/>
        <v>1433.9485078993564</v>
      </c>
      <c r="N31" s="328">
        <f t="shared" si="4"/>
        <v>18129.042929292929</v>
      </c>
      <c r="O31" s="328">
        <f t="shared" si="8"/>
        <v>17073.25</v>
      </c>
      <c r="P31" s="328">
        <f t="shared" si="5"/>
        <v>188076.66666666666</v>
      </c>
      <c r="Q31" s="328" t="e">
        <f t="shared" si="6"/>
        <v>#DIV/0!</v>
      </c>
      <c r="R31" s="328">
        <f t="shared" si="6"/>
        <v>14651.166666666666</v>
      </c>
    </row>
    <row r="32" spans="1:18" x14ac:dyDescent="0.25">
      <c r="A32" s="331" t="s">
        <v>187</v>
      </c>
      <c r="B32" s="328">
        <v>27027615</v>
      </c>
      <c r="C32" s="328">
        <v>2279677</v>
      </c>
      <c r="D32" s="328">
        <v>7092884</v>
      </c>
      <c r="E32" s="328">
        <v>66005</v>
      </c>
      <c r="F32" s="328">
        <v>639893</v>
      </c>
      <c r="G32" s="328">
        <v>810733</v>
      </c>
      <c r="H32" s="328">
        <v>87810</v>
      </c>
      <c r="I32" s="328">
        <f t="shared" si="3"/>
        <v>38004617</v>
      </c>
      <c r="L32" s="328">
        <f t="shared" si="7"/>
        <v>972.4962219343696</v>
      </c>
      <c r="M32" s="328">
        <f t="shared" si="4"/>
        <v>1339.4106933019978</v>
      </c>
      <c r="N32" s="328">
        <f t="shared" si="4"/>
        <v>17821.316582914573</v>
      </c>
      <c r="O32" s="328">
        <f t="shared" si="8"/>
        <v>16501.25</v>
      </c>
      <c r="P32" s="328">
        <f t="shared" si="5"/>
        <v>213297.66666666666</v>
      </c>
      <c r="Q32" s="328" t="e">
        <f t="shared" si="6"/>
        <v>#DIV/0!</v>
      </c>
      <c r="R32" s="328">
        <f t="shared" si="6"/>
        <v>14635</v>
      </c>
    </row>
    <row r="33" spans="1:18" x14ac:dyDescent="0.25">
      <c r="A33" s="327" t="s">
        <v>188</v>
      </c>
      <c r="B33" s="328">
        <v>19268904</v>
      </c>
      <c r="C33" s="328">
        <v>1738474</v>
      </c>
      <c r="D33" s="328">
        <v>6116795</v>
      </c>
      <c r="E33" s="328">
        <v>55562</v>
      </c>
      <c r="F33" s="328">
        <v>602452</v>
      </c>
      <c r="G33" s="328">
        <v>812547</v>
      </c>
      <c r="H33" s="328">
        <v>87883</v>
      </c>
      <c r="I33" s="328">
        <f t="shared" si="3"/>
        <v>28682617</v>
      </c>
      <c r="L33" s="328">
        <f t="shared" si="7"/>
        <v>693.60008638997874</v>
      </c>
      <c r="M33" s="328">
        <f t="shared" si="4"/>
        <v>1023.8362779740871</v>
      </c>
      <c r="N33" s="328">
        <f t="shared" si="4"/>
        <v>15446.452020202019</v>
      </c>
      <c r="O33" s="328">
        <f t="shared" si="8"/>
        <v>13890.5</v>
      </c>
      <c r="P33" s="328">
        <f t="shared" si="5"/>
        <v>200817.33333333334</v>
      </c>
      <c r="Q33" s="328" t="e">
        <f t="shared" si="6"/>
        <v>#DIV/0!</v>
      </c>
      <c r="R33" s="328">
        <f t="shared" si="6"/>
        <v>14647.166666666666</v>
      </c>
    </row>
    <row r="34" spans="1:18" x14ac:dyDescent="0.25">
      <c r="A34" s="327" t="s">
        <v>189</v>
      </c>
      <c r="B34" s="328">
        <v>30714024</v>
      </c>
      <c r="C34" s="328">
        <v>1817944</v>
      </c>
      <c r="D34" s="328">
        <v>5636208</v>
      </c>
      <c r="E34" s="328">
        <v>41724</v>
      </c>
      <c r="F34" s="328">
        <v>650829</v>
      </c>
      <c r="G34" s="328">
        <v>813500</v>
      </c>
      <c r="H34" s="328">
        <v>85018</v>
      </c>
      <c r="I34" s="328">
        <f t="shared" si="3"/>
        <v>39759247</v>
      </c>
      <c r="L34" s="328">
        <f t="shared" si="7"/>
        <v>1102.7187017556457</v>
      </c>
      <c r="M34" s="328">
        <f t="shared" si="4"/>
        <v>1066.2428152492669</v>
      </c>
      <c r="N34" s="328">
        <f t="shared" si="4"/>
        <v>14305.096446700507</v>
      </c>
      <c r="O34" s="328">
        <f t="shared" si="8"/>
        <v>10431</v>
      </c>
      <c r="P34" s="328">
        <f t="shared" si="5"/>
        <v>216943</v>
      </c>
      <c r="Q34" s="328" t="e">
        <f t="shared" si="6"/>
        <v>#DIV/0!</v>
      </c>
      <c r="R34" s="328">
        <f t="shared" si="6"/>
        <v>14169.666666666666</v>
      </c>
    </row>
    <row r="35" spans="1:18" x14ac:dyDescent="0.25">
      <c r="A35" s="327" t="s">
        <v>190</v>
      </c>
      <c r="B35" s="328">
        <v>32991462</v>
      </c>
      <c r="C35" s="328">
        <v>1946352</v>
      </c>
      <c r="D35" s="328">
        <v>5602409</v>
      </c>
      <c r="E35" s="328">
        <v>70989</v>
      </c>
      <c r="F35" s="328">
        <v>668140</v>
      </c>
      <c r="G35" s="328">
        <v>815005</v>
      </c>
      <c r="H35" s="328">
        <v>87659</v>
      </c>
      <c r="I35" s="328">
        <f t="shared" si="3"/>
        <v>42182016</v>
      </c>
      <c r="L35" s="328">
        <f t="shared" si="7"/>
        <v>1186.9567188343228</v>
      </c>
      <c r="M35" s="328">
        <f t="shared" si="4"/>
        <v>1143.5675675675675</v>
      </c>
      <c r="N35" s="328">
        <f t="shared" si="4"/>
        <v>14183.313924050633</v>
      </c>
      <c r="O35" s="328">
        <f t="shared" si="8"/>
        <v>17747.25</v>
      </c>
      <c r="P35" s="328">
        <f t="shared" si="5"/>
        <v>222713.33333333334</v>
      </c>
      <c r="Q35" s="328" t="e">
        <f t="shared" si="6"/>
        <v>#DIV/0!</v>
      </c>
      <c r="R35" s="328">
        <f t="shared" si="6"/>
        <v>14609.833333333334</v>
      </c>
    </row>
    <row r="36" spans="1:18" x14ac:dyDescent="0.25">
      <c r="A36" s="329" t="s">
        <v>191</v>
      </c>
      <c r="B36" s="330">
        <f>SUM(B24:B35)</f>
        <v>334594628</v>
      </c>
      <c r="C36" s="330">
        <f t="shared" ref="C36:I36" si="9">SUM(C24:C35)</f>
        <v>24557917</v>
      </c>
      <c r="D36" s="330">
        <f t="shared" si="9"/>
        <v>72854700</v>
      </c>
      <c r="E36" s="330">
        <f t="shared" si="9"/>
        <v>668885</v>
      </c>
      <c r="F36" s="330">
        <f t="shared" si="9"/>
        <v>6686242</v>
      </c>
      <c r="G36" s="330">
        <f t="shared" si="9"/>
        <v>9737149</v>
      </c>
      <c r="H36" s="330">
        <f t="shared" si="9"/>
        <v>1045113</v>
      </c>
      <c r="I36" s="330">
        <f t="shared" si="9"/>
        <v>450144634</v>
      </c>
      <c r="L36" s="330">
        <f t="shared" si="7"/>
        <v>1006.0091762979711</v>
      </c>
      <c r="M36" s="330">
        <f t="shared" si="4"/>
        <v>1204.7643740188382</v>
      </c>
      <c r="N36" s="330">
        <f t="shared" si="4"/>
        <v>15312.042875157629</v>
      </c>
      <c r="O36" s="330">
        <f t="shared" si="8"/>
        <v>12863.173076923076</v>
      </c>
      <c r="P36" s="330">
        <f t="shared" si="5"/>
        <v>185728.94444444444</v>
      </c>
      <c r="Q36" s="330" t="e">
        <f t="shared" si="6"/>
        <v>#DIV/0!</v>
      </c>
      <c r="R36" s="330">
        <f t="shared" si="6"/>
        <v>14515.458333333334</v>
      </c>
    </row>
    <row r="37" spans="1:18" x14ac:dyDescent="0.25">
      <c r="B37" s="328"/>
      <c r="C37" s="328"/>
      <c r="D37" s="328"/>
      <c r="E37" s="328"/>
      <c r="F37" s="328"/>
      <c r="G37" s="328"/>
      <c r="H37" s="328"/>
      <c r="I37" s="328"/>
    </row>
    <row r="38" spans="1:18" x14ac:dyDescent="0.25">
      <c r="A38" s="318" t="s">
        <v>194</v>
      </c>
      <c r="B38" s="328"/>
      <c r="C38" s="328"/>
      <c r="D38" s="328"/>
      <c r="E38" s="328"/>
      <c r="F38" s="328"/>
      <c r="G38" s="328"/>
      <c r="H38" s="328"/>
      <c r="I38" s="328"/>
    </row>
    <row r="39" spans="1:18" x14ac:dyDescent="0.25">
      <c r="A39" s="327" t="s">
        <v>179</v>
      </c>
      <c r="B39" s="328">
        <v>0</v>
      </c>
      <c r="C39" s="328">
        <v>0</v>
      </c>
      <c r="D39" s="328">
        <v>21032.917000000001</v>
      </c>
      <c r="E39" s="328">
        <v>174.54300000000001</v>
      </c>
      <c r="F39" s="328">
        <v>2571.6</v>
      </c>
      <c r="G39" s="328">
        <v>0</v>
      </c>
      <c r="H39" s="328">
        <v>0</v>
      </c>
      <c r="I39" s="328">
        <f t="shared" si="3"/>
        <v>23779.06</v>
      </c>
    </row>
    <row r="40" spans="1:18" x14ac:dyDescent="0.25">
      <c r="A40" s="327" t="s">
        <v>180</v>
      </c>
      <c r="B40" s="328">
        <v>0</v>
      </c>
      <c r="C40" s="328">
        <v>0</v>
      </c>
      <c r="D40" s="328">
        <v>21190.839</v>
      </c>
      <c r="E40" s="328">
        <v>138.38399999999999</v>
      </c>
      <c r="F40" s="328">
        <v>2217.6</v>
      </c>
      <c r="G40" s="328">
        <v>0</v>
      </c>
      <c r="H40" s="328">
        <v>0</v>
      </c>
      <c r="I40" s="328">
        <f t="shared" si="3"/>
        <v>23546.822999999997</v>
      </c>
    </row>
    <row r="41" spans="1:18" x14ac:dyDescent="0.25">
      <c r="A41" s="327" t="s">
        <v>181</v>
      </c>
      <c r="B41" s="328">
        <v>0</v>
      </c>
      <c r="C41" s="328">
        <v>0</v>
      </c>
      <c r="D41" s="328">
        <v>21169.453999999998</v>
      </c>
      <c r="E41" s="328">
        <v>224.74</v>
      </c>
      <c r="F41" s="328">
        <v>2443.5</v>
      </c>
      <c r="G41" s="328">
        <v>0</v>
      </c>
      <c r="H41" s="328">
        <v>0</v>
      </c>
      <c r="I41" s="328">
        <f t="shared" si="3"/>
        <v>23837.694</v>
      </c>
    </row>
    <row r="42" spans="1:18" x14ac:dyDescent="0.25">
      <c r="A42" s="327" t="s">
        <v>182</v>
      </c>
      <c r="B42" s="328">
        <v>0</v>
      </c>
      <c r="C42" s="328">
        <v>0</v>
      </c>
      <c r="D42" s="328">
        <v>21434.418000000001</v>
      </c>
      <c r="E42" s="328">
        <v>148.75899999999999</v>
      </c>
      <c r="F42" s="328">
        <v>2331</v>
      </c>
      <c r="G42" s="328">
        <v>0</v>
      </c>
      <c r="H42" s="328">
        <v>0</v>
      </c>
      <c r="I42" s="328">
        <f t="shared" si="3"/>
        <v>23914.177</v>
      </c>
    </row>
    <row r="43" spans="1:18" x14ac:dyDescent="0.25">
      <c r="A43" s="327" t="s">
        <v>183</v>
      </c>
      <c r="B43" s="328">
        <v>0</v>
      </c>
      <c r="C43" s="328">
        <v>0</v>
      </c>
      <c r="D43" s="328">
        <v>21909.749</v>
      </c>
      <c r="E43" s="328">
        <v>239.52600000000001</v>
      </c>
      <c r="F43" s="328">
        <v>2263.8000000000002</v>
      </c>
      <c r="G43" s="328">
        <v>0</v>
      </c>
      <c r="H43" s="328">
        <v>0</v>
      </c>
      <c r="I43" s="328">
        <f t="shared" si="3"/>
        <v>24413.075000000001</v>
      </c>
    </row>
    <row r="44" spans="1:18" x14ac:dyDescent="0.25">
      <c r="A44" s="327" t="s">
        <v>184</v>
      </c>
      <c r="B44" s="328">
        <v>0</v>
      </c>
      <c r="C44" s="328">
        <v>0</v>
      </c>
      <c r="D44" s="328">
        <v>21870.42</v>
      </c>
      <c r="E44" s="328">
        <v>130.95699999999999</v>
      </c>
      <c r="F44" s="328">
        <v>2882.1</v>
      </c>
      <c r="G44" s="328">
        <v>0</v>
      </c>
      <c r="H44" s="328">
        <v>0</v>
      </c>
      <c r="I44" s="328">
        <f t="shared" si="3"/>
        <v>24883.476999999995</v>
      </c>
    </row>
    <row r="45" spans="1:18" x14ac:dyDescent="0.25">
      <c r="A45" s="327" t="s">
        <v>185</v>
      </c>
      <c r="B45" s="328">
        <v>0</v>
      </c>
      <c r="C45" s="328">
        <v>0</v>
      </c>
      <c r="D45" s="328">
        <v>22408.198</v>
      </c>
      <c r="E45" s="328">
        <v>234.48699999999999</v>
      </c>
      <c r="F45" s="328">
        <v>2857.8</v>
      </c>
      <c r="G45" s="328">
        <v>0</v>
      </c>
      <c r="H45" s="328">
        <v>0</v>
      </c>
      <c r="I45" s="328">
        <f t="shared" si="3"/>
        <v>25500.485000000001</v>
      </c>
    </row>
    <row r="46" spans="1:18" x14ac:dyDescent="0.25">
      <c r="A46" s="331" t="s">
        <v>186</v>
      </c>
      <c r="B46" s="328">
        <v>0</v>
      </c>
      <c r="C46" s="328">
        <v>0</v>
      </c>
      <c r="D46" s="328">
        <v>23723.135999999999</v>
      </c>
      <c r="E46" s="328">
        <v>165.24799999999999</v>
      </c>
      <c r="F46" s="328">
        <v>2775.3</v>
      </c>
      <c r="G46" s="328">
        <v>0</v>
      </c>
      <c r="H46" s="328">
        <v>0</v>
      </c>
      <c r="I46" s="328">
        <f t="shared" si="3"/>
        <v>26663.683999999997</v>
      </c>
    </row>
    <row r="47" spans="1:18" x14ac:dyDescent="0.25">
      <c r="A47" s="331" t="s">
        <v>187</v>
      </c>
      <c r="B47" s="328">
        <v>0</v>
      </c>
      <c r="C47" s="328">
        <v>0</v>
      </c>
      <c r="D47" s="328">
        <v>24155.203999999998</v>
      </c>
      <c r="E47" s="328">
        <v>237.06700000000001</v>
      </c>
      <c r="F47" s="328">
        <v>2807.1</v>
      </c>
      <c r="G47" s="328">
        <v>0</v>
      </c>
      <c r="H47" s="328">
        <v>0</v>
      </c>
      <c r="I47" s="328">
        <f t="shared" si="3"/>
        <v>27199.370999999996</v>
      </c>
    </row>
    <row r="48" spans="1:18" x14ac:dyDescent="0.25">
      <c r="A48" s="327" t="s">
        <v>188</v>
      </c>
      <c r="B48" s="328">
        <v>0</v>
      </c>
      <c r="C48" s="328">
        <v>0</v>
      </c>
      <c r="D48" s="328">
        <v>24330.423999999999</v>
      </c>
      <c r="E48" s="328">
        <v>237.71700000000001</v>
      </c>
      <c r="F48" s="328">
        <v>2943.9</v>
      </c>
      <c r="G48" s="328">
        <v>0</v>
      </c>
      <c r="H48" s="328">
        <v>0</v>
      </c>
      <c r="I48" s="328">
        <f t="shared" si="3"/>
        <v>27512.041000000001</v>
      </c>
    </row>
    <row r="49" spans="1:9" x14ac:dyDescent="0.25">
      <c r="A49" s="327" t="s">
        <v>189</v>
      </c>
      <c r="B49" s="328">
        <v>0</v>
      </c>
      <c r="C49" s="328">
        <v>0</v>
      </c>
      <c r="D49" s="328">
        <v>22171.096999999998</v>
      </c>
      <c r="E49" s="328">
        <v>205.06800000000001</v>
      </c>
      <c r="F49" s="328">
        <v>3003.3</v>
      </c>
      <c r="G49" s="328">
        <v>0</v>
      </c>
      <c r="H49" s="328">
        <v>0</v>
      </c>
      <c r="I49" s="328">
        <f t="shared" si="3"/>
        <v>25379.464999999997</v>
      </c>
    </row>
    <row r="50" spans="1:9" x14ac:dyDescent="0.25">
      <c r="A50" s="327" t="s">
        <v>190</v>
      </c>
      <c r="B50" s="328">
        <v>0</v>
      </c>
      <c r="C50" s="328">
        <v>0</v>
      </c>
      <c r="D50" s="328">
        <v>20954.054</v>
      </c>
      <c r="E50" s="328">
        <v>191.65199999999999</v>
      </c>
      <c r="F50" s="328">
        <v>3198.3</v>
      </c>
      <c r="G50" s="328">
        <v>0</v>
      </c>
      <c r="H50" s="328">
        <v>0</v>
      </c>
      <c r="I50" s="328">
        <f t="shared" si="3"/>
        <v>24344.005999999998</v>
      </c>
    </row>
    <row r="51" spans="1:9" x14ac:dyDescent="0.25">
      <c r="A51" s="329" t="s">
        <v>191</v>
      </c>
      <c r="B51" s="330">
        <f>SUM(B39:B50)</f>
        <v>0</v>
      </c>
      <c r="C51" s="330">
        <f t="shared" ref="C51:I51" si="10">SUM(C39:C50)</f>
        <v>0</v>
      </c>
      <c r="D51" s="330">
        <f t="shared" si="10"/>
        <v>266349.90999999997</v>
      </c>
      <c r="E51" s="330">
        <f t="shared" si="10"/>
        <v>2328.1480000000006</v>
      </c>
      <c r="F51" s="330">
        <f t="shared" si="10"/>
        <v>32295.3</v>
      </c>
      <c r="G51" s="330">
        <f t="shared" si="10"/>
        <v>0</v>
      </c>
      <c r="H51" s="330">
        <f t="shared" si="10"/>
        <v>0</v>
      </c>
      <c r="I51" s="330">
        <f t="shared" si="10"/>
        <v>300973.35799999995</v>
      </c>
    </row>
    <row r="52" spans="1:9" x14ac:dyDescent="0.25">
      <c r="B52" s="328"/>
      <c r="C52" s="328"/>
      <c r="D52" s="328"/>
      <c r="E52" s="328"/>
      <c r="F52" s="328"/>
      <c r="G52" s="328"/>
      <c r="H52" s="328"/>
      <c r="I52" s="328"/>
    </row>
    <row r="53" spans="1:9" x14ac:dyDescent="0.25">
      <c r="A53" s="318" t="s">
        <v>195</v>
      </c>
      <c r="B53" s="328"/>
      <c r="C53" s="328"/>
      <c r="D53" s="328"/>
      <c r="E53" s="328"/>
      <c r="F53" s="328"/>
      <c r="G53" s="328"/>
      <c r="H53" s="328"/>
      <c r="I53" s="328"/>
    </row>
    <row r="54" spans="1:9" x14ac:dyDescent="0.25">
      <c r="A54" s="327" t="s">
        <v>179</v>
      </c>
      <c r="B54" s="328">
        <v>4442371.88</v>
      </c>
      <c r="C54" s="328">
        <v>275284.11000000004</v>
      </c>
      <c r="D54" s="328">
        <v>666165.87</v>
      </c>
      <c r="E54" s="328">
        <v>5508.7400000000007</v>
      </c>
      <c r="F54" s="328">
        <v>63851.11</v>
      </c>
      <c r="G54" s="328">
        <v>119936.51</v>
      </c>
      <c r="H54" s="328">
        <v>10456.65</v>
      </c>
      <c r="I54" s="328">
        <f t="shared" si="3"/>
        <v>5583574.870000001</v>
      </c>
    </row>
    <row r="55" spans="1:9" x14ac:dyDescent="0.25">
      <c r="A55" s="327" t="s">
        <v>180</v>
      </c>
      <c r="B55" s="328">
        <v>4121371.9699999997</v>
      </c>
      <c r="C55" s="328">
        <v>276737.92000000004</v>
      </c>
      <c r="D55" s="328">
        <v>727655.74</v>
      </c>
      <c r="E55" s="328">
        <v>5837.4000000000005</v>
      </c>
      <c r="F55" s="328">
        <v>56831.619999999995</v>
      </c>
      <c r="G55" s="328">
        <v>119858.68</v>
      </c>
      <c r="H55" s="328">
        <v>10913.11</v>
      </c>
      <c r="I55" s="328">
        <f t="shared" si="3"/>
        <v>5319206.4400000004</v>
      </c>
    </row>
    <row r="56" spans="1:9" x14ac:dyDescent="0.25">
      <c r="A56" s="327" t="s">
        <v>181</v>
      </c>
      <c r="B56" s="328">
        <v>3473809.8200000003</v>
      </c>
      <c r="C56" s="328">
        <v>243065.91</v>
      </c>
      <c r="D56" s="328">
        <v>631368.69000000006</v>
      </c>
      <c r="E56" s="328">
        <v>7167.1500000000005</v>
      </c>
      <c r="F56" s="328">
        <v>52311.78</v>
      </c>
      <c r="G56" s="328">
        <v>120040.65</v>
      </c>
      <c r="H56" s="328">
        <v>10444.629999999999</v>
      </c>
      <c r="I56" s="328">
        <f t="shared" si="3"/>
        <v>4538208.6300000018</v>
      </c>
    </row>
    <row r="57" spans="1:9" x14ac:dyDescent="0.25">
      <c r="A57" s="327" t="s">
        <v>182</v>
      </c>
      <c r="B57" s="328">
        <v>2343295.1700000004</v>
      </c>
      <c r="C57" s="328">
        <v>225262.55</v>
      </c>
      <c r="D57" s="328">
        <v>669286.86</v>
      </c>
      <c r="E57" s="328">
        <v>4955.72</v>
      </c>
      <c r="F57" s="328">
        <v>61919.869999999995</v>
      </c>
      <c r="G57" s="328">
        <v>119973.16</v>
      </c>
      <c r="H57" s="328">
        <v>10539.6</v>
      </c>
      <c r="I57" s="328">
        <f t="shared" si="3"/>
        <v>3435232.9300000006</v>
      </c>
    </row>
    <row r="58" spans="1:9" x14ac:dyDescent="0.25">
      <c r="A58" s="327" t="s">
        <v>183</v>
      </c>
      <c r="B58" s="328">
        <v>2472506.69</v>
      </c>
      <c r="C58" s="328">
        <v>243933.41999999998</v>
      </c>
      <c r="D58" s="328">
        <v>670871.33000000007</v>
      </c>
      <c r="E58" s="328">
        <v>8113.56</v>
      </c>
      <c r="F58" s="328">
        <v>55403.189999999995</v>
      </c>
      <c r="G58" s="328">
        <v>120205.62000000001</v>
      </c>
      <c r="H58" s="328">
        <v>10098.01</v>
      </c>
      <c r="I58" s="328">
        <f t="shared" si="3"/>
        <v>3581131.82</v>
      </c>
    </row>
    <row r="59" spans="1:9" x14ac:dyDescent="0.25">
      <c r="A59" s="327" t="s">
        <v>184</v>
      </c>
      <c r="B59" s="328">
        <v>2996384.9</v>
      </c>
      <c r="C59" s="328">
        <v>278316.32</v>
      </c>
      <c r="D59" s="328">
        <v>704970.72000000009</v>
      </c>
      <c r="E59" s="328">
        <v>4079.1099999999997</v>
      </c>
      <c r="F59" s="328">
        <v>73274.399999999994</v>
      </c>
      <c r="G59" s="328">
        <v>120013.18</v>
      </c>
      <c r="H59" s="328">
        <v>10349.040000000001</v>
      </c>
      <c r="I59" s="328">
        <f t="shared" si="3"/>
        <v>4187387.67</v>
      </c>
    </row>
    <row r="60" spans="1:9" x14ac:dyDescent="0.25">
      <c r="A60" s="327" t="s">
        <v>185</v>
      </c>
      <c r="B60" s="328">
        <v>3689092.21</v>
      </c>
      <c r="C60" s="328">
        <v>317691.03999999998</v>
      </c>
      <c r="D60" s="328">
        <v>715838.72</v>
      </c>
      <c r="E60" s="328">
        <v>7154.8</v>
      </c>
      <c r="F60" s="328">
        <v>71306.740000000005</v>
      </c>
      <c r="G60" s="328">
        <v>120228.53</v>
      </c>
      <c r="H60" s="328">
        <v>10276.43</v>
      </c>
      <c r="I60" s="328">
        <f t="shared" si="3"/>
        <v>4931588.47</v>
      </c>
    </row>
    <row r="61" spans="1:9" x14ac:dyDescent="0.25">
      <c r="A61" s="331" t="s">
        <v>186</v>
      </c>
      <c r="B61" s="328">
        <v>3373066.96</v>
      </c>
      <c r="C61" s="328">
        <v>302930.27</v>
      </c>
      <c r="D61" s="328">
        <v>777057.15</v>
      </c>
      <c r="E61" s="328">
        <v>6694.7000000000007</v>
      </c>
      <c r="F61" s="328">
        <v>66860.05</v>
      </c>
      <c r="G61" s="328">
        <v>120005.75</v>
      </c>
      <c r="H61" s="328">
        <v>10260.89</v>
      </c>
      <c r="I61" s="328">
        <f t="shared" si="3"/>
        <v>4656875.7699999996</v>
      </c>
    </row>
    <row r="62" spans="1:9" x14ac:dyDescent="0.25">
      <c r="A62" s="331" t="s">
        <v>187</v>
      </c>
      <c r="B62" s="328">
        <v>3262272.15</v>
      </c>
      <c r="C62" s="328">
        <v>291967.86</v>
      </c>
      <c r="D62" s="328">
        <v>800377.24000000011</v>
      </c>
      <c r="E62" s="328">
        <v>7749.9400000000005</v>
      </c>
      <c r="F62" s="328">
        <v>74091.429999999993</v>
      </c>
      <c r="G62" s="328">
        <v>120070.22</v>
      </c>
      <c r="H62" s="328">
        <v>10525.63</v>
      </c>
      <c r="I62" s="328">
        <f t="shared" si="3"/>
        <v>4567054.47</v>
      </c>
    </row>
    <row r="63" spans="1:9" x14ac:dyDescent="0.25">
      <c r="A63" s="331" t="s">
        <v>188</v>
      </c>
      <c r="B63" s="328">
        <v>2440800.89</v>
      </c>
      <c r="C63" s="328">
        <v>230458.84</v>
      </c>
      <c r="D63" s="328">
        <v>724040.01</v>
      </c>
      <c r="E63" s="328">
        <v>6802.8700000000008</v>
      </c>
      <c r="F63" s="328">
        <v>72650.099999999991</v>
      </c>
      <c r="G63" s="328">
        <v>120318.54000000001</v>
      </c>
      <c r="H63" s="328">
        <v>10463.91</v>
      </c>
      <c r="I63" s="328">
        <f t="shared" si="3"/>
        <v>3605535.1600000006</v>
      </c>
    </row>
    <row r="64" spans="1:9" x14ac:dyDescent="0.25">
      <c r="A64" s="327" t="s">
        <v>189</v>
      </c>
      <c r="B64" s="328">
        <v>3586444.4600000004</v>
      </c>
      <c r="C64" s="328">
        <v>238245.53</v>
      </c>
      <c r="D64" s="328">
        <v>654175.92999999993</v>
      </c>
      <c r="E64" s="328">
        <v>5390.96</v>
      </c>
      <c r="F64" s="328">
        <v>74815</v>
      </c>
      <c r="G64" s="328">
        <v>120473.64</v>
      </c>
      <c r="H64" s="328">
        <v>10062.42</v>
      </c>
      <c r="I64" s="328">
        <f t="shared" si="3"/>
        <v>4689607.9399999995</v>
      </c>
    </row>
    <row r="65" spans="1:9" x14ac:dyDescent="0.25">
      <c r="A65" s="327" t="s">
        <v>190</v>
      </c>
      <c r="B65" s="328">
        <v>3816006.31</v>
      </c>
      <c r="C65" s="328">
        <v>251686.63000000003</v>
      </c>
      <c r="D65" s="328">
        <v>645089.53</v>
      </c>
      <c r="E65" s="328">
        <v>7316.31</v>
      </c>
      <c r="F65" s="328">
        <v>79109.72</v>
      </c>
      <c r="G65" s="328">
        <v>120692.64</v>
      </c>
      <c r="H65" s="328">
        <v>10366.700000000001</v>
      </c>
      <c r="I65" s="328">
        <f t="shared" si="3"/>
        <v>4930267.8399999989</v>
      </c>
    </row>
    <row r="66" spans="1:9" x14ac:dyDescent="0.25">
      <c r="A66" s="329" t="s">
        <v>191</v>
      </c>
      <c r="B66" s="330">
        <f>SUM(B54:B65)</f>
        <v>40017423.410000004</v>
      </c>
      <c r="C66" s="330">
        <f t="shared" ref="C66:I66" si="11">SUM(C54:C65)</f>
        <v>3175580.3999999994</v>
      </c>
      <c r="D66" s="330">
        <f t="shared" si="11"/>
        <v>8386897.79</v>
      </c>
      <c r="E66" s="330">
        <f t="shared" si="11"/>
        <v>76771.260000000009</v>
      </c>
      <c r="F66" s="330">
        <f t="shared" si="11"/>
        <v>802425.00999999989</v>
      </c>
      <c r="G66" s="330">
        <f t="shared" si="11"/>
        <v>1441817.1199999999</v>
      </c>
      <c r="H66" s="330">
        <f t="shared" si="11"/>
        <v>124757.02</v>
      </c>
      <c r="I66" s="330">
        <f t="shared" si="11"/>
        <v>54025672.010000005</v>
      </c>
    </row>
    <row r="67" spans="1:9" x14ac:dyDescent="0.25">
      <c r="D67" s="328"/>
    </row>
    <row r="69" spans="1:9" x14ac:dyDescent="0.25">
      <c r="A69" s="318" t="s">
        <v>196</v>
      </c>
      <c r="B69" s="332">
        <f>B21</f>
        <v>332596</v>
      </c>
      <c r="C69" s="332">
        <f t="shared" ref="C69:H69" si="12">C21</f>
        <v>20384</v>
      </c>
      <c r="D69" s="332">
        <f t="shared" si="12"/>
        <v>4758</v>
      </c>
      <c r="E69" s="332">
        <f t="shared" si="12"/>
        <v>52</v>
      </c>
      <c r="F69" s="332">
        <f t="shared" si="12"/>
        <v>36</v>
      </c>
      <c r="G69" s="332">
        <f t="shared" si="12"/>
        <v>0</v>
      </c>
      <c r="H69" s="332">
        <f t="shared" si="12"/>
        <v>72</v>
      </c>
      <c r="I69" s="328">
        <f>SUM(B69:H69)</f>
        <v>357898</v>
      </c>
    </row>
    <row r="70" spans="1:9" x14ac:dyDescent="0.25">
      <c r="A70" s="318" t="s">
        <v>197</v>
      </c>
      <c r="B70" s="332">
        <f>B36</f>
        <v>334594628</v>
      </c>
      <c r="C70" s="332">
        <f t="shared" ref="C70:H70" si="13">C36</f>
        <v>24557917</v>
      </c>
      <c r="D70" s="332">
        <f t="shared" si="13"/>
        <v>72854700</v>
      </c>
      <c r="E70" s="332">
        <f t="shared" si="13"/>
        <v>668885</v>
      </c>
      <c r="F70" s="332">
        <f t="shared" si="13"/>
        <v>6686242</v>
      </c>
      <c r="G70" s="332">
        <f t="shared" si="13"/>
        <v>9737149</v>
      </c>
      <c r="H70" s="332">
        <f t="shared" si="13"/>
        <v>1045113</v>
      </c>
      <c r="I70" s="328">
        <f>SUM(B70:H70)</f>
        <v>450144634</v>
      </c>
    </row>
    <row r="71" spans="1:9" x14ac:dyDescent="0.25">
      <c r="A71" s="318" t="s">
        <v>198</v>
      </c>
      <c r="B71" s="332">
        <f>B51</f>
        <v>0</v>
      </c>
      <c r="C71" s="332">
        <f t="shared" ref="C71:H71" si="14">C51</f>
        <v>0</v>
      </c>
      <c r="D71" s="332">
        <f t="shared" si="14"/>
        <v>266349.90999999997</v>
      </c>
      <c r="E71" s="332">
        <f t="shared" si="14"/>
        <v>2328.1480000000006</v>
      </c>
      <c r="F71" s="332">
        <f t="shared" si="14"/>
        <v>32295.3</v>
      </c>
      <c r="G71" s="332">
        <f t="shared" si="14"/>
        <v>0</v>
      </c>
      <c r="H71" s="332">
        <f t="shared" si="14"/>
        <v>0</v>
      </c>
      <c r="I71" s="328">
        <f>SUM(B71:H71)</f>
        <v>300973.35799999995</v>
      </c>
    </row>
    <row r="72" spans="1:9" x14ac:dyDescent="0.25">
      <c r="A72" s="318" t="s">
        <v>199</v>
      </c>
      <c r="B72" s="332">
        <f>B66</f>
        <v>40017423.410000004</v>
      </c>
      <c r="C72" s="332">
        <f t="shared" ref="C72:H72" si="15">C66</f>
        <v>3175580.3999999994</v>
      </c>
      <c r="D72" s="332">
        <f t="shared" si="15"/>
        <v>8386897.79</v>
      </c>
      <c r="E72" s="332">
        <f t="shared" si="15"/>
        <v>76771.260000000009</v>
      </c>
      <c r="F72" s="332">
        <f t="shared" si="15"/>
        <v>802425.00999999989</v>
      </c>
      <c r="G72" s="332">
        <f t="shared" si="15"/>
        <v>1441817.1199999999</v>
      </c>
      <c r="H72" s="332">
        <f t="shared" si="15"/>
        <v>124757.02</v>
      </c>
      <c r="I72" s="328">
        <f>SUM(B72:H72)</f>
        <v>54025672.009999998</v>
      </c>
    </row>
    <row r="73" spans="1:9" ht="12.75" x14ac:dyDescent="0.2">
      <c r="A73"/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22"/>
  <sheetViews>
    <sheetView workbookViewId="0">
      <selection activeCell="D18" sqref="D18"/>
    </sheetView>
  </sheetViews>
  <sheetFormatPr defaultRowHeight="15" x14ac:dyDescent="0.25"/>
  <cols>
    <col min="1" max="1" width="34.7109375" bestFit="1" customWidth="1"/>
    <col min="2" max="2" width="10.7109375" bestFit="1" customWidth="1"/>
    <col min="3" max="3" width="13.5703125" style="339" bestFit="1" customWidth="1"/>
    <col min="4" max="5" width="12.5703125" style="314" bestFit="1" customWidth="1"/>
    <col min="6" max="6" width="12.5703125" style="328" bestFit="1" customWidth="1"/>
    <col min="7" max="8" width="12.5703125" style="314" bestFit="1" customWidth="1"/>
    <col min="9" max="9" width="12.5703125" style="328" bestFit="1" customWidth="1"/>
    <col min="10" max="11" width="12.5703125" style="314" bestFit="1" customWidth="1"/>
    <col min="12" max="12" width="12.5703125" style="328" bestFit="1" customWidth="1"/>
    <col min="13" max="14" width="12.5703125" style="314" bestFit="1" customWidth="1"/>
    <col min="15" max="15" width="12.5703125" style="328" bestFit="1" customWidth="1"/>
    <col min="16" max="16" width="14" bestFit="1" customWidth="1"/>
    <col min="17" max="17" width="12.28515625" bestFit="1" customWidth="1"/>
    <col min="18" max="18" width="14.28515625" bestFit="1" customWidth="1"/>
  </cols>
  <sheetData>
    <row r="1" spans="1:18" x14ac:dyDescent="0.25">
      <c r="A1" s="339" t="s">
        <v>204</v>
      </c>
      <c r="B1" s="339"/>
    </row>
    <row r="2" spans="1:18" x14ac:dyDescent="0.25">
      <c r="A2" s="340" t="s">
        <v>205</v>
      </c>
      <c r="B2" s="340"/>
      <c r="C2" s="340"/>
    </row>
    <row r="3" spans="1:18" x14ac:dyDescent="0.25">
      <c r="A3" s="339" t="s">
        <v>206</v>
      </c>
      <c r="B3" s="339"/>
    </row>
    <row r="4" spans="1:18" x14ac:dyDescent="0.25">
      <c r="A4" s="339"/>
      <c r="B4" s="339"/>
    </row>
    <row r="5" spans="1:18" x14ac:dyDescent="0.25">
      <c r="A5" s="341" t="s">
        <v>207</v>
      </c>
      <c r="B5" s="341"/>
      <c r="C5" s="341"/>
    </row>
    <row r="6" spans="1:18" x14ac:dyDescent="0.25">
      <c r="A6" s="339"/>
      <c r="B6" s="342" t="s">
        <v>208</v>
      </c>
      <c r="C6" s="343"/>
      <c r="D6" s="344" t="s">
        <v>179</v>
      </c>
      <c r="E6" s="344" t="s">
        <v>180</v>
      </c>
      <c r="F6" s="345" t="s">
        <v>181</v>
      </c>
      <c r="G6" s="344" t="s">
        <v>182</v>
      </c>
      <c r="H6" s="344" t="s">
        <v>183</v>
      </c>
      <c r="I6" s="345" t="s">
        <v>184</v>
      </c>
      <c r="J6" s="344" t="s">
        <v>185</v>
      </c>
      <c r="K6" s="344" t="s">
        <v>186</v>
      </c>
      <c r="L6" s="345" t="s">
        <v>187</v>
      </c>
      <c r="M6" s="344" t="s">
        <v>188</v>
      </c>
      <c r="N6" s="344" t="s">
        <v>189</v>
      </c>
      <c r="O6" s="345" t="s">
        <v>190</v>
      </c>
      <c r="P6" s="346" t="s">
        <v>86</v>
      </c>
      <c r="Q6" s="346" t="s">
        <v>168</v>
      </c>
      <c r="R6" s="346" t="s">
        <v>225</v>
      </c>
    </row>
    <row r="7" spans="1:18" x14ac:dyDescent="0.25">
      <c r="A7" s="339" t="s">
        <v>209</v>
      </c>
      <c r="B7" s="347">
        <v>10.93</v>
      </c>
      <c r="C7" s="343" t="s">
        <v>210</v>
      </c>
      <c r="D7" s="348">
        <v>8993</v>
      </c>
      <c r="E7" s="348">
        <v>8989</v>
      </c>
      <c r="F7" s="348">
        <v>8991</v>
      </c>
      <c r="G7" s="348">
        <v>8997</v>
      </c>
      <c r="H7" s="348">
        <v>9019</v>
      </c>
      <c r="I7" s="348">
        <v>9010</v>
      </c>
      <c r="J7" s="348">
        <v>9002</v>
      </c>
      <c r="K7" s="348">
        <v>8998</v>
      </c>
      <c r="L7" s="348">
        <v>8999</v>
      </c>
      <c r="M7" s="348">
        <v>9035</v>
      </c>
      <c r="N7" s="348">
        <v>9048</v>
      </c>
      <c r="O7" s="348">
        <v>9062</v>
      </c>
      <c r="P7" s="349">
        <f>SUM(D7:O7)</f>
        <v>108143</v>
      </c>
      <c r="Q7" s="349">
        <f>P7/12</f>
        <v>9011.9166666666661</v>
      </c>
      <c r="R7" s="362">
        <f>P7*B7</f>
        <v>1182002.99</v>
      </c>
    </row>
    <row r="8" spans="1:18" x14ac:dyDescent="0.25">
      <c r="A8" s="350" t="s">
        <v>211</v>
      </c>
      <c r="B8" s="351">
        <v>16.420000000000002</v>
      </c>
      <c r="C8" s="352" t="s">
        <v>212</v>
      </c>
      <c r="D8" s="353">
        <v>1150</v>
      </c>
      <c r="E8" s="353">
        <v>1134</v>
      </c>
      <c r="F8" s="353">
        <v>1141</v>
      </c>
      <c r="G8" s="353">
        <v>1140</v>
      </c>
      <c r="H8" s="353">
        <v>1135</v>
      </c>
      <c r="I8" s="353">
        <v>1148</v>
      </c>
      <c r="J8" s="353">
        <v>1147</v>
      </c>
      <c r="K8" s="353">
        <v>1141</v>
      </c>
      <c r="L8" s="353">
        <v>1138</v>
      </c>
      <c r="M8" s="353">
        <v>1143</v>
      </c>
      <c r="N8" s="353">
        <v>1145</v>
      </c>
      <c r="O8" s="353">
        <v>1144</v>
      </c>
      <c r="P8" s="349">
        <f>SUM(D8:O8)</f>
        <v>13706</v>
      </c>
      <c r="Q8" s="349">
        <f>P8/12</f>
        <v>1142.1666666666667</v>
      </c>
      <c r="R8" s="362">
        <f>P8*B8</f>
        <v>225052.52000000002</v>
      </c>
    </row>
    <row r="9" spans="1:18" x14ac:dyDescent="0.25">
      <c r="A9" s="350" t="s">
        <v>213</v>
      </c>
      <c r="B9" s="351">
        <v>4.7699999999999996</v>
      </c>
      <c r="C9" s="352" t="s">
        <v>214</v>
      </c>
      <c r="D9" s="353">
        <v>68</v>
      </c>
      <c r="E9" s="353">
        <v>67</v>
      </c>
      <c r="F9" s="353">
        <v>67</v>
      </c>
      <c r="G9" s="353">
        <v>66</v>
      </c>
      <c r="H9" s="353">
        <v>66</v>
      </c>
      <c r="I9" s="353">
        <v>68</v>
      </c>
      <c r="J9" s="353">
        <v>67</v>
      </c>
      <c r="K9" s="353">
        <v>67</v>
      </c>
      <c r="L9" s="353">
        <v>68</v>
      </c>
      <c r="M9" s="353">
        <v>68</v>
      </c>
      <c r="N9" s="353">
        <v>67</v>
      </c>
      <c r="O9" s="353">
        <v>67</v>
      </c>
      <c r="P9" s="349">
        <f>SUM(D9:O9)</f>
        <v>806</v>
      </c>
      <c r="Q9" s="349">
        <f>P9/12</f>
        <v>67.166666666666671</v>
      </c>
      <c r="R9" s="362">
        <f>P9*B9</f>
        <v>3844.6199999999994</v>
      </c>
    </row>
    <row r="10" spans="1:18" x14ac:dyDescent="0.25">
      <c r="A10" s="350" t="s">
        <v>215</v>
      </c>
      <c r="B10" s="351">
        <v>4.7699999999999996</v>
      </c>
      <c r="C10" s="352" t="s">
        <v>216</v>
      </c>
      <c r="D10" s="353">
        <v>147</v>
      </c>
      <c r="E10" s="353">
        <v>147</v>
      </c>
      <c r="F10" s="353">
        <v>147</v>
      </c>
      <c r="G10" s="353">
        <v>147</v>
      </c>
      <c r="H10" s="353">
        <v>147</v>
      </c>
      <c r="I10" s="353">
        <v>148</v>
      </c>
      <c r="J10" s="353">
        <v>148</v>
      </c>
      <c r="K10" s="353">
        <v>148</v>
      </c>
      <c r="L10" s="353">
        <v>148</v>
      </c>
      <c r="M10" s="353">
        <v>148</v>
      </c>
      <c r="N10" s="353">
        <v>148</v>
      </c>
      <c r="O10" s="353">
        <v>148</v>
      </c>
      <c r="P10" s="349">
        <f>SUM(D10:O10)</f>
        <v>1771</v>
      </c>
      <c r="Q10" s="349">
        <f>P10/12</f>
        <v>147.58333333333334</v>
      </c>
      <c r="R10" s="362">
        <f>P10*B10</f>
        <v>8447.67</v>
      </c>
    </row>
    <row r="11" spans="1:18" x14ac:dyDescent="0.25">
      <c r="B11" s="354"/>
      <c r="C11" s="343"/>
      <c r="P11" s="328"/>
      <c r="Q11" s="328"/>
    </row>
    <row r="12" spans="1:18" x14ac:dyDescent="0.25">
      <c r="A12" s="341" t="s">
        <v>217</v>
      </c>
      <c r="B12" s="355"/>
      <c r="C12" s="356"/>
      <c r="P12" s="328"/>
      <c r="Q12" s="328"/>
    </row>
    <row r="13" spans="1:18" x14ac:dyDescent="0.25">
      <c r="C13" s="343"/>
      <c r="D13" s="344" t="s">
        <v>179</v>
      </c>
      <c r="E13" s="344" t="s">
        <v>180</v>
      </c>
      <c r="F13" s="345" t="s">
        <v>181</v>
      </c>
      <c r="G13" s="344" t="s">
        <v>182</v>
      </c>
      <c r="H13" s="344" t="s">
        <v>183</v>
      </c>
      <c r="I13" s="345" t="s">
        <v>184</v>
      </c>
      <c r="J13" s="344" t="s">
        <v>185</v>
      </c>
      <c r="K13" s="344" t="s">
        <v>186</v>
      </c>
      <c r="L13" s="345" t="s">
        <v>187</v>
      </c>
      <c r="M13" s="344" t="s">
        <v>188</v>
      </c>
      <c r="N13" s="344" t="s">
        <v>189</v>
      </c>
      <c r="O13" s="345" t="s">
        <v>190</v>
      </c>
      <c r="P13" s="346" t="s">
        <v>86</v>
      </c>
      <c r="Q13" s="346" t="s">
        <v>168</v>
      </c>
      <c r="R13" s="346" t="s">
        <v>225</v>
      </c>
    </row>
    <row r="14" spans="1:18" x14ac:dyDescent="0.25">
      <c r="A14" s="339" t="s">
        <v>218</v>
      </c>
      <c r="B14" s="351">
        <v>9.98</v>
      </c>
      <c r="C14" s="343" t="s">
        <v>219</v>
      </c>
      <c r="D14" s="348">
        <v>427</v>
      </c>
      <c r="E14" s="348">
        <v>427</v>
      </c>
      <c r="F14" s="348">
        <v>427</v>
      </c>
      <c r="G14" s="348">
        <v>426</v>
      </c>
      <c r="H14" s="348">
        <v>426</v>
      </c>
      <c r="I14" s="348">
        <v>426</v>
      </c>
      <c r="J14" s="348">
        <v>426</v>
      </c>
      <c r="K14" s="348">
        <v>430</v>
      </c>
      <c r="L14" s="348">
        <v>430</v>
      </c>
      <c r="M14" s="348">
        <v>431</v>
      </c>
      <c r="N14" s="348">
        <v>431</v>
      </c>
      <c r="O14" s="348">
        <v>431</v>
      </c>
      <c r="P14" s="349">
        <f>SUM(D14:O14)</f>
        <v>5138</v>
      </c>
      <c r="Q14" s="349">
        <f t="shared" ref="Q14:Q19" si="0">P14/12</f>
        <v>428.16666666666669</v>
      </c>
      <c r="R14" s="362">
        <f>P14*B14</f>
        <v>51277.240000000005</v>
      </c>
    </row>
    <row r="15" spans="1:18" x14ac:dyDescent="0.25">
      <c r="A15" s="339" t="s">
        <v>220</v>
      </c>
      <c r="B15" s="351">
        <v>15.72</v>
      </c>
      <c r="C15" s="343" t="s">
        <v>221</v>
      </c>
      <c r="D15" s="357">
        <v>369</v>
      </c>
      <c r="E15" s="357">
        <v>369</v>
      </c>
      <c r="F15" s="357">
        <v>369</v>
      </c>
      <c r="G15" s="357">
        <v>369</v>
      </c>
      <c r="H15" s="357">
        <v>370</v>
      </c>
      <c r="I15" s="357">
        <v>369</v>
      </c>
      <c r="J15" s="357">
        <v>369</v>
      </c>
      <c r="K15" s="357">
        <v>371</v>
      </c>
      <c r="L15" s="357">
        <v>371</v>
      </c>
      <c r="M15" s="357">
        <v>370</v>
      </c>
      <c r="N15" s="357">
        <v>370</v>
      </c>
      <c r="O15" s="357">
        <v>370</v>
      </c>
      <c r="P15" s="349">
        <f>SUM(D15:O15)</f>
        <v>4436</v>
      </c>
      <c r="Q15" s="349">
        <f t="shared" si="0"/>
        <v>369.66666666666669</v>
      </c>
      <c r="R15" s="362">
        <f>P15*B15</f>
        <v>69733.919999999998</v>
      </c>
    </row>
    <row r="16" spans="1:18" x14ac:dyDescent="0.25">
      <c r="C16" s="343"/>
      <c r="D16" s="358"/>
      <c r="E16" s="358"/>
      <c r="G16" s="358"/>
      <c r="H16" s="358"/>
      <c r="J16" s="358"/>
      <c r="K16" s="358"/>
      <c r="M16" s="358"/>
      <c r="N16" s="358"/>
      <c r="P16" s="328"/>
      <c r="Q16" s="328"/>
    </row>
    <row r="17" spans="1:18" x14ac:dyDescent="0.25">
      <c r="A17" s="359" t="s">
        <v>222</v>
      </c>
      <c r="B17" s="359"/>
      <c r="C17" s="343"/>
      <c r="D17" s="360">
        <f t="shared" ref="D17:O17" si="1">SUM(D14:D16)+SUM(D7:D10)</f>
        <v>11154</v>
      </c>
      <c r="E17" s="360">
        <f t="shared" si="1"/>
        <v>11133</v>
      </c>
      <c r="F17" s="360">
        <f t="shared" si="1"/>
        <v>11142</v>
      </c>
      <c r="G17" s="360">
        <f t="shared" si="1"/>
        <v>11145</v>
      </c>
      <c r="H17" s="360">
        <f t="shared" si="1"/>
        <v>11163</v>
      </c>
      <c r="I17" s="360">
        <f t="shared" si="1"/>
        <v>11169</v>
      </c>
      <c r="J17" s="360">
        <f t="shared" si="1"/>
        <v>11159</v>
      </c>
      <c r="K17" s="360">
        <f t="shared" si="1"/>
        <v>11155</v>
      </c>
      <c r="L17" s="360">
        <f t="shared" si="1"/>
        <v>11154</v>
      </c>
      <c r="M17" s="360">
        <f t="shared" si="1"/>
        <v>11195</v>
      </c>
      <c r="N17" s="360">
        <f t="shared" si="1"/>
        <v>11209</v>
      </c>
      <c r="O17" s="360">
        <f t="shared" si="1"/>
        <v>11222</v>
      </c>
      <c r="P17" s="349">
        <f>SUM(D17:O17)</f>
        <v>134000</v>
      </c>
      <c r="Q17" s="349">
        <f t="shared" si="0"/>
        <v>11166.666666666666</v>
      </c>
    </row>
    <row r="18" spans="1:18" x14ac:dyDescent="0.25">
      <c r="A18" s="359" t="s">
        <v>223</v>
      </c>
      <c r="B18" s="359"/>
      <c r="C18" s="343"/>
      <c r="D18" s="345">
        <v>897110</v>
      </c>
      <c r="E18" s="345">
        <v>896569</v>
      </c>
      <c r="F18" s="345">
        <v>897323</v>
      </c>
      <c r="G18" s="345">
        <v>897278</v>
      </c>
      <c r="H18" s="345">
        <v>898948</v>
      </c>
      <c r="I18" s="345">
        <v>897953</v>
      </c>
      <c r="J18" s="345">
        <v>899372</v>
      </c>
      <c r="K18" s="345">
        <v>897921</v>
      </c>
      <c r="L18" s="345">
        <v>898095</v>
      </c>
      <c r="M18" s="345">
        <v>899837</v>
      </c>
      <c r="N18" s="345">
        <v>900776</v>
      </c>
      <c r="O18" s="345">
        <v>902281</v>
      </c>
      <c r="P18" s="349">
        <f>SUM(D18:O18)</f>
        <v>10783463</v>
      </c>
      <c r="Q18" s="349">
        <f t="shared" si="0"/>
        <v>898621.91666666663</v>
      </c>
    </row>
    <row r="19" spans="1:18" x14ac:dyDescent="0.25">
      <c r="A19" s="359" t="s">
        <v>224</v>
      </c>
      <c r="B19" s="359"/>
      <c r="C19" s="359"/>
      <c r="D19" s="361">
        <v>129923.65</v>
      </c>
      <c r="E19" s="361">
        <v>129832.72</v>
      </c>
      <c r="F19" s="361">
        <v>130014.69</v>
      </c>
      <c r="G19" s="361">
        <v>129983.75</v>
      </c>
      <c r="H19" s="361">
        <v>130221.38</v>
      </c>
      <c r="I19" s="361">
        <v>130044.28</v>
      </c>
      <c r="J19" s="361">
        <v>130259.63</v>
      </c>
      <c r="K19" s="361">
        <v>130043.15</v>
      </c>
      <c r="L19" s="361">
        <v>130107.62</v>
      </c>
      <c r="M19" s="361">
        <v>130351.12</v>
      </c>
      <c r="N19" s="361">
        <v>130504.82</v>
      </c>
      <c r="O19" s="361">
        <v>130724.23</v>
      </c>
      <c r="P19" s="349">
        <f>SUM(D19:O19)</f>
        <v>1562011.0400000003</v>
      </c>
      <c r="Q19" s="349">
        <f t="shared" si="0"/>
        <v>130167.58666666668</v>
      </c>
      <c r="R19" s="363"/>
    </row>
    <row r="21" spans="1:18" x14ac:dyDescent="0.25">
      <c r="D21" s="364">
        <f>D7*$B7+D8*$B8+D9*$B9+D10*$B10+D14*$B14+D15*$B15</f>
        <v>128264.18</v>
      </c>
      <c r="E21" s="364">
        <f t="shared" ref="E21:Q21" si="2">E7*$B7+E8*$B8+E9*$B9+E10*$B10+E14*$B14+E15*$B15</f>
        <v>127952.97</v>
      </c>
      <c r="F21" s="364">
        <f t="shared" si="2"/>
        <v>128089.77000000002</v>
      </c>
      <c r="G21" s="364">
        <f t="shared" si="2"/>
        <v>128124.18</v>
      </c>
      <c r="H21" s="364">
        <f t="shared" si="2"/>
        <v>128298.26</v>
      </c>
      <c r="I21" s="364">
        <f t="shared" si="2"/>
        <v>128411.94</v>
      </c>
      <c r="J21" s="364">
        <f t="shared" si="2"/>
        <v>128303.31</v>
      </c>
      <c r="K21" s="364">
        <f t="shared" si="2"/>
        <v>128232.43</v>
      </c>
      <c r="L21" s="364">
        <f t="shared" si="2"/>
        <v>128198.87</v>
      </c>
      <c r="M21" s="364">
        <f t="shared" si="2"/>
        <v>128668.71</v>
      </c>
      <c r="N21" s="364">
        <f t="shared" si="2"/>
        <v>128838.87000000001</v>
      </c>
      <c r="O21" s="364">
        <f t="shared" si="2"/>
        <v>128975.47000000002</v>
      </c>
      <c r="P21" s="364">
        <f t="shared" si="2"/>
        <v>1540358.96</v>
      </c>
      <c r="Q21" s="364">
        <f t="shared" si="2"/>
        <v>128363.24666666666</v>
      </c>
    </row>
    <row r="22" spans="1:18" x14ac:dyDescent="0.25">
      <c r="D22" s="364">
        <f>D19-D21</f>
        <v>1659.4700000000012</v>
      </c>
      <c r="E22" s="364">
        <f t="shared" ref="E22:Q22" si="3">E19-E21</f>
        <v>1879.75</v>
      </c>
      <c r="F22" s="364">
        <f t="shared" si="3"/>
        <v>1924.9199999999837</v>
      </c>
      <c r="G22" s="364">
        <f t="shared" si="3"/>
        <v>1859.570000000007</v>
      </c>
      <c r="H22" s="364">
        <f t="shared" si="3"/>
        <v>1923.1200000000099</v>
      </c>
      <c r="I22" s="364">
        <f t="shared" si="3"/>
        <v>1632.3399999999965</v>
      </c>
      <c r="J22" s="364">
        <f t="shared" si="3"/>
        <v>1956.320000000007</v>
      </c>
      <c r="K22" s="364">
        <f t="shared" si="3"/>
        <v>1810.7200000000012</v>
      </c>
      <c r="L22" s="364">
        <f t="shared" si="3"/>
        <v>1908.75</v>
      </c>
      <c r="M22" s="364">
        <f t="shared" si="3"/>
        <v>1682.4099999999889</v>
      </c>
      <c r="N22" s="364">
        <f t="shared" si="3"/>
        <v>1665.9499999999971</v>
      </c>
      <c r="O22" s="364">
        <f t="shared" si="3"/>
        <v>1748.7599999999802</v>
      </c>
      <c r="P22" s="364">
        <f t="shared" si="3"/>
        <v>21652.080000000307</v>
      </c>
      <c r="Q22" s="364">
        <f t="shared" si="3"/>
        <v>1804.3400000000256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1"/>
  <sheetViews>
    <sheetView workbookViewId="0">
      <selection activeCell="E5" sqref="E5"/>
    </sheetView>
  </sheetViews>
  <sheetFormatPr defaultRowHeight="12.75" x14ac:dyDescent="0.2"/>
  <cols>
    <col min="1" max="1" width="6.28515625" customWidth="1"/>
    <col min="2" max="2" width="23" customWidth="1"/>
    <col min="3" max="3" width="9.140625" style="314"/>
  </cols>
  <sheetData>
    <row r="1" spans="1:3" x14ac:dyDescent="0.2">
      <c r="A1" s="312" t="str">
        <f>'Present and Proposed Rates'!A1</f>
        <v>MEADE COUNTY RECC</v>
      </c>
    </row>
    <row r="2" spans="1:3" x14ac:dyDescent="0.2">
      <c r="A2" s="312" t="s">
        <v>173</v>
      </c>
    </row>
    <row r="3" spans="1:3" x14ac:dyDescent="0.2">
      <c r="A3" s="301"/>
    </row>
    <row r="4" spans="1:3" x14ac:dyDescent="0.2">
      <c r="A4" s="301" t="s">
        <v>159</v>
      </c>
      <c r="B4" s="313" t="s">
        <v>5</v>
      </c>
      <c r="C4" s="315" t="s">
        <v>62</v>
      </c>
    </row>
    <row r="5" spans="1:3" x14ac:dyDescent="0.2">
      <c r="A5" s="297">
        <v>1</v>
      </c>
      <c r="B5" s="242" t="s">
        <v>108</v>
      </c>
      <c r="C5" s="301">
        <v>1</v>
      </c>
    </row>
    <row r="6" spans="1:3" x14ac:dyDescent="0.2">
      <c r="A6" s="297">
        <v>2</v>
      </c>
      <c r="B6" s="242" t="s">
        <v>101</v>
      </c>
      <c r="C6" s="301">
        <v>2</v>
      </c>
    </row>
    <row r="7" spans="1:3" x14ac:dyDescent="0.2">
      <c r="A7" s="297">
        <v>3</v>
      </c>
      <c r="B7" s="242" t="s">
        <v>109</v>
      </c>
      <c r="C7" s="301">
        <v>3</v>
      </c>
    </row>
    <row r="8" spans="1:3" x14ac:dyDescent="0.2">
      <c r="A8" s="297">
        <v>4</v>
      </c>
      <c r="B8" s="242" t="s">
        <v>102</v>
      </c>
      <c r="C8" s="301" t="s">
        <v>110</v>
      </c>
    </row>
    <row r="9" spans="1:3" x14ac:dyDescent="0.2">
      <c r="A9" s="297">
        <v>5</v>
      </c>
      <c r="B9" s="242" t="s">
        <v>103</v>
      </c>
      <c r="C9" s="301">
        <v>4</v>
      </c>
    </row>
    <row r="10" spans="1:3" x14ac:dyDescent="0.2">
      <c r="A10" s="297">
        <v>6</v>
      </c>
      <c r="B10" s="242" t="s">
        <v>143</v>
      </c>
      <c r="C10" s="301">
        <v>5</v>
      </c>
    </row>
    <row r="11" spans="1:3" x14ac:dyDescent="0.2">
      <c r="A11" s="297">
        <v>7</v>
      </c>
      <c r="B11" s="242" t="s">
        <v>172</v>
      </c>
      <c r="C11" s="301">
        <v>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1"/>
  <sheetViews>
    <sheetView view="pageBreakPreview" topLeftCell="A10" zoomScale="75" zoomScaleNormal="85" zoomScaleSheetLayoutView="75" workbookViewId="0">
      <selection sqref="A1:C1"/>
    </sheetView>
  </sheetViews>
  <sheetFormatPr defaultRowHeight="15.75" x14ac:dyDescent="0.25"/>
  <cols>
    <col min="1" max="1" width="4.7109375" style="2" customWidth="1"/>
    <col min="2" max="2" width="17.7109375" style="2" customWidth="1"/>
    <col min="3" max="3" width="5.28515625" style="2" customWidth="1"/>
    <col min="4" max="5" width="15" style="2" bestFit="1" customWidth="1"/>
    <col min="6" max="6" width="3.140625" style="2" customWidth="1"/>
    <col min="7" max="7" width="18" style="2" bestFit="1" customWidth="1"/>
    <col min="8" max="8" width="2.85546875" style="2" customWidth="1"/>
    <col min="9" max="9" width="9.85546875" style="2" customWidth="1"/>
    <col min="10" max="10" width="21" style="2" customWidth="1"/>
    <col min="11" max="11" width="10.28515625" style="2" customWidth="1"/>
    <col min="12" max="12" width="18.85546875" style="2" customWidth="1"/>
    <col min="13" max="13" width="15.140625" style="2" customWidth="1"/>
    <col min="14" max="14" width="4.28515625" style="2" customWidth="1"/>
    <col min="15" max="15" width="20.140625" style="2" customWidth="1"/>
    <col min="16" max="18" width="9.140625" style="2"/>
    <col min="19" max="19" width="17" style="2" customWidth="1"/>
    <col min="20" max="16384" width="9.140625" style="2"/>
  </cols>
  <sheetData>
    <row r="1" spans="1:15" x14ac:dyDescent="0.25">
      <c r="A1" s="1" t="s">
        <v>100</v>
      </c>
      <c r="J1" s="1"/>
    </row>
    <row r="2" spans="1:15" x14ac:dyDescent="0.25">
      <c r="A2" s="34" t="str">
        <f>'Present and Proposed Rates'!A10</f>
        <v>Residential</v>
      </c>
      <c r="J2" s="34"/>
      <c r="K2" s="34"/>
      <c r="L2" s="34"/>
      <c r="M2" s="34"/>
      <c r="N2" s="34"/>
      <c r="O2" s="34"/>
    </row>
    <row r="3" spans="1:15" ht="16.5" thickBot="1" x14ac:dyDescent="0.3">
      <c r="A3" s="34">
        <f>'Present and Proposed Rates'!B10</f>
        <v>1</v>
      </c>
      <c r="B3" s="34"/>
      <c r="C3" s="34"/>
      <c r="J3" s="34"/>
      <c r="K3" s="34"/>
      <c r="L3" s="34"/>
      <c r="M3" s="34"/>
      <c r="N3" s="34"/>
      <c r="O3" s="34"/>
    </row>
    <row r="4" spans="1:15" x14ac:dyDescent="0.25">
      <c r="A4" s="34"/>
      <c r="B4" s="34"/>
      <c r="C4" s="34"/>
      <c r="D4" s="394" t="s">
        <v>32</v>
      </c>
      <c r="E4" s="395"/>
      <c r="F4" s="395"/>
      <c r="G4" s="396"/>
      <c r="H4" s="223"/>
      <c r="I4" s="34"/>
      <c r="J4" s="34"/>
      <c r="K4" s="34"/>
      <c r="L4" s="394" t="s">
        <v>98</v>
      </c>
      <c r="M4" s="395"/>
      <c r="N4" s="395"/>
      <c r="O4" s="396"/>
    </row>
    <row r="5" spans="1:15" ht="16.5" thickBot="1" x14ac:dyDescent="0.3">
      <c r="A5" s="57"/>
      <c r="B5" s="117"/>
      <c r="C5" s="381"/>
      <c r="D5" s="397"/>
      <c r="E5" s="398"/>
      <c r="F5" s="398"/>
      <c r="G5" s="399"/>
      <c r="H5" s="223"/>
      <c r="I5" s="57"/>
      <c r="J5" s="117"/>
      <c r="K5" s="381"/>
      <c r="L5" s="397"/>
      <c r="M5" s="398"/>
      <c r="N5" s="398"/>
      <c r="O5" s="399"/>
    </row>
    <row r="6" spans="1:15" x14ac:dyDescent="0.25">
      <c r="A6" s="4"/>
      <c r="B6" s="4"/>
      <c r="C6" s="4"/>
      <c r="D6" s="4" t="s">
        <v>1</v>
      </c>
      <c r="E6" s="4"/>
      <c r="F6" s="4"/>
      <c r="G6" s="4" t="s">
        <v>2</v>
      </c>
      <c r="H6" s="224"/>
      <c r="I6" s="4"/>
      <c r="J6" s="4"/>
      <c r="K6" s="4"/>
      <c r="L6" s="4" t="s">
        <v>1</v>
      </c>
      <c r="M6" s="4"/>
      <c r="N6" s="4"/>
      <c r="O6" s="4" t="s">
        <v>2</v>
      </c>
    </row>
    <row r="7" spans="1:15" ht="16.5" thickBot="1" x14ac:dyDescent="0.3">
      <c r="A7" s="5"/>
      <c r="B7" s="5"/>
      <c r="C7" s="5"/>
      <c r="D7" s="5" t="s">
        <v>4</v>
      </c>
      <c r="E7" s="400" t="s">
        <v>5</v>
      </c>
      <c r="F7" s="400"/>
      <c r="G7" s="5" t="s">
        <v>6</v>
      </c>
      <c r="H7" s="225"/>
      <c r="I7" s="5"/>
      <c r="J7" s="5"/>
      <c r="K7" s="5"/>
      <c r="L7" s="5" t="s">
        <v>4</v>
      </c>
      <c r="M7" s="400" t="s">
        <v>5</v>
      </c>
      <c r="N7" s="400"/>
      <c r="O7" s="5" t="s">
        <v>6</v>
      </c>
    </row>
    <row r="8" spans="1:15" x14ac:dyDescent="0.25">
      <c r="H8" s="226"/>
    </row>
    <row r="9" spans="1:15" x14ac:dyDescent="0.25">
      <c r="H9" s="226"/>
    </row>
    <row r="10" spans="1:15" x14ac:dyDescent="0.25">
      <c r="A10" s="167" t="s">
        <v>10</v>
      </c>
      <c r="H10" s="226"/>
      <c r="I10" s="167" t="s">
        <v>10</v>
      </c>
    </row>
    <row r="11" spans="1:15" x14ac:dyDescent="0.25">
      <c r="D11" s="211" t="s">
        <v>122</v>
      </c>
      <c r="E11" s="211" t="s">
        <v>104</v>
      </c>
      <c r="H11" s="226"/>
      <c r="L11" s="211" t="s">
        <v>122</v>
      </c>
      <c r="M11" s="211" t="s">
        <v>104</v>
      </c>
    </row>
    <row r="12" spans="1:15" x14ac:dyDescent="0.25">
      <c r="B12" s="2" t="s">
        <v>105</v>
      </c>
      <c r="D12" s="39">
        <f>BillDet!B21</f>
        <v>332596</v>
      </c>
      <c r="E12" s="208">
        <f>'Present and Proposed Rates'!F10</f>
        <v>0.57199999999999995</v>
      </c>
      <c r="G12" s="11">
        <f>D12*E12*360/12</f>
        <v>5707347.3599999994</v>
      </c>
      <c r="H12" s="227"/>
      <c r="J12" s="2" t="s">
        <v>105</v>
      </c>
      <c r="L12" s="39">
        <f>D12</f>
        <v>332596</v>
      </c>
      <c r="M12" s="208">
        <f>'Present and Proposed Rates'!G10</f>
        <v>0.70299999999999996</v>
      </c>
      <c r="O12" s="11">
        <f>L12*M12*365/12</f>
        <v>7111872.5516666658</v>
      </c>
    </row>
    <row r="13" spans="1:15" x14ac:dyDescent="0.25">
      <c r="D13" s="39"/>
      <c r="E13" s="9"/>
      <c r="G13" s="11"/>
      <c r="H13" s="227"/>
      <c r="L13" s="39"/>
      <c r="M13" s="9"/>
      <c r="O13" s="11"/>
    </row>
    <row r="14" spans="1:15" x14ac:dyDescent="0.25">
      <c r="D14" s="8"/>
      <c r="G14" s="11"/>
      <c r="H14" s="227"/>
      <c r="L14" s="8"/>
      <c r="O14" s="11"/>
    </row>
    <row r="15" spans="1:15" x14ac:dyDescent="0.25">
      <c r="A15" s="1" t="s">
        <v>7</v>
      </c>
      <c r="D15" s="8"/>
      <c r="G15" s="11"/>
      <c r="H15" s="227"/>
      <c r="I15" s="1" t="s">
        <v>7</v>
      </c>
      <c r="L15" s="8"/>
      <c r="O15" s="11"/>
    </row>
    <row r="16" spans="1:15" x14ac:dyDescent="0.25">
      <c r="D16" s="201" t="s">
        <v>8</v>
      </c>
      <c r="E16" s="202" t="s">
        <v>11</v>
      </c>
      <c r="G16" s="11"/>
      <c r="H16" s="227"/>
      <c r="L16" s="201" t="s">
        <v>8</v>
      </c>
      <c r="M16" s="202" t="s">
        <v>11</v>
      </c>
      <c r="O16" s="11"/>
    </row>
    <row r="17" spans="1:15" x14ac:dyDescent="0.25">
      <c r="B17" s="2" t="s">
        <v>105</v>
      </c>
      <c r="D17" s="39">
        <f>BillDet!B36</f>
        <v>334594628</v>
      </c>
      <c r="E17" s="207">
        <f>'Present and Proposed Rates'!F11</f>
        <v>9.7665000000000002E-2</v>
      </c>
      <c r="F17" s="19"/>
      <c r="G17" s="18">
        <f>D17*E17</f>
        <v>32678184.343620002</v>
      </c>
      <c r="H17" s="227"/>
      <c r="J17" s="2" t="s">
        <v>105</v>
      </c>
      <c r="L17" s="39">
        <f>D17</f>
        <v>334594628</v>
      </c>
      <c r="M17" s="207">
        <f>'Present and Proposed Rates'!G11</f>
        <v>9.7665000000000002E-2</v>
      </c>
      <c r="O17" s="18">
        <f>L17*M17</f>
        <v>32678184.343620002</v>
      </c>
    </row>
    <row r="18" spans="1:15" x14ac:dyDescent="0.25">
      <c r="B18" s="19"/>
      <c r="C18" s="19"/>
      <c r="D18" s="39"/>
      <c r="E18" s="40"/>
      <c r="F18" s="19"/>
      <c r="G18" s="18"/>
      <c r="H18" s="227"/>
      <c r="J18" s="19"/>
      <c r="K18" s="19"/>
      <c r="L18" s="39"/>
      <c r="M18" s="40"/>
      <c r="O18" s="18"/>
    </row>
    <row r="19" spans="1:15" x14ac:dyDescent="0.25">
      <c r="A19" s="1" t="s">
        <v>106</v>
      </c>
      <c r="B19" s="19"/>
      <c r="C19" s="19"/>
      <c r="D19" s="39"/>
      <c r="E19" s="40"/>
      <c r="F19" s="19"/>
      <c r="G19" s="18"/>
      <c r="H19" s="227"/>
      <c r="I19" s="1" t="s">
        <v>106</v>
      </c>
      <c r="J19" s="19"/>
      <c r="K19" s="19"/>
      <c r="L19" s="39"/>
      <c r="M19" s="40"/>
      <c r="O19" s="18"/>
    </row>
    <row r="20" spans="1:15" x14ac:dyDescent="0.25">
      <c r="B20" s="2" t="s">
        <v>127</v>
      </c>
      <c r="C20" s="19"/>
      <c r="D20" s="39"/>
      <c r="E20" s="40"/>
      <c r="F20" s="19"/>
      <c r="G20" s="18">
        <v>274419.18000000005</v>
      </c>
      <c r="H20" s="227"/>
      <c r="J20" s="2" t="str">
        <f>B20</f>
        <v>Fuel Adjustment Clause</v>
      </c>
      <c r="K20" s="19"/>
      <c r="L20" s="39"/>
      <c r="M20" s="40"/>
      <c r="O20" s="18">
        <f>G20</f>
        <v>274419.18000000005</v>
      </c>
    </row>
    <row r="21" spans="1:15" x14ac:dyDescent="0.25">
      <c r="B21" s="2" t="s">
        <v>123</v>
      </c>
      <c r="C21" s="19"/>
      <c r="D21" s="39"/>
      <c r="E21" s="40"/>
      <c r="F21" s="19"/>
      <c r="G21" s="18">
        <v>2497473.9300000002</v>
      </c>
      <c r="H21" s="227"/>
      <c r="J21" s="2" t="str">
        <f t="shared" ref="J21:J25" si="0">B21</f>
        <v>Environmental Surcharge</v>
      </c>
      <c r="K21" s="19"/>
      <c r="L21" s="39"/>
      <c r="M21" s="40"/>
      <c r="O21" s="18">
        <f t="shared" ref="O21:O25" si="1">G21</f>
        <v>2497473.9300000002</v>
      </c>
    </row>
    <row r="22" spans="1:15" x14ac:dyDescent="0.25">
      <c r="B22" s="2" t="s">
        <v>124</v>
      </c>
      <c r="C22" s="19"/>
      <c r="D22" s="39"/>
      <c r="E22" s="40"/>
      <c r="F22" s="19"/>
      <c r="G22" s="18">
        <v>-1780848.8900000001</v>
      </c>
      <c r="H22" s="227"/>
      <c r="J22" s="2" t="str">
        <f t="shared" si="0"/>
        <v>Member Rate Stability</v>
      </c>
      <c r="K22" s="19"/>
      <c r="L22" s="39"/>
      <c r="M22" s="40"/>
      <c r="O22" s="18">
        <f t="shared" si="1"/>
        <v>-1780848.8900000001</v>
      </c>
    </row>
    <row r="23" spans="1:15" x14ac:dyDescent="0.25">
      <c r="B23" s="2" t="s">
        <v>125</v>
      </c>
      <c r="C23" s="19"/>
      <c r="D23" s="39"/>
      <c r="E23" s="40"/>
      <c r="F23" s="19"/>
      <c r="G23" s="46">
        <v>641583.87</v>
      </c>
      <c r="H23" s="228"/>
      <c r="J23" s="2" t="str">
        <f t="shared" si="0"/>
        <v>Non-FAC PPA</v>
      </c>
      <c r="K23" s="19"/>
      <c r="L23" s="39"/>
      <c r="M23" s="40"/>
      <c r="O23" s="46">
        <f t="shared" si="1"/>
        <v>641583.87</v>
      </c>
    </row>
    <row r="24" spans="1:15" x14ac:dyDescent="0.25">
      <c r="B24" s="2" t="s">
        <v>126</v>
      </c>
      <c r="C24" s="156"/>
      <c r="D24" s="65"/>
      <c r="E24" s="76"/>
      <c r="F24" s="34"/>
      <c r="G24" s="69">
        <v>-78690.641560769407</v>
      </c>
      <c r="H24" s="229"/>
      <c r="J24" s="2" t="str">
        <f t="shared" si="0"/>
        <v>Unbilled Revenue (Net)</v>
      </c>
      <c r="K24" s="156"/>
      <c r="L24" s="65"/>
      <c r="M24" s="76"/>
      <c r="O24" s="69">
        <f t="shared" si="1"/>
        <v>-78690.641560769407</v>
      </c>
    </row>
    <row r="25" spans="1:15" x14ac:dyDescent="0.25">
      <c r="B25" s="2" t="s">
        <v>200</v>
      </c>
      <c r="C25" s="156"/>
      <c r="D25" s="65"/>
      <c r="E25" s="76"/>
      <c r="F25" s="34"/>
      <c r="G25" s="69">
        <v>-9750.1600000000017</v>
      </c>
      <c r="H25" s="229"/>
      <c r="J25" s="2" t="str">
        <f t="shared" si="0"/>
        <v>Other</v>
      </c>
      <c r="K25" s="156"/>
      <c r="L25" s="65"/>
      <c r="M25" s="76"/>
      <c r="O25" s="69">
        <f t="shared" si="1"/>
        <v>-9750.1600000000017</v>
      </c>
    </row>
    <row r="26" spans="1:15" x14ac:dyDescent="0.25">
      <c r="C26" s="156"/>
      <c r="D26" s="65"/>
      <c r="E26" s="76"/>
      <c r="F26" s="34"/>
      <c r="G26" s="69"/>
      <c r="H26" s="229"/>
      <c r="K26" s="156"/>
      <c r="L26" s="65"/>
      <c r="M26" s="76"/>
      <c r="O26" s="69"/>
    </row>
    <row r="27" spans="1:15" x14ac:dyDescent="0.25">
      <c r="C27" s="156"/>
      <c r="D27" s="65"/>
      <c r="E27" s="76"/>
      <c r="F27" s="34"/>
      <c r="G27" s="69"/>
      <c r="H27" s="229"/>
      <c r="K27" s="156"/>
      <c r="L27" s="65"/>
      <c r="M27" s="76"/>
      <c r="O27" s="69"/>
    </row>
    <row r="28" spans="1:15" x14ac:dyDescent="0.25">
      <c r="C28" s="156"/>
      <c r="D28" s="65"/>
      <c r="E28" s="76"/>
      <c r="F28" s="34"/>
      <c r="G28" s="69"/>
      <c r="H28" s="229"/>
      <c r="K28" s="156"/>
      <c r="L28" s="65"/>
      <c r="M28" s="76"/>
      <c r="O28" s="69"/>
    </row>
    <row r="29" spans="1:15" x14ac:dyDescent="0.25">
      <c r="A29" s="1"/>
      <c r="B29" s="34"/>
      <c r="C29" s="156"/>
      <c r="D29" s="65"/>
      <c r="E29" s="76"/>
      <c r="F29" s="34"/>
      <c r="G29" s="69"/>
      <c r="H29" s="229"/>
      <c r="O29" s="69"/>
    </row>
    <row r="30" spans="1:15" ht="16.5" thickBot="1" x14ac:dyDescent="0.3">
      <c r="A30" s="1" t="s">
        <v>82</v>
      </c>
      <c r="G30" s="29">
        <f>SUM(G12:G29)</f>
        <v>39929718.992059231</v>
      </c>
      <c r="H30" s="227"/>
      <c r="I30" s="1" t="s">
        <v>82</v>
      </c>
      <c r="O30" s="29">
        <f>SUM(O12:O29)</f>
        <v>41334244.183725893</v>
      </c>
    </row>
    <row r="31" spans="1:15" ht="16.5" thickTop="1" x14ac:dyDescent="0.25">
      <c r="A31" s="1"/>
      <c r="B31" s="1"/>
      <c r="G31" s="18"/>
      <c r="H31" s="227"/>
      <c r="I31" s="1"/>
      <c r="J31" s="1"/>
      <c r="O31" s="18"/>
    </row>
    <row r="32" spans="1:15" x14ac:dyDescent="0.25">
      <c r="A32" s="44" t="s">
        <v>19</v>
      </c>
      <c r="B32" s="10"/>
      <c r="G32" s="11">
        <f>BillDet!B66</f>
        <v>40017423.410000004</v>
      </c>
      <c r="H32" s="227"/>
      <c r="I32" s="127" t="s">
        <v>87</v>
      </c>
      <c r="J32" s="10"/>
      <c r="O32" s="37">
        <f>O30-G30</f>
        <v>1404525.1916666627</v>
      </c>
    </row>
    <row r="33" spans="1:15" x14ac:dyDescent="0.25">
      <c r="A33" s="10"/>
      <c r="B33" s="10"/>
      <c r="G33" s="10"/>
      <c r="H33" s="230"/>
      <c r="I33" s="48"/>
      <c r="J33" s="10"/>
      <c r="O33" s="10"/>
    </row>
    <row r="34" spans="1:15" x14ac:dyDescent="0.25">
      <c r="A34" s="44" t="s">
        <v>13</v>
      </c>
      <c r="B34" s="10"/>
      <c r="G34" s="27">
        <f>G30-G32</f>
        <v>-87704.41794077307</v>
      </c>
      <c r="H34" s="231"/>
      <c r="I34" s="127" t="s">
        <v>88</v>
      </c>
      <c r="J34" s="10"/>
      <c r="O34" s="366">
        <f>O32/G30</f>
        <v>3.5174933035365931E-2</v>
      </c>
    </row>
    <row r="35" spans="1:15" x14ac:dyDescent="0.25">
      <c r="A35" s="10"/>
      <c r="B35" s="10"/>
      <c r="G35" s="11"/>
      <c r="H35" s="227"/>
      <c r="I35" s="34"/>
      <c r="J35" s="10"/>
      <c r="O35" s="11"/>
    </row>
    <row r="36" spans="1:15" x14ac:dyDescent="0.25">
      <c r="A36" s="44" t="s">
        <v>28</v>
      </c>
      <c r="B36" s="10"/>
      <c r="G36" s="28">
        <f>G34/G32</f>
        <v>-2.1916557955816941E-3</v>
      </c>
      <c r="H36" s="232"/>
      <c r="I36" s="59" t="s">
        <v>89</v>
      </c>
      <c r="J36" s="10"/>
      <c r="O36" s="45">
        <f>O32/L12</f>
        <v>4.2229166666666549</v>
      </c>
    </row>
    <row r="37" spans="1:15" x14ac:dyDescent="0.25">
      <c r="A37" s="44"/>
      <c r="B37" s="10"/>
      <c r="G37" s="28"/>
      <c r="H37" s="28"/>
      <c r="I37" s="44"/>
      <c r="J37" s="10"/>
      <c r="O37" s="28"/>
    </row>
    <row r="38" spans="1:15" x14ac:dyDescent="0.25">
      <c r="A38" s="44"/>
      <c r="B38" s="10"/>
      <c r="D38" s="14">
        <f>D17/D12</f>
        <v>1006.0091762979711</v>
      </c>
      <c r="G38" s="28"/>
      <c r="H38" s="28"/>
      <c r="I38" s="44"/>
      <c r="J38" s="10"/>
      <c r="O38" s="28"/>
    </row>
    <row r="39" spans="1:15" x14ac:dyDescent="0.25">
      <c r="A39" s="44"/>
      <c r="B39" s="10"/>
      <c r="G39" s="50"/>
      <c r="H39" s="28"/>
      <c r="I39" s="44"/>
      <c r="J39" s="10"/>
      <c r="O39" s="28"/>
    </row>
    <row r="40" spans="1:15" x14ac:dyDescent="0.25">
      <c r="A40" s="44"/>
      <c r="B40" s="10"/>
      <c r="G40" s="213"/>
      <c r="H40" s="28"/>
      <c r="I40" s="44"/>
      <c r="J40" s="10"/>
      <c r="O40" s="28"/>
    </row>
    <row r="41" spans="1:15" x14ac:dyDescent="0.25">
      <c r="A41" s="44"/>
      <c r="B41" s="10"/>
      <c r="G41" s="213"/>
      <c r="H41" s="28"/>
      <c r="I41" s="44"/>
      <c r="J41" s="10"/>
      <c r="O41" s="28"/>
    </row>
    <row r="42" spans="1:15" x14ac:dyDescent="0.25">
      <c r="A42" s="44"/>
      <c r="B42" s="10"/>
      <c r="G42" s="28"/>
      <c r="H42" s="28"/>
      <c r="I42" s="44"/>
      <c r="J42" s="10"/>
      <c r="O42" s="28"/>
    </row>
    <row r="43" spans="1:15" ht="18.75" customHeight="1" x14ac:dyDescent="0.25">
      <c r="A43" s="44"/>
      <c r="B43" s="11"/>
      <c r="G43" s="28"/>
      <c r="H43" s="28"/>
      <c r="J43" s="34"/>
    </row>
    <row r="44" spans="1:15" x14ac:dyDescent="0.25">
      <c r="E44" s="11"/>
      <c r="J44" s="34"/>
    </row>
    <row r="45" spans="1:15" x14ac:dyDescent="0.25">
      <c r="I45" s="53"/>
      <c r="J45" s="53"/>
    </row>
    <row r="46" spans="1:15" x14ac:dyDescent="0.25">
      <c r="I46" s="53"/>
      <c r="J46" s="53"/>
    </row>
    <row r="47" spans="1:15" x14ac:dyDescent="0.25">
      <c r="I47" s="53"/>
      <c r="J47" s="53"/>
    </row>
    <row r="48" spans="1:15" x14ac:dyDescent="0.25">
      <c r="I48" s="53"/>
      <c r="J48" s="110"/>
    </row>
    <row r="49" spans="9:10" x14ac:dyDescent="0.25">
      <c r="I49" s="53"/>
      <c r="J49" s="110"/>
    </row>
    <row r="50" spans="9:10" x14ac:dyDescent="0.25">
      <c r="I50" s="53"/>
      <c r="J50" s="110"/>
    </row>
    <row r="51" spans="9:10" x14ac:dyDescent="0.25">
      <c r="I51" s="53"/>
      <c r="J51" s="110"/>
    </row>
    <row r="52" spans="9:10" x14ac:dyDescent="0.25">
      <c r="I52" s="53"/>
      <c r="J52" s="110"/>
    </row>
    <row r="53" spans="9:10" x14ac:dyDescent="0.25">
      <c r="I53" s="53"/>
      <c r="J53" s="110"/>
    </row>
    <row r="54" spans="9:10" x14ac:dyDescent="0.25">
      <c r="I54" s="53"/>
      <c r="J54" s="110"/>
    </row>
    <row r="55" spans="9:10" x14ac:dyDescent="0.25">
      <c r="I55" s="53"/>
      <c r="J55" s="110"/>
    </row>
    <row r="56" spans="9:10" x14ac:dyDescent="0.25">
      <c r="I56" s="53"/>
      <c r="J56" s="110"/>
    </row>
    <row r="57" spans="9:10" x14ac:dyDescent="0.25">
      <c r="I57" s="53"/>
      <c r="J57" s="110"/>
    </row>
    <row r="58" spans="9:10" ht="16.5" customHeight="1" x14ac:dyDescent="0.25">
      <c r="I58" s="53"/>
      <c r="J58" s="110"/>
    </row>
    <row r="59" spans="9:10" x14ac:dyDescent="0.25">
      <c r="I59" s="53"/>
      <c r="J59" s="110"/>
    </row>
    <row r="60" spans="9:10" x14ac:dyDescent="0.25">
      <c r="I60" s="53"/>
      <c r="J60" s="110"/>
    </row>
    <row r="61" spans="9:10" x14ac:dyDescent="0.25">
      <c r="I61" s="19"/>
      <c r="J61" s="19"/>
    </row>
    <row r="62" spans="9:10" x14ac:dyDescent="0.25">
      <c r="I62" s="19"/>
      <c r="J62" s="19"/>
    </row>
    <row r="63" spans="9:10" x14ac:dyDescent="0.25">
      <c r="I63" s="53"/>
      <c r="J63" s="53"/>
    </row>
    <row r="64" spans="9:10" x14ac:dyDescent="0.25">
      <c r="I64" s="53"/>
      <c r="J64" s="53"/>
    </row>
    <row r="65" spans="9:10" x14ac:dyDescent="0.25">
      <c r="I65" s="53"/>
      <c r="J65" s="53"/>
    </row>
    <row r="66" spans="9:10" x14ac:dyDescent="0.25">
      <c r="I66" s="108"/>
      <c r="J66" s="98"/>
    </row>
    <row r="67" spans="9:10" x14ac:dyDescent="0.25">
      <c r="I67" s="108"/>
      <c r="J67" s="98"/>
    </row>
    <row r="68" spans="9:10" x14ac:dyDescent="0.25">
      <c r="I68" s="108"/>
      <c r="J68" s="98"/>
    </row>
    <row r="69" spans="9:10" x14ac:dyDescent="0.25">
      <c r="I69" s="108"/>
      <c r="J69" s="98"/>
    </row>
    <row r="70" spans="9:10" x14ac:dyDescent="0.25">
      <c r="I70" s="108"/>
      <c r="J70" s="98"/>
    </row>
    <row r="71" spans="9:10" x14ac:dyDescent="0.25">
      <c r="I71" s="108"/>
      <c r="J71" s="98"/>
    </row>
    <row r="72" spans="9:10" x14ac:dyDescent="0.25">
      <c r="I72" s="108"/>
      <c r="J72" s="98"/>
    </row>
    <row r="73" spans="9:10" x14ac:dyDescent="0.25">
      <c r="I73" s="108"/>
      <c r="J73" s="98"/>
    </row>
    <row r="74" spans="9:10" x14ac:dyDescent="0.25">
      <c r="I74" s="108"/>
      <c r="J74" s="98"/>
    </row>
    <row r="75" spans="9:10" x14ac:dyDescent="0.25">
      <c r="I75" s="108"/>
      <c r="J75" s="98"/>
    </row>
    <row r="76" spans="9:10" x14ac:dyDescent="0.25">
      <c r="I76" s="108"/>
      <c r="J76" s="98"/>
    </row>
    <row r="77" spans="9:10" x14ac:dyDescent="0.25">
      <c r="I77" s="108"/>
      <c r="J77" s="98"/>
    </row>
    <row r="78" spans="9:10" x14ac:dyDescent="0.25">
      <c r="I78" s="53"/>
      <c r="J78" s="53"/>
    </row>
    <row r="79" spans="9:10" x14ac:dyDescent="0.25">
      <c r="I79" s="53"/>
      <c r="J79" s="53"/>
    </row>
    <row r="80" spans="9:10" x14ac:dyDescent="0.25">
      <c r="I80" s="53"/>
      <c r="J80" s="53"/>
    </row>
    <row r="81" spans="9:10" x14ac:dyDescent="0.25">
      <c r="I81" s="53"/>
      <c r="J81" s="53"/>
    </row>
    <row r="82" spans="9:10" x14ac:dyDescent="0.25">
      <c r="I82" s="53"/>
      <c r="J82" s="53"/>
    </row>
    <row r="83" spans="9:10" x14ac:dyDescent="0.25">
      <c r="I83" s="53"/>
      <c r="J83" s="53"/>
    </row>
    <row r="84" spans="9:10" x14ac:dyDescent="0.25">
      <c r="I84" s="53"/>
      <c r="J84" s="53"/>
    </row>
    <row r="85" spans="9:10" x14ac:dyDescent="0.25">
      <c r="I85" s="53"/>
      <c r="J85" s="53"/>
    </row>
    <row r="86" spans="9:10" x14ac:dyDescent="0.25">
      <c r="I86" s="53"/>
      <c r="J86" s="53"/>
    </row>
    <row r="87" spans="9:10" x14ac:dyDescent="0.25">
      <c r="I87" s="53"/>
      <c r="J87" s="53"/>
    </row>
    <row r="88" spans="9:10" x14ac:dyDescent="0.25">
      <c r="I88" s="53"/>
      <c r="J88" s="53"/>
    </row>
    <row r="89" spans="9:10" x14ac:dyDescent="0.25">
      <c r="I89" s="53"/>
      <c r="J89" s="53"/>
    </row>
    <row r="90" spans="9:10" x14ac:dyDescent="0.25">
      <c r="I90" s="53"/>
      <c r="J90" s="53"/>
    </row>
    <row r="91" spans="9:10" ht="15" customHeight="1" x14ac:dyDescent="0.25">
      <c r="I91" s="53"/>
      <c r="J91" s="53"/>
    </row>
    <row r="92" spans="9:10" x14ac:dyDescent="0.25">
      <c r="I92" s="53"/>
      <c r="J92" s="53"/>
    </row>
    <row r="93" spans="9:10" x14ac:dyDescent="0.25">
      <c r="I93" s="53"/>
      <c r="J93" s="53"/>
    </row>
    <row r="94" spans="9:10" x14ac:dyDescent="0.25">
      <c r="I94" s="53"/>
      <c r="J94" s="53"/>
    </row>
    <row r="95" spans="9:10" x14ac:dyDescent="0.25">
      <c r="I95" s="53"/>
      <c r="J95" s="53"/>
    </row>
    <row r="96" spans="9:10" x14ac:dyDescent="0.25">
      <c r="I96" s="53"/>
      <c r="J96" s="53"/>
    </row>
    <row r="97" spans="9:10" x14ac:dyDescent="0.25">
      <c r="I97" s="53"/>
      <c r="J97" s="53"/>
    </row>
    <row r="98" spans="9:10" x14ac:dyDescent="0.25">
      <c r="I98" s="53"/>
      <c r="J98" s="53"/>
    </row>
    <row r="99" spans="9:10" x14ac:dyDescent="0.25">
      <c r="I99" s="53"/>
      <c r="J99" s="53"/>
    </row>
    <row r="100" spans="9:10" x14ac:dyDescent="0.25">
      <c r="I100" s="53"/>
      <c r="J100" s="53"/>
    </row>
    <row r="101" spans="9:10" x14ac:dyDescent="0.25">
      <c r="I101" s="53"/>
      <c r="J101" s="53"/>
    </row>
    <row r="102" spans="9:10" x14ac:dyDescent="0.25">
      <c r="I102" s="53"/>
      <c r="J102" s="53"/>
    </row>
    <row r="103" spans="9:10" x14ac:dyDescent="0.25">
      <c r="I103" s="53"/>
      <c r="J103" s="53"/>
    </row>
    <row r="104" spans="9:10" x14ac:dyDescent="0.25">
      <c r="I104" s="53"/>
      <c r="J104" s="53"/>
    </row>
    <row r="105" spans="9:10" x14ac:dyDescent="0.25">
      <c r="I105" s="53"/>
      <c r="J105" s="53"/>
    </row>
    <row r="106" spans="9:10" x14ac:dyDescent="0.25">
      <c r="I106" s="53"/>
      <c r="J106" s="53"/>
    </row>
    <row r="107" spans="9:10" x14ac:dyDescent="0.25">
      <c r="I107" s="53"/>
      <c r="J107" s="53"/>
    </row>
    <row r="108" spans="9:10" x14ac:dyDescent="0.25">
      <c r="I108" s="53"/>
      <c r="J108" s="53"/>
    </row>
    <row r="109" spans="9:10" x14ac:dyDescent="0.25">
      <c r="I109" s="53"/>
      <c r="J109" s="53"/>
    </row>
    <row r="110" spans="9:10" x14ac:dyDescent="0.25">
      <c r="I110" s="53"/>
      <c r="J110" s="53"/>
    </row>
    <row r="111" spans="9:10" x14ac:dyDescent="0.25">
      <c r="I111" s="53"/>
      <c r="J111" s="53"/>
    </row>
    <row r="112" spans="9:10" x14ac:dyDescent="0.25">
      <c r="I112" s="53"/>
      <c r="J112" s="53"/>
    </row>
    <row r="113" spans="9:11" x14ac:dyDescent="0.25">
      <c r="I113" s="53"/>
      <c r="J113" s="53"/>
    </row>
    <row r="114" spans="9:11" x14ac:dyDescent="0.25">
      <c r="I114" s="53"/>
      <c r="J114" s="53"/>
    </row>
    <row r="115" spans="9:11" x14ac:dyDescent="0.25">
      <c r="I115" s="53"/>
      <c r="J115" s="53"/>
    </row>
    <row r="116" spans="9:11" x14ac:dyDescent="0.25">
      <c r="I116" s="53"/>
      <c r="J116" s="53"/>
    </row>
    <row r="117" spans="9:11" x14ac:dyDescent="0.25">
      <c r="I117" s="53"/>
      <c r="J117" s="53"/>
    </row>
    <row r="118" spans="9:11" x14ac:dyDescent="0.25">
      <c r="I118" s="53"/>
      <c r="J118" s="53"/>
    </row>
    <row r="119" spans="9:11" x14ac:dyDescent="0.25">
      <c r="I119" s="53"/>
      <c r="J119" s="53"/>
    </row>
    <row r="120" spans="9:11" x14ac:dyDescent="0.25">
      <c r="I120" s="53"/>
      <c r="J120" s="53"/>
    </row>
    <row r="121" spans="9:11" x14ac:dyDescent="0.25">
      <c r="I121" s="53"/>
      <c r="J121" s="53"/>
    </row>
    <row r="122" spans="9:11" x14ac:dyDescent="0.25">
      <c r="I122" s="53"/>
      <c r="J122" s="53"/>
    </row>
    <row r="123" spans="9:11" x14ac:dyDescent="0.25">
      <c r="I123" s="53"/>
      <c r="J123" s="53"/>
    </row>
    <row r="124" spans="9:11" x14ac:dyDescent="0.25">
      <c r="K124" s="19"/>
    </row>
    <row r="125" spans="9:11" x14ac:dyDescent="0.25">
      <c r="K125" s="19"/>
    </row>
    <row r="126" spans="9:11" x14ac:dyDescent="0.25">
      <c r="K126" s="19"/>
    </row>
    <row r="127" spans="9:11" x14ac:dyDescent="0.25">
      <c r="K127" s="19"/>
    </row>
    <row r="128" spans="9:11" x14ac:dyDescent="0.25">
      <c r="K128" s="19"/>
    </row>
    <row r="129" spans="2:11" x14ac:dyDescent="0.25">
      <c r="K129" s="19"/>
    </row>
    <row r="130" spans="2:11" x14ac:dyDescent="0.25">
      <c r="K130" s="19"/>
    </row>
    <row r="131" spans="2:11" x14ac:dyDescent="0.25">
      <c r="K131" s="19"/>
    </row>
    <row r="132" spans="2:11" x14ac:dyDescent="0.25">
      <c r="K132" s="19"/>
    </row>
    <row r="138" spans="2:11" x14ac:dyDescent="0.25">
      <c r="B138" s="19"/>
      <c r="C138" s="53"/>
      <c r="D138" s="53"/>
      <c r="E138" s="19"/>
      <c r="F138" s="19"/>
      <c r="G138" s="19"/>
      <c r="H138" s="19"/>
    </row>
    <row r="139" spans="2:11" x14ac:dyDescent="0.25">
      <c r="B139" s="19"/>
      <c r="C139" s="55"/>
      <c r="D139" s="85"/>
      <c r="E139" s="90"/>
      <c r="F139" s="19"/>
      <c r="G139" s="19"/>
      <c r="H139" s="19"/>
    </row>
    <row r="140" spans="2:11" x14ac:dyDescent="0.25">
      <c r="B140" s="19"/>
      <c r="C140" s="55"/>
      <c r="D140" s="85"/>
      <c r="E140" s="90"/>
      <c r="F140" s="19"/>
      <c r="G140" s="19"/>
      <c r="H140" s="19"/>
    </row>
    <row r="141" spans="2:11" x14ac:dyDescent="0.25">
      <c r="B141" s="19"/>
      <c r="C141" s="55"/>
      <c r="D141" s="85"/>
      <c r="E141" s="90"/>
      <c r="F141" s="19"/>
      <c r="G141" s="19"/>
      <c r="H141" s="19"/>
    </row>
  </sheetData>
  <mergeCells count="4">
    <mergeCell ref="D4:G5"/>
    <mergeCell ref="E7:F7"/>
    <mergeCell ref="L4:O5"/>
    <mergeCell ref="M7:N7"/>
  </mergeCells>
  <pageMargins left="0.75" right="0.75" top="1" bottom="1" header="0.5" footer="0.5"/>
  <pageSetup scale="6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85"/>
  <sheetViews>
    <sheetView view="pageBreakPreview" zoomScale="85" zoomScaleNormal="85" zoomScaleSheetLayoutView="85" workbookViewId="0">
      <selection activeCell="Y26" sqref="Y26"/>
    </sheetView>
  </sheetViews>
  <sheetFormatPr defaultRowHeight="15.75" x14ac:dyDescent="0.25"/>
  <cols>
    <col min="1" max="1" width="4.7109375" style="2" customWidth="1"/>
    <col min="2" max="2" width="14.7109375" style="2" bestFit="1" customWidth="1"/>
    <col min="3" max="3" width="16.85546875" style="2" customWidth="1"/>
    <col min="4" max="5" width="15" style="2" bestFit="1" customWidth="1"/>
    <col min="6" max="6" width="18.140625" style="2" bestFit="1" customWidth="1"/>
    <col min="7" max="7" width="18" style="2" bestFit="1" customWidth="1"/>
    <col min="8" max="8" width="5.7109375" style="2" customWidth="1"/>
    <col min="9" max="9" width="15.140625" style="2" hidden="1" customWidth="1"/>
    <col min="10" max="10" width="4.7109375" style="2" hidden="1" customWidth="1"/>
    <col min="11" max="11" width="21.85546875" style="2" hidden="1" customWidth="1"/>
    <col min="12" max="12" width="15.140625" style="2" hidden="1" customWidth="1"/>
    <col min="13" max="13" width="14" style="2" hidden="1" customWidth="1"/>
    <col min="14" max="14" width="13.42578125" style="2" hidden="1" customWidth="1"/>
    <col min="15" max="15" width="15.7109375" style="2" hidden="1" customWidth="1"/>
    <col min="16" max="16" width="5.85546875" style="2" hidden="1" customWidth="1"/>
    <col min="17" max="17" width="13" style="2" hidden="1" customWidth="1"/>
    <col min="18" max="18" width="15.5703125" style="2" hidden="1" customWidth="1"/>
    <col min="19" max="19" width="22.7109375" style="2" hidden="1" customWidth="1"/>
    <col min="20" max="20" width="14.42578125" style="2" hidden="1" customWidth="1"/>
    <col min="21" max="21" width="12.7109375" style="2" hidden="1" customWidth="1"/>
    <col min="22" max="22" width="2.85546875" style="2" hidden="1" customWidth="1"/>
    <col min="23" max="23" width="17.85546875" style="2" hidden="1" customWidth="1"/>
    <col min="24" max="16384" width="9.140625" style="2"/>
  </cols>
  <sheetData>
    <row r="1" spans="1:23" x14ac:dyDescent="0.25">
      <c r="A1" s="1" t="s">
        <v>68</v>
      </c>
      <c r="I1" s="1"/>
      <c r="Q1" s="1"/>
    </row>
    <row r="2" spans="1:23" x14ac:dyDescent="0.25">
      <c r="A2" s="34" t="s">
        <v>30</v>
      </c>
      <c r="I2" s="34"/>
      <c r="Q2" s="34"/>
    </row>
    <row r="3" spans="1:23" ht="16.5" thickBot="1" x14ac:dyDescent="0.3">
      <c r="A3" s="34" t="s">
        <v>84</v>
      </c>
      <c r="B3" s="34"/>
      <c r="C3" s="34"/>
      <c r="I3" s="34"/>
      <c r="J3" s="34"/>
      <c r="K3" s="34"/>
      <c r="Q3" s="34"/>
    </row>
    <row r="4" spans="1:23" x14ac:dyDescent="0.25">
      <c r="A4" s="34"/>
      <c r="B4" s="34"/>
      <c r="C4" s="34"/>
      <c r="D4" s="394" t="s">
        <v>32</v>
      </c>
      <c r="E4" s="395"/>
      <c r="F4" s="395"/>
      <c r="G4" s="396"/>
      <c r="L4" s="401" t="s">
        <v>44</v>
      </c>
      <c r="M4" s="402"/>
      <c r="N4" s="402"/>
      <c r="O4" s="403"/>
      <c r="T4" s="401" t="s">
        <v>0</v>
      </c>
      <c r="U4" s="402"/>
      <c r="V4" s="402"/>
      <c r="W4" s="403"/>
    </row>
    <row r="5" spans="1:23" ht="16.5" thickBot="1" x14ac:dyDescent="0.3">
      <c r="A5" s="57"/>
      <c r="B5" s="117"/>
      <c r="C5" s="60"/>
      <c r="D5" s="397"/>
      <c r="E5" s="398"/>
      <c r="F5" s="398"/>
      <c r="G5" s="399"/>
      <c r="I5" s="3"/>
      <c r="J5" s="3"/>
      <c r="K5" s="3"/>
      <c r="L5" s="404"/>
      <c r="M5" s="400"/>
      <c r="N5" s="400"/>
      <c r="O5" s="405"/>
      <c r="Q5" s="3"/>
      <c r="R5" s="3"/>
      <c r="S5" s="3"/>
      <c r="T5" s="404"/>
      <c r="U5" s="400"/>
      <c r="V5" s="400"/>
      <c r="W5" s="405"/>
    </row>
    <row r="6" spans="1:23" x14ac:dyDescent="0.25">
      <c r="A6" s="4"/>
      <c r="B6" s="4"/>
      <c r="C6" s="4"/>
      <c r="D6" s="4" t="s">
        <v>1</v>
      </c>
      <c r="E6" s="4"/>
      <c r="F6" s="4"/>
      <c r="G6" s="4" t="s">
        <v>2</v>
      </c>
      <c r="I6" s="4"/>
      <c r="J6" s="4"/>
      <c r="K6" s="4"/>
      <c r="L6" s="4" t="s">
        <v>1</v>
      </c>
      <c r="M6" s="4"/>
      <c r="N6" s="4"/>
      <c r="O6" s="4" t="s">
        <v>2</v>
      </c>
      <c r="Q6" s="4"/>
      <c r="R6" s="4"/>
      <c r="S6" s="4"/>
      <c r="T6" s="4" t="s">
        <v>1</v>
      </c>
      <c r="U6" s="4"/>
      <c r="V6" s="4"/>
      <c r="W6" s="4" t="s">
        <v>2</v>
      </c>
    </row>
    <row r="7" spans="1:23" ht="16.5" thickBot="1" x14ac:dyDescent="0.3">
      <c r="A7" s="5"/>
      <c r="B7" s="5"/>
      <c r="C7" s="5"/>
      <c r="D7" s="5" t="s">
        <v>4</v>
      </c>
      <c r="E7" s="400" t="s">
        <v>5</v>
      </c>
      <c r="F7" s="400"/>
      <c r="G7" s="5" t="s">
        <v>6</v>
      </c>
      <c r="I7" s="5"/>
      <c r="J7" s="5"/>
      <c r="K7" s="5"/>
      <c r="L7" s="5" t="s">
        <v>4</v>
      </c>
      <c r="M7" s="400" t="s">
        <v>5</v>
      </c>
      <c r="N7" s="400"/>
      <c r="O7" s="5" t="s">
        <v>6</v>
      </c>
      <c r="Q7" s="5"/>
      <c r="R7" s="5"/>
      <c r="S7" s="5"/>
      <c r="T7" s="5" t="s">
        <v>4</v>
      </c>
      <c r="U7" s="400" t="s">
        <v>5</v>
      </c>
      <c r="V7" s="400"/>
      <c r="W7" s="5" t="s">
        <v>6</v>
      </c>
    </row>
    <row r="10" spans="1:23" x14ac:dyDescent="0.25">
      <c r="A10" s="1" t="s">
        <v>36</v>
      </c>
      <c r="I10" s="1" t="s">
        <v>10</v>
      </c>
      <c r="Q10" s="1" t="s">
        <v>10</v>
      </c>
    </row>
    <row r="11" spans="1:23" ht="31.5" x14ac:dyDescent="0.25">
      <c r="D11" s="6" t="s">
        <v>9</v>
      </c>
      <c r="E11" s="6" t="s">
        <v>12</v>
      </c>
      <c r="L11" s="6" t="s">
        <v>9</v>
      </c>
      <c r="M11" s="6" t="s">
        <v>12</v>
      </c>
      <c r="T11" s="6" t="s">
        <v>9</v>
      </c>
      <c r="U11" s="6" t="s">
        <v>12</v>
      </c>
    </row>
    <row r="12" spans="1:23" x14ac:dyDescent="0.25">
      <c r="B12" s="2" t="s">
        <v>45</v>
      </c>
      <c r="D12" s="39">
        <f>C46+C66</f>
        <v>878829</v>
      </c>
      <c r="E12" s="45">
        <v>0</v>
      </c>
      <c r="F12" s="19"/>
      <c r="G12" s="18">
        <f>D12*E12</f>
        <v>0</v>
      </c>
      <c r="J12" s="2" t="s">
        <v>31</v>
      </c>
      <c r="L12" s="39">
        <f>D12</f>
        <v>878829</v>
      </c>
      <c r="M12" s="45">
        <v>28.14</v>
      </c>
      <c r="N12" s="19"/>
      <c r="O12" s="18">
        <f>L12*M12</f>
        <v>24730248.059999999</v>
      </c>
      <c r="R12" s="2" t="s">
        <v>9</v>
      </c>
      <c r="T12" s="8">
        <f>L12</f>
        <v>878829</v>
      </c>
      <c r="U12" s="45" t="e">
        <f>#REF!</f>
        <v>#REF!</v>
      </c>
      <c r="W12" s="11" t="e">
        <f>T12*U12</f>
        <v>#REF!</v>
      </c>
    </row>
    <row r="13" spans="1:23" x14ac:dyDescent="0.25">
      <c r="D13" s="104"/>
      <c r="G13" s="11"/>
      <c r="O13" s="11"/>
      <c r="W13" s="11"/>
    </row>
    <row r="14" spans="1:23" x14ac:dyDescent="0.25">
      <c r="A14" s="1" t="s">
        <v>7</v>
      </c>
      <c r="D14" s="8"/>
      <c r="G14" s="11"/>
      <c r="I14" s="1" t="s">
        <v>7</v>
      </c>
      <c r="L14" s="8"/>
      <c r="O14" s="11"/>
      <c r="Q14" s="1" t="s">
        <v>7</v>
      </c>
      <c r="T14" s="8"/>
      <c r="W14" s="11"/>
    </row>
    <row r="15" spans="1:23" x14ac:dyDescent="0.25">
      <c r="D15" s="13" t="s">
        <v>8</v>
      </c>
      <c r="E15" s="12" t="s">
        <v>11</v>
      </c>
      <c r="G15" s="11"/>
      <c r="L15" s="13" t="s">
        <v>8</v>
      </c>
      <c r="M15" s="12" t="s">
        <v>11</v>
      </c>
      <c r="O15" s="11"/>
      <c r="T15" s="13" t="s">
        <v>8</v>
      </c>
      <c r="U15" s="12" t="s">
        <v>11</v>
      </c>
      <c r="W15" s="11"/>
    </row>
    <row r="16" spans="1:23" x14ac:dyDescent="0.25">
      <c r="B16" s="2" t="s">
        <v>24</v>
      </c>
      <c r="D16" s="39">
        <f>D46+D66</f>
        <v>822412365</v>
      </c>
      <c r="E16" s="40">
        <v>0.11964</v>
      </c>
      <c r="F16" s="19"/>
      <c r="G16" s="41">
        <f>D16*E16</f>
        <v>98393415.3486</v>
      </c>
      <c r="J16" s="2" t="s">
        <v>34</v>
      </c>
      <c r="L16" s="39">
        <f>D18</f>
        <v>4587729</v>
      </c>
      <c r="M16" s="83">
        <v>3.0599472934085808E-2</v>
      </c>
      <c r="N16" s="19"/>
      <c r="O16" s="18">
        <f>L16*M16</f>
        <v>140382.08936442054</v>
      </c>
      <c r="R16" s="2" t="s">
        <v>34</v>
      </c>
      <c r="T16" s="39">
        <f>L18</f>
        <v>4587729</v>
      </c>
      <c r="U16" s="83">
        <v>0</v>
      </c>
      <c r="V16" s="19"/>
      <c r="W16" s="18">
        <f>T16*U16</f>
        <v>0</v>
      </c>
    </row>
    <row r="17" spans="1:23" x14ac:dyDescent="0.25">
      <c r="B17" s="19"/>
      <c r="C17" s="19"/>
      <c r="D17" s="39"/>
      <c r="E17" s="40"/>
      <c r="F17" s="19"/>
      <c r="G17" s="42"/>
      <c r="J17" s="19" t="s">
        <v>33</v>
      </c>
      <c r="K17" s="19"/>
      <c r="L17" s="39">
        <f>L16</f>
        <v>4587729</v>
      </c>
      <c r="M17" s="122">
        <v>4.7909326518313644E-2</v>
      </c>
      <c r="N17" s="19"/>
      <c r="O17" s="46">
        <f>L17*M17</f>
        <v>219795.00663853655</v>
      </c>
      <c r="R17" s="19" t="s">
        <v>33</v>
      </c>
      <c r="S17" s="19"/>
      <c r="T17" s="39">
        <f>T16</f>
        <v>4587729</v>
      </c>
      <c r="U17" s="122">
        <v>0</v>
      </c>
      <c r="V17" s="19"/>
      <c r="W17" s="46">
        <f>T17*U17</f>
        <v>0</v>
      </c>
    </row>
    <row r="18" spans="1:23" x14ac:dyDescent="0.25">
      <c r="B18" s="2" t="s">
        <v>18</v>
      </c>
      <c r="C18" s="23"/>
      <c r="D18" s="39">
        <v>4587729</v>
      </c>
      <c r="E18" s="40">
        <f>E16</f>
        <v>0.11964</v>
      </c>
      <c r="F18" s="19"/>
      <c r="G18" s="41">
        <f>D18*E18</f>
        <v>548875.89755999995</v>
      </c>
      <c r="J18" s="7" t="s">
        <v>29</v>
      </c>
      <c r="K18" s="7"/>
      <c r="L18" s="20">
        <f>L16</f>
        <v>4587729</v>
      </c>
      <c r="M18" s="109">
        <v>1.994013128609894E-2</v>
      </c>
      <c r="N18" s="7"/>
      <c r="O18" s="47">
        <f>L18*M18</f>
        <v>91479.918565043408</v>
      </c>
      <c r="R18" s="7" t="s">
        <v>29</v>
      </c>
      <c r="S18" s="7"/>
      <c r="T18" s="20">
        <f>T16</f>
        <v>4587729</v>
      </c>
      <c r="U18" s="109">
        <v>0</v>
      </c>
      <c r="V18" s="7"/>
      <c r="W18" s="47">
        <f>T18*U18</f>
        <v>0</v>
      </c>
    </row>
    <row r="19" spans="1:23" x14ac:dyDescent="0.25">
      <c r="A19" s="1"/>
      <c r="G19" s="18"/>
      <c r="K19" s="23"/>
      <c r="L19" s="39"/>
      <c r="M19" s="83">
        <f>SUM(M16:M18)</f>
        <v>9.8448930738498391E-2</v>
      </c>
      <c r="N19" s="19"/>
      <c r="O19" s="18">
        <f>SUM(O16:O18)</f>
        <v>451657.01456800051</v>
      </c>
      <c r="S19" s="23"/>
      <c r="T19" s="39"/>
      <c r="U19" s="83">
        <f>SUM(U16:U18)</f>
        <v>0</v>
      </c>
      <c r="V19" s="19"/>
      <c r="W19" s="18">
        <f>SUM(W16:W18)</f>
        <v>0</v>
      </c>
    </row>
    <row r="20" spans="1:23" x14ac:dyDescent="0.25">
      <c r="A20" s="1"/>
      <c r="E20" s="97"/>
      <c r="G20" s="18"/>
      <c r="H20" s="15"/>
      <c r="P20" s="15"/>
    </row>
    <row r="21" spans="1:23" x14ac:dyDescent="0.25">
      <c r="A21" s="1"/>
      <c r="G21" s="18"/>
      <c r="H21" s="18"/>
      <c r="I21" s="1"/>
      <c r="L21" s="8"/>
      <c r="M21" s="108"/>
      <c r="O21" s="18"/>
      <c r="P21" s="18"/>
      <c r="Q21" s="1"/>
      <c r="T21" s="8"/>
      <c r="U21" s="108"/>
      <c r="W21" s="18"/>
    </row>
    <row r="22" spans="1:23" ht="16.5" thickBot="1" x14ac:dyDescent="0.3">
      <c r="A22" s="1" t="s">
        <v>82</v>
      </c>
      <c r="G22" s="29">
        <f>G12+G16+G18</f>
        <v>98942291.246160001</v>
      </c>
      <c r="H22" s="18"/>
      <c r="I22" s="1"/>
      <c r="L22" s="8"/>
      <c r="M22" s="21"/>
      <c r="O22" s="18"/>
      <c r="P22" s="18"/>
      <c r="Q22" s="1"/>
      <c r="T22" s="8"/>
      <c r="U22" s="21"/>
      <c r="W22" s="18"/>
    </row>
    <row r="23" spans="1:23" ht="17.25" thickTop="1" thickBot="1" x14ac:dyDescent="0.3">
      <c r="A23" s="1"/>
      <c r="B23" s="1"/>
      <c r="G23" s="18"/>
      <c r="H23" s="18"/>
      <c r="I23" s="1" t="s">
        <v>38</v>
      </c>
      <c r="O23" s="29">
        <f>O12+O19+O21</f>
        <v>25181905.074568</v>
      </c>
      <c r="P23" s="18"/>
      <c r="Q23" s="1" t="s">
        <v>38</v>
      </c>
      <c r="W23" s="29" t="e">
        <f>W12+W19+W21</f>
        <v>#REF!</v>
      </c>
    </row>
    <row r="24" spans="1:23" ht="16.5" thickTop="1" x14ac:dyDescent="0.25">
      <c r="A24" s="44" t="s">
        <v>19</v>
      </c>
      <c r="B24" s="10"/>
      <c r="G24" s="11">
        <f>E46+F46+E66+F66</f>
        <v>99247908.379999995</v>
      </c>
      <c r="I24" s="1"/>
      <c r="J24" s="1"/>
      <c r="O24" s="17"/>
      <c r="Q24" s="1"/>
      <c r="R24" s="1"/>
      <c r="W24" s="17"/>
    </row>
    <row r="25" spans="1:23" x14ac:dyDescent="0.25">
      <c r="A25" s="10"/>
      <c r="B25" s="11"/>
      <c r="G25" s="10"/>
      <c r="I25" s="44" t="s">
        <v>13</v>
      </c>
      <c r="J25" s="10"/>
      <c r="O25" s="27">
        <f>O23-G22</f>
        <v>-73760386.171591997</v>
      </c>
      <c r="Q25" s="44" t="s">
        <v>13</v>
      </c>
      <c r="R25" s="10"/>
      <c r="W25" s="27" t="e">
        <f>W23-G22</f>
        <v>#REF!</v>
      </c>
    </row>
    <row r="26" spans="1:23" x14ac:dyDescent="0.25">
      <c r="A26" s="44" t="s">
        <v>13</v>
      </c>
      <c r="B26" s="10"/>
      <c r="G26" s="27">
        <f>G22-G24</f>
        <v>-305617.13383999467</v>
      </c>
      <c r="H26" s="15"/>
      <c r="I26" s="10"/>
      <c r="J26" s="27"/>
      <c r="O26" s="11"/>
      <c r="P26" s="15"/>
      <c r="Q26" s="10"/>
      <c r="R26" s="27"/>
      <c r="W26" s="11"/>
    </row>
    <row r="27" spans="1:23" x14ac:dyDescent="0.25">
      <c r="A27" s="10"/>
      <c r="B27" s="27"/>
      <c r="G27" s="11"/>
      <c r="I27" s="44" t="s">
        <v>28</v>
      </c>
      <c r="J27" s="11"/>
      <c r="O27" s="28">
        <f>O25/G24</f>
        <v>-0.74319335667184572</v>
      </c>
      <c r="Q27" s="44" t="s">
        <v>28</v>
      </c>
      <c r="R27" s="11"/>
      <c r="W27" s="28" t="e">
        <f>W25/G22</f>
        <v>#REF!</v>
      </c>
    </row>
    <row r="28" spans="1:23" x14ac:dyDescent="0.25">
      <c r="A28" s="44" t="s">
        <v>28</v>
      </c>
      <c r="B28" s="11"/>
      <c r="G28" s="28">
        <f>G26/G24</f>
        <v>-3.0793307267479031E-3</v>
      </c>
    </row>
    <row r="29" spans="1:23" x14ac:dyDescent="0.25">
      <c r="I29" s="1"/>
      <c r="O29" s="18"/>
      <c r="W29" s="11"/>
    </row>
    <row r="30" spans="1:23" x14ac:dyDescent="0.25">
      <c r="E30" s="11"/>
    </row>
    <row r="31" spans="1:23" x14ac:dyDescent="0.25">
      <c r="B31" s="19"/>
      <c r="C31" s="53" t="s">
        <v>71</v>
      </c>
      <c r="D31" s="53"/>
      <c r="E31" s="53"/>
      <c r="F31" s="53"/>
      <c r="G31" s="53"/>
      <c r="H31" s="53"/>
      <c r="I31" s="53"/>
      <c r="R31" s="53"/>
    </row>
    <row r="32" spans="1:23" x14ac:dyDescent="0.25">
      <c r="B32" s="19"/>
      <c r="C32" s="53"/>
      <c r="D32" s="53"/>
      <c r="E32" s="52"/>
      <c r="F32" s="53"/>
      <c r="G32" s="53"/>
      <c r="H32" s="53"/>
      <c r="I32" s="53"/>
      <c r="R32" s="89"/>
      <c r="S32" s="53"/>
    </row>
    <row r="33" spans="1:19" x14ac:dyDescent="0.25">
      <c r="A33" s="11"/>
      <c r="B33" s="19"/>
      <c r="C33" s="53" t="s">
        <v>39</v>
      </c>
      <c r="D33" s="53" t="s">
        <v>46</v>
      </c>
      <c r="E33" s="53" t="s">
        <v>69</v>
      </c>
      <c r="F33" s="53" t="s">
        <v>70</v>
      </c>
      <c r="H33" s="53"/>
      <c r="I33" s="53"/>
      <c r="R33" s="89"/>
      <c r="S33" s="53"/>
    </row>
    <row r="34" spans="1:19" x14ac:dyDescent="0.25">
      <c r="A34" s="11"/>
      <c r="B34" s="144">
        <v>40544</v>
      </c>
      <c r="C34" s="53">
        <v>40453</v>
      </c>
      <c r="D34" s="53">
        <v>47254873</v>
      </c>
      <c r="F34" s="98">
        <v>5708372.1200000001</v>
      </c>
      <c r="G34" s="98"/>
      <c r="H34" s="53"/>
      <c r="I34" s="110"/>
      <c r="R34" s="53"/>
      <c r="S34" s="53"/>
    </row>
    <row r="35" spans="1:19" x14ac:dyDescent="0.25">
      <c r="A35" s="11"/>
      <c r="B35" s="144">
        <v>40575</v>
      </c>
      <c r="C35" s="53">
        <v>40440</v>
      </c>
      <c r="D35" s="53">
        <v>44903940</v>
      </c>
      <c r="F35" s="98">
        <v>5426631.7800000003</v>
      </c>
      <c r="G35" s="98"/>
      <c r="H35" s="53"/>
      <c r="I35" s="110"/>
      <c r="R35" s="53"/>
      <c r="S35" s="53"/>
    </row>
    <row r="36" spans="1:19" x14ac:dyDescent="0.25">
      <c r="A36" s="10"/>
      <c r="B36" s="144">
        <v>40603</v>
      </c>
      <c r="C36" s="53">
        <v>40430</v>
      </c>
      <c r="D36" s="53">
        <v>37832486</v>
      </c>
      <c r="F36" s="98">
        <v>4587610.34</v>
      </c>
      <c r="G36" s="98"/>
      <c r="H36" s="53"/>
      <c r="I36" s="110"/>
      <c r="R36" s="53"/>
      <c r="S36" s="53"/>
    </row>
    <row r="37" spans="1:19" x14ac:dyDescent="0.25">
      <c r="A37" s="27"/>
      <c r="B37" s="144">
        <v>40634</v>
      </c>
      <c r="C37" s="53">
        <v>40432</v>
      </c>
      <c r="D37" s="53">
        <v>36808941</v>
      </c>
      <c r="F37" s="98">
        <v>4463624.74</v>
      </c>
      <c r="G37" s="98"/>
      <c r="H37" s="53"/>
      <c r="I37" s="110"/>
      <c r="R37" s="53"/>
      <c r="S37" s="53"/>
    </row>
    <row r="38" spans="1:19" x14ac:dyDescent="0.25">
      <c r="A38" s="11"/>
      <c r="B38" s="144">
        <v>40664</v>
      </c>
      <c r="C38" s="53">
        <v>40421</v>
      </c>
      <c r="D38" s="53">
        <v>31736684</v>
      </c>
      <c r="F38" s="98">
        <v>3860643.03</v>
      </c>
      <c r="G38" s="98"/>
      <c r="H38" s="53"/>
      <c r="I38" s="110"/>
      <c r="R38" s="53"/>
      <c r="S38" s="53"/>
    </row>
    <row r="39" spans="1:19" x14ac:dyDescent="0.25">
      <c r="A39" s="28"/>
      <c r="B39" s="144">
        <v>40695</v>
      </c>
      <c r="C39" s="53">
        <v>40422</v>
      </c>
      <c r="D39" s="53">
        <v>30238497</v>
      </c>
      <c r="F39" s="98">
        <v>3678583.0100000002</v>
      </c>
      <c r="G39" s="98"/>
      <c r="H39" s="53"/>
      <c r="I39" s="110"/>
      <c r="R39" s="53"/>
      <c r="S39" s="53"/>
    </row>
    <row r="40" spans="1:19" x14ac:dyDescent="0.25">
      <c r="B40" s="144">
        <v>40725</v>
      </c>
      <c r="C40" s="53">
        <v>40485</v>
      </c>
      <c r="D40" s="53">
        <v>30153828</v>
      </c>
      <c r="F40" s="98">
        <v>3667109.75</v>
      </c>
      <c r="G40" s="98"/>
      <c r="H40" s="53"/>
      <c r="I40" s="110"/>
      <c r="R40" s="53"/>
      <c r="S40" s="53"/>
    </row>
    <row r="41" spans="1:19" x14ac:dyDescent="0.25">
      <c r="B41" s="144">
        <v>40756</v>
      </c>
      <c r="C41" s="53">
        <v>40486</v>
      </c>
      <c r="D41" s="53">
        <v>27740784</v>
      </c>
      <c r="F41" s="98">
        <v>3383060.9699999997</v>
      </c>
      <c r="G41" s="98"/>
      <c r="H41" s="53"/>
      <c r="I41" s="110"/>
      <c r="R41" s="53"/>
      <c r="S41" s="53"/>
    </row>
    <row r="42" spans="1:19" x14ac:dyDescent="0.25">
      <c r="B42" s="144">
        <v>40422</v>
      </c>
      <c r="C42" s="53">
        <v>40415</v>
      </c>
      <c r="D42" s="53">
        <v>30072287</v>
      </c>
      <c r="F42" s="98">
        <v>3656481.8000000003</v>
      </c>
      <c r="G42" s="98"/>
      <c r="H42" s="53"/>
      <c r="I42" s="110"/>
      <c r="R42" s="53"/>
      <c r="S42" s="53"/>
    </row>
    <row r="43" spans="1:19" x14ac:dyDescent="0.25">
      <c r="B43" s="144">
        <v>40452</v>
      </c>
      <c r="C43" s="53">
        <v>40462</v>
      </c>
      <c r="D43" s="53">
        <v>27603624</v>
      </c>
      <c r="F43" s="98">
        <v>3366388.23</v>
      </c>
      <c r="G43" s="98"/>
      <c r="H43" s="53"/>
      <c r="I43" s="110"/>
      <c r="R43" s="53"/>
      <c r="S43" s="53"/>
    </row>
    <row r="44" spans="1:19" ht="16.5" customHeight="1" x14ac:dyDescent="0.25">
      <c r="B44" s="144">
        <v>40483</v>
      </c>
      <c r="C44" s="53">
        <v>40451</v>
      </c>
      <c r="D44" s="53">
        <v>32012599</v>
      </c>
      <c r="F44" s="98">
        <v>3891371.3200000003</v>
      </c>
      <c r="G44" s="98"/>
      <c r="H44" s="53"/>
      <c r="I44" s="110"/>
      <c r="R44" s="53"/>
      <c r="S44" s="53"/>
    </row>
    <row r="45" spans="1:19" x14ac:dyDescent="0.25">
      <c r="B45" s="144">
        <v>40513</v>
      </c>
      <c r="C45" s="88">
        <v>40449</v>
      </c>
      <c r="D45" s="88">
        <v>40242704</v>
      </c>
      <c r="E45" s="7"/>
      <c r="F45" s="145">
        <v>4872298.49</v>
      </c>
      <c r="G45" s="98"/>
      <c r="H45" s="53"/>
      <c r="I45" s="110"/>
      <c r="R45" s="53"/>
      <c r="S45" s="53"/>
    </row>
    <row r="46" spans="1:19" x14ac:dyDescent="0.25">
      <c r="B46" s="19"/>
      <c r="C46" s="53">
        <f>SUM(C34:C45)</f>
        <v>485346</v>
      </c>
      <c r="D46" s="53">
        <f>SUM(D34:D45)</f>
        <v>416601247</v>
      </c>
      <c r="E46" s="106">
        <f>SUM(E34:E45)</f>
        <v>0</v>
      </c>
      <c r="F46" s="106">
        <f>SUM(F34:F45)</f>
        <v>50562175.579999998</v>
      </c>
      <c r="G46" s="98"/>
      <c r="H46" s="53"/>
      <c r="I46" s="110"/>
      <c r="R46" s="53"/>
      <c r="S46" s="53"/>
    </row>
    <row r="47" spans="1:19" x14ac:dyDescent="0.25">
      <c r="B47" s="19"/>
      <c r="C47" s="53"/>
      <c r="D47" s="53"/>
      <c r="F47" s="53"/>
      <c r="G47" s="53"/>
      <c r="H47" s="53"/>
      <c r="I47" s="53"/>
      <c r="R47" s="53"/>
      <c r="S47" s="53"/>
    </row>
    <row r="48" spans="1:19" x14ac:dyDescent="0.25">
      <c r="B48" s="19"/>
      <c r="C48" s="53"/>
      <c r="D48" s="53"/>
      <c r="F48" s="53"/>
      <c r="G48" s="53"/>
      <c r="H48" s="53"/>
      <c r="I48" s="53"/>
      <c r="R48" s="53"/>
      <c r="S48" s="53"/>
    </row>
    <row r="49" spans="2:19" x14ac:dyDescent="0.25">
      <c r="B49" s="19"/>
      <c r="H49" s="19"/>
      <c r="I49" s="19"/>
      <c r="R49" s="19"/>
      <c r="S49" s="19"/>
    </row>
    <row r="50" spans="2:19" x14ac:dyDescent="0.25">
      <c r="B50" s="19"/>
      <c r="H50" s="19"/>
      <c r="I50" s="19"/>
      <c r="R50" s="19"/>
      <c r="S50" s="19"/>
    </row>
    <row r="51" spans="2:19" x14ac:dyDescent="0.25">
      <c r="B51" s="19"/>
      <c r="C51" s="53" t="s">
        <v>72</v>
      </c>
      <c r="D51" s="53"/>
      <c r="F51" s="53"/>
      <c r="G51" s="53"/>
      <c r="H51" s="53"/>
      <c r="I51" s="53"/>
      <c r="R51" s="53"/>
      <c r="S51" s="53"/>
    </row>
    <row r="52" spans="2:19" x14ac:dyDescent="0.25">
      <c r="B52" s="19"/>
      <c r="C52" s="53"/>
      <c r="D52" s="53"/>
      <c r="E52" s="52"/>
      <c r="F52" s="53"/>
      <c r="G52" s="53"/>
      <c r="H52" s="53"/>
      <c r="I52" s="53"/>
      <c r="R52" s="89"/>
      <c r="S52" s="53"/>
    </row>
    <row r="53" spans="2:19" x14ac:dyDescent="0.25">
      <c r="B53" s="19"/>
      <c r="C53" s="53" t="s">
        <v>39</v>
      </c>
      <c r="D53" s="53" t="s">
        <v>46</v>
      </c>
      <c r="E53" s="53" t="s">
        <v>69</v>
      </c>
      <c r="F53" s="53" t="s">
        <v>70</v>
      </c>
      <c r="H53" s="53"/>
      <c r="I53" s="53"/>
      <c r="R53" s="89"/>
      <c r="S53" s="53"/>
    </row>
    <row r="54" spans="2:19" x14ac:dyDescent="0.25">
      <c r="B54" s="144">
        <v>40544</v>
      </c>
      <c r="C54" s="53">
        <v>32711</v>
      </c>
      <c r="D54" s="118">
        <v>38739095</v>
      </c>
      <c r="E54" s="119"/>
      <c r="F54" s="53">
        <v>4642858.4400000004</v>
      </c>
      <c r="G54" s="53"/>
      <c r="H54" s="108"/>
      <c r="I54" s="98"/>
      <c r="R54" s="53"/>
      <c r="S54" s="53"/>
    </row>
    <row r="55" spans="2:19" x14ac:dyDescent="0.25">
      <c r="B55" s="144">
        <v>40575</v>
      </c>
      <c r="C55" s="53">
        <v>32658</v>
      </c>
      <c r="D55" s="118">
        <v>33796946</v>
      </c>
      <c r="E55" s="119"/>
      <c r="F55" s="53">
        <v>4051304.51</v>
      </c>
      <c r="G55" s="53"/>
      <c r="H55" s="108"/>
      <c r="I55" s="98"/>
      <c r="R55" s="53"/>
      <c r="S55" s="53"/>
    </row>
    <row r="56" spans="2:19" x14ac:dyDescent="0.25">
      <c r="B56" s="144">
        <v>40603</v>
      </c>
      <c r="C56" s="53">
        <v>32654</v>
      </c>
      <c r="D56" s="118">
        <v>29219051</v>
      </c>
      <c r="E56" s="119"/>
      <c r="F56" s="53">
        <v>3506038.41</v>
      </c>
      <c r="G56" s="53"/>
      <c r="H56" s="108"/>
      <c r="I56" s="98"/>
      <c r="R56" s="53"/>
      <c r="S56" s="53"/>
    </row>
    <row r="57" spans="2:19" x14ac:dyDescent="0.25">
      <c r="B57" s="144">
        <v>40634</v>
      </c>
      <c r="C57" s="53">
        <v>32666</v>
      </c>
      <c r="D57" s="118">
        <v>29963026</v>
      </c>
      <c r="E57" s="119"/>
      <c r="F57" s="53">
        <v>3595041.32</v>
      </c>
      <c r="G57" s="53"/>
      <c r="H57" s="108"/>
      <c r="I57" s="98"/>
      <c r="R57" s="53"/>
      <c r="S57" s="53"/>
    </row>
    <row r="58" spans="2:19" x14ac:dyDescent="0.25">
      <c r="B58" s="144">
        <v>40664</v>
      </c>
      <c r="C58" s="53">
        <v>32663</v>
      </c>
      <c r="D58" s="118">
        <v>27226378</v>
      </c>
      <c r="E58" s="119"/>
      <c r="F58" s="53">
        <v>3269294.02</v>
      </c>
      <c r="G58" s="53"/>
      <c r="H58" s="108"/>
      <c r="I58" s="98"/>
      <c r="R58" s="53"/>
      <c r="S58" s="53"/>
    </row>
    <row r="59" spans="2:19" x14ac:dyDescent="0.25">
      <c r="B59" s="144">
        <v>40695</v>
      </c>
      <c r="C59" s="53">
        <v>32674</v>
      </c>
      <c r="D59" s="118">
        <v>29585978</v>
      </c>
      <c r="E59" s="119"/>
      <c r="F59" s="53">
        <v>3553380.98</v>
      </c>
      <c r="G59" s="53"/>
      <c r="H59" s="108"/>
      <c r="I59" s="98"/>
      <c r="R59" s="53"/>
      <c r="S59" s="53"/>
    </row>
    <row r="60" spans="2:19" x14ac:dyDescent="0.25">
      <c r="B60" s="144">
        <v>40725</v>
      </c>
      <c r="C60" s="53">
        <v>32708</v>
      </c>
      <c r="D60" s="118">
        <v>40545480</v>
      </c>
      <c r="E60" s="119"/>
      <c r="F60" s="53">
        <v>4862924.8499999996</v>
      </c>
      <c r="G60" s="53"/>
      <c r="H60" s="108"/>
      <c r="I60" s="98"/>
      <c r="R60" s="53"/>
      <c r="S60" s="53"/>
    </row>
    <row r="61" spans="2:19" x14ac:dyDescent="0.25">
      <c r="B61" s="144">
        <v>40756</v>
      </c>
      <c r="C61" s="53">
        <v>32723</v>
      </c>
      <c r="D61" s="118">
        <v>42893395</v>
      </c>
      <c r="E61" s="119"/>
      <c r="F61" s="53">
        <v>5143921.6100000003</v>
      </c>
      <c r="G61" s="53"/>
      <c r="H61" s="108"/>
      <c r="I61" s="98"/>
      <c r="R61" s="53"/>
      <c r="S61" s="53"/>
    </row>
    <row r="62" spans="2:19" x14ac:dyDescent="0.25">
      <c r="B62" s="144">
        <v>40422</v>
      </c>
      <c r="C62" s="53">
        <v>32970</v>
      </c>
      <c r="D62" s="118">
        <v>41034418</v>
      </c>
      <c r="E62" s="119"/>
      <c r="F62" s="53">
        <v>4921012.88</v>
      </c>
      <c r="G62" s="53"/>
      <c r="H62" s="108"/>
      <c r="I62" s="98"/>
      <c r="R62" s="53"/>
      <c r="S62" s="53"/>
    </row>
    <row r="63" spans="2:19" x14ac:dyDescent="0.25">
      <c r="B63" s="144">
        <v>40452</v>
      </c>
      <c r="C63" s="53">
        <v>32979</v>
      </c>
      <c r="D63" s="118">
        <v>30703514</v>
      </c>
      <c r="E63" s="119"/>
      <c r="F63" s="53">
        <v>3686879.15</v>
      </c>
      <c r="G63" s="53"/>
      <c r="H63" s="108"/>
      <c r="I63" s="98"/>
      <c r="R63" s="53"/>
      <c r="S63" s="53"/>
    </row>
    <row r="64" spans="2:19" x14ac:dyDescent="0.25">
      <c r="B64" s="144">
        <v>40483</v>
      </c>
      <c r="C64" s="53">
        <v>33022</v>
      </c>
      <c r="D64" s="118">
        <v>28826499</v>
      </c>
      <c r="E64" s="119"/>
      <c r="F64" s="53">
        <v>3461400.44</v>
      </c>
      <c r="G64" s="53"/>
      <c r="H64" s="108"/>
      <c r="I64" s="98"/>
      <c r="R64" s="53"/>
      <c r="S64" s="53"/>
    </row>
    <row r="65" spans="2:19" x14ac:dyDescent="0.25">
      <c r="B65" s="144">
        <v>40513</v>
      </c>
      <c r="C65" s="88">
        <v>33055</v>
      </c>
      <c r="D65" s="120">
        <v>33277338</v>
      </c>
      <c r="E65" s="121"/>
      <c r="F65" s="88">
        <v>3991676.19</v>
      </c>
      <c r="G65" s="53"/>
      <c r="H65" s="108"/>
      <c r="I65" s="98"/>
      <c r="R65" s="53"/>
      <c r="S65" s="53"/>
    </row>
    <row r="66" spans="2:19" x14ac:dyDescent="0.25">
      <c r="B66" s="19"/>
      <c r="C66" s="53">
        <f>SUM(C54:C65)</f>
        <v>393483</v>
      </c>
      <c r="D66" s="110">
        <f>SUM(D54:D65)</f>
        <v>405811118</v>
      </c>
      <c r="E66" s="106">
        <f>SUM(E54:E65)</f>
        <v>0</v>
      </c>
      <c r="F66" s="106">
        <f>SUM(F54:F65)</f>
        <v>48685732.799999997</v>
      </c>
      <c r="G66" s="106"/>
      <c r="H66" s="53"/>
      <c r="I66" s="53"/>
      <c r="R66" s="53"/>
      <c r="S66" s="53"/>
    </row>
    <row r="67" spans="2:19" x14ac:dyDescent="0.25">
      <c r="B67" s="19"/>
      <c r="C67" s="53"/>
      <c r="D67" s="53"/>
      <c r="F67" s="53"/>
      <c r="G67" s="53"/>
      <c r="H67" s="53"/>
      <c r="I67" s="53"/>
      <c r="R67" s="53"/>
      <c r="S67" s="53"/>
    </row>
    <row r="68" spans="2:19" x14ac:dyDescent="0.25">
      <c r="B68" s="19"/>
      <c r="C68" s="53"/>
      <c r="D68" s="110"/>
      <c r="F68" s="53"/>
      <c r="G68" s="53"/>
      <c r="H68" s="53"/>
      <c r="I68" s="53"/>
      <c r="R68" s="53"/>
      <c r="S68" s="53"/>
    </row>
    <row r="71" spans="2:19" x14ac:dyDescent="0.25">
      <c r="B71" s="19"/>
      <c r="C71" s="53"/>
      <c r="D71" s="53"/>
      <c r="E71" s="19"/>
      <c r="F71" s="19"/>
      <c r="G71" s="19"/>
    </row>
    <row r="72" spans="2:19" x14ac:dyDescent="0.25">
      <c r="B72" s="19"/>
      <c r="C72" s="55"/>
      <c r="D72" s="85"/>
      <c r="E72" s="90"/>
      <c r="F72" s="19"/>
      <c r="G72" s="19"/>
    </row>
    <row r="73" spans="2:19" x14ac:dyDescent="0.25">
      <c r="B73" s="19"/>
      <c r="C73" s="55"/>
      <c r="D73" s="85"/>
      <c r="E73" s="90"/>
      <c r="F73" s="19"/>
      <c r="G73" s="19"/>
    </row>
    <row r="74" spans="2:19" x14ac:dyDescent="0.25">
      <c r="B74" s="19"/>
      <c r="C74" s="55"/>
      <c r="D74" s="85"/>
      <c r="E74" s="90"/>
      <c r="F74" s="19"/>
      <c r="G74" s="19"/>
    </row>
    <row r="75" spans="2:19" x14ac:dyDescent="0.25">
      <c r="B75" s="19"/>
      <c r="C75" s="55"/>
      <c r="D75" s="85"/>
      <c r="E75" s="90"/>
      <c r="F75" s="19"/>
      <c r="G75" s="19"/>
      <c r="J75" s="19"/>
    </row>
    <row r="76" spans="2:19" x14ac:dyDescent="0.25">
      <c r="B76" s="19"/>
      <c r="C76" s="55"/>
      <c r="D76" s="85"/>
      <c r="E76" s="90"/>
      <c r="F76" s="19"/>
      <c r="G76" s="19"/>
      <c r="J76" s="19"/>
    </row>
    <row r="77" spans="2:19" x14ac:dyDescent="0.25">
      <c r="B77" s="19"/>
      <c r="C77" s="55"/>
      <c r="D77" s="85"/>
      <c r="E77" s="90"/>
      <c r="F77" s="19"/>
      <c r="G77" s="19"/>
      <c r="J77" s="19"/>
    </row>
    <row r="78" spans="2:19" x14ac:dyDescent="0.25">
      <c r="B78" s="19"/>
      <c r="C78" s="55"/>
      <c r="D78" s="85"/>
      <c r="E78" s="90"/>
      <c r="F78" s="19"/>
      <c r="G78" s="19"/>
      <c r="J78" s="19"/>
    </row>
    <row r="79" spans="2:19" x14ac:dyDescent="0.25">
      <c r="B79" s="19"/>
      <c r="C79" s="55"/>
      <c r="D79" s="85"/>
      <c r="E79" s="90"/>
      <c r="F79" s="19"/>
      <c r="G79" s="19"/>
      <c r="J79" s="19"/>
    </row>
    <row r="80" spans="2:19" x14ac:dyDescent="0.25">
      <c r="B80" s="19"/>
      <c r="C80" s="55"/>
      <c r="D80" s="85"/>
      <c r="E80" s="90"/>
      <c r="F80" s="19"/>
      <c r="G80" s="19"/>
      <c r="J80" s="19"/>
    </row>
    <row r="81" spans="2:10" x14ac:dyDescent="0.25">
      <c r="B81" s="19"/>
      <c r="C81" s="55"/>
      <c r="D81" s="85"/>
      <c r="E81" s="90"/>
      <c r="F81" s="19"/>
      <c r="G81" s="19"/>
      <c r="J81" s="19"/>
    </row>
    <row r="82" spans="2:10" x14ac:dyDescent="0.25">
      <c r="B82" s="19"/>
      <c r="C82" s="55"/>
      <c r="D82" s="85"/>
      <c r="E82" s="90"/>
      <c r="F82" s="19"/>
      <c r="G82" s="19"/>
      <c r="J82" s="19"/>
    </row>
    <row r="83" spans="2:10" x14ac:dyDescent="0.25">
      <c r="B83" s="19"/>
      <c r="C83" s="55"/>
      <c r="D83" s="85"/>
      <c r="E83" s="90"/>
      <c r="F83" s="19"/>
      <c r="G83" s="19"/>
      <c r="J83" s="19"/>
    </row>
    <row r="84" spans="2:10" x14ac:dyDescent="0.25">
      <c r="B84" s="19"/>
      <c r="C84" s="19"/>
      <c r="D84" s="85"/>
      <c r="E84" s="19"/>
      <c r="F84" s="19"/>
      <c r="G84" s="19"/>
      <c r="J84" s="19"/>
    </row>
    <row r="85" spans="2:10" x14ac:dyDescent="0.25">
      <c r="B85" s="19"/>
      <c r="C85" s="19"/>
      <c r="D85" s="19"/>
      <c r="E85" s="19"/>
      <c r="F85" s="19"/>
      <c r="G85" s="19"/>
      <c r="J85" s="19"/>
    </row>
  </sheetData>
  <mergeCells count="6">
    <mergeCell ref="D4:G5"/>
    <mergeCell ref="E7:F7"/>
    <mergeCell ref="T4:W5"/>
    <mergeCell ref="U7:V7"/>
    <mergeCell ref="L4:O5"/>
    <mergeCell ref="M7:N7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W106"/>
  <sheetViews>
    <sheetView view="pageBreakPreview" topLeftCell="A4" zoomScale="85" zoomScaleNormal="85" zoomScaleSheetLayoutView="85" workbookViewId="0">
      <selection activeCell="Y26" sqref="Y26"/>
    </sheetView>
  </sheetViews>
  <sheetFormatPr defaultRowHeight="15.75" x14ac:dyDescent="0.25"/>
  <cols>
    <col min="1" max="1" width="4.7109375" style="2" customWidth="1"/>
    <col min="2" max="2" width="15" style="2" bestFit="1" customWidth="1"/>
    <col min="3" max="3" width="22.28515625" style="2" customWidth="1"/>
    <col min="4" max="4" width="14.5703125" style="2" bestFit="1" customWidth="1"/>
    <col min="5" max="5" width="17" style="2" customWidth="1"/>
    <col min="6" max="6" width="2.7109375" style="2" customWidth="1"/>
    <col min="7" max="7" width="18" style="2" bestFit="1" customWidth="1"/>
    <col min="8" max="8" width="10" style="2" customWidth="1"/>
    <col min="9" max="10" width="4.7109375" style="2" customWidth="1"/>
    <col min="11" max="11" width="19.85546875" style="2" customWidth="1"/>
    <col min="12" max="12" width="14.5703125" style="2" customWidth="1"/>
    <col min="13" max="13" width="20.85546875" style="2" hidden="1" customWidth="1"/>
    <col min="14" max="14" width="2.7109375" style="2" hidden="1" customWidth="1"/>
    <col min="15" max="15" width="15.5703125" style="2" hidden="1" customWidth="1"/>
    <col min="16" max="16" width="10.28515625" style="2" hidden="1" customWidth="1"/>
    <col min="17" max="17" width="5" style="2" hidden="1" customWidth="1"/>
    <col min="18" max="18" width="9.140625" style="2" hidden="1" customWidth="1"/>
    <col min="19" max="19" width="22.7109375" style="2" hidden="1" customWidth="1"/>
    <col min="20" max="20" width="14.42578125" style="2" hidden="1" customWidth="1"/>
    <col min="21" max="21" width="12.7109375" style="2" hidden="1" customWidth="1"/>
    <col min="22" max="22" width="2.85546875" style="2" hidden="1" customWidth="1"/>
    <col min="23" max="23" width="17.7109375" style="2" hidden="1" customWidth="1"/>
    <col min="24" max="16384" width="9.140625" style="2"/>
  </cols>
  <sheetData>
    <row r="1" spans="1:23" x14ac:dyDescent="0.25">
      <c r="A1" s="1" t="s">
        <v>68</v>
      </c>
      <c r="I1" s="1"/>
      <c r="Q1" s="1"/>
    </row>
    <row r="2" spans="1:23" x14ac:dyDescent="0.25">
      <c r="A2" s="34" t="s">
        <v>75</v>
      </c>
      <c r="I2" s="34"/>
      <c r="Q2" s="34"/>
    </row>
    <row r="3" spans="1:23" ht="16.5" thickBot="1" x14ac:dyDescent="0.3">
      <c r="A3" s="34" t="s">
        <v>85</v>
      </c>
      <c r="B3" s="34"/>
      <c r="C3" s="34"/>
      <c r="I3" s="34"/>
      <c r="J3" s="34"/>
      <c r="K3" s="34"/>
      <c r="Q3" s="34"/>
    </row>
    <row r="4" spans="1:23" x14ac:dyDescent="0.25">
      <c r="A4" s="34"/>
      <c r="B4" s="34"/>
      <c r="C4" s="34"/>
      <c r="D4" s="401" t="s">
        <v>32</v>
      </c>
      <c r="E4" s="402"/>
      <c r="F4" s="402"/>
      <c r="G4" s="403"/>
      <c r="L4" s="401" t="s">
        <v>49</v>
      </c>
      <c r="M4" s="402"/>
      <c r="N4" s="402"/>
      <c r="O4" s="403"/>
      <c r="T4" s="401" t="s">
        <v>53</v>
      </c>
      <c r="U4" s="402"/>
      <c r="V4" s="402"/>
      <c r="W4" s="403"/>
    </row>
    <row r="5" spans="1:23" ht="16.5" thickBot="1" x14ac:dyDescent="0.3">
      <c r="A5" s="3"/>
      <c r="B5" s="3"/>
      <c r="C5" s="3"/>
      <c r="D5" s="404"/>
      <c r="E5" s="400"/>
      <c r="F5" s="400"/>
      <c r="G5" s="405"/>
      <c r="I5" s="3"/>
      <c r="J5" s="3"/>
      <c r="K5" s="3"/>
      <c r="L5" s="404"/>
      <c r="M5" s="400"/>
      <c r="N5" s="400"/>
      <c r="O5" s="405"/>
      <c r="Q5" s="3"/>
      <c r="R5" s="3"/>
      <c r="S5" s="3"/>
      <c r="T5" s="404"/>
      <c r="U5" s="400"/>
      <c r="V5" s="400"/>
      <c r="W5" s="405"/>
    </row>
    <row r="6" spans="1:23" x14ac:dyDescent="0.25">
      <c r="A6" s="4"/>
      <c r="B6" s="4"/>
      <c r="C6" s="4"/>
      <c r="D6" s="4" t="s">
        <v>1</v>
      </c>
      <c r="E6" s="4"/>
      <c r="F6" s="4"/>
      <c r="G6" s="4" t="s">
        <v>2</v>
      </c>
      <c r="I6" s="4"/>
      <c r="J6" s="4"/>
      <c r="K6" s="4"/>
      <c r="L6" s="4" t="s">
        <v>1</v>
      </c>
      <c r="M6" s="4"/>
      <c r="N6" s="4"/>
      <c r="O6" s="4" t="s">
        <v>2</v>
      </c>
      <c r="Q6" s="4"/>
      <c r="R6" s="4"/>
      <c r="S6" s="4"/>
      <c r="T6" s="4" t="s">
        <v>1</v>
      </c>
      <c r="U6" s="4"/>
      <c r="V6" s="4"/>
      <c r="W6" s="4" t="s">
        <v>2</v>
      </c>
    </row>
    <row r="7" spans="1:23" ht="16.5" thickBot="1" x14ac:dyDescent="0.3">
      <c r="A7" s="5"/>
      <c r="B7" s="5"/>
      <c r="C7" s="5"/>
      <c r="D7" s="5" t="s">
        <v>4</v>
      </c>
      <c r="E7" s="400" t="s">
        <v>5</v>
      </c>
      <c r="F7" s="400"/>
      <c r="G7" s="5" t="s">
        <v>6</v>
      </c>
      <c r="I7" s="5"/>
      <c r="J7" s="5"/>
      <c r="K7" s="5"/>
      <c r="L7" s="5" t="s">
        <v>4</v>
      </c>
      <c r="M7" s="400" t="s">
        <v>5</v>
      </c>
      <c r="N7" s="400"/>
      <c r="O7" s="5" t="s">
        <v>6</v>
      </c>
      <c r="Q7" s="5"/>
      <c r="R7" s="5"/>
      <c r="S7" s="5"/>
      <c r="T7" s="5" t="s">
        <v>4</v>
      </c>
      <c r="U7" s="400" t="s">
        <v>5</v>
      </c>
      <c r="V7" s="400"/>
      <c r="W7" s="5" t="s">
        <v>6</v>
      </c>
    </row>
    <row r="10" spans="1:23" x14ac:dyDescent="0.25">
      <c r="A10" s="1" t="s">
        <v>36</v>
      </c>
      <c r="I10" s="1" t="s">
        <v>36</v>
      </c>
      <c r="Q10" s="1" t="s">
        <v>10</v>
      </c>
    </row>
    <row r="11" spans="1:23" ht="31.5" x14ac:dyDescent="0.25">
      <c r="D11" s="6" t="s">
        <v>9</v>
      </c>
      <c r="E11" s="6" t="s">
        <v>12</v>
      </c>
      <c r="L11" s="6" t="s">
        <v>9</v>
      </c>
      <c r="M11" s="6" t="s">
        <v>12</v>
      </c>
      <c r="T11" s="6" t="s">
        <v>9</v>
      </c>
      <c r="U11" s="6" t="s">
        <v>12</v>
      </c>
    </row>
    <row r="12" spans="1:23" x14ac:dyDescent="0.25">
      <c r="B12" s="2" t="s">
        <v>42</v>
      </c>
      <c r="D12" s="8">
        <f>D52+D70+D88+D106</f>
        <v>211</v>
      </c>
      <c r="E12" s="9">
        <v>5</v>
      </c>
      <c r="G12" s="11">
        <f>D12*E12</f>
        <v>1055</v>
      </c>
      <c r="J12" s="2" t="s">
        <v>42</v>
      </c>
      <c r="L12" s="8">
        <f>D12</f>
        <v>211</v>
      </c>
      <c r="M12" s="9">
        <v>28.119042541556922</v>
      </c>
      <c r="O12" s="11">
        <f>L12*M12</f>
        <v>5933.1179762685106</v>
      </c>
      <c r="R12" s="2" t="s">
        <v>9</v>
      </c>
      <c r="T12" s="8">
        <f>L12</f>
        <v>211</v>
      </c>
      <c r="U12" s="9">
        <f>M12</f>
        <v>28.119042541556922</v>
      </c>
      <c r="W12" s="11">
        <f>T12*U12</f>
        <v>5933.1179762685106</v>
      </c>
    </row>
    <row r="13" spans="1:23" x14ac:dyDescent="0.25">
      <c r="D13" s="8"/>
      <c r="G13" s="18"/>
      <c r="L13" s="8"/>
      <c r="O13" s="18"/>
      <c r="W13" s="11"/>
    </row>
    <row r="14" spans="1:23" x14ac:dyDescent="0.25">
      <c r="A14" s="1" t="s">
        <v>7</v>
      </c>
      <c r="D14" s="8"/>
      <c r="G14" s="11"/>
      <c r="I14" s="1" t="s">
        <v>7</v>
      </c>
      <c r="L14" s="8"/>
      <c r="O14" s="11"/>
    </row>
    <row r="15" spans="1:23" x14ac:dyDescent="0.25">
      <c r="D15" s="13" t="s">
        <v>8</v>
      </c>
      <c r="E15" s="12" t="s">
        <v>11</v>
      </c>
      <c r="G15" s="11"/>
      <c r="L15" s="13" t="s">
        <v>8</v>
      </c>
      <c r="M15" s="12" t="s">
        <v>11</v>
      </c>
      <c r="O15" s="11"/>
      <c r="Q15" s="1" t="s">
        <v>7</v>
      </c>
      <c r="T15" s="8"/>
      <c r="W15" s="11"/>
    </row>
    <row r="16" spans="1:23" x14ac:dyDescent="0.25">
      <c r="G16" s="11"/>
      <c r="H16" s="15"/>
      <c r="O16" s="11"/>
      <c r="P16" s="15"/>
      <c r="T16" s="13" t="s">
        <v>8</v>
      </c>
      <c r="U16" s="12" t="s">
        <v>11</v>
      </c>
      <c r="W16" s="11"/>
    </row>
    <row r="17" spans="1:23" x14ac:dyDescent="0.25">
      <c r="C17" s="2" t="s">
        <v>76</v>
      </c>
      <c r="D17" s="39">
        <f>L52+L70</f>
        <v>152656</v>
      </c>
      <c r="E17" s="40">
        <v>0.12958</v>
      </c>
      <c r="F17" s="19"/>
      <c r="G17" s="18">
        <f>D17*E17</f>
        <v>19781.164479999999</v>
      </c>
      <c r="H17" s="15"/>
      <c r="K17" s="2" t="s">
        <v>50</v>
      </c>
      <c r="L17" s="39">
        <f>D21</f>
        <v>287187</v>
      </c>
      <c r="M17" s="83">
        <v>3.0599472934085808E-2</v>
      </c>
      <c r="N17" s="19"/>
      <c r="O17" s="18">
        <f>L17*M17</f>
        <v>8787.770833521301</v>
      </c>
      <c r="P17" s="15"/>
      <c r="R17" s="2" t="s">
        <v>51</v>
      </c>
      <c r="S17" s="16"/>
      <c r="T17" s="39">
        <f>D17</f>
        <v>152656</v>
      </c>
      <c r="U17" s="83">
        <v>0.19430837118280289</v>
      </c>
      <c r="V17" s="19"/>
      <c r="W17" s="50">
        <f>T17*U17</f>
        <v>29662.338711281958</v>
      </c>
    </row>
    <row r="18" spans="1:23" x14ac:dyDescent="0.25">
      <c r="C18" s="19" t="s">
        <v>77</v>
      </c>
      <c r="D18" s="39">
        <f>K52+K70</f>
        <v>98960</v>
      </c>
      <c r="E18" s="40">
        <v>8.4940000000000002E-2</v>
      </c>
      <c r="F18" s="19"/>
      <c r="G18" s="46">
        <f>D18*E18</f>
        <v>8405.6623999999993</v>
      </c>
      <c r="H18" s="19"/>
      <c r="K18" s="2" t="s">
        <v>33</v>
      </c>
      <c r="L18" s="8">
        <f>L17</f>
        <v>287187</v>
      </c>
      <c r="M18" s="123">
        <v>4.3642882987992938E-2</v>
      </c>
      <c r="O18" s="46">
        <f>L18*M18</f>
        <v>12533.668636672728</v>
      </c>
      <c r="P18" s="19"/>
      <c r="R18" s="7" t="s">
        <v>52</v>
      </c>
      <c r="S18" s="12"/>
      <c r="T18" s="20">
        <f>D18</f>
        <v>98960</v>
      </c>
      <c r="U18" s="109">
        <f>M17+M21</f>
        <v>5.0224803372726182E-2</v>
      </c>
      <c r="V18" s="47"/>
      <c r="W18" s="47">
        <f>T18*U18</f>
        <v>4970.2465417649828</v>
      </c>
    </row>
    <row r="19" spans="1:23" x14ac:dyDescent="0.25">
      <c r="C19" s="2" t="s">
        <v>78</v>
      </c>
      <c r="D19" s="39">
        <f>L88+L106</f>
        <v>24841</v>
      </c>
      <c r="E19" s="40">
        <v>0.12009</v>
      </c>
      <c r="F19" s="19"/>
      <c r="G19" s="46">
        <f>D19*E19</f>
        <v>2983.15569</v>
      </c>
      <c r="H19" s="19"/>
      <c r="L19" s="8"/>
      <c r="M19" s="123"/>
      <c r="O19" s="46"/>
      <c r="P19" s="19"/>
      <c r="R19" s="19"/>
      <c r="S19" s="23"/>
      <c r="T19" s="39"/>
      <c r="U19" s="122"/>
      <c r="V19" s="46"/>
      <c r="W19" s="46"/>
    </row>
    <row r="20" spans="1:23" x14ac:dyDescent="0.25">
      <c r="C20" s="7" t="s">
        <v>79</v>
      </c>
      <c r="D20" s="20">
        <f>K88+K106</f>
        <v>10730</v>
      </c>
      <c r="E20" s="33">
        <v>7.5139999999999998E-2</v>
      </c>
      <c r="F20" s="7"/>
      <c r="G20" s="47">
        <f>D20*E20</f>
        <v>806.25220000000002</v>
      </c>
      <c r="H20" s="19"/>
      <c r="L20" s="8"/>
      <c r="M20" s="123"/>
      <c r="O20" s="46"/>
      <c r="P20" s="19"/>
      <c r="R20" s="19"/>
      <c r="S20" s="23"/>
      <c r="T20" s="39"/>
      <c r="U20" s="122"/>
      <c r="V20" s="46"/>
      <c r="W20" s="46"/>
    </row>
    <row r="21" spans="1:23" x14ac:dyDescent="0.25">
      <c r="B21" s="2" t="s">
        <v>22</v>
      </c>
      <c r="C21" s="16"/>
      <c r="D21" s="8">
        <f>SUM(D17:D20)</f>
        <v>287187</v>
      </c>
      <c r="E21" s="21"/>
      <c r="G21" s="18">
        <f>SUM(G17:G20)</f>
        <v>31976.234769999999</v>
      </c>
      <c r="H21" s="15"/>
      <c r="K21" s="7" t="s">
        <v>29</v>
      </c>
      <c r="L21" s="20">
        <f>L17</f>
        <v>287187</v>
      </c>
      <c r="M21" s="109">
        <v>1.9625330438640377E-2</v>
      </c>
      <c r="N21" s="7"/>
      <c r="O21" s="47">
        <f>L21*M21</f>
        <v>5636.1397726818141</v>
      </c>
      <c r="P21" s="15"/>
      <c r="S21" s="16"/>
      <c r="T21" s="39"/>
      <c r="U21" s="122"/>
      <c r="V21" s="46"/>
      <c r="W21" s="46">
        <f>SUM(W17:W18)</f>
        <v>34632.585253046942</v>
      </c>
    </row>
    <row r="22" spans="1:23" x14ac:dyDescent="0.25">
      <c r="B22" s="19"/>
      <c r="C22" s="19"/>
      <c r="D22" s="39"/>
      <c r="E22" s="40"/>
      <c r="F22" s="19"/>
      <c r="G22" s="18"/>
      <c r="H22" s="19"/>
      <c r="J22" s="2" t="s">
        <v>22</v>
      </c>
      <c r="K22" s="16"/>
      <c r="L22" s="8"/>
      <c r="M22" s="84">
        <f>SUM(M17:M21)</f>
        <v>9.3867686360719127E-2</v>
      </c>
      <c r="O22" s="18">
        <f>SUM(O17:O21)</f>
        <v>26957.579242875843</v>
      </c>
      <c r="P22" s="19"/>
    </row>
    <row r="23" spans="1:23" x14ac:dyDescent="0.25">
      <c r="A23" s="1"/>
      <c r="B23" s="19"/>
      <c r="C23" s="19"/>
      <c r="D23" s="39"/>
      <c r="E23" s="9"/>
      <c r="F23" s="19"/>
      <c r="G23" s="18"/>
      <c r="H23" s="19"/>
      <c r="J23" s="19"/>
      <c r="K23" s="19"/>
      <c r="L23" s="39"/>
      <c r="M23" s="40"/>
      <c r="N23" s="19"/>
      <c r="O23" s="18"/>
      <c r="P23" s="19"/>
    </row>
    <row r="24" spans="1:23" x14ac:dyDescent="0.25">
      <c r="B24" s="19"/>
      <c r="C24" s="19"/>
      <c r="D24" s="39"/>
      <c r="E24" s="40"/>
      <c r="F24" s="19"/>
      <c r="G24" s="18"/>
      <c r="H24" s="19"/>
      <c r="I24" s="1" t="s">
        <v>18</v>
      </c>
      <c r="J24" s="19"/>
      <c r="K24" s="19"/>
      <c r="L24" s="39">
        <v>0</v>
      </c>
      <c r="M24" s="9">
        <v>20</v>
      </c>
      <c r="N24" s="19"/>
      <c r="O24" s="18">
        <f>L24*M24</f>
        <v>0</v>
      </c>
      <c r="P24" s="19"/>
      <c r="Q24" s="1" t="s">
        <v>18</v>
      </c>
      <c r="R24" s="19"/>
      <c r="S24" s="19"/>
      <c r="T24" s="39">
        <f>S70</f>
        <v>0</v>
      </c>
      <c r="U24" s="9">
        <v>20</v>
      </c>
      <c r="V24" s="19"/>
      <c r="W24" s="18">
        <f>T24*U24</f>
        <v>0</v>
      </c>
    </row>
    <row r="25" spans="1:23" x14ac:dyDescent="0.25">
      <c r="D25" s="8"/>
      <c r="G25" s="11"/>
      <c r="H25" s="19"/>
      <c r="J25" s="19"/>
      <c r="K25" s="19"/>
      <c r="L25" s="39"/>
      <c r="M25" s="40"/>
      <c r="N25" s="19"/>
      <c r="O25" s="18"/>
      <c r="P25" s="19"/>
      <c r="T25" s="8"/>
      <c r="W25" s="11"/>
    </row>
    <row r="26" spans="1:23" ht="16.5" thickBot="1" x14ac:dyDescent="0.3">
      <c r="A26" s="153" t="s">
        <v>82</v>
      </c>
      <c r="E26" s="21"/>
      <c r="G26" s="29">
        <f>G21+G12</f>
        <v>33031.234769999995</v>
      </c>
      <c r="H26" s="19"/>
      <c r="L26" s="8"/>
      <c r="O26" s="11"/>
      <c r="P26" s="19"/>
      <c r="T26" s="8"/>
      <c r="W26" s="11"/>
    </row>
    <row r="27" spans="1:23" ht="17.25" thickTop="1" thickBot="1" x14ac:dyDescent="0.3">
      <c r="A27" s="153"/>
      <c r="B27" s="1"/>
      <c r="G27" s="18"/>
      <c r="I27" s="1" t="s">
        <v>37</v>
      </c>
      <c r="O27" s="29">
        <f>O22+O12+O24</f>
        <v>32890.697219144356</v>
      </c>
      <c r="Q27" s="1" t="s">
        <v>37</v>
      </c>
      <c r="W27" s="29">
        <f>W12+W21+W24</f>
        <v>40565.703229315455</v>
      </c>
    </row>
    <row r="28" spans="1:23" ht="16.5" thickTop="1" x14ac:dyDescent="0.25">
      <c r="A28" s="103" t="s">
        <v>19</v>
      </c>
      <c r="B28" s="10"/>
      <c r="G28" s="11">
        <f>G52+E52+E70+G70+E88+G88+E106+G106</f>
        <v>33198.890000000007</v>
      </c>
      <c r="H28" s="25"/>
      <c r="I28" s="1"/>
      <c r="J28" s="1"/>
      <c r="O28" s="18"/>
      <c r="P28" s="25"/>
    </row>
    <row r="29" spans="1:23" x14ac:dyDescent="0.25">
      <c r="A29" s="154"/>
      <c r="B29" s="10"/>
      <c r="G29" s="10"/>
      <c r="H29" s="25"/>
      <c r="I29" s="44" t="s">
        <v>13</v>
      </c>
      <c r="J29" s="10"/>
      <c r="O29" s="27">
        <f>O27-G26</f>
        <v>-140.53755085563898</v>
      </c>
      <c r="P29" s="25"/>
      <c r="Q29" s="44" t="s">
        <v>13</v>
      </c>
      <c r="R29" s="19"/>
      <c r="S29" s="19"/>
      <c r="T29" s="39"/>
      <c r="U29" s="40"/>
      <c r="V29" s="19"/>
      <c r="W29" s="18">
        <f>W27-G26</f>
        <v>7534.4684593154598</v>
      </c>
    </row>
    <row r="30" spans="1:23" x14ac:dyDescent="0.25">
      <c r="A30" s="103" t="s">
        <v>13</v>
      </c>
      <c r="B30" s="10"/>
      <c r="G30" s="27">
        <f>G26-G28</f>
        <v>-167.65523000001122</v>
      </c>
      <c r="I30" s="10"/>
      <c r="J30" s="10"/>
      <c r="O30" s="11"/>
      <c r="Q30" s="19"/>
      <c r="R30" s="19"/>
      <c r="S30" s="19"/>
      <c r="T30" s="39"/>
      <c r="U30" s="19"/>
      <c r="V30" s="19"/>
      <c r="W30" s="17"/>
    </row>
    <row r="31" spans="1:23" x14ac:dyDescent="0.25">
      <c r="A31" s="154"/>
      <c r="B31" s="10"/>
      <c r="G31" s="11"/>
      <c r="I31" s="44" t="s">
        <v>28</v>
      </c>
      <c r="J31" s="10"/>
      <c r="O31" s="28">
        <f>O29/G26</f>
        <v>-4.2546865666456893E-3</v>
      </c>
      <c r="Q31" s="44" t="s">
        <v>23</v>
      </c>
      <c r="R31" s="19"/>
      <c r="S31" s="19"/>
      <c r="T31" s="39"/>
      <c r="U31" s="19"/>
      <c r="V31" s="19"/>
      <c r="W31" s="28">
        <f>W29/G26</f>
        <v>0.22810132626826596</v>
      </c>
    </row>
    <row r="32" spans="1:23" x14ac:dyDescent="0.25">
      <c r="A32" s="103" t="s">
        <v>28</v>
      </c>
      <c r="B32" s="10"/>
      <c r="G32" s="28">
        <f>G30/G28</f>
        <v>-5.0500251665043976E-3</v>
      </c>
    </row>
    <row r="35" spans="1:16" x14ac:dyDescent="0.25">
      <c r="A35" s="11"/>
      <c r="B35" s="11"/>
      <c r="I35" s="11"/>
      <c r="J35" s="11"/>
    </row>
    <row r="36" spans="1:16" x14ac:dyDescent="0.25">
      <c r="A36" s="10"/>
      <c r="B36" s="10"/>
      <c r="I36" s="10"/>
      <c r="J36" s="10"/>
      <c r="O36" s="18"/>
    </row>
    <row r="37" spans="1:16" x14ac:dyDescent="0.25">
      <c r="A37" s="27"/>
      <c r="B37" s="146" t="s">
        <v>73</v>
      </c>
      <c r="G37" s="32"/>
      <c r="I37" s="27"/>
      <c r="J37" s="27"/>
      <c r="K37" s="19"/>
      <c r="L37" s="19"/>
    </row>
    <row r="38" spans="1:16" x14ac:dyDescent="0.25">
      <c r="A38" s="27"/>
      <c r="B38" s="146"/>
      <c r="G38" s="32"/>
      <c r="I38" s="27"/>
      <c r="J38" s="27"/>
      <c r="K38" s="19"/>
      <c r="L38" s="19"/>
    </row>
    <row r="39" spans="1:16" x14ac:dyDescent="0.25">
      <c r="A39" s="11"/>
      <c r="B39" s="52" t="s">
        <v>27</v>
      </c>
      <c r="C39" s="52" t="s">
        <v>8</v>
      </c>
      <c r="D39" s="53" t="s">
        <v>25</v>
      </c>
      <c r="E39" s="52" t="s">
        <v>47</v>
      </c>
      <c r="F39" s="52"/>
      <c r="G39" s="52" t="s">
        <v>48</v>
      </c>
      <c r="K39" s="53" t="s">
        <v>41</v>
      </c>
      <c r="L39" s="53" t="s">
        <v>40</v>
      </c>
      <c r="O39" s="11"/>
    </row>
    <row r="40" spans="1:16" x14ac:dyDescent="0.25">
      <c r="A40" s="28"/>
      <c r="B40" s="144">
        <v>40544</v>
      </c>
      <c r="C40" s="56">
        <v>28458</v>
      </c>
      <c r="D40" s="51">
        <v>11</v>
      </c>
      <c r="E40" s="82">
        <v>3182.82</v>
      </c>
      <c r="F40" s="82"/>
      <c r="G40" s="41">
        <v>55</v>
      </c>
      <c r="H40" s="26"/>
      <c r="I40" s="46"/>
      <c r="J40" s="19"/>
      <c r="K40" s="46"/>
      <c r="M40" s="105"/>
      <c r="N40" s="19"/>
      <c r="O40" s="105"/>
      <c r="P40" s="26"/>
    </row>
    <row r="41" spans="1:16" x14ac:dyDescent="0.25">
      <c r="B41" s="144">
        <v>40575</v>
      </c>
      <c r="C41" s="56">
        <v>23431</v>
      </c>
      <c r="D41" s="51">
        <v>10</v>
      </c>
      <c r="E41" s="82">
        <v>2616.89</v>
      </c>
      <c r="F41" s="82"/>
      <c r="G41" s="41">
        <v>55</v>
      </c>
      <c r="I41" s="46"/>
      <c r="J41" s="19"/>
      <c r="K41" s="46"/>
      <c r="M41" s="105"/>
      <c r="N41" s="105"/>
      <c r="O41" s="105"/>
    </row>
    <row r="42" spans="1:16" x14ac:dyDescent="0.25">
      <c r="B42" s="144">
        <v>40603</v>
      </c>
      <c r="C42" s="56">
        <v>17779</v>
      </c>
      <c r="D42" s="51">
        <v>11</v>
      </c>
      <c r="E42" s="82">
        <v>1992.38</v>
      </c>
      <c r="F42" s="82"/>
      <c r="G42" s="41">
        <v>55</v>
      </c>
      <c r="I42" s="46"/>
      <c r="J42" s="19"/>
      <c r="K42" s="46"/>
      <c r="M42" s="105"/>
      <c r="N42" s="19"/>
      <c r="O42" s="105"/>
    </row>
    <row r="43" spans="1:16" x14ac:dyDescent="0.25">
      <c r="B43" s="144">
        <v>40634</v>
      </c>
      <c r="C43" s="56">
        <v>15819</v>
      </c>
      <c r="D43" s="51">
        <v>12</v>
      </c>
      <c r="E43" s="82">
        <v>1781.83</v>
      </c>
      <c r="F43" s="82"/>
      <c r="G43" s="41">
        <v>55</v>
      </c>
      <c r="I43" s="46"/>
      <c r="J43" s="19"/>
      <c r="K43" s="46"/>
      <c r="M43" s="105"/>
      <c r="N43" s="19"/>
      <c r="O43" s="105"/>
    </row>
    <row r="44" spans="1:16" x14ac:dyDescent="0.25">
      <c r="B44" s="144">
        <v>40664</v>
      </c>
      <c r="C44" s="56">
        <v>14984</v>
      </c>
      <c r="D44" s="100">
        <v>12</v>
      </c>
      <c r="E44" s="113">
        <v>1693.66</v>
      </c>
      <c r="F44" s="113"/>
      <c r="G44" s="147">
        <v>55</v>
      </c>
      <c r="H44" s="34"/>
      <c r="I44" s="70"/>
      <c r="J44" s="19"/>
      <c r="K44" s="70"/>
      <c r="M44" s="105"/>
      <c r="N44" s="19"/>
      <c r="O44" s="105"/>
    </row>
    <row r="45" spans="1:16" x14ac:dyDescent="0.25">
      <c r="B45" s="144">
        <v>40695</v>
      </c>
      <c r="C45" s="56">
        <v>15169</v>
      </c>
      <c r="D45" s="100">
        <v>12</v>
      </c>
      <c r="E45" s="113">
        <v>1704.98</v>
      </c>
      <c r="F45" s="113"/>
      <c r="G45" s="147">
        <v>60</v>
      </c>
      <c r="H45" s="34"/>
      <c r="I45" s="70"/>
      <c r="J45" s="19"/>
      <c r="K45" s="70"/>
      <c r="M45" s="105"/>
      <c r="N45" s="19"/>
      <c r="O45" s="105"/>
    </row>
    <row r="46" spans="1:16" x14ac:dyDescent="0.25">
      <c r="B46" s="144">
        <v>40725</v>
      </c>
      <c r="C46" s="56">
        <v>16866</v>
      </c>
      <c r="D46" s="101">
        <v>12</v>
      </c>
      <c r="E46" s="113">
        <v>1908.21</v>
      </c>
      <c r="F46" s="113"/>
      <c r="G46" s="113">
        <v>60</v>
      </c>
      <c r="H46" s="34"/>
      <c r="I46" s="70"/>
      <c r="J46" s="19"/>
      <c r="K46" s="70"/>
      <c r="M46" s="105"/>
      <c r="N46" s="19"/>
      <c r="O46" s="105"/>
    </row>
    <row r="47" spans="1:16" ht="15" customHeight="1" x14ac:dyDescent="0.25">
      <c r="B47" s="144">
        <v>40756</v>
      </c>
      <c r="C47" s="56">
        <v>12521</v>
      </c>
      <c r="D47" s="101">
        <v>12</v>
      </c>
      <c r="E47" s="113">
        <v>1429.38</v>
      </c>
      <c r="F47" s="113"/>
      <c r="G47" s="113">
        <v>60</v>
      </c>
      <c r="H47" s="34"/>
      <c r="I47" s="70"/>
      <c r="J47" s="19"/>
      <c r="K47" s="70"/>
      <c r="M47" s="105"/>
      <c r="N47" s="19"/>
      <c r="O47" s="105"/>
    </row>
    <row r="48" spans="1:16" x14ac:dyDescent="0.25">
      <c r="B48" s="144">
        <v>40422</v>
      </c>
      <c r="C48" s="56">
        <v>15269</v>
      </c>
      <c r="D48" s="101">
        <v>10</v>
      </c>
      <c r="E48" s="113">
        <v>1710.4</v>
      </c>
      <c r="F48" s="113"/>
      <c r="G48" s="113">
        <v>50</v>
      </c>
      <c r="H48" s="34"/>
      <c r="I48" s="70"/>
      <c r="J48" s="19"/>
      <c r="K48" s="70"/>
      <c r="M48" s="105"/>
      <c r="N48" s="19"/>
      <c r="O48" s="105"/>
    </row>
    <row r="49" spans="1:15" x14ac:dyDescent="0.25">
      <c r="B49" s="144">
        <v>40452</v>
      </c>
      <c r="C49" s="56">
        <v>16067</v>
      </c>
      <c r="D49" s="54">
        <v>10</v>
      </c>
      <c r="E49" s="82">
        <v>1786.66</v>
      </c>
      <c r="F49" s="82"/>
      <c r="G49" s="82">
        <v>50</v>
      </c>
      <c r="I49" s="46"/>
      <c r="J49" s="19"/>
      <c r="K49" s="46"/>
      <c r="M49" s="105"/>
      <c r="N49" s="19"/>
      <c r="O49" s="105"/>
    </row>
    <row r="50" spans="1:15" x14ac:dyDescent="0.25">
      <c r="B50" s="144">
        <v>40483</v>
      </c>
      <c r="C50" s="56">
        <v>19134</v>
      </c>
      <c r="D50" s="54">
        <v>11</v>
      </c>
      <c r="E50" s="82">
        <v>2107.79</v>
      </c>
      <c r="F50" s="82"/>
      <c r="G50" s="82">
        <v>50</v>
      </c>
      <c r="I50" s="46"/>
      <c r="J50" s="19"/>
      <c r="M50" s="105"/>
      <c r="N50" s="19"/>
      <c r="O50" s="105"/>
    </row>
    <row r="51" spans="1:15" x14ac:dyDescent="0.25">
      <c r="B51" s="144">
        <v>40513</v>
      </c>
      <c r="C51" s="91">
        <v>25773</v>
      </c>
      <c r="D51" s="38">
        <v>11</v>
      </c>
      <c r="E51" s="148">
        <v>2834.79</v>
      </c>
      <c r="F51" s="148"/>
      <c r="G51" s="148">
        <v>55</v>
      </c>
      <c r="I51" s="46"/>
      <c r="J51" s="19"/>
      <c r="K51" s="47"/>
      <c r="L51" s="7"/>
      <c r="M51" s="105"/>
      <c r="N51" s="19"/>
      <c r="O51" s="105"/>
    </row>
    <row r="52" spans="1:15" x14ac:dyDescent="0.25">
      <c r="C52" s="22">
        <f>SUM(C40:C51)</f>
        <v>221270</v>
      </c>
      <c r="D52" s="22">
        <f>SUM(D40:D51)</f>
        <v>134</v>
      </c>
      <c r="E52" s="82">
        <f>SUM(E40:E51)</f>
        <v>24749.790000000005</v>
      </c>
      <c r="F52" s="82"/>
      <c r="G52" s="82">
        <f>SUM(G40:G51)</f>
        <v>660</v>
      </c>
      <c r="I52" s="56"/>
      <c r="J52" s="19"/>
      <c r="K52" s="56">
        <v>89238</v>
      </c>
      <c r="L52" s="56">
        <v>132032</v>
      </c>
      <c r="M52" s="105"/>
      <c r="N52" s="19"/>
      <c r="O52" s="24"/>
    </row>
    <row r="53" spans="1:15" x14ac:dyDescent="0.25">
      <c r="E53" s="26"/>
      <c r="I53" s="19"/>
      <c r="J53" s="19"/>
      <c r="K53" s="19"/>
      <c r="L53" s="19"/>
      <c r="M53" s="19"/>
      <c r="N53" s="19"/>
      <c r="O53" s="19"/>
    </row>
    <row r="54" spans="1:15" x14ac:dyDescent="0.25">
      <c r="I54" s="56"/>
      <c r="J54" s="19"/>
      <c r="K54" s="19"/>
      <c r="L54" s="19"/>
      <c r="M54" s="19"/>
      <c r="N54" s="19"/>
      <c r="O54" s="19"/>
    </row>
    <row r="55" spans="1:15" x14ac:dyDescent="0.25">
      <c r="A55" s="19"/>
      <c r="B55" s="146" t="s">
        <v>74</v>
      </c>
      <c r="G55" s="32"/>
      <c r="I55" s="27"/>
      <c r="J55" s="27"/>
      <c r="K55" s="19"/>
      <c r="L55" s="19"/>
      <c r="M55" s="42"/>
      <c r="N55" s="19"/>
      <c r="O55" s="19"/>
    </row>
    <row r="56" spans="1:15" x14ac:dyDescent="0.25">
      <c r="A56" s="19"/>
      <c r="B56" s="146"/>
      <c r="G56" s="32"/>
      <c r="I56" s="27"/>
      <c r="J56" s="27"/>
      <c r="K56" s="19"/>
      <c r="L56" s="19"/>
      <c r="M56" s="42"/>
      <c r="N56" s="19"/>
      <c r="O56" s="19"/>
    </row>
    <row r="57" spans="1:15" x14ac:dyDescent="0.25">
      <c r="A57" s="19"/>
      <c r="B57" s="52" t="s">
        <v>27</v>
      </c>
      <c r="C57" s="52" t="s">
        <v>8</v>
      </c>
      <c r="D57" s="53" t="s">
        <v>25</v>
      </c>
      <c r="E57" s="52" t="s">
        <v>47</v>
      </c>
      <c r="F57" s="52"/>
      <c r="G57" s="52" t="s">
        <v>48</v>
      </c>
      <c r="K57" s="53" t="s">
        <v>41</v>
      </c>
      <c r="L57" s="53" t="s">
        <v>40</v>
      </c>
      <c r="M57" s="42"/>
      <c r="N57" s="19"/>
      <c r="O57" s="19"/>
    </row>
    <row r="58" spans="1:15" x14ac:dyDescent="0.25">
      <c r="A58" s="19"/>
      <c r="B58" s="144">
        <v>40544</v>
      </c>
      <c r="C58" s="56">
        <v>2479</v>
      </c>
      <c r="D58" s="51">
        <v>2</v>
      </c>
      <c r="E58" s="9">
        <v>287.79000000000002</v>
      </c>
      <c r="F58" s="9"/>
      <c r="G58" s="45">
        <v>10</v>
      </c>
      <c r="H58" s="26"/>
      <c r="I58" s="46"/>
      <c r="J58" s="19"/>
      <c r="K58" s="46"/>
      <c r="M58" s="42"/>
      <c r="N58" s="19"/>
      <c r="O58" s="19"/>
    </row>
    <row r="59" spans="1:15" x14ac:dyDescent="0.25">
      <c r="A59" s="19"/>
      <c r="B59" s="144">
        <v>40575</v>
      </c>
      <c r="C59" s="56">
        <v>2531</v>
      </c>
      <c r="D59" s="51">
        <v>2</v>
      </c>
      <c r="E59" s="9">
        <v>292.75</v>
      </c>
      <c r="F59" s="9"/>
      <c r="G59" s="45">
        <v>10</v>
      </c>
      <c r="I59" s="46"/>
      <c r="J59" s="19"/>
      <c r="K59" s="46"/>
      <c r="M59" s="42"/>
      <c r="N59" s="19"/>
      <c r="O59" s="19"/>
    </row>
    <row r="60" spans="1:15" x14ac:dyDescent="0.25">
      <c r="A60" s="19"/>
      <c r="B60" s="144">
        <v>40603</v>
      </c>
      <c r="C60" s="56">
        <v>2166</v>
      </c>
      <c r="D60" s="51">
        <v>2</v>
      </c>
      <c r="E60" s="9">
        <v>252.24</v>
      </c>
      <c r="F60" s="9"/>
      <c r="G60" s="45">
        <v>10</v>
      </c>
      <c r="I60" s="46"/>
      <c r="J60" s="19"/>
      <c r="K60" s="46"/>
      <c r="M60" s="42"/>
      <c r="N60" s="19"/>
      <c r="O60" s="19"/>
    </row>
    <row r="61" spans="1:15" x14ac:dyDescent="0.25">
      <c r="A61" s="19"/>
      <c r="B61" s="144">
        <v>40634</v>
      </c>
      <c r="C61" s="56">
        <v>2323</v>
      </c>
      <c r="D61" s="51">
        <v>2</v>
      </c>
      <c r="E61" s="9">
        <v>269.67</v>
      </c>
      <c r="F61" s="9"/>
      <c r="G61" s="45">
        <v>10</v>
      </c>
      <c r="I61" s="46"/>
      <c r="J61" s="19"/>
      <c r="K61" s="46"/>
      <c r="M61" s="42"/>
      <c r="N61" s="19"/>
      <c r="O61" s="19"/>
    </row>
    <row r="62" spans="1:15" x14ac:dyDescent="0.25">
      <c r="A62" s="19"/>
      <c r="B62" s="144">
        <v>40664</v>
      </c>
      <c r="C62" s="56">
        <v>2455</v>
      </c>
      <c r="D62" s="100">
        <v>2</v>
      </c>
      <c r="E62" s="149">
        <v>284.06</v>
      </c>
      <c r="F62" s="149"/>
      <c r="G62" s="150">
        <v>10</v>
      </c>
      <c r="H62" s="34"/>
      <c r="I62" s="70"/>
      <c r="J62" s="19"/>
      <c r="K62" s="70"/>
      <c r="M62" s="42"/>
      <c r="N62" s="19"/>
      <c r="O62" s="19"/>
    </row>
    <row r="63" spans="1:15" x14ac:dyDescent="0.25">
      <c r="A63" s="19"/>
      <c r="B63" s="144">
        <v>40695</v>
      </c>
      <c r="C63" s="56">
        <v>2587</v>
      </c>
      <c r="D63" s="100">
        <v>2</v>
      </c>
      <c r="E63" s="149">
        <v>296.17</v>
      </c>
      <c r="F63" s="149"/>
      <c r="G63" s="150">
        <v>10</v>
      </c>
      <c r="H63" s="34"/>
      <c r="I63" s="70"/>
      <c r="J63" s="19"/>
      <c r="K63" s="70"/>
      <c r="M63" s="42"/>
      <c r="N63" s="19"/>
      <c r="O63" s="19"/>
    </row>
    <row r="64" spans="1:15" x14ac:dyDescent="0.25">
      <c r="A64" s="19"/>
      <c r="B64" s="144">
        <v>40725</v>
      </c>
      <c r="C64" s="56">
        <v>2733</v>
      </c>
      <c r="D64" s="101">
        <v>2</v>
      </c>
      <c r="E64" s="149">
        <v>312.94</v>
      </c>
      <c r="F64" s="149"/>
      <c r="G64" s="149">
        <v>10</v>
      </c>
      <c r="H64" s="34"/>
      <c r="I64" s="70"/>
      <c r="J64" s="19"/>
      <c r="K64" s="70"/>
      <c r="M64" s="42"/>
      <c r="N64" s="19"/>
      <c r="O64" s="19"/>
    </row>
    <row r="65" spans="1:15" x14ac:dyDescent="0.25">
      <c r="A65" s="19"/>
      <c r="B65" s="144">
        <v>40756</v>
      </c>
      <c r="C65" s="56">
        <v>2881</v>
      </c>
      <c r="D65" s="101">
        <v>2</v>
      </c>
      <c r="E65" s="149">
        <v>329.12</v>
      </c>
      <c r="F65" s="149"/>
      <c r="G65" s="149">
        <v>10</v>
      </c>
      <c r="H65" s="34"/>
      <c r="I65" s="70"/>
      <c r="J65" s="19"/>
      <c r="K65" s="70"/>
      <c r="M65" s="42"/>
      <c r="N65" s="19"/>
      <c r="O65" s="19"/>
    </row>
    <row r="66" spans="1:15" x14ac:dyDescent="0.25">
      <c r="A66" s="19"/>
      <c r="B66" s="144">
        <v>40422</v>
      </c>
      <c r="C66" s="56">
        <v>3131</v>
      </c>
      <c r="D66" s="101">
        <v>2</v>
      </c>
      <c r="E66" s="149">
        <v>358.4</v>
      </c>
      <c r="F66" s="149"/>
      <c r="G66" s="149">
        <v>10</v>
      </c>
      <c r="H66" s="34"/>
      <c r="I66" s="70"/>
      <c r="J66" s="19"/>
      <c r="K66" s="70"/>
      <c r="M66" s="19"/>
      <c r="N66" s="19"/>
      <c r="O66" s="19"/>
    </row>
    <row r="67" spans="1:15" x14ac:dyDescent="0.25">
      <c r="B67" s="144">
        <v>40452</v>
      </c>
      <c r="C67" s="56">
        <v>2597</v>
      </c>
      <c r="D67" s="54">
        <v>2</v>
      </c>
      <c r="E67" s="9">
        <v>298.31</v>
      </c>
      <c r="F67" s="9"/>
      <c r="G67" s="149">
        <v>10</v>
      </c>
      <c r="I67" s="46"/>
      <c r="J67" s="19"/>
      <c r="K67" s="46"/>
    </row>
    <row r="68" spans="1:15" x14ac:dyDescent="0.25">
      <c r="B68" s="144">
        <v>40483</v>
      </c>
      <c r="C68" s="56">
        <v>2121</v>
      </c>
      <c r="D68" s="54">
        <v>2</v>
      </c>
      <c r="E68" s="9">
        <v>245.24</v>
      </c>
      <c r="F68" s="9"/>
      <c r="G68" s="149">
        <v>10</v>
      </c>
      <c r="I68" s="46"/>
      <c r="J68" s="19"/>
    </row>
    <row r="69" spans="1:15" x14ac:dyDescent="0.25">
      <c r="B69" s="144">
        <v>40513</v>
      </c>
      <c r="C69" s="91">
        <v>2342</v>
      </c>
      <c r="D69" s="38">
        <v>2</v>
      </c>
      <c r="E69" s="151">
        <v>271.57</v>
      </c>
      <c r="F69" s="151"/>
      <c r="G69" s="152">
        <v>10</v>
      </c>
      <c r="I69" s="46"/>
      <c r="J69" s="19"/>
      <c r="K69" s="47"/>
      <c r="L69" s="7"/>
    </row>
    <row r="70" spans="1:15" x14ac:dyDescent="0.25">
      <c r="C70" s="22">
        <f>SUM(C58:C69)</f>
        <v>30346</v>
      </c>
      <c r="D70" s="22">
        <f>SUM(D58:D69)</f>
        <v>24</v>
      </c>
      <c r="E70" s="9">
        <f>SUM(E58:E69)</f>
        <v>3498.2600000000007</v>
      </c>
      <c r="F70" s="9"/>
      <c r="G70" s="9">
        <f>SUM(G58:G69)</f>
        <v>120</v>
      </c>
      <c r="I70" s="56"/>
      <c r="J70" s="19"/>
      <c r="K70" s="56">
        <v>9722</v>
      </c>
      <c r="L70" s="56">
        <v>20624</v>
      </c>
    </row>
    <row r="73" spans="1:15" x14ac:dyDescent="0.25">
      <c r="B73" s="146" t="s">
        <v>80</v>
      </c>
      <c r="G73" s="32"/>
      <c r="I73" s="27"/>
      <c r="J73" s="27"/>
      <c r="K73" s="19"/>
      <c r="L73" s="19"/>
    </row>
    <row r="74" spans="1:15" x14ac:dyDescent="0.25">
      <c r="B74" s="146"/>
      <c r="G74" s="32"/>
      <c r="I74" s="27"/>
      <c r="J74" s="27"/>
      <c r="K74" s="19"/>
      <c r="L74" s="19"/>
    </row>
    <row r="75" spans="1:15" x14ac:dyDescent="0.25">
      <c r="B75" s="52" t="s">
        <v>27</v>
      </c>
      <c r="C75" s="52" t="s">
        <v>8</v>
      </c>
      <c r="D75" s="53" t="s">
        <v>25</v>
      </c>
      <c r="E75" s="52" t="s">
        <v>47</v>
      </c>
      <c r="F75" s="52"/>
      <c r="G75" s="52" t="s">
        <v>48</v>
      </c>
      <c r="K75" s="53" t="s">
        <v>41</v>
      </c>
      <c r="L75" s="53" t="s">
        <v>40</v>
      </c>
    </row>
    <row r="76" spans="1:15" x14ac:dyDescent="0.25">
      <c r="B76" s="144">
        <v>40544</v>
      </c>
      <c r="C76" s="56">
        <v>1480</v>
      </c>
      <c r="D76" s="51">
        <v>2</v>
      </c>
      <c r="E76" s="82">
        <v>166.42</v>
      </c>
      <c r="F76" s="82"/>
      <c r="G76" s="41">
        <v>10</v>
      </c>
      <c r="H76" s="26"/>
      <c r="I76" s="46"/>
      <c r="J76" s="19"/>
      <c r="K76" s="46"/>
    </row>
    <row r="77" spans="1:15" x14ac:dyDescent="0.25">
      <c r="B77" s="144">
        <v>40575</v>
      </c>
      <c r="C77" s="56">
        <v>1586</v>
      </c>
      <c r="D77" s="51">
        <v>2</v>
      </c>
      <c r="E77" s="82">
        <v>176.7</v>
      </c>
      <c r="F77" s="82"/>
      <c r="G77" s="41">
        <v>10</v>
      </c>
      <c r="I77" s="46"/>
      <c r="J77" s="19"/>
      <c r="K77" s="46"/>
    </row>
    <row r="78" spans="1:15" x14ac:dyDescent="0.25">
      <c r="B78" s="144">
        <v>40603</v>
      </c>
      <c r="C78" s="56">
        <v>1155</v>
      </c>
      <c r="D78" s="51">
        <v>2</v>
      </c>
      <c r="E78" s="82">
        <v>130.33000000000001</v>
      </c>
      <c r="F78" s="82"/>
      <c r="G78" s="41">
        <v>10</v>
      </c>
      <c r="I78" s="46"/>
      <c r="J78" s="19"/>
      <c r="K78" s="46"/>
    </row>
    <row r="79" spans="1:15" x14ac:dyDescent="0.25">
      <c r="B79" s="144">
        <v>40634</v>
      </c>
      <c r="C79" s="56">
        <v>1341</v>
      </c>
      <c r="D79" s="51">
        <v>2</v>
      </c>
      <c r="E79" s="82">
        <v>151.03</v>
      </c>
      <c r="F79" s="82"/>
      <c r="G79" s="41">
        <v>10</v>
      </c>
      <c r="I79" s="46"/>
      <c r="J79" s="19"/>
      <c r="K79" s="46"/>
    </row>
    <row r="80" spans="1:15" x14ac:dyDescent="0.25">
      <c r="B80" s="144">
        <v>40664</v>
      </c>
      <c r="C80" s="56">
        <v>1014</v>
      </c>
      <c r="D80" s="100">
        <v>2</v>
      </c>
      <c r="E80" s="113">
        <v>114.24</v>
      </c>
      <c r="F80" s="113"/>
      <c r="G80" s="147">
        <v>10</v>
      </c>
      <c r="H80" s="34"/>
      <c r="I80" s="70"/>
      <c r="J80" s="19"/>
      <c r="K80" s="70"/>
    </row>
    <row r="81" spans="2:12" x14ac:dyDescent="0.25">
      <c r="B81" s="144">
        <v>40695</v>
      </c>
      <c r="C81" s="56">
        <v>1148</v>
      </c>
      <c r="D81" s="100">
        <v>2</v>
      </c>
      <c r="E81" s="113">
        <v>129.30000000000001</v>
      </c>
      <c r="F81" s="113"/>
      <c r="G81" s="147">
        <v>10</v>
      </c>
      <c r="H81" s="34"/>
      <c r="I81" s="70"/>
      <c r="J81" s="19"/>
      <c r="K81" s="70"/>
    </row>
    <row r="82" spans="2:12" x14ac:dyDescent="0.25">
      <c r="B82" s="144">
        <v>40725</v>
      </c>
      <c r="C82" s="56">
        <v>1170</v>
      </c>
      <c r="D82" s="101">
        <v>2</v>
      </c>
      <c r="E82" s="113">
        <v>130.76</v>
      </c>
      <c r="F82" s="113"/>
      <c r="G82" s="113">
        <v>10</v>
      </c>
      <c r="H82" s="34"/>
      <c r="I82" s="70"/>
      <c r="J82" s="19"/>
      <c r="K82" s="70"/>
    </row>
    <row r="83" spans="2:12" x14ac:dyDescent="0.25">
      <c r="B83" s="144">
        <v>40756</v>
      </c>
      <c r="C83" s="56">
        <v>1141</v>
      </c>
      <c r="D83" s="101">
        <v>2</v>
      </c>
      <c r="E83" s="113">
        <v>128.22</v>
      </c>
      <c r="F83" s="113"/>
      <c r="G83" s="113">
        <v>10</v>
      </c>
      <c r="H83" s="34"/>
      <c r="I83" s="70"/>
      <c r="J83" s="19"/>
      <c r="K83" s="70"/>
    </row>
    <row r="84" spans="2:12" x14ac:dyDescent="0.25">
      <c r="B84" s="144">
        <v>40422</v>
      </c>
      <c r="C84" s="56">
        <v>893</v>
      </c>
      <c r="D84" s="101">
        <v>1</v>
      </c>
      <c r="E84" s="113">
        <v>100.74</v>
      </c>
      <c r="F84" s="113"/>
      <c r="G84" s="113">
        <v>5</v>
      </c>
      <c r="H84" s="34"/>
      <c r="I84" s="70"/>
      <c r="J84" s="19"/>
      <c r="K84" s="70"/>
    </row>
    <row r="85" spans="2:12" x14ac:dyDescent="0.25">
      <c r="B85" s="144">
        <v>40452</v>
      </c>
      <c r="C85" s="56">
        <v>617</v>
      </c>
      <c r="D85" s="54">
        <v>1</v>
      </c>
      <c r="E85" s="82">
        <v>67.53</v>
      </c>
      <c r="F85" s="82"/>
      <c r="G85" s="82">
        <v>5</v>
      </c>
      <c r="I85" s="46"/>
      <c r="J85" s="19"/>
      <c r="K85" s="46"/>
    </row>
    <row r="86" spans="2:12" x14ac:dyDescent="0.25">
      <c r="B86" s="144">
        <v>40483</v>
      </c>
      <c r="C86" s="56">
        <v>1031</v>
      </c>
      <c r="D86" s="54">
        <v>2</v>
      </c>
      <c r="E86" s="82">
        <v>113.57</v>
      </c>
      <c r="F86" s="82"/>
      <c r="G86" s="82">
        <v>10</v>
      </c>
      <c r="I86" s="46"/>
      <c r="J86" s="19"/>
    </row>
    <row r="87" spans="2:12" x14ac:dyDescent="0.25">
      <c r="B87" s="144">
        <v>40513</v>
      </c>
      <c r="C87" s="91">
        <v>1294</v>
      </c>
      <c r="D87" s="38">
        <v>2</v>
      </c>
      <c r="E87" s="148">
        <v>139.63</v>
      </c>
      <c r="F87" s="148"/>
      <c r="G87" s="148">
        <v>10</v>
      </c>
      <c r="I87" s="46"/>
      <c r="J87" s="19"/>
      <c r="K87" s="47"/>
      <c r="L87" s="7"/>
    </row>
    <row r="88" spans="2:12" x14ac:dyDescent="0.25">
      <c r="C88" s="22">
        <f>SUM(C76:C87)</f>
        <v>13870</v>
      </c>
      <c r="D88" s="22">
        <f>SUM(D76:D87)</f>
        <v>22</v>
      </c>
      <c r="E88" s="82">
        <f>SUM(E76:E87)</f>
        <v>1548.4699999999998</v>
      </c>
      <c r="F88" s="82"/>
      <c r="G88" s="82">
        <f>SUM(G76:G87)</f>
        <v>110</v>
      </c>
      <c r="I88" s="56"/>
      <c r="J88" s="19"/>
      <c r="K88" s="56">
        <v>3681</v>
      </c>
      <c r="L88" s="56">
        <v>10189</v>
      </c>
    </row>
    <row r="89" spans="2:12" x14ac:dyDescent="0.25">
      <c r="E89" s="26"/>
      <c r="I89" s="19"/>
      <c r="J89" s="19"/>
      <c r="K89" s="19"/>
      <c r="L89" s="19"/>
    </row>
    <row r="90" spans="2:12" x14ac:dyDescent="0.25">
      <c r="I90" s="56"/>
      <c r="J90" s="19"/>
      <c r="K90" s="19"/>
      <c r="L90" s="19"/>
    </row>
    <row r="91" spans="2:12" x14ac:dyDescent="0.25">
      <c r="B91" s="146" t="s">
        <v>81</v>
      </c>
      <c r="G91" s="32"/>
      <c r="I91" s="27"/>
      <c r="J91" s="27"/>
      <c r="K91" s="19"/>
      <c r="L91" s="19"/>
    </row>
    <row r="92" spans="2:12" x14ac:dyDescent="0.25">
      <c r="B92" s="146"/>
      <c r="G92" s="32"/>
      <c r="I92" s="27"/>
      <c r="J92" s="27"/>
      <c r="K92" s="19"/>
      <c r="L92" s="19"/>
    </row>
    <row r="93" spans="2:12" x14ac:dyDescent="0.25">
      <c r="B93" s="52" t="s">
        <v>27</v>
      </c>
      <c r="C93" s="52" t="s">
        <v>8</v>
      </c>
      <c r="D93" s="53" t="s">
        <v>25</v>
      </c>
      <c r="E93" s="52" t="s">
        <v>47</v>
      </c>
      <c r="F93" s="52"/>
      <c r="G93" s="52" t="s">
        <v>48</v>
      </c>
      <c r="K93" s="53" t="s">
        <v>41</v>
      </c>
      <c r="L93" s="53" t="s">
        <v>40</v>
      </c>
    </row>
    <row r="94" spans="2:12" x14ac:dyDescent="0.25">
      <c r="B94" s="144">
        <v>40544</v>
      </c>
      <c r="C94" s="56">
        <v>1621</v>
      </c>
      <c r="D94" s="51">
        <v>2</v>
      </c>
      <c r="E94" s="9">
        <v>178.26</v>
      </c>
      <c r="F94" s="9"/>
      <c r="G94" s="45">
        <v>10</v>
      </c>
      <c r="H94" s="26"/>
      <c r="I94" s="46"/>
      <c r="J94" s="19"/>
      <c r="K94" s="46"/>
    </row>
    <row r="95" spans="2:12" x14ac:dyDescent="0.25">
      <c r="B95" s="144">
        <v>40575</v>
      </c>
      <c r="C95" s="56">
        <v>1343</v>
      </c>
      <c r="D95" s="51">
        <v>3</v>
      </c>
      <c r="E95" s="9">
        <v>144.69999999999999</v>
      </c>
      <c r="F95" s="9"/>
      <c r="G95" s="45">
        <v>10</v>
      </c>
      <c r="I95" s="46"/>
      <c r="J95" s="19"/>
      <c r="K95" s="46"/>
    </row>
    <row r="96" spans="2:12" x14ac:dyDescent="0.25">
      <c r="B96" s="144">
        <v>40603</v>
      </c>
      <c r="C96" s="56">
        <v>2125</v>
      </c>
      <c r="D96" s="51">
        <v>3</v>
      </c>
      <c r="E96" s="9">
        <v>230.34</v>
      </c>
      <c r="F96" s="9"/>
      <c r="G96" s="45">
        <v>15</v>
      </c>
      <c r="I96" s="46"/>
      <c r="J96" s="19"/>
      <c r="K96" s="46"/>
    </row>
    <row r="97" spans="2:12" x14ac:dyDescent="0.25">
      <c r="B97" s="144">
        <v>40634</v>
      </c>
      <c r="C97" s="56">
        <v>2277</v>
      </c>
      <c r="D97" s="51">
        <v>3</v>
      </c>
      <c r="E97" s="9">
        <v>246.07</v>
      </c>
      <c r="F97" s="9"/>
      <c r="G97" s="45">
        <v>15</v>
      </c>
      <c r="I97" s="46"/>
      <c r="J97" s="19"/>
      <c r="K97" s="46"/>
    </row>
    <row r="98" spans="2:12" x14ac:dyDescent="0.25">
      <c r="B98" s="144">
        <v>40664</v>
      </c>
      <c r="C98" s="56">
        <v>2172</v>
      </c>
      <c r="D98" s="100">
        <v>3</v>
      </c>
      <c r="E98" s="149">
        <v>236.14</v>
      </c>
      <c r="F98" s="149"/>
      <c r="G98" s="150">
        <v>15</v>
      </c>
      <c r="H98" s="34"/>
      <c r="I98" s="70"/>
      <c r="J98" s="19"/>
      <c r="K98" s="70"/>
    </row>
    <row r="99" spans="2:12" x14ac:dyDescent="0.25">
      <c r="B99" s="144">
        <v>40695</v>
      </c>
      <c r="C99" s="56">
        <v>2336</v>
      </c>
      <c r="D99" s="100">
        <v>3</v>
      </c>
      <c r="E99" s="149">
        <v>254.53</v>
      </c>
      <c r="F99" s="149"/>
      <c r="G99" s="150">
        <v>15</v>
      </c>
      <c r="H99" s="34"/>
      <c r="I99" s="70"/>
      <c r="J99" s="19"/>
      <c r="K99" s="70"/>
    </row>
    <row r="100" spans="2:12" x14ac:dyDescent="0.25">
      <c r="B100" s="144">
        <v>40725</v>
      </c>
      <c r="C100" s="56">
        <v>2260</v>
      </c>
      <c r="D100" s="101">
        <v>3</v>
      </c>
      <c r="E100" s="149">
        <v>247.72</v>
      </c>
      <c r="F100" s="149"/>
      <c r="G100" s="149">
        <v>15</v>
      </c>
      <c r="H100" s="34"/>
      <c r="I100" s="70"/>
      <c r="J100" s="19"/>
      <c r="K100" s="70"/>
    </row>
    <row r="101" spans="2:12" x14ac:dyDescent="0.25">
      <c r="B101" s="144">
        <v>40756</v>
      </c>
      <c r="C101" s="56">
        <v>2366</v>
      </c>
      <c r="D101" s="101">
        <v>3</v>
      </c>
      <c r="E101" s="149">
        <v>260.93</v>
      </c>
      <c r="F101" s="149"/>
      <c r="G101" s="149">
        <v>15</v>
      </c>
      <c r="H101" s="34"/>
      <c r="I101" s="70"/>
      <c r="J101" s="19"/>
      <c r="K101" s="70"/>
    </row>
    <row r="102" spans="2:12" x14ac:dyDescent="0.25">
      <c r="B102" s="144">
        <v>40422</v>
      </c>
      <c r="C102" s="56">
        <v>1408</v>
      </c>
      <c r="D102" s="101">
        <v>2</v>
      </c>
      <c r="E102" s="149">
        <v>154.77000000000001</v>
      </c>
      <c r="F102" s="149"/>
      <c r="G102" s="149">
        <v>10</v>
      </c>
      <c r="H102" s="34"/>
      <c r="I102" s="70"/>
      <c r="J102" s="19"/>
      <c r="K102" s="70"/>
    </row>
    <row r="103" spans="2:12" x14ac:dyDescent="0.25">
      <c r="B103" s="144">
        <v>40452</v>
      </c>
      <c r="C103" s="56">
        <v>1124</v>
      </c>
      <c r="D103" s="54">
        <v>2</v>
      </c>
      <c r="E103" s="9">
        <v>121.64</v>
      </c>
      <c r="F103" s="9"/>
      <c r="G103" s="149">
        <v>10</v>
      </c>
      <c r="I103" s="46"/>
      <c r="J103" s="19"/>
      <c r="K103" s="46"/>
    </row>
    <row r="104" spans="2:12" x14ac:dyDescent="0.25">
      <c r="B104" s="144">
        <v>40483</v>
      </c>
      <c r="C104" s="56">
        <v>1294</v>
      </c>
      <c r="D104" s="54">
        <v>2</v>
      </c>
      <c r="E104" s="9">
        <v>139.58000000000001</v>
      </c>
      <c r="F104" s="9"/>
      <c r="G104" s="149">
        <v>10</v>
      </c>
      <c r="I104" s="46"/>
      <c r="J104" s="19"/>
    </row>
    <row r="105" spans="2:12" x14ac:dyDescent="0.25">
      <c r="B105" s="144">
        <v>40513</v>
      </c>
      <c r="C105" s="91">
        <v>1375</v>
      </c>
      <c r="D105" s="38">
        <v>2</v>
      </c>
      <c r="E105" s="151">
        <v>147.69</v>
      </c>
      <c r="F105" s="151"/>
      <c r="G105" s="152">
        <v>10</v>
      </c>
      <c r="I105" s="46"/>
      <c r="J105" s="19"/>
      <c r="K105" s="47"/>
      <c r="L105" s="7"/>
    </row>
    <row r="106" spans="2:12" x14ac:dyDescent="0.25">
      <c r="C106" s="22">
        <f>SUM(C94:C105)</f>
        <v>21701</v>
      </c>
      <c r="D106" s="22">
        <f>SUM(D94:D105)</f>
        <v>31</v>
      </c>
      <c r="E106" s="9">
        <f>SUM(E94:E105)</f>
        <v>2362.37</v>
      </c>
      <c r="F106" s="9"/>
      <c r="G106" s="9">
        <f>SUM(G94:G105)</f>
        <v>150</v>
      </c>
      <c r="I106" s="56"/>
      <c r="J106" s="19"/>
      <c r="K106" s="56">
        <v>7049</v>
      </c>
      <c r="L106" s="56">
        <v>14652</v>
      </c>
    </row>
  </sheetData>
  <mergeCells count="6">
    <mergeCell ref="D4:G5"/>
    <mergeCell ref="E7:F7"/>
    <mergeCell ref="T4:W5"/>
    <mergeCell ref="U7:V7"/>
    <mergeCell ref="L4:O5"/>
    <mergeCell ref="M7:N7"/>
  </mergeCells>
  <phoneticPr fontId="0" type="noConversion"/>
  <pageMargins left="0.75" right="0.75" top="1" bottom="1" header="0.5" footer="0.5"/>
  <pageSetup scale="8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1"/>
  <sheetViews>
    <sheetView view="pageBreakPreview" zoomScale="75" zoomScaleNormal="85" zoomScaleSheetLayoutView="75" workbookViewId="0">
      <selection sqref="A1:C1"/>
    </sheetView>
  </sheetViews>
  <sheetFormatPr defaultRowHeight="15.75" x14ac:dyDescent="0.25"/>
  <cols>
    <col min="1" max="1" width="4.7109375" style="2" customWidth="1"/>
    <col min="2" max="2" width="14.42578125" style="2" customWidth="1"/>
    <col min="3" max="3" width="3.5703125" style="2" customWidth="1"/>
    <col min="4" max="5" width="15" style="2" bestFit="1" customWidth="1"/>
    <col min="6" max="6" width="3.140625" style="2" customWidth="1"/>
    <col min="7" max="7" width="18" style="2" bestFit="1" customWidth="1"/>
    <col min="8" max="8" width="2.85546875" style="2" customWidth="1"/>
    <col min="9" max="9" width="4.7109375" style="2" customWidth="1"/>
    <col min="10" max="10" width="15.7109375" style="2" customWidth="1"/>
    <col min="11" max="11" width="10.28515625" style="2" customWidth="1"/>
    <col min="12" max="12" width="13.5703125" style="2" customWidth="1"/>
    <col min="13" max="13" width="12.42578125" style="2" customWidth="1"/>
    <col min="14" max="14" width="4.28515625" style="2" customWidth="1"/>
    <col min="15" max="15" width="17.42578125" style="2" customWidth="1"/>
    <col min="16" max="16384" width="9.140625" style="2"/>
  </cols>
  <sheetData>
    <row r="1" spans="1:15" x14ac:dyDescent="0.25">
      <c r="A1" s="1" t="s">
        <v>100</v>
      </c>
      <c r="J1" s="1"/>
    </row>
    <row r="2" spans="1:15" x14ac:dyDescent="0.25">
      <c r="A2" s="34" t="str">
        <f>'Present and Proposed Rates'!A13</f>
        <v>Small Comm</v>
      </c>
      <c r="J2" s="34"/>
      <c r="K2" s="34"/>
      <c r="L2" s="34"/>
      <c r="M2" s="34"/>
      <c r="N2" s="34"/>
      <c r="O2" s="34"/>
    </row>
    <row r="3" spans="1:15" ht="16.5" thickBot="1" x14ac:dyDescent="0.3">
      <c r="A3" s="34">
        <f>'Present and Proposed Rates'!B13</f>
        <v>2</v>
      </c>
      <c r="B3" s="34"/>
      <c r="C3" s="34"/>
      <c r="J3" s="34"/>
      <c r="K3" s="34"/>
      <c r="L3" s="34"/>
      <c r="M3" s="34"/>
      <c r="N3" s="34"/>
      <c r="O3" s="34"/>
    </row>
    <row r="4" spans="1:15" x14ac:dyDescent="0.25">
      <c r="A4" s="34"/>
      <c r="B4" s="34"/>
      <c r="C4" s="34"/>
      <c r="D4" s="394" t="s">
        <v>32</v>
      </c>
      <c r="E4" s="395"/>
      <c r="F4" s="395"/>
      <c r="G4" s="396"/>
      <c r="H4" s="223"/>
      <c r="I4" s="34"/>
      <c r="J4" s="34"/>
      <c r="K4" s="34"/>
      <c r="L4" s="394" t="s">
        <v>98</v>
      </c>
      <c r="M4" s="395"/>
      <c r="N4" s="395"/>
      <c r="O4" s="396"/>
    </row>
    <row r="5" spans="1:15" ht="16.5" thickBot="1" x14ac:dyDescent="0.3">
      <c r="A5" s="57"/>
      <c r="B5" s="117"/>
      <c r="C5" s="381"/>
      <c r="D5" s="397"/>
      <c r="E5" s="398"/>
      <c r="F5" s="398"/>
      <c r="G5" s="399"/>
      <c r="H5" s="223"/>
      <c r="I5" s="57"/>
      <c r="J5" s="117"/>
      <c r="K5" s="381"/>
      <c r="L5" s="397"/>
      <c r="M5" s="398"/>
      <c r="N5" s="398"/>
      <c r="O5" s="399"/>
    </row>
    <row r="6" spans="1:15" x14ac:dyDescent="0.25">
      <c r="A6" s="4"/>
      <c r="B6" s="4"/>
      <c r="C6" s="4"/>
      <c r="D6" s="4" t="s">
        <v>1</v>
      </c>
      <c r="E6" s="4"/>
      <c r="F6" s="4"/>
      <c r="G6" s="4" t="s">
        <v>2</v>
      </c>
      <c r="H6" s="224"/>
      <c r="I6" s="4"/>
      <c r="J6" s="4"/>
      <c r="K6" s="4"/>
      <c r="L6" s="4" t="s">
        <v>1</v>
      </c>
      <c r="M6" s="4"/>
      <c r="N6" s="4"/>
      <c r="O6" s="4" t="s">
        <v>2</v>
      </c>
    </row>
    <row r="7" spans="1:15" ht="16.5" thickBot="1" x14ac:dyDescent="0.3">
      <c r="A7" s="5"/>
      <c r="B7" s="5"/>
      <c r="C7" s="5"/>
      <c r="D7" s="5" t="s">
        <v>4</v>
      </c>
      <c r="E7" s="400" t="s">
        <v>5</v>
      </c>
      <c r="F7" s="400"/>
      <c r="G7" s="5" t="s">
        <v>6</v>
      </c>
      <c r="H7" s="225"/>
      <c r="I7" s="5"/>
      <c r="J7" s="5"/>
      <c r="K7" s="5"/>
      <c r="L7" s="5" t="s">
        <v>4</v>
      </c>
      <c r="M7" s="400" t="s">
        <v>5</v>
      </c>
      <c r="N7" s="400"/>
      <c r="O7" s="5" t="s">
        <v>6</v>
      </c>
    </row>
    <row r="8" spans="1:15" x14ac:dyDescent="0.25">
      <c r="H8" s="226"/>
    </row>
    <row r="9" spans="1:15" x14ac:dyDescent="0.25">
      <c r="H9" s="226"/>
    </row>
    <row r="10" spans="1:15" x14ac:dyDescent="0.25">
      <c r="A10" s="167" t="s">
        <v>10</v>
      </c>
      <c r="H10" s="226"/>
      <c r="I10" s="167" t="s">
        <v>10</v>
      </c>
    </row>
    <row r="11" spans="1:15" x14ac:dyDescent="0.25">
      <c r="D11" s="211" t="s">
        <v>122</v>
      </c>
      <c r="E11" s="211" t="s">
        <v>104</v>
      </c>
      <c r="H11" s="226"/>
      <c r="L11" s="211" t="s">
        <v>122</v>
      </c>
      <c r="M11" s="211" t="s">
        <v>104</v>
      </c>
    </row>
    <row r="12" spans="1:15" x14ac:dyDescent="0.25">
      <c r="B12" s="2" t="s">
        <v>105</v>
      </c>
      <c r="D12" s="39">
        <f>BillDet!C21</f>
        <v>20384</v>
      </c>
      <c r="E12" s="208">
        <f>'Present and Proposed Rates'!F13</f>
        <v>0.81599999999999995</v>
      </c>
      <c r="G12" s="11">
        <f>D12*E12*365/12</f>
        <v>505930.87999999989</v>
      </c>
      <c r="H12" s="227"/>
      <c r="J12" s="2" t="s">
        <v>105</v>
      </c>
      <c r="L12" s="39">
        <f>D12</f>
        <v>20384</v>
      </c>
      <c r="M12" s="208">
        <f>'Present and Proposed Rates'!G13</f>
        <v>0.81599999999999995</v>
      </c>
      <c r="O12" s="11">
        <f>L12*M12*365/12</f>
        <v>505930.87999999989</v>
      </c>
    </row>
    <row r="13" spans="1:15" x14ac:dyDescent="0.25">
      <c r="D13" s="39"/>
      <c r="E13" s="9"/>
      <c r="G13" s="11"/>
      <c r="H13" s="227"/>
      <c r="L13" s="39"/>
      <c r="M13" s="9"/>
      <c r="O13" s="11"/>
    </row>
    <row r="14" spans="1:15" x14ac:dyDescent="0.25">
      <c r="D14" s="8"/>
      <c r="G14" s="11"/>
      <c r="H14" s="227"/>
      <c r="L14" s="8"/>
      <c r="O14" s="11"/>
    </row>
    <row r="15" spans="1:15" x14ac:dyDescent="0.25">
      <c r="A15" s="1" t="s">
        <v>7</v>
      </c>
      <c r="D15" s="8"/>
      <c r="G15" s="11"/>
      <c r="H15" s="227"/>
      <c r="I15" s="1" t="s">
        <v>7</v>
      </c>
      <c r="L15" s="8"/>
      <c r="O15" s="11"/>
    </row>
    <row r="16" spans="1:15" x14ac:dyDescent="0.25">
      <c r="D16" s="201" t="s">
        <v>8</v>
      </c>
      <c r="E16" s="202" t="s">
        <v>11</v>
      </c>
      <c r="G16" s="11"/>
      <c r="H16" s="227"/>
      <c r="L16" s="201" t="s">
        <v>8</v>
      </c>
      <c r="M16" s="202" t="s">
        <v>11</v>
      </c>
      <c r="O16" s="11"/>
    </row>
    <row r="17" spans="1:15" x14ac:dyDescent="0.25">
      <c r="B17" s="2" t="s">
        <v>105</v>
      </c>
      <c r="D17" s="39">
        <f>BillDet!C36</f>
        <v>24557917</v>
      </c>
      <c r="E17" s="207">
        <f>'Present and Proposed Rates'!F14</f>
        <v>0.104294</v>
      </c>
      <c r="F17" s="19"/>
      <c r="G17" s="18">
        <f>D17*E17</f>
        <v>2561243.3955979999</v>
      </c>
      <c r="H17" s="227"/>
      <c r="J17" s="2" t="s">
        <v>105</v>
      </c>
      <c r="L17" s="39">
        <f>D17</f>
        <v>24557917</v>
      </c>
      <c r="M17" s="207">
        <f>'Present and Proposed Rates'!G14</f>
        <v>0.104294</v>
      </c>
      <c r="N17" s="19"/>
      <c r="O17" s="18">
        <f>L17*M17</f>
        <v>2561243.3955979999</v>
      </c>
    </row>
    <row r="18" spans="1:15" x14ac:dyDescent="0.25">
      <c r="B18" s="19"/>
      <c r="C18" s="19"/>
      <c r="D18" s="39"/>
      <c r="E18" s="40"/>
      <c r="F18" s="19"/>
      <c r="G18" s="18"/>
      <c r="H18" s="227"/>
      <c r="J18" s="19"/>
      <c r="K18" s="19"/>
      <c r="L18" s="39"/>
      <c r="M18" s="40"/>
      <c r="N18" s="19"/>
      <c r="O18" s="18"/>
    </row>
    <row r="19" spans="1:15" x14ac:dyDescent="0.25">
      <c r="A19" s="1" t="s">
        <v>106</v>
      </c>
      <c r="B19" s="19"/>
      <c r="C19" s="19"/>
      <c r="D19" s="39"/>
      <c r="E19" s="40"/>
      <c r="F19" s="19"/>
      <c r="G19" s="18"/>
      <c r="H19" s="227"/>
      <c r="I19" s="1" t="s">
        <v>106</v>
      </c>
      <c r="J19" s="19"/>
      <c r="K19" s="19"/>
      <c r="L19" s="39"/>
      <c r="M19" s="40"/>
      <c r="N19" s="19"/>
      <c r="O19" s="18"/>
    </row>
    <row r="20" spans="1:15" x14ac:dyDescent="0.25">
      <c r="B20" s="2" t="s">
        <v>127</v>
      </c>
      <c r="C20" s="19"/>
      <c r="D20" s="39"/>
      <c r="E20" s="40"/>
      <c r="F20" s="19"/>
      <c r="G20" s="18">
        <v>19009.18</v>
      </c>
      <c r="H20" s="227"/>
      <c r="J20" s="2" t="str">
        <f>B20</f>
        <v>Fuel Adjustment Clause</v>
      </c>
      <c r="K20" s="19"/>
      <c r="L20" s="39"/>
      <c r="M20" s="40"/>
      <c r="N20" s="19"/>
      <c r="O20" s="18">
        <f>G20</f>
        <v>19009.18</v>
      </c>
    </row>
    <row r="21" spans="1:15" x14ac:dyDescent="0.25">
      <c r="B21" s="2" t="s">
        <v>123</v>
      </c>
      <c r="C21" s="19"/>
      <c r="D21" s="39"/>
      <c r="E21" s="40"/>
      <c r="F21" s="19"/>
      <c r="G21" s="18">
        <v>187573.87</v>
      </c>
      <c r="H21" s="227"/>
      <c r="J21" s="2" t="str">
        <f t="shared" ref="J21:J25" si="0">B21</f>
        <v>Environmental Surcharge</v>
      </c>
      <c r="K21" s="19"/>
      <c r="L21" s="39"/>
      <c r="M21" s="40"/>
      <c r="N21" s="19"/>
      <c r="O21" s="18">
        <f t="shared" ref="O21:O25" si="1">G21</f>
        <v>187573.87</v>
      </c>
    </row>
    <row r="22" spans="1:15" x14ac:dyDescent="0.25">
      <c r="B22" s="2" t="s">
        <v>124</v>
      </c>
      <c r="C22" s="19"/>
      <c r="D22" s="39"/>
      <c r="E22" s="40"/>
      <c r="F22" s="19"/>
      <c r="G22" s="18">
        <v>-138944.18</v>
      </c>
      <c r="H22" s="227"/>
      <c r="J22" s="2" t="str">
        <f t="shared" si="0"/>
        <v>Member Rate Stability</v>
      </c>
      <c r="K22" s="19"/>
      <c r="L22" s="39"/>
      <c r="M22" s="40"/>
      <c r="N22" s="19"/>
      <c r="O22" s="18">
        <f t="shared" si="1"/>
        <v>-138944.18</v>
      </c>
    </row>
    <row r="23" spans="1:15" x14ac:dyDescent="0.25">
      <c r="B23" s="2" t="s">
        <v>125</v>
      </c>
      <c r="C23" s="19"/>
      <c r="D23" s="39"/>
      <c r="E23" s="40"/>
      <c r="F23" s="19"/>
      <c r="G23" s="46">
        <v>48132.21</v>
      </c>
      <c r="H23" s="228"/>
      <c r="J23" s="2" t="str">
        <f t="shared" si="0"/>
        <v>Non-FAC PPA</v>
      </c>
      <c r="K23" s="19"/>
      <c r="L23" s="39"/>
      <c r="M23" s="40"/>
      <c r="N23" s="19"/>
      <c r="O23" s="18">
        <f t="shared" si="1"/>
        <v>48132.21</v>
      </c>
    </row>
    <row r="24" spans="1:15" x14ac:dyDescent="0.25">
      <c r="B24" s="2" t="s">
        <v>126</v>
      </c>
      <c r="C24" s="156"/>
      <c r="D24" s="65"/>
      <c r="E24" s="76"/>
      <c r="F24" s="34"/>
      <c r="G24" s="69">
        <v>-5214.7085587168986</v>
      </c>
      <c r="H24" s="229"/>
      <c r="J24" s="2" t="str">
        <f t="shared" si="0"/>
        <v>Unbilled Revenue (Net)</v>
      </c>
      <c r="K24" s="156"/>
      <c r="L24" s="65"/>
      <c r="M24" s="76"/>
      <c r="N24" s="34"/>
      <c r="O24" s="18">
        <f t="shared" si="1"/>
        <v>-5214.7085587168986</v>
      </c>
    </row>
    <row r="25" spans="1:15" x14ac:dyDescent="0.25">
      <c r="B25" s="2" t="s">
        <v>200</v>
      </c>
      <c r="C25" s="156"/>
      <c r="D25" s="65"/>
      <c r="E25" s="76"/>
      <c r="F25" s="34"/>
      <c r="G25" s="69">
        <v>0</v>
      </c>
      <c r="H25" s="229"/>
      <c r="J25" s="2" t="str">
        <f t="shared" si="0"/>
        <v>Other</v>
      </c>
      <c r="K25" s="156"/>
      <c r="L25" s="65"/>
      <c r="M25" s="76"/>
      <c r="N25" s="34"/>
      <c r="O25" s="18">
        <f t="shared" si="1"/>
        <v>0</v>
      </c>
    </row>
    <row r="26" spans="1:15" x14ac:dyDescent="0.25">
      <c r="C26" s="156"/>
      <c r="D26" s="65"/>
      <c r="E26" s="76"/>
      <c r="F26" s="34"/>
      <c r="G26" s="69"/>
      <c r="H26" s="229"/>
      <c r="K26" s="156"/>
      <c r="L26" s="65"/>
      <c r="M26" s="76"/>
      <c r="N26" s="34"/>
      <c r="O26" s="18"/>
    </row>
    <row r="27" spans="1:15" x14ac:dyDescent="0.25">
      <c r="C27" s="156"/>
      <c r="D27" s="65"/>
      <c r="E27" s="76"/>
      <c r="F27" s="34"/>
      <c r="G27" s="69"/>
      <c r="H27" s="229"/>
      <c r="K27" s="156"/>
      <c r="L27" s="65"/>
      <c r="M27" s="76"/>
      <c r="N27" s="34"/>
      <c r="O27" s="18"/>
    </row>
    <row r="28" spans="1:15" x14ac:dyDescent="0.25">
      <c r="C28" s="156"/>
      <c r="D28" s="65"/>
      <c r="E28" s="76"/>
      <c r="F28" s="34"/>
      <c r="G28" s="69"/>
      <c r="H28" s="229"/>
      <c r="K28" s="156"/>
      <c r="L28" s="65"/>
      <c r="M28" s="76"/>
      <c r="N28" s="34"/>
      <c r="O28" s="18"/>
    </row>
    <row r="29" spans="1:15" x14ac:dyDescent="0.25">
      <c r="A29" s="1"/>
      <c r="B29" s="34"/>
      <c r="C29" s="156"/>
      <c r="D29" s="65"/>
      <c r="E29" s="76"/>
      <c r="F29" s="34"/>
      <c r="G29" s="69"/>
      <c r="H29" s="229"/>
    </row>
    <row r="30" spans="1:15" ht="16.5" thickBot="1" x14ac:dyDescent="0.3">
      <c r="A30" s="1" t="s">
        <v>82</v>
      </c>
      <c r="G30" s="29">
        <f>SUM(G12:G29)</f>
        <v>3177730.6470392831</v>
      </c>
      <c r="H30" s="227"/>
      <c r="I30" s="1" t="s">
        <v>82</v>
      </c>
      <c r="O30" s="29">
        <f>SUM(O12:O29)</f>
        <v>3177730.6470392831</v>
      </c>
    </row>
    <row r="31" spans="1:15" ht="16.5" thickTop="1" x14ac:dyDescent="0.25">
      <c r="A31" s="1"/>
      <c r="B31" s="1"/>
      <c r="G31" s="18"/>
      <c r="H31" s="227"/>
      <c r="I31" s="1"/>
      <c r="J31" s="1"/>
      <c r="O31" s="18"/>
    </row>
    <row r="32" spans="1:15" x14ac:dyDescent="0.25">
      <c r="A32" s="44" t="s">
        <v>19</v>
      </c>
      <c r="B32" s="10"/>
      <c r="G32" s="11">
        <f>BillDet!C66</f>
        <v>3175580.3999999994</v>
      </c>
      <c r="H32" s="227"/>
      <c r="I32" s="127" t="s">
        <v>87</v>
      </c>
      <c r="J32" s="10"/>
      <c r="O32" s="37">
        <f>O30-G30</f>
        <v>0</v>
      </c>
    </row>
    <row r="33" spans="1:15" x14ac:dyDescent="0.25">
      <c r="A33" s="10"/>
      <c r="B33" s="10"/>
      <c r="G33" s="10"/>
      <c r="H33" s="230"/>
      <c r="I33" s="48"/>
      <c r="J33" s="10"/>
      <c r="O33" s="10"/>
    </row>
    <row r="34" spans="1:15" x14ac:dyDescent="0.25">
      <c r="A34" s="44" t="s">
        <v>13</v>
      </c>
      <c r="B34" s="10"/>
      <c r="G34" s="27">
        <f>G30-G32</f>
        <v>2150.2470392836258</v>
      </c>
      <c r="H34" s="231"/>
      <c r="I34" s="127" t="s">
        <v>88</v>
      </c>
      <c r="J34" s="10"/>
      <c r="O34" s="157">
        <f>O32/G30</f>
        <v>0</v>
      </c>
    </row>
    <row r="35" spans="1:15" x14ac:dyDescent="0.25">
      <c r="A35" s="10"/>
      <c r="B35" s="10"/>
      <c r="G35" s="11"/>
      <c r="H35" s="227"/>
      <c r="I35" s="34"/>
      <c r="J35" s="10"/>
      <c r="O35" s="11"/>
    </row>
    <row r="36" spans="1:15" x14ac:dyDescent="0.25">
      <c r="A36" s="44" t="s">
        <v>28</v>
      </c>
      <c r="B36" s="10"/>
      <c r="G36" s="28">
        <f>G34/G32</f>
        <v>6.7711938242332836E-4</v>
      </c>
      <c r="H36" s="232"/>
      <c r="I36" s="59" t="s">
        <v>89</v>
      </c>
      <c r="J36" s="10"/>
      <c r="O36" s="50">
        <f>O32/L12</f>
        <v>0</v>
      </c>
    </row>
    <row r="37" spans="1:15" x14ac:dyDescent="0.25">
      <c r="A37" s="44"/>
      <c r="B37" s="10"/>
      <c r="G37" s="28"/>
      <c r="H37" s="232"/>
      <c r="I37" s="44"/>
      <c r="J37" s="10"/>
      <c r="O37" s="28"/>
    </row>
    <row r="38" spans="1:15" x14ac:dyDescent="0.25">
      <c r="A38" s="44"/>
      <c r="B38" s="10"/>
      <c r="D38" s="14">
        <f>D17/D12</f>
        <v>1204.7643740188382</v>
      </c>
      <c r="G38" s="28"/>
      <c r="H38" s="28"/>
      <c r="I38" s="44"/>
      <c r="J38" s="10"/>
      <c r="O38" s="28"/>
    </row>
    <row r="39" spans="1:15" x14ac:dyDescent="0.25">
      <c r="A39" s="44"/>
      <c r="B39" s="10"/>
      <c r="G39" s="28"/>
      <c r="H39" s="28"/>
      <c r="I39" s="44"/>
      <c r="J39" s="10"/>
      <c r="O39" s="28"/>
    </row>
    <row r="40" spans="1:15" x14ac:dyDescent="0.25">
      <c r="A40" s="44"/>
      <c r="B40" s="10"/>
      <c r="G40" s="28"/>
      <c r="H40" s="28"/>
      <c r="I40" s="44"/>
      <c r="J40" s="10"/>
      <c r="O40" s="28"/>
    </row>
    <row r="41" spans="1:15" x14ac:dyDescent="0.25">
      <c r="A41" s="44"/>
      <c r="B41" s="10"/>
      <c r="G41" s="28"/>
      <c r="H41" s="28"/>
      <c r="I41" s="44"/>
      <c r="J41" s="10"/>
      <c r="O41" s="28"/>
    </row>
    <row r="42" spans="1:15" x14ac:dyDescent="0.25">
      <c r="A42" s="44"/>
      <c r="B42" s="10"/>
      <c r="G42" s="28"/>
      <c r="H42" s="28"/>
      <c r="I42" s="44"/>
      <c r="J42" s="10"/>
      <c r="O42" s="28"/>
    </row>
    <row r="43" spans="1:15" ht="18.75" customHeight="1" x14ac:dyDescent="0.25">
      <c r="A43" s="44"/>
      <c r="B43" s="11"/>
      <c r="G43" s="28"/>
      <c r="H43" s="28"/>
      <c r="J43" s="34"/>
    </row>
    <row r="44" spans="1:15" x14ac:dyDescent="0.25">
      <c r="E44" s="11"/>
      <c r="J44" s="34"/>
    </row>
    <row r="45" spans="1:15" x14ac:dyDescent="0.25">
      <c r="I45" s="53"/>
      <c r="J45" s="53"/>
    </row>
    <row r="46" spans="1:15" x14ac:dyDescent="0.25">
      <c r="I46" s="53"/>
      <c r="J46" s="53"/>
    </row>
    <row r="47" spans="1:15" x14ac:dyDescent="0.25">
      <c r="I47" s="53"/>
      <c r="J47" s="53"/>
    </row>
    <row r="48" spans="1:15" x14ac:dyDescent="0.25">
      <c r="I48" s="53"/>
      <c r="J48" s="110"/>
    </row>
    <row r="49" spans="9:10" x14ac:dyDescent="0.25">
      <c r="I49" s="53"/>
      <c r="J49" s="110"/>
    </row>
    <row r="50" spans="9:10" x14ac:dyDescent="0.25">
      <c r="I50" s="53"/>
      <c r="J50" s="110"/>
    </row>
    <row r="51" spans="9:10" x14ac:dyDescent="0.25">
      <c r="I51" s="53"/>
      <c r="J51" s="110"/>
    </row>
    <row r="52" spans="9:10" x14ac:dyDescent="0.25">
      <c r="I52" s="53"/>
      <c r="J52" s="110"/>
    </row>
    <row r="53" spans="9:10" x14ac:dyDescent="0.25">
      <c r="I53" s="53"/>
      <c r="J53" s="110"/>
    </row>
    <row r="54" spans="9:10" x14ac:dyDescent="0.25">
      <c r="I54" s="53"/>
      <c r="J54" s="110"/>
    </row>
    <row r="55" spans="9:10" x14ac:dyDescent="0.25">
      <c r="I55" s="53"/>
      <c r="J55" s="110"/>
    </row>
    <row r="56" spans="9:10" x14ac:dyDescent="0.25">
      <c r="I56" s="53"/>
      <c r="J56" s="110"/>
    </row>
    <row r="57" spans="9:10" x14ac:dyDescent="0.25">
      <c r="I57" s="53"/>
      <c r="J57" s="110"/>
    </row>
    <row r="58" spans="9:10" ht="16.5" customHeight="1" x14ac:dyDescent="0.25">
      <c r="I58" s="53"/>
      <c r="J58" s="110"/>
    </row>
    <row r="59" spans="9:10" x14ac:dyDescent="0.25">
      <c r="I59" s="53"/>
      <c r="J59" s="110"/>
    </row>
    <row r="60" spans="9:10" x14ac:dyDescent="0.25">
      <c r="I60" s="53"/>
      <c r="J60" s="110"/>
    </row>
    <row r="61" spans="9:10" x14ac:dyDescent="0.25">
      <c r="I61" s="19"/>
      <c r="J61" s="19"/>
    </row>
    <row r="62" spans="9:10" x14ac:dyDescent="0.25">
      <c r="I62" s="19"/>
      <c r="J62" s="19"/>
    </row>
    <row r="63" spans="9:10" x14ac:dyDescent="0.25">
      <c r="I63" s="53"/>
      <c r="J63" s="53"/>
    </row>
    <row r="64" spans="9:10" x14ac:dyDescent="0.25">
      <c r="I64" s="53"/>
      <c r="J64" s="53"/>
    </row>
    <row r="65" spans="9:10" x14ac:dyDescent="0.25">
      <c r="I65" s="53"/>
      <c r="J65" s="53"/>
    </row>
    <row r="66" spans="9:10" x14ac:dyDescent="0.25">
      <c r="I66" s="108"/>
      <c r="J66" s="98"/>
    </row>
    <row r="67" spans="9:10" x14ac:dyDescent="0.25">
      <c r="I67" s="108"/>
      <c r="J67" s="98"/>
    </row>
    <row r="68" spans="9:10" x14ac:dyDescent="0.25">
      <c r="I68" s="108"/>
      <c r="J68" s="98"/>
    </row>
    <row r="69" spans="9:10" x14ac:dyDescent="0.25">
      <c r="I69" s="108"/>
      <c r="J69" s="98"/>
    </row>
    <row r="70" spans="9:10" x14ac:dyDescent="0.25">
      <c r="I70" s="108"/>
      <c r="J70" s="98"/>
    </row>
    <row r="71" spans="9:10" x14ac:dyDescent="0.25">
      <c r="I71" s="108"/>
      <c r="J71" s="98"/>
    </row>
    <row r="72" spans="9:10" x14ac:dyDescent="0.25">
      <c r="I72" s="108"/>
      <c r="J72" s="98"/>
    </row>
    <row r="73" spans="9:10" x14ac:dyDescent="0.25">
      <c r="I73" s="108"/>
      <c r="J73" s="98"/>
    </row>
    <row r="74" spans="9:10" x14ac:dyDescent="0.25">
      <c r="I74" s="108"/>
      <c r="J74" s="98"/>
    </row>
    <row r="75" spans="9:10" x14ac:dyDescent="0.25">
      <c r="I75" s="108"/>
      <c r="J75" s="98"/>
    </row>
    <row r="76" spans="9:10" x14ac:dyDescent="0.25">
      <c r="I76" s="108"/>
      <c r="J76" s="98"/>
    </row>
    <row r="77" spans="9:10" x14ac:dyDescent="0.25">
      <c r="I77" s="108"/>
      <c r="J77" s="98"/>
    </row>
    <row r="78" spans="9:10" x14ac:dyDescent="0.25">
      <c r="I78" s="53"/>
      <c r="J78" s="53"/>
    </row>
    <row r="79" spans="9:10" x14ac:dyDescent="0.25">
      <c r="I79" s="53"/>
      <c r="J79" s="53"/>
    </row>
    <row r="80" spans="9:10" x14ac:dyDescent="0.25">
      <c r="I80" s="53"/>
      <c r="J80" s="53"/>
    </row>
    <row r="81" spans="9:10" x14ac:dyDescent="0.25">
      <c r="I81" s="53"/>
      <c r="J81" s="53"/>
    </row>
    <row r="82" spans="9:10" x14ac:dyDescent="0.25">
      <c r="I82" s="53"/>
      <c r="J82" s="53"/>
    </row>
    <row r="83" spans="9:10" x14ac:dyDescent="0.25">
      <c r="I83" s="53"/>
      <c r="J83" s="53"/>
    </row>
    <row r="84" spans="9:10" x14ac:dyDescent="0.25">
      <c r="I84" s="53"/>
      <c r="J84" s="53"/>
    </row>
    <row r="85" spans="9:10" x14ac:dyDescent="0.25">
      <c r="I85" s="53"/>
      <c r="J85" s="53"/>
    </row>
    <row r="86" spans="9:10" x14ac:dyDescent="0.25">
      <c r="I86" s="53"/>
      <c r="J86" s="53"/>
    </row>
    <row r="87" spans="9:10" x14ac:dyDescent="0.25">
      <c r="I87" s="53"/>
      <c r="J87" s="53"/>
    </row>
    <row r="88" spans="9:10" x14ac:dyDescent="0.25">
      <c r="I88" s="53"/>
      <c r="J88" s="53"/>
    </row>
    <row r="89" spans="9:10" x14ac:dyDescent="0.25">
      <c r="I89" s="53"/>
      <c r="J89" s="53"/>
    </row>
    <row r="90" spans="9:10" x14ac:dyDescent="0.25">
      <c r="I90" s="53"/>
      <c r="J90" s="53"/>
    </row>
    <row r="91" spans="9:10" ht="15" customHeight="1" x14ac:dyDescent="0.25">
      <c r="I91" s="53"/>
      <c r="J91" s="53"/>
    </row>
    <row r="92" spans="9:10" x14ac:dyDescent="0.25">
      <c r="I92" s="53"/>
      <c r="J92" s="53"/>
    </row>
    <row r="93" spans="9:10" x14ac:dyDescent="0.25">
      <c r="I93" s="53"/>
      <c r="J93" s="53"/>
    </row>
    <row r="94" spans="9:10" x14ac:dyDescent="0.25">
      <c r="I94" s="53"/>
      <c r="J94" s="53"/>
    </row>
    <row r="95" spans="9:10" x14ac:dyDescent="0.25">
      <c r="I95" s="53"/>
      <c r="J95" s="53"/>
    </row>
    <row r="96" spans="9:10" x14ac:dyDescent="0.25">
      <c r="I96" s="53"/>
      <c r="J96" s="53"/>
    </row>
    <row r="97" spans="9:10" x14ac:dyDescent="0.25">
      <c r="I97" s="53"/>
      <c r="J97" s="53"/>
    </row>
    <row r="98" spans="9:10" x14ac:dyDescent="0.25">
      <c r="I98" s="53"/>
      <c r="J98" s="53"/>
    </row>
    <row r="99" spans="9:10" x14ac:dyDescent="0.25">
      <c r="I99" s="53"/>
      <c r="J99" s="53"/>
    </row>
    <row r="100" spans="9:10" x14ac:dyDescent="0.25">
      <c r="I100" s="53"/>
      <c r="J100" s="53"/>
    </row>
    <row r="101" spans="9:10" x14ac:dyDescent="0.25">
      <c r="I101" s="53"/>
      <c r="J101" s="53"/>
    </row>
    <row r="102" spans="9:10" x14ac:dyDescent="0.25">
      <c r="I102" s="53"/>
      <c r="J102" s="53"/>
    </row>
    <row r="103" spans="9:10" x14ac:dyDescent="0.25">
      <c r="I103" s="53"/>
      <c r="J103" s="53"/>
    </row>
    <row r="104" spans="9:10" x14ac:dyDescent="0.25">
      <c r="I104" s="53"/>
      <c r="J104" s="53"/>
    </row>
    <row r="105" spans="9:10" x14ac:dyDescent="0.25">
      <c r="I105" s="53"/>
      <c r="J105" s="53"/>
    </row>
    <row r="106" spans="9:10" x14ac:dyDescent="0.25">
      <c r="I106" s="53"/>
      <c r="J106" s="53"/>
    </row>
    <row r="107" spans="9:10" x14ac:dyDescent="0.25">
      <c r="I107" s="53"/>
      <c r="J107" s="53"/>
    </row>
    <row r="108" spans="9:10" x14ac:dyDescent="0.25">
      <c r="I108" s="53"/>
      <c r="J108" s="53"/>
    </row>
    <row r="109" spans="9:10" x14ac:dyDescent="0.25">
      <c r="I109" s="53"/>
      <c r="J109" s="53"/>
    </row>
    <row r="110" spans="9:10" x14ac:dyDescent="0.25">
      <c r="I110" s="53"/>
      <c r="J110" s="53"/>
    </row>
    <row r="111" spans="9:10" x14ac:dyDescent="0.25">
      <c r="I111" s="53"/>
      <c r="J111" s="53"/>
    </row>
    <row r="112" spans="9:10" x14ac:dyDescent="0.25">
      <c r="I112" s="53"/>
      <c r="J112" s="53"/>
    </row>
    <row r="113" spans="9:11" x14ac:dyDescent="0.25">
      <c r="I113" s="53"/>
      <c r="J113" s="53"/>
    </row>
    <row r="114" spans="9:11" x14ac:dyDescent="0.25">
      <c r="I114" s="53"/>
      <c r="J114" s="53"/>
    </row>
    <row r="115" spans="9:11" x14ac:dyDescent="0.25">
      <c r="I115" s="53"/>
      <c r="J115" s="53"/>
    </row>
    <row r="116" spans="9:11" x14ac:dyDescent="0.25">
      <c r="I116" s="53"/>
      <c r="J116" s="53"/>
    </row>
    <row r="117" spans="9:11" x14ac:dyDescent="0.25">
      <c r="I117" s="53"/>
      <c r="J117" s="53"/>
    </row>
    <row r="118" spans="9:11" x14ac:dyDescent="0.25">
      <c r="I118" s="53"/>
      <c r="J118" s="53"/>
    </row>
    <row r="119" spans="9:11" x14ac:dyDescent="0.25">
      <c r="I119" s="53"/>
      <c r="J119" s="53"/>
    </row>
    <row r="120" spans="9:11" x14ac:dyDescent="0.25">
      <c r="I120" s="53"/>
      <c r="J120" s="53"/>
    </row>
    <row r="121" spans="9:11" x14ac:dyDescent="0.25">
      <c r="I121" s="53"/>
      <c r="J121" s="53"/>
    </row>
    <row r="122" spans="9:11" x14ac:dyDescent="0.25">
      <c r="I122" s="53"/>
      <c r="J122" s="53"/>
    </row>
    <row r="123" spans="9:11" x14ac:dyDescent="0.25">
      <c r="I123" s="53"/>
      <c r="J123" s="53"/>
    </row>
    <row r="124" spans="9:11" x14ac:dyDescent="0.25">
      <c r="K124" s="19"/>
    </row>
    <row r="125" spans="9:11" x14ac:dyDescent="0.25">
      <c r="K125" s="19"/>
    </row>
    <row r="126" spans="9:11" x14ac:dyDescent="0.25">
      <c r="K126" s="19"/>
    </row>
    <row r="127" spans="9:11" x14ac:dyDescent="0.25">
      <c r="K127" s="19"/>
    </row>
    <row r="128" spans="9:11" x14ac:dyDescent="0.25">
      <c r="K128" s="19"/>
    </row>
    <row r="129" spans="2:11" x14ac:dyDescent="0.25">
      <c r="K129" s="19"/>
    </row>
    <row r="130" spans="2:11" x14ac:dyDescent="0.25">
      <c r="K130" s="19"/>
    </row>
    <row r="131" spans="2:11" x14ac:dyDescent="0.25">
      <c r="K131" s="19"/>
    </row>
    <row r="132" spans="2:11" x14ac:dyDescent="0.25">
      <c r="K132" s="19"/>
    </row>
    <row r="138" spans="2:11" x14ac:dyDescent="0.25">
      <c r="B138" s="19"/>
      <c r="C138" s="53"/>
      <c r="D138" s="53"/>
      <c r="E138" s="19"/>
      <c r="F138" s="19"/>
      <c r="G138" s="19"/>
      <c r="H138" s="19"/>
    </row>
    <row r="139" spans="2:11" x14ac:dyDescent="0.25">
      <c r="B139" s="19"/>
      <c r="C139" s="55"/>
      <c r="D139" s="85"/>
      <c r="E139" s="90"/>
      <c r="F139" s="19"/>
      <c r="G139" s="19"/>
      <c r="H139" s="19"/>
    </row>
    <row r="140" spans="2:11" x14ac:dyDescent="0.25">
      <c r="B140" s="19"/>
      <c r="C140" s="55"/>
      <c r="D140" s="85"/>
      <c r="E140" s="90"/>
      <c r="F140" s="19"/>
      <c r="G140" s="19"/>
      <c r="H140" s="19"/>
    </row>
    <row r="141" spans="2:11" x14ac:dyDescent="0.25">
      <c r="B141" s="19"/>
      <c r="C141" s="55"/>
      <c r="D141" s="85"/>
      <c r="E141" s="90"/>
      <c r="F141" s="19"/>
      <c r="G141" s="19"/>
      <c r="H141" s="19"/>
    </row>
  </sheetData>
  <mergeCells count="4">
    <mergeCell ref="D4:G5"/>
    <mergeCell ref="L4:O5"/>
    <mergeCell ref="E7:F7"/>
    <mergeCell ref="M7:N7"/>
  </mergeCells>
  <pageMargins left="0.75" right="0.75" top="1" bottom="1" header="0.5" footer="0.5"/>
  <pageSetup scale="7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7"/>
  <sheetViews>
    <sheetView view="pageBreakPreview" topLeftCell="A10" zoomScale="75" zoomScaleNormal="85" zoomScaleSheetLayoutView="75" workbookViewId="0">
      <selection sqref="A1:C1"/>
    </sheetView>
  </sheetViews>
  <sheetFormatPr defaultRowHeight="15.75" x14ac:dyDescent="0.25"/>
  <cols>
    <col min="1" max="1" width="4.7109375" style="2" customWidth="1"/>
    <col min="2" max="2" width="20.140625" style="2" customWidth="1"/>
    <col min="3" max="3" width="5.28515625" style="2" customWidth="1"/>
    <col min="4" max="5" width="15" style="2" bestFit="1" customWidth="1"/>
    <col min="6" max="6" width="3.140625" style="2" customWidth="1"/>
    <col min="7" max="7" width="18" style="2" bestFit="1" customWidth="1"/>
    <col min="8" max="8" width="2.85546875" style="2" customWidth="1"/>
    <col min="9" max="9" width="9.85546875" style="2" customWidth="1"/>
    <col min="10" max="10" width="16.28515625" style="2" customWidth="1"/>
    <col min="11" max="11" width="10.28515625" style="2" customWidth="1"/>
    <col min="12" max="12" width="16.5703125" style="2" customWidth="1"/>
    <col min="13" max="13" width="15.140625" style="2" customWidth="1"/>
    <col min="14" max="14" width="4.28515625" style="2" customWidth="1"/>
    <col min="15" max="15" width="20.140625" style="2" customWidth="1"/>
    <col min="16" max="16384" width="9.140625" style="2"/>
  </cols>
  <sheetData>
    <row r="1" spans="1:15" x14ac:dyDescent="0.25">
      <c r="A1" s="1" t="s">
        <v>100</v>
      </c>
      <c r="J1" s="1"/>
    </row>
    <row r="2" spans="1:15" x14ac:dyDescent="0.25">
      <c r="A2" s="34" t="str">
        <f>'Present and Proposed Rates'!A16</f>
        <v>3 Phase</v>
      </c>
      <c r="J2" s="34"/>
      <c r="K2" s="34"/>
      <c r="L2" s="34"/>
      <c r="M2" s="34"/>
      <c r="N2" s="34"/>
      <c r="O2" s="34"/>
    </row>
    <row r="3" spans="1:15" ht="16.5" thickBot="1" x14ac:dyDescent="0.3">
      <c r="A3" s="34">
        <f>'Present and Proposed Rates'!B16</f>
        <v>3</v>
      </c>
      <c r="B3" s="34"/>
      <c r="C3" s="34"/>
      <c r="J3" s="34"/>
      <c r="K3" s="34"/>
      <c r="L3" s="34"/>
      <c r="M3" s="34"/>
      <c r="N3" s="34"/>
      <c r="O3" s="34"/>
    </row>
    <row r="4" spans="1:15" x14ac:dyDescent="0.25">
      <c r="A4" s="34"/>
      <c r="B4" s="34"/>
      <c r="C4" s="34"/>
      <c r="D4" s="394" t="s">
        <v>32</v>
      </c>
      <c r="E4" s="395"/>
      <c r="F4" s="395"/>
      <c r="G4" s="396"/>
      <c r="H4" s="223"/>
      <c r="I4" s="34"/>
      <c r="J4" s="34"/>
      <c r="K4" s="34"/>
      <c r="L4" s="394" t="s">
        <v>98</v>
      </c>
      <c r="M4" s="395"/>
      <c r="N4" s="395"/>
      <c r="O4" s="396"/>
    </row>
    <row r="5" spans="1:15" ht="16.5" thickBot="1" x14ac:dyDescent="0.3">
      <c r="A5" s="57"/>
      <c r="B5" s="117"/>
      <c r="C5" s="381"/>
      <c r="D5" s="397"/>
      <c r="E5" s="398"/>
      <c r="F5" s="398"/>
      <c r="G5" s="399"/>
      <c r="H5" s="223"/>
      <c r="I5" s="57"/>
      <c r="J5" s="117"/>
      <c r="K5" s="381"/>
      <c r="L5" s="397"/>
      <c r="M5" s="398"/>
      <c r="N5" s="398"/>
      <c r="O5" s="399"/>
    </row>
    <row r="6" spans="1:15" x14ac:dyDescent="0.25">
      <c r="A6" s="4"/>
      <c r="B6" s="4"/>
      <c r="C6" s="4"/>
      <c r="D6" s="4" t="s">
        <v>1</v>
      </c>
      <c r="E6" s="4"/>
      <c r="F6" s="4"/>
      <c r="G6" s="4" t="s">
        <v>2</v>
      </c>
      <c r="H6" s="224"/>
      <c r="I6" s="4"/>
      <c r="J6" s="4"/>
      <c r="K6" s="4"/>
      <c r="L6" s="4" t="s">
        <v>1</v>
      </c>
      <c r="M6" s="4"/>
      <c r="N6" s="4"/>
      <c r="O6" s="4" t="s">
        <v>2</v>
      </c>
    </row>
    <row r="7" spans="1:15" ht="16.5" thickBot="1" x14ac:dyDescent="0.3">
      <c r="A7" s="5"/>
      <c r="B7" s="5"/>
      <c r="C7" s="5"/>
      <c r="D7" s="5" t="s">
        <v>4</v>
      </c>
      <c r="E7" s="400" t="s">
        <v>5</v>
      </c>
      <c r="F7" s="400"/>
      <c r="G7" s="5" t="s">
        <v>6</v>
      </c>
      <c r="H7" s="225"/>
      <c r="I7" s="5"/>
      <c r="J7" s="5"/>
      <c r="K7" s="5"/>
      <c r="L7" s="5" t="s">
        <v>4</v>
      </c>
      <c r="M7" s="400" t="s">
        <v>5</v>
      </c>
      <c r="N7" s="400"/>
      <c r="O7" s="5" t="s">
        <v>6</v>
      </c>
    </row>
    <row r="8" spans="1:15" x14ac:dyDescent="0.25">
      <c r="H8" s="226"/>
    </row>
    <row r="9" spans="1:15" x14ac:dyDescent="0.25">
      <c r="H9" s="226"/>
    </row>
    <row r="10" spans="1:15" x14ac:dyDescent="0.25">
      <c r="A10" s="167" t="s">
        <v>10</v>
      </c>
      <c r="H10" s="226"/>
      <c r="I10" s="167" t="s">
        <v>10</v>
      </c>
    </row>
    <row r="11" spans="1:15" x14ac:dyDescent="0.25">
      <c r="D11" s="211" t="s">
        <v>122</v>
      </c>
      <c r="E11" s="211" t="s">
        <v>104</v>
      </c>
      <c r="H11" s="226"/>
      <c r="L11" s="211" t="s">
        <v>122</v>
      </c>
      <c r="M11" s="211" t="s">
        <v>104</v>
      </c>
    </row>
    <row r="12" spans="1:15" x14ac:dyDescent="0.25">
      <c r="B12" s="2" t="s">
        <v>128</v>
      </c>
      <c r="D12" s="125">
        <v>0</v>
      </c>
      <c r="E12" s="208">
        <f>'Present and Proposed Rates'!F16</f>
        <v>1.786</v>
      </c>
      <c r="G12" s="11">
        <f>D12*E12*365/12</f>
        <v>0</v>
      </c>
      <c r="H12" s="227"/>
      <c r="J12" s="2" t="s">
        <v>128</v>
      </c>
      <c r="L12" s="125">
        <f>D12</f>
        <v>0</v>
      </c>
      <c r="M12" s="208">
        <f>'Present and Proposed Rates'!G16</f>
        <v>1.786</v>
      </c>
      <c r="O12" s="11">
        <f>L12*M12*365/12</f>
        <v>0</v>
      </c>
    </row>
    <row r="13" spans="1:15" x14ac:dyDescent="0.25">
      <c r="B13" s="2" t="s">
        <v>129</v>
      </c>
      <c r="D13" s="39">
        <v>4649</v>
      </c>
      <c r="E13" s="208">
        <f>'Present and Proposed Rates'!F17</f>
        <v>3.1179999999999999</v>
      </c>
      <c r="G13" s="11">
        <f>D13*E13*365/12</f>
        <v>440907.28583333333</v>
      </c>
      <c r="H13" s="227"/>
      <c r="J13" s="2" t="s">
        <v>129</v>
      </c>
      <c r="L13" s="39">
        <f>D13</f>
        <v>4649</v>
      </c>
      <c r="M13" s="208">
        <f>'Present and Proposed Rates'!G17</f>
        <v>3.1179999999999999</v>
      </c>
      <c r="O13" s="11">
        <f>L13*M13*365/12</f>
        <v>440907.28583333333</v>
      </c>
    </row>
    <row r="14" spans="1:15" x14ac:dyDescent="0.25">
      <c r="B14" s="2" t="s">
        <v>130</v>
      </c>
      <c r="D14" s="39">
        <v>109</v>
      </c>
      <c r="E14" s="208">
        <f>'Present and Proposed Rates'!F18</f>
        <v>4.45</v>
      </c>
      <c r="G14" s="11">
        <f>D14*E14*365/12</f>
        <v>14753.604166666666</v>
      </c>
      <c r="H14" s="227"/>
      <c r="J14" s="2" t="s">
        <v>130</v>
      </c>
      <c r="L14" s="39">
        <f>D14</f>
        <v>109</v>
      </c>
      <c r="M14" s="208">
        <f>'Present and Proposed Rates'!G18</f>
        <v>4.45</v>
      </c>
      <c r="O14" s="11">
        <f>L14*M14*365/12</f>
        <v>14753.604166666666</v>
      </c>
    </row>
    <row r="15" spans="1:15" x14ac:dyDescent="0.25">
      <c r="B15" s="214" t="s">
        <v>86</v>
      </c>
      <c r="D15" s="216">
        <f>SUM(D12:D14)</f>
        <v>4758</v>
      </c>
      <c r="E15" s="9"/>
      <c r="G15" s="215">
        <f>SUM(G12:G14)</f>
        <v>455660.89</v>
      </c>
      <c r="H15" s="227"/>
      <c r="J15" s="214" t="s">
        <v>86</v>
      </c>
      <c r="L15" s="216">
        <f>D15</f>
        <v>4758</v>
      </c>
      <c r="M15" s="9"/>
      <c r="O15" s="215">
        <f>SUM(O12:O14)</f>
        <v>455660.89</v>
      </c>
    </row>
    <row r="16" spans="1:15" x14ac:dyDescent="0.25">
      <c r="D16" s="8"/>
      <c r="G16" s="11"/>
      <c r="H16" s="227"/>
      <c r="L16" s="8"/>
      <c r="O16" s="11"/>
    </row>
    <row r="17" spans="1:15" x14ac:dyDescent="0.25">
      <c r="A17" s="1" t="s">
        <v>7</v>
      </c>
      <c r="D17" s="8"/>
      <c r="G17" s="11"/>
      <c r="H17" s="227"/>
      <c r="I17" s="1" t="s">
        <v>7</v>
      </c>
      <c r="L17" s="8"/>
      <c r="O17" s="11"/>
    </row>
    <row r="18" spans="1:15" x14ac:dyDescent="0.25">
      <c r="D18" s="201" t="s">
        <v>8</v>
      </c>
      <c r="E18" s="202" t="s">
        <v>11</v>
      </c>
      <c r="G18" s="11"/>
      <c r="H18" s="227"/>
      <c r="L18" s="201" t="s">
        <v>8</v>
      </c>
      <c r="M18" s="202" t="s">
        <v>11</v>
      </c>
      <c r="O18" s="11"/>
    </row>
    <row r="19" spans="1:15" x14ac:dyDescent="0.25">
      <c r="B19" s="2" t="s">
        <v>105</v>
      </c>
      <c r="D19" s="39">
        <f>BillDet!D36</f>
        <v>72854700</v>
      </c>
      <c r="E19" s="207">
        <f>'Present and Proposed Rates'!F19</f>
        <v>6.5794000000000005E-2</v>
      </c>
      <c r="F19" s="19"/>
      <c r="G19" s="18">
        <f>D19*E19</f>
        <v>4793402.1318000006</v>
      </c>
      <c r="H19" s="227"/>
      <c r="J19" s="2" t="s">
        <v>105</v>
      </c>
      <c r="L19" s="39">
        <f>D19</f>
        <v>72854700</v>
      </c>
      <c r="M19" s="207">
        <f>'Present and Proposed Rates'!G19</f>
        <v>6.5794000000000005E-2</v>
      </c>
      <c r="N19" s="19"/>
      <c r="O19" s="18">
        <f>L19*M19</f>
        <v>4793402.1318000006</v>
      </c>
    </row>
    <row r="20" spans="1:15" x14ac:dyDescent="0.25">
      <c r="B20" s="19"/>
      <c r="C20" s="19"/>
      <c r="D20" s="39"/>
      <c r="E20" s="40"/>
      <c r="F20" s="19"/>
      <c r="G20" s="18"/>
      <c r="H20" s="227"/>
      <c r="J20" s="19"/>
      <c r="K20" s="19"/>
      <c r="L20" s="39"/>
      <c r="M20" s="40"/>
      <c r="N20" s="19"/>
      <c r="O20" s="18"/>
    </row>
    <row r="21" spans="1:15" x14ac:dyDescent="0.25">
      <c r="A21" s="1" t="s">
        <v>131</v>
      </c>
      <c r="D21" s="8"/>
      <c r="G21" s="11"/>
      <c r="H21" s="227"/>
      <c r="I21" s="1" t="s">
        <v>131</v>
      </c>
      <c r="L21" s="8"/>
      <c r="O21" s="11"/>
    </row>
    <row r="22" spans="1:15" x14ac:dyDescent="0.25">
      <c r="D22" s="201" t="s">
        <v>132</v>
      </c>
      <c r="E22" s="202" t="s">
        <v>133</v>
      </c>
      <c r="G22" s="11"/>
      <c r="H22" s="227"/>
      <c r="L22" s="201" t="s">
        <v>132</v>
      </c>
      <c r="M22" s="202" t="s">
        <v>133</v>
      </c>
      <c r="O22" s="11"/>
    </row>
    <row r="23" spans="1:15" x14ac:dyDescent="0.25">
      <c r="B23" s="2" t="s">
        <v>105</v>
      </c>
      <c r="D23" s="39">
        <f>BillDet!D51</f>
        <v>266349.90999999997</v>
      </c>
      <c r="E23" s="212">
        <f>'Present and Proposed Rates'!F24</f>
        <v>11</v>
      </c>
      <c r="F23" s="19"/>
      <c r="G23" s="18">
        <f>D23*E23</f>
        <v>2929849.01</v>
      </c>
      <c r="H23" s="227"/>
      <c r="J23" s="2" t="s">
        <v>105</v>
      </c>
      <c r="L23" s="39">
        <f>D23</f>
        <v>266349.90999999997</v>
      </c>
      <c r="M23" s="212">
        <f>'Present and Proposed Rates'!G24</f>
        <v>11</v>
      </c>
      <c r="N23" s="19"/>
      <c r="O23" s="18">
        <f>L23*M23</f>
        <v>2929849.01</v>
      </c>
    </row>
    <row r="24" spans="1:15" x14ac:dyDescent="0.25">
      <c r="D24" s="39"/>
      <c r="E24" s="207"/>
      <c r="F24" s="19"/>
      <c r="G24" s="18"/>
      <c r="H24" s="227"/>
      <c r="L24" s="39"/>
      <c r="M24" s="207"/>
      <c r="N24" s="19"/>
      <c r="O24" s="18"/>
    </row>
    <row r="25" spans="1:15" x14ac:dyDescent="0.25">
      <c r="A25" s="1" t="s">
        <v>106</v>
      </c>
      <c r="B25" s="19"/>
      <c r="C25" s="19"/>
      <c r="D25" s="39"/>
      <c r="E25" s="40"/>
      <c r="F25" s="19"/>
      <c r="G25" s="18"/>
      <c r="H25" s="227"/>
      <c r="I25" s="1" t="s">
        <v>106</v>
      </c>
      <c r="J25" s="19"/>
      <c r="K25" s="19"/>
      <c r="L25" s="39"/>
      <c r="M25" s="40"/>
      <c r="N25" s="19"/>
      <c r="O25" s="18"/>
    </row>
    <row r="26" spans="1:15" x14ac:dyDescent="0.25">
      <c r="B26" s="2" t="s">
        <v>127</v>
      </c>
      <c r="C26" s="19"/>
      <c r="D26" s="39"/>
      <c r="E26" s="40"/>
      <c r="F26" s="19"/>
      <c r="G26" s="18">
        <v>55504.759999999995</v>
      </c>
      <c r="H26" s="227"/>
      <c r="J26" s="2" t="str">
        <f>B26</f>
        <v>Fuel Adjustment Clause</v>
      </c>
      <c r="K26" s="19"/>
      <c r="L26" s="39"/>
      <c r="M26" s="40"/>
      <c r="N26" s="19"/>
      <c r="O26" s="18">
        <f>G26</f>
        <v>55504.759999999995</v>
      </c>
    </row>
    <row r="27" spans="1:15" x14ac:dyDescent="0.25">
      <c r="B27" s="2" t="s">
        <v>123</v>
      </c>
      <c r="C27" s="19"/>
      <c r="D27" s="39"/>
      <c r="E27" s="40"/>
      <c r="F27" s="19"/>
      <c r="G27" s="18">
        <v>532956.37</v>
      </c>
      <c r="H27" s="227"/>
      <c r="J27" s="2" t="str">
        <f t="shared" ref="J27:J31" si="0">B27</f>
        <v>Environmental Surcharge</v>
      </c>
      <c r="K27" s="19"/>
      <c r="L27" s="39"/>
      <c r="M27" s="40"/>
      <c r="N27" s="19"/>
      <c r="O27" s="18">
        <f t="shared" ref="O27:O31" si="1">G27</f>
        <v>532956.37</v>
      </c>
    </row>
    <row r="28" spans="1:15" x14ac:dyDescent="0.25">
      <c r="B28" s="2" t="s">
        <v>124</v>
      </c>
      <c r="C28" s="19"/>
      <c r="D28" s="39"/>
      <c r="E28" s="40"/>
      <c r="F28" s="19"/>
      <c r="G28" s="18">
        <v>-400491.47000000003</v>
      </c>
      <c r="H28" s="227"/>
      <c r="J28" s="2" t="str">
        <f t="shared" si="0"/>
        <v>Member Rate Stability</v>
      </c>
      <c r="K28" s="19"/>
      <c r="L28" s="39"/>
      <c r="M28" s="40"/>
      <c r="N28" s="19"/>
      <c r="O28" s="18">
        <f t="shared" si="1"/>
        <v>-400491.47000000003</v>
      </c>
    </row>
    <row r="29" spans="1:15" x14ac:dyDescent="0.25">
      <c r="B29" s="2" t="s">
        <v>125</v>
      </c>
      <c r="C29" s="19"/>
      <c r="D29" s="39"/>
      <c r="E29" s="40"/>
      <c r="F29" s="19"/>
      <c r="G29" s="46">
        <v>138698.73000000001</v>
      </c>
      <c r="H29" s="228"/>
      <c r="J29" s="2" t="str">
        <f t="shared" si="0"/>
        <v>Non-FAC PPA</v>
      </c>
      <c r="K29" s="19"/>
      <c r="L29" s="39"/>
      <c r="M29" s="40"/>
      <c r="N29" s="19"/>
      <c r="O29" s="18">
        <f t="shared" si="1"/>
        <v>138698.73000000001</v>
      </c>
    </row>
    <row r="30" spans="1:15" x14ac:dyDescent="0.25">
      <c r="B30" s="2" t="s">
        <v>126</v>
      </c>
      <c r="C30" s="156"/>
      <c r="D30" s="65"/>
      <c r="E30" s="76"/>
      <c r="F30" s="34"/>
      <c r="G30" s="69">
        <v>-12770.06077194745</v>
      </c>
      <c r="H30" s="229"/>
      <c r="J30" s="2" t="str">
        <f t="shared" si="0"/>
        <v>Unbilled Revenue (Net)</v>
      </c>
      <c r="K30" s="156"/>
      <c r="L30" s="65"/>
      <c r="M30" s="76"/>
      <c r="N30" s="34"/>
      <c r="O30" s="18">
        <f t="shared" si="1"/>
        <v>-12770.06077194745</v>
      </c>
    </row>
    <row r="31" spans="1:15" x14ac:dyDescent="0.25">
      <c r="B31" s="2" t="s">
        <v>200</v>
      </c>
      <c r="C31" s="156"/>
      <c r="D31" s="65"/>
      <c r="E31" s="76"/>
      <c r="F31" s="34"/>
      <c r="G31" s="69">
        <v>0</v>
      </c>
      <c r="H31" s="229"/>
      <c r="J31" s="2" t="str">
        <f t="shared" si="0"/>
        <v>Other</v>
      </c>
      <c r="K31" s="156"/>
      <c r="L31" s="65"/>
      <c r="M31" s="76"/>
      <c r="N31" s="34"/>
      <c r="O31" s="18">
        <f t="shared" si="1"/>
        <v>0</v>
      </c>
    </row>
    <row r="32" spans="1:15" x14ac:dyDescent="0.25">
      <c r="C32" s="156"/>
      <c r="D32" s="65"/>
      <c r="E32" s="76"/>
      <c r="F32" s="34"/>
      <c r="G32" s="69"/>
      <c r="H32" s="229"/>
      <c r="K32" s="156"/>
      <c r="L32" s="65"/>
      <c r="M32" s="76"/>
      <c r="N32" s="34"/>
      <c r="O32" s="18"/>
    </row>
    <row r="33" spans="1:15" x14ac:dyDescent="0.25">
      <c r="C33" s="156"/>
      <c r="D33" s="65"/>
      <c r="E33" s="76"/>
      <c r="F33" s="34"/>
      <c r="G33" s="69"/>
      <c r="H33" s="229"/>
      <c r="K33" s="156"/>
      <c r="L33" s="65"/>
      <c r="M33" s="76"/>
      <c r="N33" s="34"/>
      <c r="O33" s="18"/>
    </row>
    <row r="34" spans="1:15" x14ac:dyDescent="0.25">
      <c r="C34" s="156"/>
      <c r="D34" s="65"/>
      <c r="E34" s="76"/>
      <c r="F34" s="34"/>
      <c r="G34" s="69"/>
      <c r="H34" s="229"/>
      <c r="K34" s="156"/>
      <c r="L34" s="65"/>
      <c r="M34" s="76"/>
      <c r="N34" s="34"/>
      <c r="O34" s="18"/>
    </row>
    <row r="35" spans="1:15" x14ac:dyDescent="0.25">
      <c r="A35" s="1"/>
      <c r="B35" s="34"/>
      <c r="C35" s="156"/>
      <c r="D35" s="65"/>
      <c r="E35" s="76"/>
      <c r="F35" s="34"/>
      <c r="G35" s="69"/>
      <c r="H35" s="229"/>
    </row>
    <row r="36" spans="1:15" ht="16.5" thickBot="1" x14ac:dyDescent="0.3">
      <c r="A36" s="1" t="s">
        <v>82</v>
      </c>
      <c r="G36" s="29">
        <f>SUM(G15:G35)</f>
        <v>8492810.361028051</v>
      </c>
      <c r="H36" s="227"/>
      <c r="I36" s="1" t="s">
        <v>82</v>
      </c>
      <c r="O36" s="29">
        <f>SUM(O15:O35)</f>
        <v>8492810.361028051</v>
      </c>
    </row>
    <row r="37" spans="1:15" ht="16.5" thickTop="1" x14ac:dyDescent="0.25">
      <c r="A37" s="1"/>
      <c r="B37" s="1"/>
      <c r="G37" s="18"/>
      <c r="H37" s="227"/>
      <c r="I37" s="1"/>
      <c r="J37" s="1"/>
      <c r="O37" s="18"/>
    </row>
    <row r="38" spans="1:15" x14ac:dyDescent="0.25">
      <c r="A38" s="44" t="s">
        <v>19</v>
      </c>
      <c r="B38" s="10"/>
      <c r="G38" s="11">
        <f>BillDet!D66</f>
        <v>8386897.79</v>
      </c>
      <c r="H38" s="227"/>
      <c r="I38" s="127" t="s">
        <v>87</v>
      </c>
      <c r="J38" s="10"/>
      <c r="O38" s="37">
        <f>O36-G36</f>
        <v>0</v>
      </c>
    </row>
    <row r="39" spans="1:15" x14ac:dyDescent="0.25">
      <c r="A39" s="10"/>
      <c r="B39" s="10"/>
      <c r="G39" s="10"/>
      <c r="H39" s="230"/>
      <c r="I39" s="48"/>
      <c r="J39" s="10"/>
      <c r="O39" s="10"/>
    </row>
    <row r="40" spans="1:15" x14ac:dyDescent="0.25">
      <c r="A40" s="44" t="s">
        <v>13</v>
      </c>
      <c r="B40" s="10"/>
      <c r="G40" s="27">
        <f>G36-G38</f>
        <v>105912.57102805097</v>
      </c>
      <c r="H40" s="231"/>
      <c r="I40" s="127" t="s">
        <v>88</v>
      </c>
      <c r="J40" s="10"/>
      <c r="O40" s="157">
        <f>O38/G36</f>
        <v>0</v>
      </c>
    </row>
    <row r="41" spans="1:15" x14ac:dyDescent="0.25">
      <c r="A41" s="10"/>
      <c r="B41" s="10"/>
      <c r="G41" s="11"/>
      <c r="H41" s="227"/>
      <c r="I41" s="34"/>
      <c r="J41" s="10"/>
      <c r="O41" s="11"/>
    </row>
    <row r="42" spans="1:15" x14ac:dyDescent="0.25">
      <c r="A42" s="44" t="s">
        <v>28</v>
      </c>
      <c r="B42" s="10"/>
      <c r="G42" s="28">
        <f>G40/G38</f>
        <v>1.2628336922662195E-2</v>
      </c>
      <c r="H42" s="232"/>
      <c r="I42" s="59" t="s">
        <v>89</v>
      </c>
      <c r="J42" s="10"/>
      <c r="O42" s="50">
        <f>O38/L15</f>
        <v>0</v>
      </c>
    </row>
    <row r="43" spans="1:15" x14ac:dyDescent="0.25">
      <c r="A43" s="44"/>
      <c r="B43" s="10"/>
      <c r="D43" s="14">
        <f>D19/D15</f>
        <v>15312.042875157629</v>
      </c>
      <c r="G43" s="28"/>
      <c r="H43" s="28"/>
      <c r="I43" s="44"/>
      <c r="J43" s="10"/>
      <c r="O43" s="28"/>
    </row>
    <row r="44" spans="1:15" x14ac:dyDescent="0.25">
      <c r="A44" s="44"/>
      <c r="B44" s="10"/>
      <c r="G44" s="50"/>
      <c r="H44" s="28"/>
      <c r="I44" s="44"/>
      <c r="J44" s="10"/>
      <c r="O44" s="28"/>
    </row>
    <row r="45" spans="1:15" x14ac:dyDescent="0.25">
      <c r="A45" s="44"/>
      <c r="B45" s="10"/>
      <c r="G45" s="213"/>
      <c r="H45" s="28"/>
      <c r="I45" s="44"/>
      <c r="J45" s="10"/>
      <c r="O45" s="28"/>
    </row>
    <row r="46" spans="1:15" x14ac:dyDescent="0.25">
      <c r="A46" s="44"/>
      <c r="B46" s="10"/>
      <c r="G46" s="213"/>
      <c r="H46" s="28"/>
      <c r="I46" s="44"/>
      <c r="J46" s="10"/>
      <c r="O46" s="28"/>
    </row>
    <row r="47" spans="1:15" x14ac:dyDescent="0.25">
      <c r="A47" s="44"/>
      <c r="B47" s="10"/>
      <c r="G47" s="28"/>
      <c r="H47" s="28"/>
      <c r="I47" s="44"/>
      <c r="J47" s="10"/>
      <c r="O47" s="28"/>
    </row>
    <row r="48" spans="1:15" x14ac:dyDescent="0.25">
      <c r="A48" s="44"/>
      <c r="B48" s="10"/>
      <c r="G48" s="28"/>
      <c r="H48" s="28"/>
      <c r="I48" s="44"/>
      <c r="J48" s="10"/>
      <c r="O48" s="28"/>
    </row>
    <row r="49" spans="1:10" ht="18.75" customHeight="1" x14ac:dyDescent="0.25">
      <c r="A49" s="44"/>
      <c r="B49" s="11"/>
      <c r="G49" s="28"/>
      <c r="H49" s="28"/>
      <c r="J49" s="34"/>
    </row>
    <row r="50" spans="1:10" x14ac:dyDescent="0.25">
      <c r="E50" s="11"/>
      <c r="J50" s="34"/>
    </row>
    <row r="51" spans="1:10" x14ac:dyDescent="0.25">
      <c r="I51" s="53"/>
      <c r="J51" s="53"/>
    </row>
    <row r="52" spans="1:10" x14ac:dyDescent="0.25">
      <c r="I52" s="53"/>
      <c r="J52" s="53"/>
    </row>
    <row r="53" spans="1:10" x14ac:dyDescent="0.25">
      <c r="I53" s="53"/>
      <c r="J53" s="53"/>
    </row>
    <row r="54" spans="1:10" x14ac:dyDescent="0.25">
      <c r="I54" s="53"/>
      <c r="J54" s="110"/>
    </row>
    <row r="55" spans="1:10" x14ac:dyDescent="0.25">
      <c r="I55" s="53"/>
      <c r="J55" s="110"/>
    </row>
    <row r="56" spans="1:10" x14ac:dyDescent="0.25">
      <c r="I56" s="53"/>
      <c r="J56" s="110"/>
    </row>
    <row r="57" spans="1:10" x14ac:dyDescent="0.25">
      <c r="I57" s="53"/>
      <c r="J57" s="110"/>
    </row>
    <row r="58" spans="1:10" x14ac:dyDescent="0.25">
      <c r="I58" s="53"/>
      <c r="J58" s="110"/>
    </row>
    <row r="59" spans="1:10" x14ac:dyDescent="0.25">
      <c r="I59" s="53"/>
      <c r="J59" s="110"/>
    </row>
    <row r="60" spans="1:10" x14ac:dyDescent="0.25">
      <c r="I60" s="53"/>
      <c r="J60" s="110"/>
    </row>
    <row r="61" spans="1:10" x14ac:dyDescent="0.25">
      <c r="I61" s="53"/>
      <c r="J61" s="110"/>
    </row>
    <row r="62" spans="1:10" x14ac:dyDescent="0.25">
      <c r="I62" s="53"/>
      <c r="J62" s="110"/>
    </row>
    <row r="63" spans="1:10" x14ac:dyDescent="0.25">
      <c r="I63" s="53"/>
      <c r="J63" s="110"/>
    </row>
    <row r="64" spans="1:10" ht="16.5" customHeight="1" x14ac:dyDescent="0.25">
      <c r="I64" s="53"/>
      <c r="J64" s="110"/>
    </row>
    <row r="65" spans="9:10" x14ac:dyDescent="0.25">
      <c r="I65" s="53"/>
      <c r="J65" s="110"/>
    </row>
    <row r="66" spans="9:10" x14ac:dyDescent="0.25">
      <c r="I66" s="53"/>
      <c r="J66" s="110"/>
    </row>
    <row r="67" spans="9:10" x14ac:dyDescent="0.25">
      <c r="I67" s="19"/>
      <c r="J67" s="19"/>
    </row>
    <row r="68" spans="9:10" x14ac:dyDescent="0.25">
      <c r="I68" s="19"/>
      <c r="J68" s="19"/>
    </row>
    <row r="69" spans="9:10" x14ac:dyDescent="0.25">
      <c r="I69" s="53"/>
      <c r="J69" s="53"/>
    </row>
    <row r="70" spans="9:10" x14ac:dyDescent="0.25">
      <c r="I70" s="53"/>
      <c r="J70" s="53"/>
    </row>
    <row r="71" spans="9:10" x14ac:dyDescent="0.25">
      <c r="I71" s="53"/>
      <c r="J71" s="53"/>
    </row>
    <row r="72" spans="9:10" x14ac:dyDescent="0.25">
      <c r="I72" s="108"/>
      <c r="J72" s="98"/>
    </row>
    <row r="73" spans="9:10" x14ac:dyDescent="0.25">
      <c r="I73" s="108"/>
      <c r="J73" s="98"/>
    </row>
    <row r="74" spans="9:10" x14ac:dyDescent="0.25">
      <c r="I74" s="108"/>
      <c r="J74" s="98"/>
    </row>
    <row r="75" spans="9:10" x14ac:dyDescent="0.25">
      <c r="I75" s="108"/>
      <c r="J75" s="98"/>
    </row>
    <row r="76" spans="9:10" x14ac:dyDescent="0.25">
      <c r="I76" s="108"/>
      <c r="J76" s="98"/>
    </row>
    <row r="77" spans="9:10" x14ac:dyDescent="0.25">
      <c r="I77" s="108"/>
      <c r="J77" s="98"/>
    </row>
    <row r="78" spans="9:10" x14ac:dyDescent="0.25">
      <c r="I78" s="108"/>
      <c r="J78" s="98"/>
    </row>
    <row r="79" spans="9:10" x14ac:dyDescent="0.25">
      <c r="I79" s="108"/>
      <c r="J79" s="98"/>
    </row>
    <row r="80" spans="9:10" x14ac:dyDescent="0.25">
      <c r="I80" s="108"/>
      <c r="J80" s="98"/>
    </row>
    <row r="81" spans="9:10" x14ac:dyDescent="0.25">
      <c r="I81" s="108"/>
      <c r="J81" s="98"/>
    </row>
    <row r="82" spans="9:10" x14ac:dyDescent="0.25">
      <c r="I82" s="108"/>
      <c r="J82" s="98"/>
    </row>
    <row r="83" spans="9:10" x14ac:dyDescent="0.25">
      <c r="I83" s="108"/>
      <c r="J83" s="98"/>
    </row>
    <row r="84" spans="9:10" x14ac:dyDescent="0.25">
      <c r="I84" s="53"/>
      <c r="J84" s="53"/>
    </row>
    <row r="85" spans="9:10" x14ac:dyDescent="0.25">
      <c r="I85" s="53"/>
      <c r="J85" s="53"/>
    </row>
    <row r="86" spans="9:10" x14ac:dyDescent="0.25">
      <c r="I86" s="53"/>
      <c r="J86" s="53"/>
    </row>
    <row r="87" spans="9:10" x14ac:dyDescent="0.25">
      <c r="I87" s="53"/>
      <c r="J87" s="53"/>
    </row>
    <row r="88" spans="9:10" x14ac:dyDescent="0.25">
      <c r="I88" s="53"/>
      <c r="J88" s="53"/>
    </row>
    <row r="89" spans="9:10" x14ac:dyDescent="0.25">
      <c r="I89" s="53"/>
      <c r="J89" s="53"/>
    </row>
    <row r="90" spans="9:10" x14ac:dyDescent="0.25">
      <c r="I90" s="53"/>
      <c r="J90" s="53"/>
    </row>
    <row r="91" spans="9:10" x14ac:dyDescent="0.25">
      <c r="I91" s="53"/>
      <c r="J91" s="53"/>
    </row>
    <row r="92" spans="9:10" x14ac:dyDescent="0.25">
      <c r="I92" s="53"/>
      <c r="J92" s="53"/>
    </row>
    <row r="93" spans="9:10" x14ac:dyDescent="0.25">
      <c r="I93" s="53"/>
      <c r="J93" s="53"/>
    </row>
    <row r="94" spans="9:10" x14ac:dyDescent="0.25">
      <c r="I94" s="53"/>
      <c r="J94" s="53"/>
    </row>
    <row r="95" spans="9:10" x14ac:dyDescent="0.25">
      <c r="I95" s="53"/>
      <c r="J95" s="53"/>
    </row>
    <row r="96" spans="9:10" x14ac:dyDescent="0.25">
      <c r="I96" s="53"/>
      <c r="J96" s="53"/>
    </row>
    <row r="97" spans="9:10" ht="15" customHeight="1" x14ac:dyDescent="0.25">
      <c r="I97" s="53"/>
      <c r="J97" s="53"/>
    </row>
    <row r="98" spans="9:10" x14ac:dyDescent="0.25">
      <c r="I98" s="53"/>
      <c r="J98" s="53"/>
    </row>
    <row r="99" spans="9:10" x14ac:dyDescent="0.25">
      <c r="I99" s="53"/>
      <c r="J99" s="53"/>
    </row>
    <row r="100" spans="9:10" x14ac:dyDescent="0.25">
      <c r="I100" s="53"/>
      <c r="J100" s="53"/>
    </row>
    <row r="101" spans="9:10" x14ac:dyDescent="0.25">
      <c r="I101" s="53"/>
      <c r="J101" s="53"/>
    </row>
    <row r="102" spans="9:10" x14ac:dyDescent="0.25">
      <c r="I102" s="53"/>
      <c r="J102" s="53"/>
    </row>
    <row r="103" spans="9:10" x14ac:dyDescent="0.25">
      <c r="I103" s="53"/>
      <c r="J103" s="53"/>
    </row>
    <row r="104" spans="9:10" x14ac:dyDescent="0.25">
      <c r="I104" s="53"/>
      <c r="J104" s="53"/>
    </row>
    <row r="105" spans="9:10" x14ac:dyDescent="0.25">
      <c r="I105" s="53"/>
      <c r="J105" s="53"/>
    </row>
    <row r="106" spans="9:10" x14ac:dyDescent="0.25">
      <c r="I106" s="53"/>
      <c r="J106" s="53"/>
    </row>
    <row r="107" spans="9:10" x14ac:dyDescent="0.25">
      <c r="I107" s="53"/>
      <c r="J107" s="53"/>
    </row>
    <row r="108" spans="9:10" x14ac:dyDescent="0.25">
      <c r="I108" s="53"/>
      <c r="J108" s="53"/>
    </row>
    <row r="109" spans="9:10" x14ac:dyDescent="0.25">
      <c r="I109" s="53"/>
      <c r="J109" s="53"/>
    </row>
    <row r="110" spans="9:10" x14ac:dyDescent="0.25">
      <c r="I110" s="53"/>
      <c r="J110" s="53"/>
    </row>
    <row r="111" spans="9:10" x14ac:dyDescent="0.25">
      <c r="I111" s="53"/>
      <c r="J111" s="53"/>
    </row>
    <row r="112" spans="9:10" x14ac:dyDescent="0.25">
      <c r="I112" s="53"/>
      <c r="J112" s="53"/>
    </row>
    <row r="113" spans="9:10" x14ac:dyDescent="0.25">
      <c r="I113" s="53"/>
      <c r="J113" s="53"/>
    </row>
    <row r="114" spans="9:10" x14ac:dyDescent="0.25">
      <c r="I114" s="53"/>
      <c r="J114" s="53"/>
    </row>
    <row r="115" spans="9:10" x14ac:dyDescent="0.25">
      <c r="I115" s="53"/>
      <c r="J115" s="53"/>
    </row>
    <row r="116" spans="9:10" x14ac:dyDescent="0.25">
      <c r="I116" s="53"/>
      <c r="J116" s="53"/>
    </row>
    <row r="117" spans="9:10" x14ac:dyDescent="0.25">
      <c r="I117" s="53"/>
      <c r="J117" s="53"/>
    </row>
    <row r="118" spans="9:10" x14ac:dyDescent="0.25">
      <c r="I118" s="53"/>
      <c r="J118" s="53"/>
    </row>
    <row r="119" spans="9:10" x14ac:dyDescent="0.25">
      <c r="I119" s="53"/>
      <c r="J119" s="53"/>
    </row>
    <row r="120" spans="9:10" x14ac:dyDescent="0.25">
      <c r="I120" s="53"/>
      <c r="J120" s="53"/>
    </row>
    <row r="121" spans="9:10" x14ac:dyDescent="0.25">
      <c r="I121" s="53"/>
      <c r="J121" s="53"/>
    </row>
    <row r="122" spans="9:10" x14ac:dyDescent="0.25">
      <c r="I122" s="53"/>
      <c r="J122" s="53"/>
    </row>
    <row r="123" spans="9:10" x14ac:dyDescent="0.25">
      <c r="I123" s="53"/>
      <c r="J123" s="53"/>
    </row>
    <row r="124" spans="9:10" x14ac:dyDescent="0.25">
      <c r="I124" s="53"/>
      <c r="J124" s="53"/>
    </row>
    <row r="125" spans="9:10" x14ac:dyDescent="0.25">
      <c r="I125" s="53"/>
      <c r="J125" s="53"/>
    </row>
    <row r="126" spans="9:10" x14ac:dyDescent="0.25">
      <c r="I126" s="53"/>
      <c r="J126" s="53"/>
    </row>
    <row r="127" spans="9:10" x14ac:dyDescent="0.25">
      <c r="I127" s="53"/>
      <c r="J127" s="53"/>
    </row>
    <row r="128" spans="9:10" x14ac:dyDescent="0.25">
      <c r="I128" s="53"/>
      <c r="J128" s="53"/>
    </row>
    <row r="129" spans="2:11" x14ac:dyDescent="0.25">
      <c r="I129" s="53"/>
      <c r="J129" s="53"/>
    </row>
    <row r="130" spans="2:11" x14ac:dyDescent="0.25">
      <c r="K130" s="19"/>
    </row>
    <row r="131" spans="2:11" x14ac:dyDescent="0.25">
      <c r="K131" s="19"/>
    </row>
    <row r="132" spans="2:11" x14ac:dyDescent="0.25">
      <c r="K132" s="19"/>
    </row>
    <row r="133" spans="2:11" x14ac:dyDescent="0.25">
      <c r="K133" s="19"/>
    </row>
    <row r="134" spans="2:11" x14ac:dyDescent="0.25">
      <c r="K134" s="19"/>
    </row>
    <row r="135" spans="2:11" x14ac:dyDescent="0.25">
      <c r="K135" s="19"/>
    </row>
    <row r="136" spans="2:11" x14ac:dyDescent="0.25">
      <c r="K136" s="19"/>
    </row>
    <row r="137" spans="2:11" x14ac:dyDescent="0.25">
      <c r="K137" s="19"/>
    </row>
    <row r="138" spans="2:11" x14ac:dyDescent="0.25">
      <c r="K138" s="19"/>
    </row>
    <row r="144" spans="2:11" x14ac:dyDescent="0.25">
      <c r="B144" s="19"/>
      <c r="C144" s="53"/>
      <c r="D144" s="53"/>
      <c r="E144" s="19"/>
      <c r="F144" s="19"/>
      <c r="G144" s="19"/>
      <c r="H144" s="19"/>
    </row>
    <row r="145" spans="2:8" x14ac:dyDescent="0.25">
      <c r="B145" s="19"/>
      <c r="C145" s="55"/>
      <c r="D145" s="85"/>
      <c r="E145" s="90"/>
      <c r="F145" s="19"/>
      <c r="G145" s="19"/>
      <c r="H145" s="19"/>
    </row>
    <row r="146" spans="2:8" x14ac:dyDescent="0.25">
      <c r="B146" s="19"/>
      <c r="C146" s="55"/>
      <c r="D146" s="85"/>
      <c r="E146" s="90"/>
      <c r="F146" s="19"/>
      <c r="G146" s="19"/>
      <c r="H146" s="19"/>
    </row>
    <row r="147" spans="2:8" x14ac:dyDescent="0.25">
      <c r="B147" s="19"/>
      <c r="C147" s="55"/>
      <c r="D147" s="85"/>
      <c r="E147" s="90"/>
      <c r="F147" s="19"/>
      <c r="G147" s="19"/>
      <c r="H147" s="19"/>
    </row>
  </sheetData>
  <mergeCells count="4">
    <mergeCell ref="D4:G5"/>
    <mergeCell ref="L4:O5"/>
    <mergeCell ref="E7:F7"/>
    <mergeCell ref="M7:N7"/>
  </mergeCells>
  <pageMargins left="0.75" right="0.75" top="1" bottom="1" header="0.5" footer="0.5"/>
  <pageSetup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4"/>
  <sheetViews>
    <sheetView view="pageBreakPreview" zoomScale="75" zoomScaleNormal="85" zoomScaleSheetLayoutView="75" workbookViewId="0">
      <selection sqref="A1:C1"/>
    </sheetView>
  </sheetViews>
  <sheetFormatPr defaultRowHeight="15.75" x14ac:dyDescent="0.25"/>
  <cols>
    <col min="1" max="1" width="4.7109375" style="2" customWidth="1"/>
    <col min="2" max="2" width="19.5703125" style="2" customWidth="1"/>
    <col min="3" max="3" width="5.28515625" style="2" customWidth="1"/>
    <col min="4" max="5" width="15" style="2" bestFit="1" customWidth="1"/>
    <col min="6" max="6" width="3.140625" style="2" customWidth="1"/>
    <col min="7" max="7" width="18" style="2" bestFit="1" customWidth="1"/>
    <col min="8" max="8" width="2.85546875" style="2" customWidth="1"/>
    <col min="9" max="9" width="4.7109375" style="2" customWidth="1"/>
    <col min="10" max="10" width="14.5703125" style="2" customWidth="1"/>
    <col min="11" max="11" width="10.28515625" style="2" customWidth="1"/>
    <col min="12" max="12" width="15.28515625" style="2" customWidth="1"/>
    <col min="13" max="13" width="12.85546875" style="2" customWidth="1"/>
    <col min="14" max="14" width="4.28515625" style="2" customWidth="1"/>
    <col min="15" max="15" width="16.85546875" style="2" customWidth="1"/>
    <col min="16" max="16384" width="9.140625" style="2"/>
  </cols>
  <sheetData>
    <row r="1" spans="1:15" x14ac:dyDescent="0.25">
      <c r="A1" s="1" t="s">
        <v>100</v>
      </c>
      <c r="J1" s="1"/>
    </row>
    <row r="2" spans="1:15" x14ac:dyDescent="0.25">
      <c r="A2" s="34" t="str">
        <f>'Present and Proposed Rates'!A22</f>
        <v>3 Ph 0-999 KVA TOD</v>
      </c>
      <c r="J2" s="34"/>
      <c r="K2" s="34"/>
      <c r="L2" s="34"/>
      <c r="M2" s="34"/>
      <c r="N2" s="34"/>
      <c r="O2" s="34"/>
    </row>
    <row r="3" spans="1:15" ht="16.5" thickBot="1" x14ac:dyDescent="0.3">
      <c r="A3" s="34" t="str">
        <f>'Present and Proposed Rates'!B22</f>
        <v>3A</v>
      </c>
      <c r="B3" s="34"/>
      <c r="C3" s="34"/>
      <c r="J3" s="34"/>
      <c r="K3" s="34"/>
      <c r="L3" s="34"/>
      <c r="M3" s="34"/>
      <c r="N3" s="34"/>
      <c r="O3" s="34"/>
    </row>
    <row r="4" spans="1:15" x14ac:dyDescent="0.25">
      <c r="A4" s="34"/>
      <c r="B4" s="34"/>
      <c r="C4" s="34"/>
      <c r="D4" s="394" t="s">
        <v>32</v>
      </c>
      <c r="E4" s="395"/>
      <c r="F4" s="395"/>
      <c r="G4" s="396"/>
      <c r="H4" s="223"/>
      <c r="I4" s="34"/>
      <c r="J4" s="34"/>
      <c r="K4" s="34"/>
      <c r="L4" s="394" t="s">
        <v>98</v>
      </c>
      <c r="M4" s="395"/>
      <c r="N4" s="395"/>
      <c r="O4" s="396"/>
    </row>
    <row r="5" spans="1:15" ht="16.5" thickBot="1" x14ac:dyDescent="0.3">
      <c r="A5" s="57"/>
      <c r="B5" s="117"/>
      <c r="C5" s="381"/>
      <c r="D5" s="397"/>
      <c r="E5" s="398"/>
      <c r="F5" s="398"/>
      <c r="G5" s="399"/>
      <c r="H5" s="223"/>
      <c r="I5" s="57"/>
      <c r="J5" s="117"/>
      <c r="K5" s="381"/>
      <c r="L5" s="397"/>
      <c r="M5" s="398"/>
      <c r="N5" s="398"/>
      <c r="O5" s="399"/>
    </row>
    <row r="6" spans="1:15" x14ac:dyDescent="0.25">
      <c r="A6" s="4"/>
      <c r="B6" s="4"/>
      <c r="C6" s="4"/>
      <c r="D6" s="4" t="s">
        <v>1</v>
      </c>
      <c r="E6" s="4"/>
      <c r="F6" s="4"/>
      <c r="G6" s="4" t="s">
        <v>2</v>
      </c>
      <c r="H6" s="224"/>
      <c r="I6" s="4"/>
      <c r="J6" s="4"/>
      <c r="K6" s="4"/>
      <c r="L6" s="4" t="s">
        <v>1</v>
      </c>
      <c r="M6" s="4"/>
      <c r="N6" s="4"/>
      <c r="O6" s="4" t="s">
        <v>2</v>
      </c>
    </row>
    <row r="7" spans="1:15" ht="16.5" thickBot="1" x14ac:dyDescent="0.3">
      <c r="A7" s="5"/>
      <c r="B7" s="5"/>
      <c r="C7" s="5"/>
      <c r="D7" s="5" t="s">
        <v>4</v>
      </c>
      <c r="E7" s="400" t="s">
        <v>5</v>
      </c>
      <c r="F7" s="400"/>
      <c r="G7" s="5" t="s">
        <v>6</v>
      </c>
      <c r="H7" s="225"/>
      <c r="I7" s="5"/>
      <c r="J7" s="5"/>
      <c r="K7" s="5"/>
      <c r="L7" s="5" t="s">
        <v>4</v>
      </c>
      <c r="M7" s="400" t="s">
        <v>5</v>
      </c>
      <c r="N7" s="400"/>
      <c r="O7" s="5" t="s">
        <v>6</v>
      </c>
    </row>
    <row r="8" spans="1:15" x14ac:dyDescent="0.25">
      <c r="H8" s="226"/>
    </row>
    <row r="9" spans="1:15" x14ac:dyDescent="0.25">
      <c r="H9" s="226"/>
    </row>
    <row r="10" spans="1:15" x14ac:dyDescent="0.25">
      <c r="A10" s="167" t="s">
        <v>10</v>
      </c>
      <c r="H10" s="226"/>
      <c r="I10" s="167" t="s">
        <v>10</v>
      </c>
    </row>
    <row r="11" spans="1:15" x14ac:dyDescent="0.25">
      <c r="D11" s="211" t="s">
        <v>122</v>
      </c>
      <c r="E11" s="211" t="s">
        <v>104</v>
      </c>
      <c r="H11" s="226"/>
      <c r="L11" s="211" t="s">
        <v>122</v>
      </c>
      <c r="M11" s="211" t="s">
        <v>104</v>
      </c>
    </row>
    <row r="12" spans="1:15" x14ac:dyDescent="0.25">
      <c r="B12" s="2" t="s">
        <v>105</v>
      </c>
      <c r="D12" s="125">
        <f>BillDet!E21</f>
        <v>52</v>
      </c>
      <c r="E12" s="208">
        <f>'Present and Proposed Rates'!F22</f>
        <v>2.641</v>
      </c>
      <c r="G12" s="11">
        <f>D12*E12*365/12</f>
        <v>4177.1816666666664</v>
      </c>
      <c r="H12" s="227"/>
      <c r="J12" s="2" t="s">
        <v>105</v>
      </c>
      <c r="L12" s="125">
        <f>D12</f>
        <v>52</v>
      </c>
      <c r="M12" s="208">
        <f>'Present and Proposed Rates'!G22</f>
        <v>2.641</v>
      </c>
      <c r="O12" s="11">
        <f>L12*M12*365</f>
        <v>50126.18</v>
      </c>
    </row>
    <row r="13" spans="1:15" x14ac:dyDescent="0.25">
      <c r="D13" s="8"/>
      <c r="G13" s="11"/>
      <c r="H13" s="227"/>
      <c r="L13" s="8"/>
      <c r="O13" s="11"/>
    </row>
    <row r="14" spans="1:15" x14ac:dyDescent="0.25">
      <c r="A14" s="1" t="s">
        <v>7</v>
      </c>
      <c r="D14" s="8"/>
      <c r="G14" s="11"/>
      <c r="H14" s="227"/>
      <c r="I14" s="1" t="s">
        <v>7</v>
      </c>
      <c r="L14" s="8"/>
      <c r="O14" s="11"/>
    </row>
    <row r="15" spans="1:15" x14ac:dyDescent="0.25">
      <c r="D15" s="201" t="s">
        <v>8</v>
      </c>
      <c r="E15" s="202" t="s">
        <v>11</v>
      </c>
      <c r="G15" s="11"/>
      <c r="H15" s="227"/>
      <c r="L15" s="201" t="s">
        <v>8</v>
      </c>
      <c r="M15" s="202" t="s">
        <v>11</v>
      </c>
      <c r="O15" s="11"/>
    </row>
    <row r="16" spans="1:15" x14ac:dyDescent="0.25">
      <c r="B16" s="2" t="s">
        <v>105</v>
      </c>
      <c r="D16" s="39">
        <f>BillDet!E36</f>
        <v>668885</v>
      </c>
      <c r="E16" s="207">
        <f>'Present and Proposed Rates'!F23</f>
        <v>6.5794000000000005E-2</v>
      </c>
      <c r="F16" s="19"/>
      <c r="G16" s="18">
        <f>D16*E16</f>
        <v>44008.619690000007</v>
      </c>
      <c r="H16" s="227"/>
      <c r="J16" s="2" t="s">
        <v>105</v>
      </c>
      <c r="L16" s="39">
        <f>D16</f>
        <v>668885</v>
      </c>
      <c r="M16" s="207">
        <f>'Present and Proposed Rates'!G23</f>
        <v>6.5794000000000005E-2</v>
      </c>
      <c r="N16" s="19"/>
      <c r="O16" s="18">
        <f>L16*M16</f>
        <v>44008.619690000007</v>
      </c>
    </row>
    <row r="17" spans="1:15" x14ac:dyDescent="0.25">
      <c r="B17" s="19"/>
      <c r="C17" s="19"/>
      <c r="D17" s="39"/>
      <c r="E17" s="40"/>
      <c r="F17" s="19"/>
      <c r="G17" s="18"/>
      <c r="H17" s="227"/>
      <c r="J17" s="19"/>
      <c r="K17" s="19"/>
      <c r="L17" s="39"/>
      <c r="M17" s="40"/>
      <c r="N17" s="19"/>
      <c r="O17" s="18"/>
    </row>
    <row r="18" spans="1:15" x14ac:dyDescent="0.25">
      <c r="A18" s="1" t="s">
        <v>131</v>
      </c>
      <c r="D18" s="8"/>
      <c r="G18" s="11"/>
      <c r="H18" s="227"/>
      <c r="I18" s="1" t="s">
        <v>131</v>
      </c>
      <c r="L18" s="8"/>
      <c r="O18" s="11"/>
    </row>
    <row r="19" spans="1:15" x14ac:dyDescent="0.25">
      <c r="D19" s="201" t="s">
        <v>132</v>
      </c>
      <c r="E19" s="202" t="s">
        <v>133</v>
      </c>
      <c r="G19" s="11"/>
      <c r="H19" s="227"/>
      <c r="L19" s="201" t="s">
        <v>132</v>
      </c>
      <c r="M19" s="202" t="s">
        <v>133</v>
      </c>
      <c r="O19" s="11"/>
    </row>
    <row r="20" spans="1:15" x14ac:dyDescent="0.25">
      <c r="B20" s="2" t="s">
        <v>105</v>
      </c>
      <c r="D20" s="39">
        <f>BillDet!E51</f>
        <v>2328.1480000000006</v>
      </c>
      <c r="E20" s="212">
        <f>'Present and Proposed Rates'!F24</f>
        <v>11</v>
      </c>
      <c r="F20" s="19"/>
      <c r="G20" s="18">
        <f>D20*E20</f>
        <v>25609.628000000008</v>
      </c>
      <c r="H20" s="227"/>
      <c r="J20" s="2" t="s">
        <v>105</v>
      </c>
      <c r="L20" s="39">
        <f>D20</f>
        <v>2328.1480000000006</v>
      </c>
      <c r="M20" s="212">
        <f>'Present and Proposed Rates'!G24</f>
        <v>11</v>
      </c>
      <c r="N20" s="19"/>
      <c r="O20" s="18">
        <f>L20*M20</f>
        <v>25609.628000000008</v>
      </c>
    </row>
    <row r="21" spans="1:15" x14ac:dyDescent="0.25">
      <c r="D21" s="39"/>
      <c r="E21" s="207"/>
      <c r="F21" s="19"/>
      <c r="G21" s="18"/>
      <c r="H21" s="227"/>
      <c r="L21" s="39"/>
      <c r="M21" s="207"/>
      <c r="N21" s="19"/>
      <c r="O21" s="18"/>
    </row>
    <row r="22" spans="1:15" x14ac:dyDescent="0.25">
      <c r="A22" s="1" t="s">
        <v>106</v>
      </c>
      <c r="B22" s="19"/>
      <c r="C22" s="19"/>
      <c r="D22" s="39"/>
      <c r="E22" s="40"/>
      <c r="F22" s="19"/>
      <c r="G22" s="18"/>
      <c r="H22" s="227"/>
      <c r="I22" s="1" t="s">
        <v>106</v>
      </c>
      <c r="J22" s="19"/>
      <c r="K22" s="19"/>
      <c r="L22" s="39"/>
      <c r="M22" s="40"/>
      <c r="N22" s="19"/>
      <c r="O22" s="18"/>
    </row>
    <row r="23" spans="1:15" x14ac:dyDescent="0.25">
      <c r="B23" s="2" t="s">
        <v>127</v>
      </c>
      <c r="C23" s="19"/>
      <c r="D23" s="39"/>
      <c r="E23" s="40"/>
      <c r="F23" s="19"/>
      <c r="G23" s="18">
        <v>510.3900000000001</v>
      </c>
      <c r="H23" s="227"/>
      <c r="J23" s="2" t="str">
        <f>B23</f>
        <v>Fuel Adjustment Clause</v>
      </c>
      <c r="K23" s="19"/>
      <c r="L23" s="39"/>
      <c r="M23" s="40"/>
      <c r="N23" s="19"/>
      <c r="O23" s="18">
        <f>G23</f>
        <v>510.3900000000001</v>
      </c>
    </row>
    <row r="24" spans="1:15" x14ac:dyDescent="0.25">
      <c r="B24" s="2" t="s">
        <v>123</v>
      </c>
      <c r="C24" s="19"/>
      <c r="D24" s="39"/>
      <c r="E24" s="40"/>
      <c r="F24" s="19"/>
      <c r="G24" s="18">
        <v>5027.58</v>
      </c>
      <c r="H24" s="227"/>
      <c r="J24" s="2" t="str">
        <f t="shared" ref="J24:J28" si="0">B24</f>
        <v>Environmental Surcharge</v>
      </c>
      <c r="K24" s="19"/>
      <c r="L24" s="39"/>
      <c r="M24" s="40"/>
      <c r="N24" s="19"/>
      <c r="O24" s="18">
        <f t="shared" ref="O24:O28" si="1">G24</f>
        <v>5027.58</v>
      </c>
    </row>
    <row r="25" spans="1:15" x14ac:dyDescent="0.25">
      <c r="B25" s="2" t="s">
        <v>124</v>
      </c>
      <c r="C25" s="19"/>
      <c r="D25" s="39"/>
      <c r="E25" s="40"/>
      <c r="F25" s="19"/>
      <c r="G25" s="18">
        <v>-3793.59</v>
      </c>
      <c r="H25" s="227"/>
      <c r="J25" s="2" t="str">
        <f t="shared" si="0"/>
        <v>Member Rate Stability</v>
      </c>
      <c r="K25" s="19"/>
      <c r="L25" s="39"/>
      <c r="M25" s="40"/>
      <c r="N25" s="19"/>
      <c r="O25" s="18">
        <f t="shared" si="1"/>
        <v>-3793.59</v>
      </c>
    </row>
    <row r="26" spans="1:15" x14ac:dyDescent="0.25">
      <c r="B26" s="2" t="s">
        <v>125</v>
      </c>
      <c r="C26" s="19"/>
      <c r="D26" s="39"/>
      <c r="E26" s="40"/>
      <c r="F26" s="19"/>
      <c r="G26" s="46">
        <v>1307.49</v>
      </c>
      <c r="H26" s="228"/>
      <c r="J26" s="2" t="str">
        <f t="shared" si="0"/>
        <v>Non-FAC PPA</v>
      </c>
      <c r="K26" s="19"/>
      <c r="L26" s="39"/>
      <c r="M26" s="40"/>
      <c r="N26" s="19"/>
      <c r="O26" s="18">
        <f t="shared" si="1"/>
        <v>1307.49</v>
      </c>
    </row>
    <row r="27" spans="1:15" x14ac:dyDescent="0.25">
      <c r="B27" s="2" t="s">
        <v>126</v>
      </c>
      <c r="C27" s="156"/>
      <c r="D27" s="65"/>
      <c r="E27" s="76"/>
      <c r="F27" s="34"/>
      <c r="G27" s="69">
        <v>-285.55999999999995</v>
      </c>
      <c r="H27" s="229"/>
      <c r="J27" s="2" t="str">
        <f t="shared" si="0"/>
        <v>Unbilled Revenue (Net)</v>
      </c>
      <c r="K27" s="156"/>
      <c r="L27" s="65"/>
      <c r="M27" s="76"/>
      <c r="N27" s="34"/>
      <c r="O27" s="18">
        <f t="shared" si="1"/>
        <v>-285.55999999999995</v>
      </c>
    </row>
    <row r="28" spans="1:15" x14ac:dyDescent="0.25">
      <c r="B28" s="2" t="s">
        <v>200</v>
      </c>
      <c r="C28" s="156"/>
      <c r="D28" s="65"/>
      <c r="E28" s="76"/>
      <c r="F28" s="34"/>
      <c r="G28" s="69">
        <v>0</v>
      </c>
      <c r="H28" s="229"/>
      <c r="J28" s="2" t="str">
        <f t="shared" si="0"/>
        <v>Other</v>
      </c>
      <c r="K28" s="156"/>
      <c r="L28" s="65"/>
      <c r="M28" s="76"/>
      <c r="N28" s="34"/>
      <c r="O28" s="18">
        <f t="shared" si="1"/>
        <v>0</v>
      </c>
    </row>
    <row r="29" spans="1:15" x14ac:dyDescent="0.25">
      <c r="C29" s="156"/>
      <c r="D29" s="65"/>
      <c r="E29" s="76"/>
      <c r="F29" s="34"/>
      <c r="G29" s="69"/>
      <c r="H29" s="229"/>
      <c r="K29" s="156"/>
      <c r="L29" s="65"/>
      <c r="M29" s="76"/>
      <c r="N29" s="34"/>
      <c r="O29" s="18"/>
    </row>
    <row r="30" spans="1:15" x14ac:dyDescent="0.25">
      <c r="C30" s="156"/>
      <c r="D30" s="65"/>
      <c r="E30" s="76"/>
      <c r="F30" s="34"/>
      <c r="G30" s="69"/>
      <c r="H30" s="229"/>
      <c r="K30" s="156"/>
      <c r="L30" s="65"/>
      <c r="M30" s="76"/>
      <c r="N30" s="34"/>
      <c r="O30" s="18"/>
    </row>
    <row r="31" spans="1:15" x14ac:dyDescent="0.25">
      <c r="C31" s="156"/>
      <c r="D31" s="65"/>
      <c r="E31" s="76"/>
      <c r="F31" s="34"/>
      <c r="G31" s="69"/>
      <c r="H31" s="229"/>
      <c r="K31" s="156"/>
      <c r="L31" s="65"/>
      <c r="M31" s="76"/>
      <c r="N31" s="34"/>
      <c r="O31" s="18"/>
    </row>
    <row r="32" spans="1:15" x14ac:dyDescent="0.25">
      <c r="A32" s="1"/>
      <c r="B32" s="34"/>
      <c r="C32" s="156"/>
      <c r="D32" s="65"/>
      <c r="E32" s="76"/>
      <c r="F32" s="34"/>
      <c r="G32" s="69"/>
      <c r="H32" s="229"/>
    </row>
    <row r="33" spans="1:15" ht="16.5" thickBot="1" x14ac:dyDescent="0.3">
      <c r="A33" s="1" t="s">
        <v>82</v>
      </c>
      <c r="G33" s="29">
        <f>SUM(G13:G32)</f>
        <v>72384.557690000031</v>
      </c>
      <c r="H33" s="227"/>
      <c r="I33" s="1" t="s">
        <v>82</v>
      </c>
      <c r="O33" s="29">
        <f>SUM(O13:O32)</f>
        <v>72384.557690000031</v>
      </c>
    </row>
    <row r="34" spans="1:15" ht="16.5" thickTop="1" x14ac:dyDescent="0.25">
      <c r="A34" s="1"/>
      <c r="B34" s="1"/>
      <c r="G34" s="18"/>
      <c r="H34" s="227"/>
      <c r="I34" s="1"/>
      <c r="J34" s="1"/>
      <c r="O34" s="18"/>
    </row>
    <row r="35" spans="1:15" x14ac:dyDescent="0.25">
      <c r="A35" s="44" t="s">
        <v>19</v>
      </c>
      <c r="B35" s="10"/>
      <c r="G35" s="11">
        <f>BillDet!E66</f>
        <v>76771.260000000009</v>
      </c>
      <c r="H35" s="227"/>
      <c r="I35" s="127" t="s">
        <v>87</v>
      </c>
      <c r="J35" s="10"/>
      <c r="O35" s="37">
        <f>O33-G33</f>
        <v>0</v>
      </c>
    </row>
    <row r="36" spans="1:15" x14ac:dyDescent="0.25">
      <c r="A36" s="10"/>
      <c r="B36" s="10"/>
      <c r="G36" s="10"/>
      <c r="H36" s="230"/>
      <c r="I36" s="48"/>
      <c r="J36" s="10"/>
      <c r="O36" s="10"/>
    </row>
    <row r="37" spans="1:15" x14ac:dyDescent="0.25">
      <c r="A37" s="44" t="s">
        <v>13</v>
      </c>
      <c r="B37" s="10"/>
      <c r="G37" s="27">
        <f>G33-G35</f>
        <v>-4386.7023099999788</v>
      </c>
      <c r="H37" s="231"/>
      <c r="I37" s="127" t="s">
        <v>88</v>
      </c>
      <c r="J37" s="10"/>
      <c r="O37" s="157">
        <f>O35/G33</f>
        <v>0</v>
      </c>
    </row>
    <row r="38" spans="1:15" x14ac:dyDescent="0.25">
      <c r="A38" s="10"/>
      <c r="B38" s="10"/>
      <c r="G38" s="11"/>
      <c r="H38" s="227"/>
      <c r="I38" s="34"/>
      <c r="J38" s="10"/>
      <c r="O38" s="11"/>
    </row>
    <row r="39" spans="1:15" x14ac:dyDescent="0.25">
      <c r="A39" s="44" t="s">
        <v>28</v>
      </c>
      <c r="B39" s="10"/>
      <c r="G39" s="28">
        <f>G37/G35</f>
        <v>-5.7139902484340858E-2</v>
      </c>
      <c r="H39" s="232"/>
      <c r="I39" s="59" t="s">
        <v>89</v>
      </c>
      <c r="J39" s="10"/>
      <c r="O39" s="50">
        <f>O35/L12</f>
        <v>0</v>
      </c>
    </row>
    <row r="40" spans="1:15" x14ac:dyDescent="0.25">
      <c r="A40" s="44"/>
      <c r="B40" s="10"/>
      <c r="G40" s="28"/>
      <c r="H40" s="28"/>
      <c r="I40" s="44"/>
      <c r="J40" s="10"/>
      <c r="O40" s="28"/>
    </row>
    <row r="41" spans="1:15" x14ac:dyDescent="0.25">
      <c r="A41" s="44"/>
      <c r="B41" s="10"/>
      <c r="D41" s="14">
        <f>D16/D12</f>
        <v>12863.173076923076</v>
      </c>
      <c r="G41" s="28"/>
      <c r="H41" s="28"/>
      <c r="I41" s="44"/>
      <c r="J41" s="10"/>
      <c r="O41" s="28"/>
    </row>
    <row r="42" spans="1:15" x14ac:dyDescent="0.25">
      <c r="A42" s="44"/>
      <c r="B42" s="10"/>
      <c r="G42" s="213"/>
      <c r="H42" s="28"/>
      <c r="I42" s="44"/>
      <c r="J42" s="10"/>
      <c r="O42" s="28"/>
    </row>
    <row r="43" spans="1:15" x14ac:dyDescent="0.25">
      <c r="A43" s="44"/>
      <c r="B43" s="10"/>
      <c r="G43" s="28"/>
      <c r="H43" s="28"/>
      <c r="I43" s="44"/>
      <c r="J43" s="10"/>
      <c r="O43" s="28"/>
    </row>
    <row r="44" spans="1:15" x14ac:dyDescent="0.25">
      <c r="A44" s="44"/>
      <c r="B44" s="10"/>
      <c r="G44" s="28"/>
      <c r="H44" s="28"/>
      <c r="I44" s="44"/>
      <c r="J44" s="10"/>
      <c r="O44" s="28"/>
    </row>
    <row r="45" spans="1:15" x14ac:dyDescent="0.25">
      <c r="A45" s="44"/>
      <c r="B45" s="10"/>
      <c r="G45" s="28"/>
      <c r="H45" s="28"/>
      <c r="I45" s="44"/>
      <c r="J45" s="10"/>
      <c r="O45" s="28"/>
    </row>
    <row r="46" spans="1:15" ht="18.75" customHeight="1" x14ac:dyDescent="0.25">
      <c r="A46" s="44"/>
      <c r="B46" s="11"/>
      <c r="G46" s="28"/>
      <c r="H46" s="28"/>
      <c r="J46" s="34"/>
    </row>
    <row r="47" spans="1:15" x14ac:dyDescent="0.25">
      <c r="E47" s="11"/>
      <c r="J47" s="34"/>
    </row>
    <row r="48" spans="1:15" x14ac:dyDescent="0.25">
      <c r="I48" s="53"/>
      <c r="J48" s="53"/>
    </row>
    <row r="49" spans="9:10" x14ac:dyDescent="0.25">
      <c r="I49" s="53"/>
      <c r="J49" s="53"/>
    </row>
    <row r="50" spans="9:10" x14ac:dyDescent="0.25">
      <c r="I50" s="53"/>
      <c r="J50" s="53"/>
    </row>
    <row r="51" spans="9:10" x14ac:dyDescent="0.25">
      <c r="I51" s="53"/>
      <c r="J51" s="110"/>
    </row>
    <row r="52" spans="9:10" x14ac:dyDescent="0.25">
      <c r="I52" s="53"/>
      <c r="J52" s="110"/>
    </row>
    <row r="53" spans="9:10" x14ac:dyDescent="0.25">
      <c r="I53" s="53"/>
      <c r="J53" s="110"/>
    </row>
    <row r="54" spans="9:10" x14ac:dyDescent="0.25">
      <c r="I54" s="53"/>
      <c r="J54" s="110"/>
    </row>
    <row r="55" spans="9:10" x14ac:dyDescent="0.25">
      <c r="I55" s="53"/>
      <c r="J55" s="110"/>
    </row>
    <row r="56" spans="9:10" x14ac:dyDescent="0.25">
      <c r="I56" s="53"/>
      <c r="J56" s="110"/>
    </row>
    <row r="57" spans="9:10" x14ac:dyDescent="0.25">
      <c r="I57" s="53"/>
      <c r="J57" s="110"/>
    </row>
    <row r="58" spans="9:10" x14ac:dyDescent="0.25">
      <c r="I58" s="53"/>
      <c r="J58" s="110"/>
    </row>
    <row r="59" spans="9:10" x14ac:dyDescent="0.25">
      <c r="I59" s="53"/>
      <c r="J59" s="110"/>
    </row>
    <row r="60" spans="9:10" x14ac:dyDescent="0.25">
      <c r="I60" s="53"/>
      <c r="J60" s="110"/>
    </row>
    <row r="61" spans="9:10" ht="16.5" customHeight="1" x14ac:dyDescent="0.25">
      <c r="I61" s="53"/>
      <c r="J61" s="110"/>
    </row>
    <row r="62" spans="9:10" x14ac:dyDescent="0.25">
      <c r="I62" s="53"/>
      <c r="J62" s="110"/>
    </row>
    <row r="63" spans="9:10" x14ac:dyDescent="0.25">
      <c r="I63" s="53"/>
      <c r="J63" s="110"/>
    </row>
    <row r="64" spans="9:10" x14ac:dyDescent="0.25">
      <c r="I64" s="19"/>
      <c r="J64" s="19"/>
    </row>
    <row r="65" spans="9:10" x14ac:dyDescent="0.25">
      <c r="I65" s="19"/>
      <c r="J65" s="19"/>
    </row>
    <row r="66" spans="9:10" x14ac:dyDescent="0.25">
      <c r="I66" s="53"/>
      <c r="J66" s="53"/>
    </row>
    <row r="67" spans="9:10" x14ac:dyDescent="0.25">
      <c r="I67" s="53"/>
      <c r="J67" s="53"/>
    </row>
    <row r="68" spans="9:10" x14ac:dyDescent="0.25">
      <c r="I68" s="53"/>
      <c r="J68" s="53"/>
    </row>
    <row r="69" spans="9:10" x14ac:dyDescent="0.25">
      <c r="I69" s="108"/>
      <c r="J69" s="98"/>
    </row>
    <row r="70" spans="9:10" x14ac:dyDescent="0.25">
      <c r="I70" s="108"/>
      <c r="J70" s="98"/>
    </row>
    <row r="71" spans="9:10" x14ac:dyDescent="0.25">
      <c r="I71" s="108"/>
      <c r="J71" s="98"/>
    </row>
    <row r="72" spans="9:10" x14ac:dyDescent="0.25">
      <c r="I72" s="108"/>
      <c r="J72" s="98"/>
    </row>
    <row r="73" spans="9:10" x14ac:dyDescent="0.25">
      <c r="I73" s="108"/>
      <c r="J73" s="98"/>
    </row>
    <row r="74" spans="9:10" x14ac:dyDescent="0.25">
      <c r="I74" s="108"/>
      <c r="J74" s="98"/>
    </row>
    <row r="75" spans="9:10" x14ac:dyDescent="0.25">
      <c r="I75" s="108"/>
      <c r="J75" s="98"/>
    </row>
    <row r="76" spans="9:10" x14ac:dyDescent="0.25">
      <c r="I76" s="108"/>
      <c r="J76" s="98"/>
    </row>
    <row r="77" spans="9:10" x14ac:dyDescent="0.25">
      <c r="I77" s="108"/>
      <c r="J77" s="98"/>
    </row>
    <row r="78" spans="9:10" x14ac:dyDescent="0.25">
      <c r="I78" s="108"/>
      <c r="J78" s="98"/>
    </row>
    <row r="79" spans="9:10" x14ac:dyDescent="0.25">
      <c r="I79" s="108"/>
      <c r="J79" s="98"/>
    </row>
    <row r="80" spans="9:10" x14ac:dyDescent="0.25">
      <c r="I80" s="108"/>
      <c r="J80" s="98"/>
    </row>
    <row r="81" spans="9:10" x14ac:dyDescent="0.25">
      <c r="I81" s="53"/>
      <c r="J81" s="53"/>
    </row>
    <row r="82" spans="9:10" x14ac:dyDescent="0.25">
      <c r="I82" s="53"/>
      <c r="J82" s="53"/>
    </row>
    <row r="83" spans="9:10" x14ac:dyDescent="0.25">
      <c r="I83" s="53"/>
      <c r="J83" s="53"/>
    </row>
    <row r="84" spans="9:10" x14ac:dyDescent="0.25">
      <c r="I84" s="53"/>
      <c r="J84" s="53"/>
    </row>
    <row r="85" spans="9:10" x14ac:dyDescent="0.25">
      <c r="I85" s="53"/>
      <c r="J85" s="53"/>
    </row>
    <row r="86" spans="9:10" x14ac:dyDescent="0.25">
      <c r="I86" s="53"/>
      <c r="J86" s="53"/>
    </row>
    <row r="87" spans="9:10" x14ac:dyDescent="0.25">
      <c r="I87" s="53"/>
      <c r="J87" s="53"/>
    </row>
    <row r="88" spans="9:10" x14ac:dyDescent="0.25">
      <c r="I88" s="53"/>
      <c r="J88" s="53"/>
    </row>
    <row r="89" spans="9:10" x14ac:dyDescent="0.25">
      <c r="I89" s="53"/>
      <c r="J89" s="53"/>
    </row>
    <row r="90" spans="9:10" x14ac:dyDescent="0.25">
      <c r="I90" s="53"/>
      <c r="J90" s="53"/>
    </row>
    <row r="91" spans="9:10" x14ac:dyDescent="0.25">
      <c r="I91" s="53"/>
      <c r="J91" s="53"/>
    </row>
    <row r="92" spans="9:10" x14ac:dyDescent="0.25">
      <c r="I92" s="53"/>
      <c r="J92" s="53"/>
    </row>
    <row r="93" spans="9:10" x14ac:dyDescent="0.25">
      <c r="I93" s="53"/>
      <c r="J93" s="53"/>
    </row>
    <row r="94" spans="9:10" ht="15" customHeight="1" x14ac:dyDescent="0.25">
      <c r="I94" s="53"/>
      <c r="J94" s="53"/>
    </row>
    <row r="95" spans="9:10" x14ac:dyDescent="0.25">
      <c r="I95" s="53"/>
      <c r="J95" s="53"/>
    </row>
    <row r="96" spans="9:10" x14ac:dyDescent="0.25">
      <c r="I96" s="53"/>
      <c r="J96" s="53"/>
    </row>
    <row r="97" spans="9:10" x14ac:dyDescent="0.25">
      <c r="I97" s="53"/>
      <c r="J97" s="53"/>
    </row>
    <row r="98" spans="9:10" x14ac:dyDescent="0.25">
      <c r="I98" s="53"/>
      <c r="J98" s="53"/>
    </row>
    <row r="99" spans="9:10" x14ac:dyDescent="0.25">
      <c r="I99" s="53"/>
      <c r="J99" s="53"/>
    </row>
    <row r="100" spans="9:10" x14ac:dyDescent="0.25">
      <c r="I100" s="53"/>
      <c r="J100" s="53"/>
    </row>
    <row r="101" spans="9:10" x14ac:dyDescent="0.25">
      <c r="I101" s="53"/>
      <c r="J101" s="53"/>
    </row>
    <row r="102" spans="9:10" x14ac:dyDescent="0.25">
      <c r="I102" s="53"/>
      <c r="J102" s="53"/>
    </row>
    <row r="103" spans="9:10" x14ac:dyDescent="0.25">
      <c r="I103" s="53"/>
      <c r="J103" s="53"/>
    </row>
    <row r="104" spans="9:10" x14ac:dyDescent="0.25">
      <c r="I104" s="53"/>
      <c r="J104" s="53"/>
    </row>
    <row r="105" spans="9:10" x14ac:dyDescent="0.25">
      <c r="I105" s="53"/>
      <c r="J105" s="53"/>
    </row>
    <row r="106" spans="9:10" x14ac:dyDescent="0.25">
      <c r="I106" s="53"/>
      <c r="J106" s="53"/>
    </row>
    <row r="107" spans="9:10" x14ac:dyDescent="0.25">
      <c r="I107" s="53"/>
      <c r="J107" s="53"/>
    </row>
    <row r="108" spans="9:10" x14ac:dyDescent="0.25">
      <c r="I108" s="53"/>
      <c r="J108" s="53"/>
    </row>
    <row r="109" spans="9:10" x14ac:dyDescent="0.25">
      <c r="I109" s="53"/>
      <c r="J109" s="53"/>
    </row>
    <row r="110" spans="9:10" x14ac:dyDescent="0.25">
      <c r="I110" s="53"/>
      <c r="J110" s="53"/>
    </row>
    <row r="111" spans="9:10" x14ac:dyDescent="0.25">
      <c r="I111" s="53"/>
      <c r="J111" s="53"/>
    </row>
    <row r="112" spans="9:10" x14ac:dyDescent="0.25">
      <c r="I112" s="53"/>
      <c r="J112" s="53"/>
    </row>
    <row r="113" spans="9:11" x14ac:dyDescent="0.25">
      <c r="I113" s="53"/>
      <c r="J113" s="53"/>
    </row>
    <row r="114" spans="9:11" x14ac:dyDescent="0.25">
      <c r="I114" s="53"/>
      <c r="J114" s="53"/>
    </row>
    <row r="115" spans="9:11" x14ac:dyDescent="0.25">
      <c r="I115" s="53"/>
      <c r="J115" s="53"/>
    </row>
    <row r="116" spans="9:11" x14ac:dyDescent="0.25">
      <c r="I116" s="53"/>
      <c r="J116" s="53"/>
    </row>
    <row r="117" spans="9:11" x14ac:dyDescent="0.25">
      <c r="I117" s="53"/>
      <c r="J117" s="53"/>
    </row>
    <row r="118" spans="9:11" x14ac:dyDescent="0.25">
      <c r="I118" s="53"/>
      <c r="J118" s="53"/>
    </row>
    <row r="119" spans="9:11" x14ac:dyDescent="0.25">
      <c r="I119" s="53"/>
      <c r="J119" s="53"/>
    </row>
    <row r="120" spans="9:11" x14ac:dyDescent="0.25">
      <c r="I120" s="53"/>
      <c r="J120" s="53"/>
    </row>
    <row r="121" spans="9:11" x14ac:dyDescent="0.25">
      <c r="I121" s="53"/>
      <c r="J121" s="53"/>
    </row>
    <row r="122" spans="9:11" x14ac:dyDescent="0.25">
      <c r="I122" s="53"/>
      <c r="J122" s="53"/>
    </row>
    <row r="123" spans="9:11" x14ac:dyDescent="0.25">
      <c r="I123" s="53"/>
      <c r="J123" s="53"/>
    </row>
    <row r="124" spans="9:11" x14ac:dyDescent="0.25">
      <c r="I124" s="53"/>
      <c r="J124" s="53"/>
    </row>
    <row r="125" spans="9:11" x14ac:dyDescent="0.25">
      <c r="I125" s="53"/>
      <c r="J125" s="53"/>
    </row>
    <row r="126" spans="9:11" x14ac:dyDescent="0.25">
      <c r="I126" s="53"/>
      <c r="J126" s="53"/>
    </row>
    <row r="127" spans="9:11" x14ac:dyDescent="0.25">
      <c r="K127" s="19"/>
    </row>
    <row r="128" spans="9:11" x14ac:dyDescent="0.25">
      <c r="K128" s="19"/>
    </row>
    <row r="129" spans="2:11" x14ac:dyDescent="0.25">
      <c r="K129" s="19"/>
    </row>
    <row r="130" spans="2:11" x14ac:dyDescent="0.25">
      <c r="K130" s="19"/>
    </row>
    <row r="131" spans="2:11" x14ac:dyDescent="0.25">
      <c r="K131" s="19"/>
    </row>
    <row r="132" spans="2:11" x14ac:dyDescent="0.25">
      <c r="K132" s="19"/>
    </row>
    <row r="133" spans="2:11" x14ac:dyDescent="0.25">
      <c r="K133" s="19"/>
    </row>
    <row r="134" spans="2:11" x14ac:dyDescent="0.25">
      <c r="K134" s="19"/>
    </row>
    <row r="135" spans="2:11" x14ac:dyDescent="0.25">
      <c r="K135" s="19"/>
    </row>
    <row r="141" spans="2:11" x14ac:dyDescent="0.25">
      <c r="B141" s="19"/>
      <c r="C141" s="53"/>
      <c r="D141" s="53"/>
      <c r="E141" s="19"/>
      <c r="F141" s="19"/>
      <c r="G141" s="19"/>
      <c r="H141" s="19"/>
    </row>
    <row r="142" spans="2:11" x14ac:dyDescent="0.25">
      <c r="B142" s="19"/>
      <c r="C142" s="55"/>
      <c r="D142" s="85"/>
      <c r="E142" s="90"/>
      <c r="F142" s="19"/>
      <c r="G142" s="19"/>
      <c r="H142" s="19"/>
    </row>
    <row r="143" spans="2:11" x14ac:dyDescent="0.25">
      <c r="B143" s="19"/>
      <c r="C143" s="55"/>
      <c r="D143" s="85"/>
      <c r="E143" s="90"/>
      <c r="F143" s="19"/>
      <c r="G143" s="19"/>
      <c r="H143" s="19"/>
    </row>
    <row r="144" spans="2:11" x14ac:dyDescent="0.25">
      <c r="B144" s="19"/>
      <c r="C144" s="55"/>
      <c r="D144" s="85"/>
      <c r="E144" s="90"/>
      <c r="F144" s="19"/>
      <c r="G144" s="19"/>
      <c r="H144" s="19"/>
    </row>
  </sheetData>
  <mergeCells count="4">
    <mergeCell ref="D4:G5"/>
    <mergeCell ref="L4:O5"/>
    <mergeCell ref="E7:F7"/>
    <mergeCell ref="M7:N7"/>
  </mergeCells>
  <pageMargins left="0.75" right="0.75" top="1" bottom="1" header="0.5" footer="0.5"/>
  <pageSetup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8"/>
  <sheetViews>
    <sheetView view="pageBreakPreview" topLeftCell="A8" zoomScale="75" zoomScaleNormal="85" zoomScaleSheetLayoutView="75" workbookViewId="0">
      <selection sqref="A1:C1"/>
    </sheetView>
  </sheetViews>
  <sheetFormatPr defaultRowHeight="15.75" x14ac:dyDescent="0.25"/>
  <cols>
    <col min="1" max="1" width="4.7109375" style="2" customWidth="1"/>
    <col min="2" max="2" width="24.140625" style="2" customWidth="1"/>
    <col min="3" max="3" width="5.28515625" style="2" customWidth="1"/>
    <col min="4" max="5" width="15" style="2" bestFit="1" customWidth="1"/>
    <col min="6" max="6" width="3.140625" style="2" customWidth="1"/>
    <col min="7" max="7" width="18" style="2" bestFit="1" customWidth="1"/>
    <col min="8" max="8" width="2.85546875" style="2" customWidth="1"/>
    <col min="9" max="9" width="9.85546875" style="2" customWidth="1"/>
    <col min="10" max="10" width="21" style="2" customWidth="1"/>
    <col min="11" max="11" width="10.28515625" style="2" customWidth="1"/>
    <col min="12" max="12" width="18.85546875" style="2" customWidth="1"/>
    <col min="13" max="13" width="15.140625" style="2" customWidth="1"/>
    <col min="14" max="14" width="4.28515625" style="2" customWidth="1"/>
    <col min="15" max="15" width="20.140625" style="2" customWidth="1"/>
    <col min="16" max="16384" width="9.140625" style="2"/>
  </cols>
  <sheetData>
    <row r="1" spans="1:15" x14ac:dyDescent="0.25">
      <c r="A1" s="1" t="s">
        <v>100</v>
      </c>
      <c r="J1" s="1"/>
    </row>
    <row r="2" spans="1:15" x14ac:dyDescent="0.25">
      <c r="A2" s="34" t="str">
        <f>'Present and Proposed Rates'!A26</f>
        <v>Large 1000 KVA TOD</v>
      </c>
      <c r="J2" s="34"/>
      <c r="K2" s="34"/>
      <c r="L2" s="34"/>
      <c r="M2" s="34"/>
      <c r="N2" s="34"/>
      <c r="O2" s="34"/>
    </row>
    <row r="3" spans="1:15" ht="16.5" thickBot="1" x14ac:dyDescent="0.3">
      <c r="A3" s="34">
        <f>'Present and Proposed Rates'!B26</f>
        <v>4</v>
      </c>
      <c r="B3" s="34"/>
      <c r="C3" s="34"/>
      <c r="J3" s="34"/>
      <c r="K3" s="34"/>
      <c r="L3" s="34"/>
      <c r="M3" s="34"/>
      <c r="N3" s="34"/>
      <c r="O3" s="34"/>
    </row>
    <row r="4" spans="1:15" x14ac:dyDescent="0.25">
      <c r="A4" s="34"/>
      <c r="B4" s="34"/>
      <c r="C4" s="34"/>
      <c r="D4" s="394" t="s">
        <v>32</v>
      </c>
      <c r="E4" s="395"/>
      <c r="F4" s="395"/>
      <c r="G4" s="396"/>
      <c r="H4" s="223"/>
      <c r="I4" s="34"/>
      <c r="J4" s="34"/>
      <c r="K4" s="34"/>
      <c r="L4" s="394" t="s">
        <v>98</v>
      </c>
      <c r="M4" s="395"/>
      <c r="N4" s="395"/>
      <c r="O4" s="396"/>
    </row>
    <row r="5" spans="1:15" ht="16.5" thickBot="1" x14ac:dyDescent="0.3">
      <c r="A5" s="57"/>
      <c r="B5" s="117"/>
      <c r="C5" s="381"/>
      <c r="D5" s="397"/>
      <c r="E5" s="398"/>
      <c r="F5" s="398"/>
      <c r="G5" s="399"/>
      <c r="H5" s="223"/>
      <c r="I5" s="57"/>
      <c r="J5" s="117"/>
      <c r="K5" s="381"/>
      <c r="L5" s="397"/>
      <c r="M5" s="398"/>
      <c r="N5" s="398"/>
      <c r="O5" s="399"/>
    </row>
    <row r="6" spans="1:15" x14ac:dyDescent="0.25">
      <c r="A6" s="4"/>
      <c r="B6" s="4"/>
      <c r="C6" s="4"/>
      <c r="D6" s="4" t="s">
        <v>1</v>
      </c>
      <c r="E6" s="4"/>
      <c r="F6" s="4"/>
      <c r="G6" s="4" t="s">
        <v>2</v>
      </c>
      <c r="H6" s="224"/>
      <c r="I6" s="4"/>
      <c r="J6" s="4"/>
      <c r="K6" s="4"/>
      <c r="L6" s="4" t="s">
        <v>1</v>
      </c>
      <c r="M6" s="4"/>
      <c r="N6" s="4"/>
      <c r="O6" s="4" t="s">
        <v>2</v>
      </c>
    </row>
    <row r="7" spans="1:15" ht="16.5" thickBot="1" x14ac:dyDescent="0.3">
      <c r="A7" s="5"/>
      <c r="B7" s="5"/>
      <c r="C7" s="5"/>
      <c r="D7" s="5" t="s">
        <v>4</v>
      </c>
      <c r="E7" s="400" t="s">
        <v>5</v>
      </c>
      <c r="F7" s="400"/>
      <c r="G7" s="5" t="s">
        <v>6</v>
      </c>
      <c r="H7" s="225"/>
      <c r="I7" s="5"/>
      <c r="J7" s="5"/>
      <c r="K7" s="5"/>
      <c r="L7" s="5" t="s">
        <v>4</v>
      </c>
      <c r="M7" s="400" t="s">
        <v>5</v>
      </c>
      <c r="N7" s="400"/>
      <c r="O7" s="5" t="s">
        <v>6</v>
      </c>
    </row>
    <row r="8" spans="1:15" x14ac:dyDescent="0.25">
      <c r="H8" s="226"/>
    </row>
    <row r="9" spans="1:15" x14ac:dyDescent="0.25">
      <c r="H9" s="226"/>
    </row>
    <row r="10" spans="1:15" x14ac:dyDescent="0.25">
      <c r="A10" s="167" t="s">
        <v>10</v>
      </c>
      <c r="H10" s="226"/>
      <c r="I10" s="167" t="s">
        <v>10</v>
      </c>
    </row>
    <row r="11" spans="1:15" x14ac:dyDescent="0.25">
      <c r="D11" s="211" t="s">
        <v>122</v>
      </c>
      <c r="E11" s="211" t="s">
        <v>138</v>
      </c>
      <c r="H11" s="226"/>
      <c r="L11" s="211" t="s">
        <v>122</v>
      </c>
      <c r="M11" s="211" t="s">
        <v>138</v>
      </c>
    </row>
    <row r="12" spans="1:15" x14ac:dyDescent="0.25">
      <c r="B12" s="2" t="s">
        <v>135</v>
      </c>
      <c r="D12" s="125">
        <f>BillDet!F21</f>
        <v>36</v>
      </c>
      <c r="E12" s="208">
        <f>'Present and Proposed Rates'!F26</f>
        <v>805.93</v>
      </c>
      <c r="G12" s="11">
        <f>D12*E12</f>
        <v>29013.48</v>
      </c>
      <c r="H12" s="227"/>
      <c r="J12" s="2" t="s">
        <v>135</v>
      </c>
      <c r="L12" s="125">
        <f>D12</f>
        <v>36</v>
      </c>
      <c r="M12" s="208">
        <f>'Present and Proposed Rates'!G26</f>
        <v>805.93</v>
      </c>
      <c r="O12" s="11">
        <f>L12*M12</f>
        <v>29013.48</v>
      </c>
    </row>
    <row r="13" spans="1:15" x14ac:dyDescent="0.25">
      <c r="B13" s="2" t="s">
        <v>134</v>
      </c>
      <c r="D13" s="39">
        <v>0</v>
      </c>
      <c r="E13" s="208">
        <f>'Present and Proposed Rates'!F27</f>
        <v>142.22999999999999</v>
      </c>
      <c r="G13" s="11">
        <f>D13*E13</f>
        <v>0</v>
      </c>
      <c r="H13" s="227"/>
      <c r="J13" s="2" t="s">
        <v>134</v>
      </c>
      <c r="L13" s="39">
        <f>D13</f>
        <v>0</v>
      </c>
      <c r="M13" s="208">
        <f>'Present and Proposed Rates'!G27</f>
        <v>142.22999999999999</v>
      </c>
      <c r="O13" s="11">
        <f>L13*M13</f>
        <v>0</v>
      </c>
    </row>
    <row r="14" spans="1:15" x14ac:dyDescent="0.25">
      <c r="B14" s="214" t="s">
        <v>86</v>
      </c>
      <c r="D14" s="216">
        <f>SUM(D12:D13)</f>
        <v>36</v>
      </c>
      <c r="E14" s="9"/>
      <c r="G14" s="215">
        <f>SUM(G12:G13)</f>
        <v>29013.48</v>
      </c>
      <c r="H14" s="227"/>
      <c r="J14" s="214" t="s">
        <v>86</v>
      </c>
      <c r="L14" s="216">
        <f>D14</f>
        <v>36</v>
      </c>
      <c r="M14" s="9"/>
      <c r="O14" s="215">
        <f>SUM(O12:O13)</f>
        <v>29013.48</v>
      </c>
    </row>
    <row r="15" spans="1:15" x14ac:dyDescent="0.25">
      <c r="D15" s="8"/>
      <c r="G15" s="11"/>
      <c r="H15" s="227"/>
      <c r="L15" s="8"/>
      <c r="O15" s="11"/>
    </row>
    <row r="16" spans="1:15" x14ac:dyDescent="0.25">
      <c r="A16" s="1" t="s">
        <v>7</v>
      </c>
      <c r="D16" s="8"/>
      <c r="G16" s="11"/>
      <c r="H16" s="227"/>
      <c r="I16" s="1" t="s">
        <v>7</v>
      </c>
      <c r="L16" s="8"/>
      <c r="O16" s="11"/>
    </row>
    <row r="17" spans="1:15" x14ac:dyDescent="0.25">
      <c r="D17" s="201" t="s">
        <v>8</v>
      </c>
      <c r="E17" s="202" t="s">
        <v>11</v>
      </c>
      <c r="G17" s="11"/>
      <c r="H17" s="227"/>
      <c r="L17" s="201" t="s">
        <v>8</v>
      </c>
      <c r="M17" s="202" t="s">
        <v>11</v>
      </c>
      <c r="O17" s="11"/>
    </row>
    <row r="18" spans="1:15" x14ac:dyDescent="0.25">
      <c r="B18" s="2" t="s">
        <v>136</v>
      </c>
      <c r="D18" s="56">
        <f>BillDet!F36</f>
        <v>6686242</v>
      </c>
      <c r="E18" s="207">
        <f>'Present and Proposed Rates'!F28</f>
        <v>6.0553000000000003E-2</v>
      </c>
      <c r="F18" s="19"/>
      <c r="G18" s="18">
        <f>D18*E18</f>
        <v>404872.011826</v>
      </c>
      <c r="H18" s="227"/>
      <c r="J18" s="2" t="s">
        <v>136</v>
      </c>
      <c r="L18" s="56">
        <f>D18</f>
        <v>6686242</v>
      </c>
      <c r="M18" s="207">
        <f>'Present and Proposed Rates'!G28</f>
        <v>6.0553000000000003E-2</v>
      </c>
      <c r="N18" s="19"/>
      <c r="O18" s="18">
        <f>L18*M18</f>
        <v>404872.011826</v>
      </c>
    </row>
    <row r="19" spans="1:15" x14ac:dyDescent="0.25">
      <c r="B19" s="2" t="s">
        <v>137</v>
      </c>
      <c r="D19" s="39">
        <v>0</v>
      </c>
      <c r="E19" s="207">
        <f>'Present and Proposed Rates'!F29</f>
        <v>5.2130000000000003E-2</v>
      </c>
      <c r="F19" s="19"/>
      <c r="G19" s="18">
        <f>D19*E19</f>
        <v>0</v>
      </c>
      <c r="H19" s="227"/>
      <c r="J19" s="2" t="s">
        <v>137</v>
      </c>
      <c r="L19" s="39">
        <f>D19</f>
        <v>0</v>
      </c>
      <c r="M19" s="207">
        <f>'Present and Proposed Rates'!G29</f>
        <v>5.2130000000000003E-2</v>
      </c>
      <c r="N19" s="19"/>
      <c r="O19" s="18">
        <f>L19*M19</f>
        <v>0</v>
      </c>
    </row>
    <row r="20" spans="1:15" x14ac:dyDescent="0.25">
      <c r="B20" s="214" t="s">
        <v>86</v>
      </c>
      <c r="D20" s="216">
        <f>D18+D19</f>
        <v>6686242</v>
      </c>
      <c r="E20" s="9"/>
      <c r="G20" s="215">
        <f>SUM(G18:G19)</f>
        <v>404872.011826</v>
      </c>
      <c r="H20" s="227"/>
      <c r="J20" s="214" t="s">
        <v>86</v>
      </c>
      <c r="L20" s="216">
        <f>D20</f>
        <v>6686242</v>
      </c>
      <c r="M20" s="9"/>
      <c r="O20" s="215">
        <f>SUM(O18:O19)</f>
        <v>404872.011826</v>
      </c>
    </row>
    <row r="21" spans="1:15" x14ac:dyDescent="0.25">
      <c r="B21" s="19"/>
      <c r="C21" s="19"/>
      <c r="D21" s="39"/>
      <c r="E21" s="40"/>
      <c r="F21" s="19"/>
      <c r="G21" s="18"/>
      <c r="H21" s="227"/>
      <c r="J21" s="19"/>
      <c r="K21" s="19"/>
      <c r="L21" s="39"/>
      <c r="M21" s="40"/>
      <c r="N21" s="19"/>
      <c r="O21" s="18"/>
    </row>
    <row r="22" spans="1:15" x14ac:dyDescent="0.25">
      <c r="A22" s="1" t="s">
        <v>131</v>
      </c>
      <c r="D22" s="8"/>
      <c r="G22" s="11"/>
      <c r="H22" s="227"/>
      <c r="I22" s="1" t="s">
        <v>131</v>
      </c>
      <c r="L22" s="8"/>
      <c r="O22" s="11"/>
    </row>
    <row r="23" spans="1:15" x14ac:dyDescent="0.25">
      <c r="D23" s="201" t="s">
        <v>132</v>
      </c>
      <c r="E23" s="202" t="s">
        <v>133</v>
      </c>
      <c r="G23" s="11"/>
      <c r="H23" s="227"/>
      <c r="L23" s="201" t="s">
        <v>132</v>
      </c>
      <c r="M23" s="202" t="s">
        <v>133</v>
      </c>
      <c r="O23" s="11"/>
    </row>
    <row r="24" spans="1:15" x14ac:dyDescent="0.25">
      <c r="B24" s="2" t="s">
        <v>105</v>
      </c>
      <c r="D24" s="39">
        <f>BillDet!F51</f>
        <v>32295.3</v>
      </c>
      <c r="E24" s="212">
        <f>'Present and Proposed Rates'!F30</f>
        <v>10.5</v>
      </c>
      <c r="G24" s="18">
        <f>D24*E24</f>
        <v>339100.64999999997</v>
      </c>
      <c r="H24" s="227"/>
      <c r="J24" s="2" t="s">
        <v>105</v>
      </c>
      <c r="L24" s="39">
        <f>D24</f>
        <v>32295.3</v>
      </c>
      <c r="M24" s="212">
        <f>'Present and Proposed Rates'!G30</f>
        <v>10.5</v>
      </c>
      <c r="O24" s="18">
        <f>L24*M24</f>
        <v>339100.64999999997</v>
      </c>
    </row>
    <row r="25" spans="1:15" x14ac:dyDescent="0.25">
      <c r="D25" s="39"/>
      <c r="E25" s="207"/>
      <c r="G25" s="18"/>
      <c r="H25" s="227"/>
      <c r="L25" s="39"/>
      <c r="M25" s="207"/>
      <c r="O25" s="18"/>
    </row>
    <row r="26" spans="1:15" x14ac:dyDescent="0.25">
      <c r="A26" s="1" t="s">
        <v>106</v>
      </c>
      <c r="B26" s="19"/>
      <c r="C26" s="19"/>
      <c r="D26" s="39"/>
      <c r="E26" s="40"/>
      <c r="F26" s="19"/>
      <c r="G26" s="18"/>
      <c r="H26" s="227"/>
      <c r="I26" s="1" t="s">
        <v>106</v>
      </c>
      <c r="J26" s="19"/>
      <c r="K26" s="19"/>
      <c r="L26" s="39"/>
      <c r="M26" s="40"/>
      <c r="N26" s="19"/>
      <c r="O26" s="18"/>
    </row>
    <row r="27" spans="1:15" x14ac:dyDescent="0.25">
      <c r="B27" s="2" t="s">
        <v>127</v>
      </c>
      <c r="C27" s="19"/>
      <c r="D27" s="39"/>
      <c r="E27" s="40"/>
      <c r="F27" s="19"/>
      <c r="G27" s="18">
        <v>5554.1200000000008</v>
      </c>
      <c r="H27" s="227"/>
      <c r="J27" s="2" t="str">
        <f>B27</f>
        <v>Fuel Adjustment Clause</v>
      </c>
      <c r="K27" s="19"/>
      <c r="L27" s="39"/>
      <c r="M27" s="40"/>
      <c r="N27" s="19"/>
      <c r="O27" s="18">
        <f>G27</f>
        <v>5554.1200000000008</v>
      </c>
    </row>
    <row r="28" spans="1:15" x14ac:dyDescent="0.25">
      <c r="B28" s="2" t="s">
        <v>123</v>
      </c>
      <c r="C28" s="19"/>
      <c r="D28" s="39"/>
      <c r="E28" s="40"/>
      <c r="F28" s="19"/>
      <c r="G28" s="18">
        <v>47572.11</v>
      </c>
      <c r="H28" s="227"/>
      <c r="J28" s="2" t="str">
        <f t="shared" ref="J28:J32" si="0">B28</f>
        <v>Environmental Surcharge</v>
      </c>
      <c r="K28" s="19"/>
      <c r="L28" s="39"/>
      <c r="M28" s="40"/>
      <c r="N28" s="19"/>
      <c r="O28" s="18">
        <f t="shared" ref="O28:O32" si="1">G28</f>
        <v>47572.11</v>
      </c>
    </row>
    <row r="29" spans="1:15" x14ac:dyDescent="0.25">
      <c r="B29" s="2" t="s">
        <v>124</v>
      </c>
      <c r="C29" s="19"/>
      <c r="D29" s="39"/>
      <c r="E29" s="40"/>
      <c r="F29" s="19"/>
      <c r="G29" s="18">
        <v>-37093.089999999997</v>
      </c>
      <c r="H29" s="228"/>
      <c r="J29" s="2" t="str">
        <f t="shared" si="0"/>
        <v>Member Rate Stability</v>
      </c>
      <c r="K29" s="19"/>
      <c r="L29" s="39"/>
      <c r="M29" s="40"/>
      <c r="N29" s="19"/>
      <c r="O29" s="18">
        <f t="shared" si="1"/>
        <v>-37093.089999999997</v>
      </c>
    </row>
    <row r="30" spans="1:15" x14ac:dyDescent="0.25">
      <c r="B30" s="2" t="s">
        <v>125</v>
      </c>
      <c r="C30" s="19"/>
      <c r="D30" s="39"/>
      <c r="E30" s="40"/>
      <c r="F30" s="19"/>
      <c r="G30" s="46">
        <v>12869.11</v>
      </c>
      <c r="H30" s="229"/>
      <c r="J30" s="2" t="str">
        <f t="shared" si="0"/>
        <v>Non-FAC PPA</v>
      </c>
      <c r="K30" s="19"/>
      <c r="L30" s="39"/>
      <c r="M30" s="40"/>
      <c r="N30" s="19"/>
      <c r="O30" s="18">
        <f t="shared" si="1"/>
        <v>12869.11</v>
      </c>
    </row>
    <row r="31" spans="1:15" x14ac:dyDescent="0.25">
      <c r="B31" s="2" t="s">
        <v>126</v>
      </c>
      <c r="C31" s="156"/>
      <c r="D31" s="65"/>
      <c r="E31" s="76"/>
      <c r="F31" s="34"/>
      <c r="G31" s="69">
        <v>1835.0013830489424</v>
      </c>
      <c r="H31" s="229"/>
      <c r="J31" s="2" t="str">
        <f t="shared" si="0"/>
        <v>Unbilled Revenue (Net)</v>
      </c>
      <c r="K31" s="156"/>
      <c r="L31" s="65"/>
      <c r="M31" s="76"/>
      <c r="N31" s="34"/>
      <c r="O31" s="18">
        <f t="shared" si="1"/>
        <v>1835.0013830489424</v>
      </c>
    </row>
    <row r="32" spans="1:15" x14ac:dyDescent="0.25">
      <c r="B32" s="2" t="s">
        <v>200</v>
      </c>
      <c r="C32" s="156"/>
      <c r="D32" s="65"/>
      <c r="E32" s="76"/>
      <c r="F32" s="34"/>
      <c r="G32" s="69">
        <v>0</v>
      </c>
      <c r="H32" s="229"/>
      <c r="J32" s="2" t="str">
        <f t="shared" si="0"/>
        <v>Other</v>
      </c>
      <c r="K32" s="156"/>
      <c r="L32" s="65"/>
      <c r="M32" s="76"/>
      <c r="N32" s="34"/>
      <c r="O32" s="18">
        <f t="shared" si="1"/>
        <v>0</v>
      </c>
    </row>
    <row r="33" spans="1:15" x14ac:dyDescent="0.25">
      <c r="C33" s="156"/>
      <c r="D33" s="65"/>
      <c r="E33" s="76"/>
      <c r="F33" s="34"/>
      <c r="G33" s="69"/>
      <c r="H33" s="229"/>
      <c r="K33" s="156"/>
      <c r="L33" s="65"/>
      <c r="M33" s="76"/>
      <c r="N33" s="34"/>
      <c r="O33" s="18"/>
    </row>
    <row r="34" spans="1:15" x14ac:dyDescent="0.25">
      <c r="C34" s="156"/>
      <c r="D34" s="65"/>
      <c r="E34" s="76"/>
      <c r="F34" s="34"/>
      <c r="G34" s="69"/>
      <c r="H34" s="229"/>
      <c r="K34" s="156"/>
      <c r="L34" s="65"/>
      <c r="M34" s="76"/>
      <c r="N34" s="34"/>
      <c r="O34" s="18"/>
    </row>
    <row r="35" spans="1:15" x14ac:dyDescent="0.25">
      <c r="C35" s="156"/>
      <c r="D35" s="65"/>
      <c r="E35" s="76"/>
      <c r="F35" s="34"/>
      <c r="G35" s="69"/>
      <c r="H35" s="229"/>
      <c r="K35" s="156"/>
      <c r="L35" s="65"/>
      <c r="M35" s="76"/>
      <c r="N35" s="34"/>
      <c r="O35" s="18"/>
    </row>
    <row r="36" spans="1:15" x14ac:dyDescent="0.25">
      <c r="C36" s="156"/>
      <c r="D36" s="65"/>
      <c r="E36" s="76"/>
      <c r="F36" s="34"/>
      <c r="G36" s="69"/>
      <c r="H36" s="229"/>
    </row>
    <row r="37" spans="1:15" x14ac:dyDescent="0.25">
      <c r="A37" s="1"/>
      <c r="B37" s="34"/>
      <c r="C37" s="156"/>
      <c r="D37" s="65"/>
      <c r="E37" s="76"/>
      <c r="F37" s="34"/>
      <c r="G37" s="69"/>
      <c r="H37" s="227"/>
      <c r="I37" s="1"/>
      <c r="J37" s="1"/>
      <c r="O37" s="18"/>
    </row>
    <row r="38" spans="1:15" ht="16.5" thickBot="1" x14ac:dyDescent="0.3">
      <c r="A38" s="1" t="s">
        <v>82</v>
      </c>
      <c r="G38" s="29">
        <f>G14+G20+G24+SUM(G27:G35)</f>
        <v>803723.3932090489</v>
      </c>
      <c r="H38" s="227"/>
      <c r="I38" s="1" t="s">
        <v>82</v>
      </c>
      <c r="O38" s="29">
        <f>O14+O20+O24+SUM(O27:O35)</f>
        <v>803723.3932090489</v>
      </c>
    </row>
    <row r="39" spans="1:15" ht="16.5" thickTop="1" x14ac:dyDescent="0.25">
      <c r="A39" s="1"/>
      <c r="B39" s="1"/>
      <c r="G39" s="18"/>
      <c r="H39" s="230"/>
      <c r="I39" s="1"/>
      <c r="J39" s="1"/>
      <c r="O39" s="18"/>
    </row>
    <row r="40" spans="1:15" x14ac:dyDescent="0.25">
      <c r="A40" s="44" t="s">
        <v>19</v>
      </c>
      <c r="B40" s="10"/>
      <c r="G40" s="11">
        <f>BillDet!F66</f>
        <v>802425.00999999989</v>
      </c>
      <c r="H40" s="231"/>
      <c r="I40" s="127" t="s">
        <v>87</v>
      </c>
      <c r="J40" s="10"/>
      <c r="O40" s="37">
        <f>O38-G38</f>
        <v>0</v>
      </c>
    </row>
    <row r="41" spans="1:15" x14ac:dyDescent="0.25">
      <c r="A41" s="10"/>
      <c r="B41" s="10"/>
      <c r="G41" s="10"/>
      <c r="H41" s="227"/>
      <c r="I41" s="48"/>
      <c r="J41" s="10"/>
      <c r="O41" s="10"/>
    </row>
    <row r="42" spans="1:15" x14ac:dyDescent="0.25">
      <c r="A42" s="44" t="s">
        <v>13</v>
      </c>
      <c r="B42" s="10"/>
      <c r="G42" s="27">
        <f>G38-G40</f>
        <v>1298.3832090490032</v>
      </c>
      <c r="H42" s="232"/>
      <c r="I42" s="127" t="s">
        <v>88</v>
      </c>
      <c r="J42" s="10"/>
      <c r="O42" s="157">
        <f>O40/G38</f>
        <v>0</v>
      </c>
    </row>
    <row r="43" spans="1:15" x14ac:dyDescent="0.25">
      <c r="A43" s="10"/>
      <c r="B43" s="10"/>
      <c r="G43" s="11"/>
      <c r="H43" s="232"/>
      <c r="I43" s="34"/>
      <c r="J43" s="10"/>
      <c r="O43" s="11"/>
    </row>
    <row r="44" spans="1:15" x14ac:dyDescent="0.25">
      <c r="A44" s="44" t="s">
        <v>28</v>
      </c>
      <c r="B44" s="10"/>
      <c r="G44" s="28">
        <f>G42/G40</f>
        <v>1.6180742036554958E-3</v>
      </c>
      <c r="H44" s="232"/>
      <c r="I44" s="59" t="s">
        <v>89</v>
      </c>
      <c r="J44" s="10"/>
      <c r="O44" s="50">
        <f>O40/L14</f>
        <v>0</v>
      </c>
    </row>
    <row r="45" spans="1:15" x14ac:dyDescent="0.25">
      <c r="A45" s="44"/>
      <c r="B45" s="10"/>
      <c r="D45" s="14">
        <f>D20/D14/12</f>
        <v>15477.412037037036</v>
      </c>
      <c r="G45" s="28"/>
      <c r="H45" s="28"/>
      <c r="I45" s="44"/>
      <c r="J45" s="10"/>
      <c r="O45" s="28"/>
    </row>
    <row r="46" spans="1:15" x14ac:dyDescent="0.25">
      <c r="A46" s="44"/>
      <c r="B46" s="10"/>
      <c r="G46" s="213"/>
      <c r="H46" s="28"/>
      <c r="I46" s="44"/>
      <c r="J46" s="10"/>
      <c r="O46" s="28"/>
    </row>
    <row r="47" spans="1:15" x14ac:dyDescent="0.25">
      <c r="A47" s="44"/>
      <c r="B47" s="10"/>
      <c r="G47" s="28"/>
      <c r="H47" s="28"/>
      <c r="I47" s="44"/>
      <c r="J47" s="10"/>
      <c r="O47" s="28"/>
    </row>
    <row r="48" spans="1:15" x14ac:dyDescent="0.25">
      <c r="A48" s="44"/>
      <c r="B48" s="10"/>
      <c r="G48" s="28"/>
      <c r="H48" s="28"/>
      <c r="I48" s="44"/>
      <c r="J48" s="10"/>
      <c r="O48" s="28"/>
    </row>
    <row r="49" spans="1:10" ht="18.75" customHeight="1" x14ac:dyDescent="0.25">
      <c r="A49" s="44"/>
      <c r="B49" s="10"/>
      <c r="G49" s="28"/>
      <c r="H49" s="28"/>
      <c r="J49" s="34"/>
    </row>
    <row r="50" spans="1:10" x14ac:dyDescent="0.25">
      <c r="A50" s="44"/>
      <c r="B50" s="11"/>
      <c r="G50" s="28"/>
      <c r="J50" s="34"/>
    </row>
    <row r="51" spans="1:10" x14ac:dyDescent="0.25">
      <c r="E51" s="11"/>
      <c r="I51" s="53"/>
      <c r="J51" s="53"/>
    </row>
    <row r="52" spans="1:10" x14ac:dyDescent="0.25">
      <c r="I52" s="53"/>
      <c r="J52" s="53"/>
    </row>
    <row r="53" spans="1:10" x14ac:dyDescent="0.25">
      <c r="I53" s="53"/>
      <c r="J53" s="53"/>
    </row>
    <row r="54" spans="1:10" x14ac:dyDescent="0.25">
      <c r="I54" s="53"/>
      <c r="J54" s="110"/>
    </row>
    <row r="55" spans="1:10" x14ac:dyDescent="0.25">
      <c r="I55" s="53"/>
      <c r="J55" s="110"/>
    </row>
    <row r="56" spans="1:10" x14ac:dyDescent="0.25">
      <c r="I56" s="53"/>
      <c r="J56" s="110"/>
    </row>
    <row r="57" spans="1:10" x14ac:dyDescent="0.25">
      <c r="I57" s="53"/>
      <c r="J57" s="110"/>
    </row>
    <row r="58" spans="1:10" x14ac:dyDescent="0.25">
      <c r="I58" s="53"/>
      <c r="J58" s="110"/>
    </row>
    <row r="59" spans="1:10" x14ac:dyDescent="0.25">
      <c r="I59" s="53"/>
      <c r="J59" s="110"/>
    </row>
    <row r="60" spans="1:10" x14ac:dyDescent="0.25">
      <c r="I60" s="53"/>
      <c r="J60" s="110"/>
    </row>
    <row r="61" spans="1:10" x14ac:dyDescent="0.25">
      <c r="I61" s="53"/>
      <c r="J61" s="110"/>
    </row>
    <row r="62" spans="1:10" x14ac:dyDescent="0.25">
      <c r="I62" s="53"/>
      <c r="J62" s="110"/>
    </row>
    <row r="63" spans="1:10" x14ac:dyDescent="0.25">
      <c r="I63" s="53"/>
      <c r="J63" s="110"/>
    </row>
    <row r="64" spans="1:10" ht="16.5" customHeight="1" x14ac:dyDescent="0.25">
      <c r="I64" s="53"/>
      <c r="J64" s="110"/>
    </row>
    <row r="65" spans="9:10" x14ac:dyDescent="0.25">
      <c r="I65" s="53"/>
      <c r="J65" s="110"/>
    </row>
    <row r="66" spans="9:10" x14ac:dyDescent="0.25">
      <c r="I66" s="53"/>
      <c r="J66" s="110"/>
    </row>
    <row r="67" spans="9:10" x14ac:dyDescent="0.25">
      <c r="I67" s="19"/>
      <c r="J67" s="19"/>
    </row>
    <row r="68" spans="9:10" x14ac:dyDescent="0.25">
      <c r="I68" s="19"/>
      <c r="J68" s="19"/>
    </row>
    <row r="69" spans="9:10" x14ac:dyDescent="0.25">
      <c r="I69" s="53"/>
      <c r="J69" s="53"/>
    </row>
    <row r="70" spans="9:10" x14ac:dyDescent="0.25">
      <c r="I70" s="53"/>
      <c r="J70" s="53"/>
    </row>
    <row r="71" spans="9:10" x14ac:dyDescent="0.25">
      <c r="I71" s="53"/>
      <c r="J71" s="53"/>
    </row>
    <row r="72" spans="9:10" x14ac:dyDescent="0.25">
      <c r="I72" s="108"/>
      <c r="J72" s="98"/>
    </row>
    <row r="73" spans="9:10" x14ac:dyDescent="0.25">
      <c r="I73" s="108"/>
      <c r="J73" s="98"/>
    </row>
    <row r="74" spans="9:10" x14ac:dyDescent="0.25">
      <c r="I74" s="108"/>
      <c r="J74" s="98"/>
    </row>
    <row r="75" spans="9:10" x14ac:dyDescent="0.25">
      <c r="I75" s="108"/>
      <c r="J75" s="98"/>
    </row>
    <row r="76" spans="9:10" x14ac:dyDescent="0.25">
      <c r="I76" s="108"/>
      <c r="J76" s="98"/>
    </row>
    <row r="77" spans="9:10" x14ac:dyDescent="0.25">
      <c r="I77" s="108"/>
      <c r="J77" s="98"/>
    </row>
    <row r="78" spans="9:10" x14ac:dyDescent="0.25">
      <c r="I78" s="108"/>
      <c r="J78" s="98"/>
    </row>
    <row r="79" spans="9:10" x14ac:dyDescent="0.25">
      <c r="I79" s="108"/>
      <c r="J79" s="98"/>
    </row>
    <row r="80" spans="9:10" x14ac:dyDescent="0.25">
      <c r="I80" s="108"/>
      <c r="J80" s="98"/>
    </row>
    <row r="81" spans="9:10" x14ac:dyDescent="0.25">
      <c r="I81" s="108"/>
      <c r="J81" s="98"/>
    </row>
    <row r="82" spans="9:10" x14ac:dyDescent="0.25">
      <c r="I82" s="108"/>
      <c r="J82" s="98"/>
    </row>
    <row r="83" spans="9:10" x14ac:dyDescent="0.25">
      <c r="I83" s="108"/>
      <c r="J83" s="98"/>
    </row>
    <row r="84" spans="9:10" x14ac:dyDescent="0.25">
      <c r="I84" s="53"/>
      <c r="J84" s="53"/>
    </row>
    <row r="85" spans="9:10" x14ac:dyDescent="0.25">
      <c r="I85" s="53"/>
      <c r="J85" s="53"/>
    </row>
    <row r="86" spans="9:10" x14ac:dyDescent="0.25">
      <c r="I86" s="53"/>
      <c r="J86" s="53"/>
    </row>
    <row r="87" spans="9:10" x14ac:dyDescent="0.25">
      <c r="I87" s="53"/>
      <c r="J87" s="53"/>
    </row>
    <row r="88" spans="9:10" x14ac:dyDescent="0.25">
      <c r="I88" s="53"/>
      <c r="J88" s="53"/>
    </row>
    <row r="89" spans="9:10" x14ac:dyDescent="0.25">
      <c r="I89" s="53"/>
      <c r="J89" s="53"/>
    </row>
    <row r="90" spans="9:10" x14ac:dyDescent="0.25">
      <c r="I90" s="53"/>
      <c r="J90" s="53"/>
    </row>
    <row r="91" spans="9:10" x14ac:dyDescent="0.25">
      <c r="I91" s="53"/>
      <c r="J91" s="53"/>
    </row>
    <row r="92" spans="9:10" x14ac:dyDescent="0.25">
      <c r="I92" s="53"/>
      <c r="J92" s="53"/>
    </row>
    <row r="93" spans="9:10" x14ac:dyDescent="0.25">
      <c r="I93" s="53"/>
      <c r="J93" s="53"/>
    </row>
    <row r="94" spans="9:10" x14ac:dyDescent="0.25">
      <c r="I94" s="53"/>
      <c r="J94" s="53"/>
    </row>
    <row r="95" spans="9:10" x14ac:dyDescent="0.25">
      <c r="I95" s="53"/>
      <c r="J95" s="53"/>
    </row>
    <row r="96" spans="9:10" x14ac:dyDescent="0.25">
      <c r="I96" s="53"/>
      <c r="J96" s="53"/>
    </row>
    <row r="97" spans="9:10" ht="15" customHeight="1" x14ac:dyDescent="0.25">
      <c r="I97" s="53"/>
      <c r="J97" s="53"/>
    </row>
    <row r="98" spans="9:10" x14ac:dyDescent="0.25">
      <c r="I98" s="53"/>
      <c r="J98" s="53"/>
    </row>
    <row r="99" spans="9:10" x14ac:dyDescent="0.25">
      <c r="I99" s="53"/>
      <c r="J99" s="53"/>
    </row>
    <row r="100" spans="9:10" x14ac:dyDescent="0.25">
      <c r="I100" s="53"/>
      <c r="J100" s="53"/>
    </row>
    <row r="101" spans="9:10" x14ac:dyDescent="0.25">
      <c r="I101" s="53"/>
      <c r="J101" s="53"/>
    </row>
    <row r="102" spans="9:10" x14ac:dyDescent="0.25">
      <c r="I102" s="53"/>
      <c r="J102" s="53"/>
    </row>
    <row r="103" spans="9:10" x14ac:dyDescent="0.25">
      <c r="I103" s="53"/>
      <c r="J103" s="53"/>
    </row>
    <row r="104" spans="9:10" x14ac:dyDescent="0.25">
      <c r="I104" s="53"/>
      <c r="J104" s="53"/>
    </row>
    <row r="105" spans="9:10" x14ac:dyDescent="0.25">
      <c r="I105" s="53"/>
      <c r="J105" s="53"/>
    </row>
    <row r="106" spans="9:10" x14ac:dyDescent="0.25">
      <c r="I106" s="53"/>
      <c r="J106" s="53"/>
    </row>
    <row r="107" spans="9:10" x14ac:dyDescent="0.25">
      <c r="I107" s="53"/>
      <c r="J107" s="53"/>
    </row>
    <row r="108" spans="9:10" x14ac:dyDescent="0.25">
      <c r="I108" s="53"/>
      <c r="J108" s="53"/>
    </row>
    <row r="109" spans="9:10" x14ac:dyDescent="0.25">
      <c r="I109" s="53"/>
      <c r="J109" s="53"/>
    </row>
    <row r="110" spans="9:10" x14ac:dyDescent="0.25">
      <c r="I110" s="53"/>
      <c r="J110" s="53"/>
    </row>
    <row r="111" spans="9:10" x14ac:dyDescent="0.25">
      <c r="I111" s="53"/>
      <c r="J111" s="53"/>
    </row>
    <row r="112" spans="9:10" x14ac:dyDescent="0.25">
      <c r="I112" s="53"/>
      <c r="J112" s="53"/>
    </row>
    <row r="113" spans="9:10" x14ac:dyDescent="0.25">
      <c r="I113" s="53"/>
      <c r="J113" s="53"/>
    </row>
    <row r="114" spans="9:10" x14ac:dyDescent="0.25">
      <c r="I114" s="53"/>
      <c r="J114" s="53"/>
    </row>
    <row r="115" spans="9:10" x14ac:dyDescent="0.25">
      <c r="I115" s="53"/>
      <c r="J115" s="53"/>
    </row>
    <row r="116" spans="9:10" x14ac:dyDescent="0.25">
      <c r="I116" s="53"/>
      <c r="J116" s="53"/>
    </row>
    <row r="117" spans="9:10" x14ac:dyDescent="0.25">
      <c r="I117" s="53"/>
      <c r="J117" s="53"/>
    </row>
    <row r="118" spans="9:10" x14ac:dyDescent="0.25">
      <c r="I118" s="53"/>
      <c r="J118" s="53"/>
    </row>
    <row r="119" spans="9:10" x14ac:dyDescent="0.25">
      <c r="I119" s="53"/>
      <c r="J119" s="53"/>
    </row>
    <row r="120" spans="9:10" x14ac:dyDescent="0.25">
      <c r="I120" s="53"/>
      <c r="J120" s="53"/>
    </row>
    <row r="121" spans="9:10" x14ac:dyDescent="0.25">
      <c r="I121" s="53"/>
      <c r="J121" s="53"/>
    </row>
    <row r="122" spans="9:10" x14ac:dyDescent="0.25">
      <c r="I122" s="53"/>
      <c r="J122" s="53"/>
    </row>
    <row r="123" spans="9:10" x14ac:dyDescent="0.25">
      <c r="I123" s="53"/>
      <c r="J123" s="53"/>
    </row>
    <row r="124" spans="9:10" x14ac:dyDescent="0.25">
      <c r="I124" s="53"/>
      <c r="J124" s="53"/>
    </row>
    <row r="125" spans="9:10" x14ac:dyDescent="0.25">
      <c r="I125" s="53"/>
      <c r="J125" s="53"/>
    </row>
    <row r="126" spans="9:10" x14ac:dyDescent="0.25">
      <c r="I126" s="53"/>
      <c r="J126" s="53"/>
    </row>
    <row r="127" spans="9:10" x14ac:dyDescent="0.25">
      <c r="I127" s="53"/>
      <c r="J127" s="53"/>
    </row>
    <row r="128" spans="9:10" x14ac:dyDescent="0.25">
      <c r="I128" s="53"/>
      <c r="J128" s="53"/>
    </row>
    <row r="129" spans="8:11" x14ac:dyDescent="0.25">
      <c r="I129" s="53"/>
      <c r="J129" s="53"/>
    </row>
    <row r="130" spans="8:11" x14ac:dyDescent="0.25">
      <c r="K130" s="19"/>
    </row>
    <row r="131" spans="8:11" x14ac:dyDescent="0.25">
      <c r="K131" s="19"/>
    </row>
    <row r="132" spans="8:11" x14ac:dyDescent="0.25">
      <c r="K132" s="19"/>
    </row>
    <row r="133" spans="8:11" x14ac:dyDescent="0.25">
      <c r="K133" s="19"/>
    </row>
    <row r="134" spans="8:11" x14ac:dyDescent="0.25">
      <c r="K134" s="19"/>
    </row>
    <row r="135" spans="8:11" x14ac:dyDescent="0.25">
      <c r="K135" s="19"/>
    </row>
    <row r="136" spans="8:11" x14ac:dyDescent="0.25">
      <c r="K136" s="19"/>
    </row>
    <row r="137" spans="8:11" x14ac:dyDescent="0.25">
      <c r="K137" s="19"/>
    </row>
    <row r="138" spans="8:11" x14ac:dyDescent="0.25">
      <c r="K138" s="19"/>
    </row>
    <row r="144" spans="8:11" x14ac:dyDescent="0.25">
      <c r="H144" s="19"/>
    </row>
    <row r="145" spans="2:8" x14ac:dyDescent="0.25">
      <c r="B145" s="19"/>
      <c r="C145" s="53"/>
      <c r="D145" s="53"/>
      <c r="E145" s="19"/>
      <c r="F145" s="19"/>
      <c r="G145" s="19"/>
      <c r="H145" s="19"/>
    </row>
    <row r="146" spans="2:8" x14ac:dyDescent="0.25">
      <c r="B146" s="19"/>
      <c r="C146" s="55"/>
      <c r="D146" s="85"/>
      <c r="E146" s="90"/>
      <c r="F146" s="19"/>
      <c r="G146" s="19"/>
      <c r="H146" s="19"/>
    </row>
    <row r="147" spans="2:8" x14ac:dyDescent="0.25">
      <c r="B147" s="19"/>
      <c r="C147" s="55"/>
      <c r="D147" s="85"/>
      <c r="E147" s="90"/>
      <c r="F147" s="19"/>
      <c r="G147" s="19"/>
      <c r="H147" s="19"/>
    </row>
    <row r="148" spans="2:8" x14ac:dyDescent="0.25">
      <c r="B148" s="19"/>
      <c r="C148" s="55"/>
      <c r="D148" s="85"/>
      <c r="E148" s="90"/>
      <c r="F148" s="19"/>
      <c r="G148" s="19"/>
    </row>
  </sheetData>
  <mergeCells count="4">
    <mergeCell ref="D4:G5"/>
    <mergeCell ref="L4:O5"/>
    <mergeCell ref="E7:F7"/>
    <mergeCell ref="M7:N7"/>
  </mergeCells>
  <pageMargins left="0.75" right="0.75" top="1" bottom="1" header="0.5" footer="0.5"/>
  <pageSetup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6"/>
  <sheetViews>
    <sheetView view="pageBreakPreview" topLeftCell="A7" zoomScale="85" zoomScaleNormal="100" zoomScaleSheetLayoutView="85" workbookViewId="0">
      <selection sqref="A1:C1"/>
    </sheetView>
  </sheetViews>
  <sheetFormatPr defaultRowHeight="15.75" x14ac:dyDescent="0.25"/>
  <cols>
    <col min="1" max="1" width="4.28515625" style="2" customWidth="1"/>
    <col min="2" max="2" width="21.28515625" style="2" customWidth="1"/>
    <col min="3" max="3" width="4.7109375" style="2" customWidth="1"/>
    <col min="4" max="4" width="16.7109375" style="2" bestFit="1" customWidth="1"/>
    <col min="5" max="5" width="11.42578125" style="2" bestFit="1" customWidth="1"/>
    <col min="6" max="6" width="16" style="2" customWidth="1"/>
    <col min="7" max="7" width="2.7109375" style="2" customWidth="1"/>
    <col min="8" max="8" width="15.28515625" style="2" customWidth="1"/>
    <col min="9" max="9" width="3" style="2" customWidth="1"/>
    <col min="10" max="10" width="5.140625" style="2" customWidth="1"/>
    <col min="11" max="11" width="15.5703125" style="2" bestFit="1" customWidth="1"/>
    <col min="12" max="12" width="4.5703125" style="2" customWidth="1"/>
    <col min="13" max="13" width="13.7109375" style="2" bestFit="1" customWidth="1"/>
    <col min="14" max="14" width="11.42578125" style="2" bestFit="1" customWidth="1"/>
    <col min="15" max="15" width="10.85546875" style="2" bestFit="1" customWidth="1"/>
    <col min="16" max="16" width="9" style="2" customWidth="1"/>
    <col min="17" max="17" width="16.7109375" style="2" bestFit="1" customWidth="1"/>
    <col min="18" max="18" width="6.7109375" style="2" customWidth="1"/>
    <col min="19" max="19" width="27.5703125" style="2" customWidth="1"/>
    <col min="20" max="20" width="11.7109375" style="2" customWidth="1"/>
    <col min="21" max="21" width="13" style="2" customWidth="1"/>
    <col min="22" max="22" width="10.5703125" style="2" customWidth="1"/>
    <col min="23" max="23" width="2.7109375" style="2" customWidth="1"/>
    <col min="24" max="24" width="16.7109375" style="2" customWidth="1"/>
    <col min="25" max="25" width="9.140625" style="2"/>
    <col min="26" max="27" width="6.7109375" style="2" customWidth="1"/>
    <col min="28" max="28" width="27.5703125" style="2" customWidth="1"/>
    <col min="29" max="29" width="11.7109375" style="2" customWidth="1"/>
    <col min="30" max="30" width="13" style="2" customWidth="1"/>
    <col min="31" max="31" width="10.5703125" style="2" customWidth="1"/>
    <col min="32" max="32" width="2.7109375" style="2" customWidth="1"/>
    <col min="33" max="33" width="16.7109375" style="2" customWidth="1"/>
    <col min="34" max="16384" width="9.140625" style="2"/>
  </cols>
  <sheetData>
    <row r="1" spans="1:33" x14ac:dyDescent="0.25">
      <c r="A1" s="1" t="s">
        <v>100</v>
      </c>
      <c r="B1" s="34"/>
      <c r="C1" s="34"/>
      <c r="D1" s="34"/>
      <c r="E1" s="34"/>
      <c r="F1" s="34"/>
      <c r="G1" s="34"/>
      <c r="H1" s="34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19"/>
      <c r="Z1" s="48"/>
      <c r="AA1" s="48"/>
      <c r="AB1" s="48"/>
      <c r="AC1" s="48"/>
      <c r="AD1" s="48"/>
      <c r="AE1" s="48"/>
      <c r="AF1" s="48"/>
      <c r="AG1" s="48"/>
    </row>
    <row r="2" spans="1:33" x14ac:dyDescent="0.25">
      <c r="A2" s="34" t="str">
        <f>'Present and Proposed Rates'!A32</f>
        <v>Private Outdoor Lighting</v>
      </c>
      <c r="B2" s="34"/>
      <c r="C2" s="34"/>
      <c r="D2" s="34"/>
      <c r="E2" s="34"/>
      <c r="F2" s="34"/>
      <c r="G2" s="34"/>
      <c r="H2" s="34"/>
      <c r="I2" s="48"/>
      <c r="J2" s="48"/>
      <c r="K2" s="48"/>
      <c r="L2" s="48"/>
      <c r="M2" s="48"/>
      <c r="N2" s="48"/>
      <c r="O2" s="386"/>
      <c r="P2" s="48"/>
      <c r="Q2" s="48"/>
      <c r="R2" s="48"/>
      <c r="S2" s="48"/>
      <c r="T2" s="48"/>
      <c r="U2" s="48"/>
      <c r="V2" s="48"/>
      <c r="W2" s="48"/>
      <c r="X2" s="48"/>
      <c r="Y2" s="19"/>
      <c r="Z2" s="48"/>
      <c r="AA2" s="48"/>
      <c r="AB2" s="48"/>
      <c r="AC2" s="48"/>
      <c r="AD2" s="48"/>
      <c r="AE2" s="48"/>
      <c r="AF2" s="48"/>
      <c r="AG2" s="48"/>
    </row>
    <row r="3" spans="1:33" ht="16.5" thickBot="1" x14ac:dyDescent="0.3">
      <c r="A3" s="34">
        <f>'Present and Proposed Rates'!B32</f>
        <v>5</v>
      </c>
      <c r="B3" s="34"/>
      <c r="C3" s="34"/>
      <c r="D3" s="34"/>
      <c r="E3" s="34"/>
      <c r="F3" s="34"/>
      <c r="G3" s="34"/>
      <c r="H3" s="34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19"/>
      <c r="Z3" s="48"/>
      <c r="AA3" s="48"/>
      <c r="AB3" s="48"/>
      <c r="AC3" s="48"/>
      <c r="AD3" s="48"/>
      <c r="AE3" s="48"/>
      <c r="AF3" s="48"/>
      <c r="AG3" s="48"/>
    </row>
    <row r="4" spans="1:33" x14ac:dyDescent="0.25">
      <c r="A4" s="34"/>
      <c r="B4" s="34"/>
      <c r="C4" s="34"/>
      <c r="D4" s="34"/>
      <c r="E4" s="401" t="s">
        <v>32</v>
      </c>
      <c r="F4" s="402"/>
      <c r="G4" s="402"/>
      <c r="H4" s="403"/>
      <c r="I4" s="234"/>
      <c r="J4" s="34"/>
      <c r="K4" s="34"/>
      <c r="L4" s="34"/>
      <c r="M4" s="34"/>
      <c r="N4" s="401" t="s">
        <v>98</v>
      </c>
      <c r="O4" s="402"/>
      <c r="P4" s="402"/>
      <c r="Q4" s="403"/>
      <c r="R4" s="34"/>
      <c r="S4" s="34"/>
      <c r="T4" s="48"/>
      <c r="U4" s="406"/>
      <c r="V4" s="406"/>
      <c r="W4" s="406"/>
      <c r="X4" s="406"/>
      <c r="Y4" s="19"/>
      <c r="Z4" s="48"/>
      <c r="AA4" s="48"/>
      <c r="AB4" s="48"/>
      <c r="AC4" s="48"/>
      <c r="AD4" s="406"/>
      <c r="AE4" s="406"/>
      <c r="AF4" s="406"/>
      <c r="AG4" s="406"/>
    </row>
    <row r="5" spans="1:33" ht="16.5" thickBot="1" x14ac:dyDescent="0.3">
      <c r="A5" s="34"/>
      <c r="B5" s="34"/>
      <c r="C5" s="34"/>
      <c r="D5" s="34"/>
      <c r="E5" s="404"/>
      <c r="F5" s="400"/>
      <c r="G5" s="400"/>
      <c r="H5" s="405"/>
      <c r="I5" s="223"/>
      <c r="J5" s="19"/>
      <c r="K5" s="19"/>
      <c r="L5" s="19"/>
      <c r="M5" s="19"/>
      <c r="N5" s="404"/>
      <c r="O5" s="400"/>
      <c r="P5" s="400"/>
      <c r="Q5" s="405"/>
      <c r="R5" s="19"/>
      <c r="S5" s="19"/>
      <c r="T5" s="381"/>
      <c r="U5" s="406"/>
      <c r="V5" s="406"/>
      <c r="W5" s="406"/>
      <c r="X5" s="406"/>
      <c r="Y5" s="19"/>
      <c r="Z5" s="381"/>
      <c r="AA5" s="381"/>
      <c r="AB5" s="381"/>
      <c r="AC5" s="381"/>
      <c r="AD5" s="406"/>
      <c r="AE5" s="406"/>
      <c r="AF5" s="406"/>
      <c r="AG5" s="406"/>
    </row>
    <row r="6" spans="1:33" x14ac:dyDescent="0.25">
      <c r="A6" s="34"/>
      <c r="B6" s="34"/>
      <c r="C6" s="34"/>
      <c r="D6" s="34"/>
      <c r="E6" s="61" t="s">
        <v>1</v>
      </c>
      <c r="F6" s="61"/>
      <c r="G6" s="61"/>
      <c r="H6" s="61" t="s">
        <v>2</v>
      </c>
      <c r="I6" s="235"/>
      <c r="J6" s="34"/>
      <c r="K6" s="34"/>
      <c r="L6" s="34"/>
      <c r="M6" s="34"/>
      <c r="N6" s="61" t="s">
        <v>1</v>
      </c>
      <c r="O6" s="61"/>
      <c r="P6" s="61"/>
      <c r="Q6" s="61" t="s">
        <v>2</v>
      </c>
      <c r="R6" s="102"/>
      <c r="S6" s="102"/>
      <c r="T6" s="124"/>
      <c r="U6" s="124"/>
      <c r="V6" s="124"/>
      <c r="W6" s="124"/>
      <c r="X6" s="124"/>
      <c r="Y6" s="19"/>
      <c r="Z6" s="124"/>
      <c r="AA6" s="124"/>
      <c r="AB6" s="124"/>
      <c r="AC6" s="124"/>
      <c r="AD6" s="124"/>
      <c r="AE6" s="124"/>
      <c r="AF6" s="124"/>
      <c r="AG6" s="124"/>
    </row>
    <row r="7" spans="1:33" ht="16.5" thickBot="1" x14ac:dyDescent="0.3">
      <c r="A7" s="62" t="s">
        <v>3</v>
      </c>
      <c r="B7" s="63"/>
      <c r="C7" s="63"/>
      <c r="D7" s="63"/>
      <c r="E7" s="64" t="s">
        <v>4</v>
      </c>
      <c r="F7" s="398" t="s">
        <v>5</v>
      </c>
      <c r="G7" s="398"/>
      <c r="H7" s="64" t="s">
        <v>6</v>
      </c>
      <c r="I7" s="235"/>
      <c r="J7" s="62" t="s">
        <v>3</v>
      </c>
      <c r="K7" s="63"/>
      <c r="L7" s="63"/>
      <c r="M7" s="63"/>
      <c r="N7" s="64" t="s">
        <v>4</v>
      </c>
      <c r="O7" s="398" t="s">
        <v>5</v>
      </c>
      <c r="P7" s="398"/>
      <c r="Q7" s="64" t="s">
        <v>6</v>
      </c>
      <c r="R7" s="102"/>
      <c r="S7" s="102"/>
      <c r="T7" s="124"/>
      <c r="U7" s="124"/>
      <c r="V7" s="407"/>
      <c r="W7" s="407"/>
      <c r="X7" s="124"/>
      <c r="Y7" s="19"/>
      <c r="Z7" s="124"/>
      <c r="AA7" s="124"/>
      <c r="AB7" s="124"/>
      <c r="AC7" s="124"/>
      <c r="AD7" s="124"/>
      <c r="AE7" s="407"/>
      <c r="AF7" s="407"/>
      <c r="AG7" s="124"/>
    </row>
    <row r="8" spans="1:33" x14ac:dyDescent="0.25">
      <c r="A8" s="34"/>
      <c r="B8" s="34"/>
      <c r="C8" s="34"/>
      <c r="D8" s="34"/>
      <c r="E8" s="34"/>
      <c r="F8" s="34"/>
      <c r="G8" s="34"/>
      <c r="H8" s="34"/>
      <c r="I8" s="234"/>
      <c r="J8" s="102"/>
      <c r="K8" s="102"/>
      <c r="L8" s="102"/>
      <c r="N8" s="102"/>
      <c r="O8" s="102"/>
      <c r="P8" s="102"/>
      <c r="Q8" s="102"/>
      <c r="R8" s="102"/>
      <c r="S8" s="102"/>
      <c r="T8" s="48"/>
      <c r="U8" s="48"/>
      <c r="V8" s="48"/>
      <c r="W8" s="48"/>
      <c r="X8" s="48"/>
      <c r="Y8" s="19"/>
      <c r="Z8" s="48"/>
      <c r="AA8" s="48"/>
      <c r="AB8" s="48"/>
      <c r="AC8" s="48"/>
      <c r="AD8" s="48"/>
      <c r="AE8" s="48"/>
      <c r="AF8" s="48"/>
      <c r="AG8" s="48"/>
    </row>
    <row r="9" spans="1:33" x14ac:dyDescent="0.25">
      <c r="A9" s="34"/>
      <c r="B9" s="34"/>
      <c r="C9" s="34"/>
      <c r="D9" s="34"/>
      <c r="E9" s="34"/>
      <c r="F9" s="34"/>
      <c r="G9" s="34"/>
      <c r="H9" s="34"/>
      <c r="I9" s="234"/>
      <c r="J9" s="102"/>
      <c r="K9" s="102"/>
      <c r="L9" s="102"/>
      <c r="N9" s="102"/>
      <c r="O9" s="102"/>
      <c r="P9" s="102"/>
      <c r="Q9" s="102"/>
      <c r="R9" s="102"/>
      <c r="S9" s="102"/>
      <c r="T9" s="48"/>
      <c r="U9" s="48"/>
      <c r="V9" s="48"/>
      <c r="W9" s="48"/>
      <c r="X9" s="78"/>
      <c r="Y9" s="19"/>
      <c r="Z9" s="48"/>
      <c r="AA9" s="48"/>
      <c r="AB9" s="48"/>
      <c r="AC9" s="48"/>
      <c r="AD9" s="48"/>
      <c r="AE9" s="48"/>
      <c r="AF9" s="48"/>
      <c r="AG9" s="78"/>
    </row>
    <row r="10" spans="1:33" x14ac:dyDescent="0.25">
      <c r="A10" s="34"/>
      <c r="B10" s="34"/>
      <c r="C10" s="34"/>
      <c r="D10" s="34"/>
      <c r="E10" s="217" t="s">
        <v>168</v>
      </c>
      <c r="F10" s="34"/>
      <c r="G10" s="34"/>
      <c r="H10" s="58"/>
      <c r="I10" s="234"/>
      <c r="J10" s="102"/>
      <c r="K10" s="102"/>
      <c r="L10" s="102"/>
      <c r="N10" s="102"/>
      <c r="O10" s="102"/>
      <c r="P10" s="102"/>
      <c r="Q10" s="102"/>
      <c r="R10" s="102"/>
      <c r="S10" s="102"/>
      <c r="T10" s="48"/>
      <c r="U10" s="125"/>
      <c r="V10" s="48"/>
      <c r="W10" s="48"/>
      <c r="X10" s="69"/>
      <c r="Y10" s="19"/>
      <c r="Z10" s="48"/>
      <c r="AA10" s="48"/>
      <c r="AB10" s="48"/>
      <c r="AC10" s="48"/>
      <c r="AD10" s="125"/>
      <c r="AE10" s="48"/>
      <c r="AF10" s="48"/>
      <c r="AG10" s="69"/>
    </row>
    <row r="11" spans="1:33" x14ac:dyDescent="0.25">
      <c r="A11" s="59" t="s">
        <v>26</v>
      </c>
      <c r="B11" s="34"/>
      <c r="C11" s="34"/>
      <c r="D11" s="34"/>
      <c r="E11" s="217" t="s">
        <v>144</v>
      </c>
      <c r="F11" s="34"/>
      <c r="G11" s="34"/>
      <c r="H11" s="217" t="s">
        <v>145</v>
      </c>
      <c r="I11" s="234"/>
      <c r="J11" s="59" t="s">
        <v>26</v>
      </c>
      <c r="K11" s="34"/>
      <c r="L11" s="34"/>
      <c r="M11" s="34"/>
      <c r="N11" s="217" t="s">
        <v>144</v>
      </c>
      <c r="O11" s="34"/>
      <c r="P11" s="34"/>
      <c r="Q11" s="217" t="s">
        <v>145</v>
      </c>
      <c r="R11" s="89"/>
      <c r="S11" s="89"/>
      <c r="T11" s="48"/>
      <c r="U11" s="125"/>
      <c r="V11" s="48"/>
      <c r="W11" s="48"/>
      <c r="X11" s="126"/>
      <c r="Y11" s="19"/>
      <c r="Z11" s="127"/>
      <c r="AA11" s="48"/>
      <c r="AB11" s="48"/>
      <c r="AC11" s="48"/>
      <c r="AD11" s="125"/>
      <c r="AE11" s="48"/>
      <c r="AF11" s="48"/>
      <c r="AG11" s="126"/>
    </row>
    <row r="12" spans="1:33" x14ac:dyDescent="0.25">
      <c r="A12" s="34"/>
      <c r="B12" s="34"/>
      <c r="C12" s="34"/>
      <c r="D12" s="67" t="s">
        <v>21</v>
      </c>
      <c r="E12" s="192" t="s">
        <v>16</v>
      </c>
      <c r="F12" s="193" t="s">
        <v>17</v>
      </c>
      <c r="G12" s="34"/>
      <c r="H12" s="192" t="s">
        <v>6</v>
      </c>
      <c r="I12" s="234"/>
      <c r="J12" s="34"/>
      <c r="K12" s="34"/>
      <c r="L12" s="34"/>
      <c r="M12" s="67" t="s">
        <v>21</v>
      </c>
      <c r="N12" s="192" t="s">
        <v>16</v>
      </c>
      <c r="O12" s="193" t="s">
        <v>17</v>
      </c>
      <c r="P12" s="34"/>
      <c r="Q12" s="192" t="s">
        <v>6</v>
      </c>
      <c r="S12" s="89"/>
      <c r="T12" s="111"/>
      <c r="U12" s="128"/>
      <c r="V12" s="129"/>
      <c r="W12" s="48"/>
      <c r="X12" s="126"/>
      <c r="Y12" s="19"/>
      <c r="Z12" s="48"/>
      <c r="AA12" s="48"/>
      <c r="AB12" s="48"/>
      <c r="AC12" s="111"/>
      <c r="AD12" s="128"/>
      <c r="AE12" s="129"/>
      <c r="AF12" s="48"/>
      <c r="AG12" s="126"/>
    </row>
    <row r="13" spans="1:33" x14ac:dyDescent="0.25">
      <c r="A13" s="34"/>
      <c r="B13" s="34"/>
      <c r="C13" s="34"/>
      <c r="D13" s="101"/>
      <c r="E13" s="68"/>
      <c r="F13" s="113"/>
      <c r="G13" s="34"/>
      <c r="H13" s="69"/>
      <c r="I13" s="234"/>
      <c r="J13" s="34"/>
      <c r="K13" s="34"/>
      <c r="L13" s="34"/>
      <c r="M13" s="101"/>
      <c r="N13" s="68"/>
      <c r="O13" s="113"/>
      <c r="P13" s="34"/>
      <c r="Q13" s="69"/>
      <c r="S13" s="89"/>
      <c r="T13" s="125"/>
      <c r="U13" s="70"/>
      <c r="V13" s="130"/>
      <c r="W13" s="48"/>
      <c r="X13" s="69"/>
      <c r="Y13" s="19"/>
      <c r="Z13" s="48"/>
      <c r="AA13" s="48"/>
      <c r="AB13" s="48"/>
      <c r="AC13" s="125"/>
      <c r="AD13" s="70"/>
      <c r="AE13" s="130"/>
      <c r="AF13" s="48"/>
      <c r="AG13" s="69"/>
    </row>
    <row r="14" spans="1:33" x14ac:dyDescent="0.25">
      <c r="A14" s="34"/>
      <c r="B14" s="34" t="s">
        <v>116</v>
      </c>
      <c r="C14" s="34"/>
      <c r="D14" s="365"/>
      <c r="E14" s="68">
        <f>BillDetLt!Q7</f>
        <v>9011.9166666666661</v>
      </c>
      <c r="F14" s="112">
        <f>'Present and Proposed Rates'!F32</f>
        <v>10.93</v>
      </c>
      <c r="G14" s="34"/>
      <c r="H14" s="87">
        <f>E14*F14*12</f>
        <v>1182002.99</v>
      </c>
      <c r="I14" s="234"/>
      <c r="J14" s="34"/>
      <c r="K14" s="34" t="s">
        <v>116</v>
      </c>
      <c r="L14" s="34"/>
      <c r="M14" s="365"/>
      <c r="N14" s="68">
        <f>E14</f>
        <v>9011.9166666666661</v>
      </c>
      <c r="O14" s="112">
        <f>'Present and Proposed Rates'!G32</f>
        <v>10.93</v>
      </c>
      <c r="P14" s="34"/>
      <c r="Q14" s="87">
        <f>N14*O14*12</f>
        <v>1182002.99</v>
      </c>
      <c r="S14" s="89"/>
      <c r="T14" s="125"/>
      <c r="U14" s="70"/>
      <c r="V14" s="130"/>
      <c r="W14" s="48"/>
      <c r="X14" s="69"/>
      <c r="Y14" s="19"/>
      <c r="Z14" s="48"/>
      <c r="AA14" s="48"/>
      <c r="AB14" s="48"/>
      <c r="AC14" s="125"/>
      <c r="AD14" s="70"/>
      <c r="AE14" s="130"/>
      <c r="AF14" s="48"/>
      <c r="AG14" s="69"/>
    </row>
    <row r="15" spans="1:33" x14ac:dyDescent="0.25">
      <c r="A15" s="34"/>
      <c r="B15" s="34" t="s">
        <v>117</v>
      </c>
      <c r="C15" s="34"/>
      <c r="D15" s="365"/>
      <c r="E15" s="68">
        <f>BillDetLt!Q9</f>
        <v>67.166666666666671</v>
      </c>
      <c r="F15" s="112">
        <f>'Present and Proposed Rates'!F33</f>
        <v>4.7699999999999996</v>
      </c>
      <c r="G15" s="34"/>
      <c r="H15" s="87">
        <f>E15*F15*12</f>
        <v>3844.62</v>
      </c>
      <c r="I15" s="234"/>
      <c r="J15" s="34"/>
      <c r="K15" s="34" t="s">
        <v>117</v>
      </c>
      <c r="L15" s="34"/>
      <c r="M15" s="365"/>
      <c r="N15" s="68">
        <f>E15</f>
        <v>67.166666666666671</v>
      </c>
      <c r="O15" s="112">
        <f>'Present and Proposed Rates'!G33</f>
        <v>4.7699999999999996</v>
      </c>
      <c r="P15" s="34"/>
      <c r="Q15" s="87">
        <f>N15*O15*12</f>
        <v>3844.62</v>
      </c>
      <c r="S15" s="89"/>
      <c r="T15" s="125"/>
      <c r="U15" s="70"/>
      <c r="V15" s="130"/>
      <c r="W15" s="48"/>
      <c r="X15" s="69"/>
      <c r="Y15" s="19"/>
      <c r="Z15" s="48"/>
      <c r="AA15" s="48"/>
      <c r="AB15" s="48"/>
      <c r="AC15" s="125"/>
      <c r="AD15" s="70"/>
      <c r="AE15" s="130"/>
      <c r="AF15" s="48"/>
      <c r="AG15" s="69"/>
    </row>
    <row r="16" spans="1:33" x14ac:dyDescent="0.25">
      <c r="A16" s="34"/>
      <c r="B16" s="34" t="s">
        <v>118</v>
      </c>
      <c r="C16" s="34"/>
      <c r="D16" s="365"/>
      <c r="E16" s="68">
        <f>BillDetLt!Q8</f>
        <v>1142.1666666666667</v>
      </c>
      <c r="F16" s="112">
        <f>'Present and Proposed Rates'!F34</f>
        <v>16.420000000000002</v>
      </c>
      <c r="G16" s="34"/>
      <c r="H16" s="87">
        <f>E16*F16*12</f>
        <v>225052.52000000005</v>
      </c>
      <c r="I16" s="234"/>
      <c r="J16" s="34"/>
      <c r="K16" s="34" t="s">
        <v>118</v>
      </c>
      <c r="L16" s="34"/>
      <c r="M16" s="365"/>
      <c r="N16" s="68">
        <f>E16</f>
        <v>1142.1666666666667</v>
      </c>
      <c r="O16" s="112">
        <f>'Present and Proposed Rates'!G34</f>
        <v>16.420000000000002</v>
      </c>
      <c r="P16" s="34"/>
      <c r="Q16" s="87">
        <f>N16*O16*12</f>
        <v>225052.52000000005</v>
      </c>
      <c r="R16" s="48"/>
      <c r="S16" s="89"/>
      <c r="T16" s="125"/>
      <c r="U16" s="70"/>
      <c r="V16" s="130"/>
      <c r="W16" s="48"/>
      <c r="X16" s="69"/>
      <c r="Y16" s="19"/>
      <c r="Z16" s="48"/>
      <c r="AA16" s="48"/>
      <c r="AB16" s="48"/>
      <c r="AC16" s="125"/>
      <c r="AD16" s="70"/>
      <c r="AE16" s="130"/>
      <c r="AF16" s="48"/>
      <c r="AG16" s="69"/>
    </row>
    <row r="17" spans="1:33" x14ac:dyDescent="0.25">
      <c r="A17" s="34"/>
      <c r="B17" s="34" t="s">
        <v>119</v>
      </c>
      <c r="C17" s="34"/>
      <c r="D17" s="365"/>
      <c r="E17" s="68">
        <f>BillDetLt!Q10</f>
        <v>147.58333333333334</v>
      </c>
      <c r="F17" s="112">
        <f>'Present and Proposed Rates'!F35</f>
        <v>4.7699999999999996</v>
      </c>
      <c r="G17" s="34"/>
      <c r="H17" s="87">
        <f>E17*F17*12</f>
        <v>8447.67</v>
      </c>
      <c r="I17" s="234"/>
      <c r="J17" s="34"/>
      <c r="K17" s="34" t="s">
        <v>119</v>
      </c>
      <c r="L17" s="34"/>
      <c r="M17" s="365"/>
      <c r="N17" s="68">
        <f>E17</f>
        <v>147.58333333333334</v>
      </c>
      <c r="O17" s="112">
        <f>'Present and Proposed Rates'!G35</f>
        <v>4.7699999999999996</v>
      </c>
      <c r="P17" s="34"/>
      <c r="Q17" s="87">
        <f>N17*O17*12</f>
        <v>8447.67</v>
      </c>
      <c r="R17" s="48"/>
      <c r="S17" s="89"/>
      <c r="T17" s="125"/>
      <c r="U17" s="70"/>
      <c r="V17" s="130"/>
      <c r="W17" s="48"/>
      <c r="X17" s="69"/>
      <c r="Y17" s="19"/>
      <c r="Z17" s="48"/>
      <c r="AA17" s="48"/>
      <c r="AB17" s="48"/>
      <c r="AC17" s="125"/>
      <c r="AD17" s="70"/>
      <c r="AE17" s="130"/>
      <c r="AF17" s="48"/>
      <c r="AG17" s="69"/>
    </row>
    <row r="18" spans="1:33" x14ac:dyDescent="0.25">
      <c r="A18" s="34"/>
      <c r="B18" s="71"/>
      <c r="C18" s="71"/>
      <c r="D18" s="72"/>
      <c r="E18" s="72"/>
      <c r="F18" s="73"/>
      <c r="G18" s="34"/>
      <c r="H18" s="79"/>
      <c r="I18" s="234"/>
      <c r="J18" s="34"/>
      <c r="K18" s="71"/>
      <c r="L18" s="71"/>
      <c r="M18" s="72"/>
      <c r="N18" s="72"/>
      <c r="O18" s="73"/>
      <c r="P18" s="34"/>
      <c r="Q18" s="79"/>
      <c r="R18" s="48"/>
      <c r="S18" s="89"/>
      <c r="T18" s="125"/>
      <c r="U18" s="125"/>
      <c r="V18" s="130"/>
      <c r="W18" s="48"/>
      <c r="X18" s="69"/>
      <c r="Y18" s="19"/>
      <c r="Z18" s="48"/>
      <c r="AA18" s="48"/>
      <c r="AB18" s="48"/>
      <c r="AC18" s="125"/>
      <c r="AD18" s="125"/>
      <c r="AE18" s="130"/>
      <c r="AF18" s="48"/>
      <c r="AG18" s="69"/>
    </row>
    <row r="19" spans="1:33" x14ac:dyDescent="0.25">
      <c r="A19" s="34"/>
      <c r="B19" s="59" t="s">
        <v>86</v>
      </c>
      <c r="C19" s="34"/>
      <c r="D19" s="75">
        <v>9737149</v>
      </c>
      <c r="E19" s="75">
        <f>SUM(E14:E17)</f>
        <v>10368.833333333332</v>
      </c>
      <c r="F19" s="76"/>
      <c r="G19" s="34"/>
      <c r="H19" s="141">
        <f>SUM(H14:H17)</f>
        <v>1419347.8</v>
      </c>
      <c r="I19" s="236"/>
      <c r="J19" s="34"/>
      <c r="K19" s="59" t="s">
        <v>86</v>
      </c>
      <c r="L19" s="34"/>
      <c r="M19" s="75">
        <f>D19</f>
        <v>9737149</v>
      </c>
      <c r="N19" s="75">
        <f>SUM(N14:N17)</f>
        <v>10368.833333333332</v>
      </c>
      <c r="O19" s="76"/>
      <c r="P19" s="34"/>
      <c r="Q19" s="141">
        <f>SUM(Q14:Q17)</f>
        <v>1419347.8</v>
      </c>
      <c r="R19" s="131"/>
      <c r="S19" s="48"/>
      <c r="T19" s="132"/>
      <c r="U19" s="125"/>
      <c r="V19" s="92"/>
      <c r="W19" s="48"/>
      <c r="X19" s="69"/>
      <c r="Y19" s="19"/>
      <c r="Z19" s="48"/>
      <c r="AA19" s="131"/>
      <c r="AB19" s="48"/>
      <c r="AC19" s="132"/>
      <c r="AD19" s="125"/>
      <c r="AE19" s="92"/>
      <c r="AF19" s="48"/>
      <c r="AG19" s="69"/>
    </row>
    <row r="20" spans="1:33" x14ac:dyDescent="0.25">
      <c r="A20" s="34"/>
      <c r="B20" s="74"/>
      <c r="C20" s="34"/>
      <c r="D20" s="75"/>
      <c r="E20" s="68"/>
      <c r="F20" s="76"/>
      <c r="G20" s="34"/>
      <c r="H20" s="69"/>
      <c r="I20" s="236"/>
      <c r="J20" s="34"/>
      <c r="K20" s="74"/>
      <c r="L20" s="34"/>
      <c r="M20" s="75"/>
      <c r="N20" s="68"/>
      <c r="O20" s="76"/>
      <c r="P20" s="34"/>
      <c r="Q20" s="69"/>
      <c r="R20" s="131"/>
      <c r="S20" s="48"/>
      <c r="T20" s="132"/>
      <c r="U20" s="125"/>
      <c r="V20" s="92"/>
      <c r="W20" s="48"/>
      <c r="X20" s="69"/>
      <c r="Y20" s="19"/>
      <c r="Z20" s="48"/>
      <c r="AA20" s="131"/>
      <c r="AB20" s="48"/>
      <c r="AC20" s="132"/>
      <c r="AD20" s="125"/>
      <c r="AE20" s="92"/>
      <c r="AF20" s="48"/>
      <c r="AG20" s="69"/>
    </row>
    <row r="21" spans="1:33" x14ac:dyDescent="0.25">
      <c r="A21" s="34"/>
      <c r="B21" s="34"/>
      <c r="C21" s="34"/>
      <c r="D21" s="34"/>
      <c r="E21" s="65"/>
      <c r="F21" s="34"/>
      <c r="G21" s="34"/>
      <c r="H21" s="66"/>
      <c r="I21" s="234"/>
      <c r="J21" s="34"/>
      <c r="K21" s="34"/>
      <c r="L21" s="34"/>
      <c r="M21" s="34"/>
      <c r="N21" s="65"/>
      <c r="O21" s="34"/>
      <c r="P21" s="34"/>
      <c r="Q21" s="66"/>
      <c r="R21" s="48"/>
      <c r="S21" s="48"/>
      <c r="T21" s="48"/>
      <c r="U21" s="125"/>
      <c r="V21" s="48"/>
      <c r="W21" s="48"/>
      <c r="X21" s="69"/>
      <c r="Y21" s="19"/>
      <c r="Z21" s="48"/>
      <c r="AA21" s="48"/>
      <c r="AB21" s="48"/>
      <c r="AC21" s="48"/>
      <c r="AD21" s="125"/>
      <c r="AE21" s="48"/>
      <c r="AF21" s="48"/>
      <c r="AG21" s="69"/>
    </row>
    <row r="22" spans="1:33" ht="16.5" thickBot="1" x14ac:dyDescent="0.3">
      <c r="A22" s="59" t="s">
        <v>86</v>
      </c>
      <c r="B22" s="34"/>
      <c r="C22" s="34"/>
      <c r="D22" s="75"/>
      <c r="E22" s="34"/>
      <c r="F22" s="34"/>
      <c r="G22" s="34"/>
      <c r="H22" s="96">
        <f>H19+K21</f>
        <v>1419347.8</v>
      </c>
      <c r="I22" s="234"/>
      <c r="J22" s="1" t="s">
        <v>82</v>
      </c>
      <c r="L22" s="34"/>
      <c r="M22" s="75"/>
      <c r="N22" s="34"/>
      <c r="O22" s="34"/>
      <c r="P22" s="34"/>
      <c r="Q22" s="96">
        <f>Q19+T21</f>
        <v>1419347.8</v>
      </c>
      <c r="R22" s="48"/>
      <c r="S22" s="48"/>
      <c r="T22" s="69"/>
      <c r="U22" s="48"/>
      <c r="V22" s="48"/>
      <c r="W22" s="48"/>
      <c r="X22" s="87"/>
      <c r="Y22" s="19"/>
      <c r="Z22" s="127"/>
      <c r="AA22" s="48"/>
      <c r="AB22" s="48"/>
      <c r="AC22" s="48"/>
      <c r="AD22" s="48"/>
      <c r="AE22" s="48"/>
      <c r="AF22" s="48"/>
      <c r="AG22" s="87"/>
    </row>
    <row r="23" spans="1:33" ht="16.5" thickTop="1" x14ac:dyDescent="0.25">
      <c r="A23" s="59"/>
      <c r="B23" s="34"/>
      <c r="C23" s="34"/>
      <c r="D23" s="34"/>
      <c r="E23" s="34"/>
      <c r="F23" s="34"/>
      <c r="G23" s="34"/>
      <c r="H23" s="69"/>
      <c r="I23" s="234"/>
      <c r="J23" s="1"/>
      <c r="K23" s="1"/>
      <c r="L23" s="34"/>
      <c r="M23" s="34"/>
      <c r="N23" s="34"/>
      <c r="O23" s="34"/>
      <c r="P23" s="34"/>
      <c r="Q23" s="69"/>
      <c r="R23" s="48"/>
      <c r="S23" s="48"/>
      <c r="T23" s="48"/>
      <c r="U23" s="48"/>
      <c r="V23" s="48"/>
      <c r="W23" s="48"/>
      <c r="X23" s="69"/>
      <c r="Y23" s="19"/>
      <c r="Z23" s="127"/>
      <c r="AA23" s="48"/>
      <c r="AB23" s="48"/>
      <c r="AC23" s="48"/>
      <c r="AD23" s="48"/>
      <c r="AE23" s="48"/>
      <c r="AF23" s="48"/>
      <c r="AG23" s="69"/>
    </row>
    <row r="24" spans="1:33" x14ac:dyDescent="0.25">
      <c r="A24" s="44" t="s">
        <v>19</v>
      </c>
      <c r="B24" s="34"/>
      <c r="C24" s="34"/>
      <c r="D24" s="34"/>
      <c r="E24" s="70"/>
      <c r="F24" s="34"/>
      <c r="G24" s="34"/>
      <c r="H24" s="66">
        <f>BillDet!G66</f>
        <v>1441817.1199999999</v>
      </c>
      <c r="I24" s="234"/>
      <c r="J24" s="127" t="s">
        <v>87</v>
      </c>
      <c r="K24" s="10"/>
      <c r="L24" s="34"/>
      <c r="M24" s="34"/>
      <c r="N24" s="70"/>
      <c r="O24" s="34"/>
      <c r="P24" s="34"/>
      <c r="Q24" s="66">
        <f>Q22-H22</f>
        <v>0</v>
      </c>
      <c r="R24" s="48"/>
      <c r="S24" s="48"/>
      <c r="T24" s="48"/>
      <c r="U24" s="80"/>
      <c r="V24" s="48"/>
      <c r="W24" s="48"/>
      <c r="X24" s="80"/>
      <c r="Y24" s="19"/>
      <c r="Z24" s="44"/>
      <c r="AA24" s="48"/>
      <c r="AB24" s="48"/>
      <c r="AC24" s="48"/>
      <c r="AD24" s="80"/>
      <c r="AE24" s="48"/>
      <c r="AF24" s="48"/>
      <c r="AG24" s="80"/>
    </row>
    <row r="25" spans="1:33" x14ac:dyDescent="0.25">
      <c r="A25" s="10"/>
      <c r="B25" s="34"/>
      <c r="C25" s="34"/>
      <c r="D25" s="34"/>
      <c r="E25" s="48"/>
      <c r="F25" s="34"/>
      <c r="G25" s="34"/>
      <c r="H25" s="58"/>
      <c r="I25" s="234"/>
      <c r="J25" s="48"/>
      <c r="K25" s="10"/>
      <c r="L25" s="34"/>
      <c r="M25" s="34"/>
      <c r="N25" s="48"/>
      <c r="O25" s="34"/>
      <c r="P25" s="34"/>
      <c r="Q25" s="58"/>
      <c r="R25" s="48"/>
      <c r="S25" s="48"/>
      <c r="T25" s="48"/>
      <c r="U25" s="69"/>
      <c r="V25" s="48"/>
      <c r="W25" s="48"/>
      <c r="X25" s="69"/>
      <c r="Y25" s="19"/>
      <c r="Z25" s="17"/>
      <c r="AA25" s="48"/>
      <c r="AB25" s="48"/>
      <c r="AC25" s="48"/>
      <c r="AD25" s="69"/>
      <c r="AE25" s="48"/>
      <c r="AF25" s="48"/>
      <c r="AG25" s="69"/>
    </row>
    <row r="26" spans="1:33" x14ac:dyDescent="0.25">
      <c r="A26" s="44" t="s">
        <v>13</v>
      </c>
      <c r="B26" s="34"/>
      <c r="C26" s="34"/>
      <c r="D26" s="34"/>
      <c r="E26" s="80"/>
      <c r="F26" s="34"/>
      <c r="G26" s="34"/>
      <c r="H26" s="77">
        <f>H22-H24</f>
        <v>-22469.319999999832</v>
      </c>
      <c r="I26" s="234"/>
      <c r="J26" s="127" t="s">
        <v>88</v>
      </c>
      <c r="K26" s="10"/>
      <c r="L26" s="34"/>
      <c r="M26" s="34"/>
      <c r="N26" s="80"/>
      <c r="O26" s="34"/>
      <c r="P26" s="34"/>
      <c r="Q26" s="237">
        <f>Q24/H22</f>
        <v>0</v>
      </c>
      <c r="R26" s="48"/>
      <c r="S26" s="48"/>
      <c r="T26" s="48"/>
      <c r="U26" s="81"/>
      <c r="V26" s="48"/>
      <c r="W26" s="48"/>
      <c r="X26" s="81"/>
      <c r="Y26" s="19"/>
      <c r="Z26" s="44"/>
      <c r="AA26" s="48"/>
      <c r="AB26" s="48"/>
      <c r="AC26" s="48"/>
      <c r="AD26" s="81"/>
      <c r="AE26" s="48"/>
      <c r="AF26" s="48"/>
      <c r="AG26" s="81"/>
    </row>
    <row r="27" spans="1:33" x14ac:dyDescent="0.25">
      <c r="A27" s="10"/>
      <c r="B27" s="34"/>
      <c r="C27" s="34"/>
      <c r="D27" s="34"/>
      <c r="E27" s="69"/>
      <c r="F27" s="34"/>
      <c r="G27" s="34"/>
      <c r="H27" s="66"/>
      <c r="I27" s="226"/>
      <c r="J27" s="34"/>
      <c r="K27" s="10"/>
      <c r="L27" s="34"/>
      <c r="M27" s="34"/>
      <c r="N27" s="69"/>
      <c r="O27" s="34"/>
      <c r="P27" s="34"/>
      <c r="Q27" s="66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</row>
    <row r="28" spans="1:33" x14ac:dyDescent="0.25">
      <c r="A28" s="44" t="s">
        <v>28</v>
      </c>
      <c r="B28" s="34"/>
      <c r="C28" s="34"/>
      <c r="D28" s="34"/>
      <c r="E28" s="81"/>
      <c r="F28" s="34"/>
      <c r="G28" s="34"/>
      <c r="H28" s="81">
        <f>(H22-H24)/H24</f>
        <v>-1.5584029131239498E-2</v>
      </c>
      <c r="I28" s="226"/>
      <c r="J28" s="59" t="s">
        <v>89</v>
      </c>
      <c r="K28" s="10"/>
      <c r="L28" s="34"/>
      <c r="M28" s="34"/>
      <c r="N28" s="81"/>
      <c r="O28" s="34"/>
      <c r="P28" s="34"/>
      <c r="Q28" s="147">
        <f>Q24/N19</f>
        <v>0</v>
      </c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</row>
    <row r="29" spans="1:33" x14ac:dyDescent="0.25">
      <c r="A29" s="11"/>
      <c r="B29" s="34"/>
      <c r="C29" s="34"/>
      <c r="D29" s="34"/>
      <c r="E29" s="34"/>
      <c r="F29" s="34"/>
      <c r="G29" s="34"/>
      <c r="H29" s="69"/>
      <c r="I29" s="229"/>
      <c r="J29" s="69"/>
      <c r="R29" s="69"/>
      <c r="S29" s="69"/>
      <c r="T29" s="48"/>
      <c r="U29" s="48"/>
      <c r="V29" s="48"/>
      <c r="W29" s="48"/>
      <c r="X29" s="42"/>
      <c r="Y29" s="19"/>
      <c r="Z29" s="69"/>
      <c r="AA29" s="69"/>
      <c r="AB29" s="69"/>
      <c r="AC29" s="48"/>
      <c r="AD29" s="48"/>
      <c r="AE29" s="48"/>
      <c r="AF29" s="48"/>
      <c r="AG29" s="42"/>
    </row>
    <row r="30" spans="1:33" ht="15" customHeight="1" x14ac:dyDescent="0.25">
      <c r="H30" s="10"/>
      <c r="I30" s="10"/>
      <c r="J30" s="17"/>
      <c r="R30" s="10"/>
      <c r="S30" s="10"/>
      <c r="Z30" s="10"/>
      <c r="AA30" s="10"/>
      <c r="AB30" s="10"/>
    </row>
    <row r="31" spans="1:33" x14ac:dyDescent="0.25">
      <c r="H31" s="55"/>
      <c r="I31" s="102"/>
      <c r="J31" s="102"/>
    </row>
    <row r="32" spans="1:33" x14ac:dyDescent="0.25">
      <c r="H32" s="55"/>
      <c r="I32" s="102"/>
      <c r="J32" s="102"/>
    </row>
    <row r="33" spans="8:10" x14ac:dyDescent="0.25">
      <c r="H33" s="55"/>
      <c r="I33" s="102"/>
      <c r="J33" s="102"/>
    </row>
    <row r="34" spans="8:10" x14ac:dyDescent="0.25">
      <c r="H34" s="55"/>
      <c r="I34" s="102"/>
      <c r="J34" s="102"/>
    </row>
    <row r="35" spans="8:10" x14ac:dyDescent="0.25">
      <c r="H35" s="55"/>
      <c r="I35" s="102"/>
      <c r="J35" s="102"/>
    </row>
    <row r="36" spans="8:10" x14ac:dyDescent="0.25">
      <c r="H36" s="19"/>
      <c r="I36" s="89"/>
      <c r="J36" s="89"/>
    </row>
  </sheetData>
  <mergeCells count="8">
    <mergeCell ref="E4:H5"/>
    <mergeCell ref="U4:X5"/>
    <mergeCell ref="AD4:AG5"/>
    <mergeCell ref="F7:G7"/>
    <mergeCell ref="V7:W7"/>
    <mergeCell ref="AE7:AF7"/>
    <mergeCell ref="O7:P7"/>
    <mergeCell ref="N4:Q5"/>
  </mergeCells>
  <pageMargins left="0.75" right="0.75" top="1" bottom="1" header="0.5" footer="0.5"/>
  <pageSetup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13</vt:i4>
      </vt:variant>
    </vt:vector>
  </HeadingPairs>
  <TitlesOfParts>
    <vt:vector size="30" baseType="lpstr">
      <vt:lpstr>Present and Proposed Rates</vt:lpstr>
      <vt:lpstr>Res-1</vt:lpstr>
      <vt:lpstr>Residential NonTOU</vt:lpstr>
      <vt:lpstr>Resid. - TOU</vt:lpstr>
      <vt:lpstr>SmCom-2</vt:lpstr>
      <vt:lpstr>3Ph-3</vt:lpstr>
      <vt:lpstr>3PhTOD-3A</vt:lpstr>
      <vt:lpstr>LgTOD-4</vt:lpstr>
      <vt:lpstr>YL-5</vt:lpstr>
      <vt:lpstr>SL-6</vt:lpstr>
      <vt:lpstr>Summary</vt:lpstr>
      <vt:lpstr>ResIncr</vt:lpstr>
      <vt:lpstr>Notice-Abbrev</vt:lpstr>
      <vt:lpstr>Notice-Full</vt:lpstr>
      <vt:lpstr>BillDet</vt:lpstr>
      <vt:lpstr>BillDetLt</vt:lpstr>
      <vt:lpstr>List</vt:lpstr>
      <vt:lpstr>'3Ph-3'!Print_Area</vt:lpstr>
      <vt:lpstr>'3PhTOD-3A'!Print_Area</vt:lpstr>
      <vt:lpstr>'LgTOD-4'!Print_Area</vt:lpstr>
      <vt:lpstr>'Notice-Abbrev'!Print_Area</vt:lpstr>
      <vt:lpstr>'Notice-Full'!Print_Area</vt:lpstr>
      <vt:lpstr>'Present and Proposed Rates'!Print_Area</vt:lpstr>
      <vt:lpstr>'Res-1'!Print_Area</vt:lpstr>
      <vt:lpstr>'Resid. - TOU'!Print_Area</vt:lpstr>
      <vt:lpstr>'Residential NonTOU'!Print_Area</vt:lpstr>
      <vt:lpstr>'SL-6'!Print_Area</vt:lpstr>
      <vt:lpstr>'SmCom-2'!Print_Area</vt:lpstr>
      <vt:lpstr>Summary!Print_Area</vt:lpstr>
      <vt:lpstr>'YL-5'!Print_Area</vt:lpstr>
    </vt:vector>
  </TitlesOfParts>
  <Company>Dell Computer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John Wolfram</cp:lastModifiedBy>
  <cp:lastPrinted>2020-05-29T02:39:59Z</cp:lastPrinted>
  <dcterms:created xsi:type="dcterms:W3CDTF">2000-07-10T18:54:31Z</dcterms:created>
  <dcterms:modified xsi:type="dcterms:W3CDTF">2020-05-29T02:40:41Z</dcterms:modified>
</cp:coreProperties>
</file>