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6" i="1"/>
  <c r="B85"/>
  <c r="D80"/>
  <c r="C80"/>
  <c r="D79"/>
  <c r="C79"/>
  <c r="F78"/>
  <c r="E78"/>
  <c r="B73"/>
  <c r="B72"/>
  <c r="D67"/>
  <c r="C67"/>
  <c r="D66"/>
  <c r="C66"/>
  <c r="F65"/>
  <c r="E65"/>
  <c r="B60"/>
  <c r="B59"/>
  <c r="D54"/>
  <c r="C54"/>
  <c r="D53"/>
  <c r="E53" s="1"/>
  <c r="C53"/>
  <c r="F52"/>
  <c r="E52"/>
  <c r="B47"/>
  <c r="B46"/>
  <c r="B45"/>
  <c r="B44"/>
  <c r="D39"/>
  <c r="C39"/>
  <c r="D38"/>
  <c r="C38"/>
  <c r="D37"/>
  <c r="C37"/>
  <c r="D36"/>
  <c r="E36" s="1"/>
  <c r="C36"/>
  <c r="H35"/>
  <c r="G35"/>
  <c r="F35"/>
  <c r="E35"/>
  <c r="E38" s="1"/>
  <c r="B30"/>
  <c r="B29"/>
  <c r="B28"/>
  <c r="B27"/>
  <c r="B26"/>
  <c r="D21"/>
  <c r="C21"/>
  <c r="H21" s="1"/>
  <c r="D20"/>
  <c r="C20"/>
  <c r="G20" s="1"/>
  <c r="D19"/>
  <c r="C19"/>
  <c r="E19" s="1"/>
  <c r="D18"/>
  <c r="C18"/>
  <c r="E18" s="1"/>
  <c r="E17"/>
  <c r="J17" s="1"/>
  <c r="D17"/>
  <c r="C17"/>
  <c r="I16"/>
  <c r="H16"/>
  <c r="G16"/>
  <c r="F16"/>
  <c r="E16"/>
  <c r="F20" l="1"/>
  <c r="D68"/>
  <c r="D55"/>
  <c r="C68"/>
  <c r="C81"/>
  <c r="F19"/>
  <c r="G19" s="1"/>
  <c r="E67"/>
  <c r="F67" s="1"/>
  <c r="E66"/>
  <c r="G66" s="1"/>
  <c r="D81"/>
  <c r="F18"/>
  <c r="J18" s="1"/>
  <c r="F38"/>
  <c r="G38" s="1"/>
  <c r="E54"/>
  <c r="F54" s="1"/>
  <c r="F55" s="1"/>
  <c r="D60" s="1"/>
  <c r="F60" s="1"/>
  <c r="C55"/>
  <c r="C59" s="1"/>
  <c r="E80"/>
  <c r="F80" s="1"/>
  <c r="F81" s="1"/>
  <c r="D86" s="1"/>
  <c r="F86" s="1"/>
  <c r="E79"/>
  <c r="G79" s="1"/>
  <c r="D22"/>
  <c r="G39"/>
  <c r="E37"/>
  <c r="E20"/>
  <c r="D40"/>
  <c r="C72"/>
  <c r="I36"/>
  <c r="C85"/>
  <c r="G21"/>
  <c r="F21"/>
  <c r="F39"/>
  <c r="C40"/>
  <c r="E21"/>
  <c r="E39"/>
  <c r="C22"/>
  <c r="G53"/>
  <c r="H20" l="1"/>
  <c r="H22" s="1"/>
  <c r="D29" s="1"/>
  <c r="F29" s="1"/>
  <c r="J19"/>
  <c r="F22"/>
  <c r="D27" s="1"/>
  <c r="F27" s="1"/>
  <c r="F68"/>
  <c r="D73" s="1"/>
  <c r="F73" s="1"/>
  <c r="G67"/>
  <c r="E68"/>
  <c r="D72" s="1"/>
  <c r="E81"/>
  <c r="D85" s="1"/>
  <c r="E55"/>
  <c r="D59" s="1"/>
  <c r="G68"/>
  <c r="E22"/>
  <c r="D26" s="1"/>
  <c r="J20"/>
  <c r="G80"/>
  <c r="G81" s="1"/>
  <c r="F37"/>
  <c r="I37" s="1"/>
  <c r="G40"/>
  <c r="D46" s="1"/>
  <c r="F46" s="1"/>
  <c r="H39"/>
  <c r="H40" s="1"/>
  <c r="D47" s="1"/>
  <c r="F47" s="1"/>
  <c r="C87"/>
  <c r="C10" s="1"/>
  <c r="F85"/>
  <c r="F87" s="1"/>
  <c r="E10" s="1"/>
  <c r="C26"/>
  <c r="C44"/>
  <c r="C61"/>
  <c r="C8" s="1"/>
  <c r="F59"/>
  <c r="F61" s="1"/>
  <c r="E8" s="1"/>
  <c r="C74"/>
  <c r="C9" s="1"/>
  <c r="F72"/>
  <c r="I21"/>
  <c r="I22" s="1"/>
  <c r="D30" s="1"/>
  <c r="F30" s="1"/>
  <c r="I38"/>
  <c r="G54"/>
  <c r="G55" s="1"/>
  <c r="D61"/>
  <c r="D8" s="1"/>
  <c r="G22"/>
  <c r="D28" s="1"/>
  <c r="F28" s="1"/>
  <c r="D87"/>
  <c r="D10" s="1"/>
  <c r="E40"/>
  <c r="D44" s="1"/>
  <c r="D74" l="1"/>
  <c r="D9" s="1"/>
  <c r="J21"/>
  <c r="J22" s="1"/>
  <c r="F74"/>
  <c r="E9" s="1"/>
  <c r="F40"/>
  <c r="D45" s="1"/>
  <c r="F45" s="1"/>
  <c r="I39"/>
  <c r="I40" s="1"/>
  <c r="C48"/>
  <c r="C7" s="1"/>
  <c r="F44"/>
  <c r="F26"/>
  <c r="F31" s="1"/>
  <c r="E6" s="1"/>
  <c r="C31"/>
  <c r="C6" s="1"/>
  <c r="D31"/>
  <c r="D6" s="1"/>
  <c r="F48" l="1"/>
  <c r="E7" s="1"/>
  <c r="E11" s="1"/>
  <c r="D48"/>
  <c r="D7" s="1"/>
  <c r="D11" s="1"/>
  <c r="C11"/>
</calcChain>
</file>

<file path=xl/sharedStrings.xml><?xml version="1.0" encoding="utf-8"?>
<sst xmlns="http://schemas.openxmlformats.org/spreadsheetml/2006/main" count="113" uniqueCount="29">
  <si>
    <t>BILLING ANALYSIS WITH 2019 USAGE &amp; EXISTING RATES</t>
  </si>
  <si>
    <t>North Hopkins Water District</t>
  </si>
  <si>
    <t>SUMMARY</t>
  </si>
  <si>
    <t>Meter Size</t>
  </si>
  <si>
    <t>Bills</t>
  </si>
  <si>
    <t>Gallons Sold</t>
  </si>
  <si>
    <t>Revenue</t>
  </si>
  <si>
    <t>5/8 inch</t>
  </si>
  <si>
    <t>1 inch</t>
  </si>
  <si>
    <t>1-1/2 inch</t>
  </si>
  <si>
    <t>2 inch</t>
  </si>
  <si>
    <t>3 inch</t>
  </si>
  <si>
    <t>Totals</t>
  </si>
  <si>
    <t>5/8 INCH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</si>
  <si>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</si>
  <si>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</si>
  <si>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</si>
  <si>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</si>
  <si>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</si>
  <si>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</si>
  <si>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</si>
  <si>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</si>
  <si>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</si>
  <si>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</si>
  <si>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 INCH METERS</t>
  </si>
  <si>
    <t>OVER</t>
  </si>
  <si>
    <t>1-1/2 INCH METERS</t>
  </si>
  <si>
    <t>2 INCH METERS</t>
  </si>
  <si>
    <t>3 INCH METERS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</si>
</sst>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 applyProtection="1">
      <alignment horizontal="right"/>
    </xf>
    <xf numFmtId="165" fontId="7" fillId="0" borderId="0" xfId="2" applyNumberFormat="1" applyFont="1" applyBorder="1"/>
    <xf numFmtId="164" fontId="8" fillId="0" borderId="0" xfId="1" applyNumberFormat="1" applyFont="1"/>
    <xf numFmtId="164" fontId="9" fillId="0" borderId="0" xfId="1" applyNumberFormat="1" applyFont="1" applyProtection="1"/>
    <xf numFmtId="164" fontId="9" fillId="0" borderId="0" xfId="1" applyNumberFormat="1" applyFont="1"/>
    <xf numFmtId="0" fontId="7" fillId="0" borderId="0" xfId="0" applyFont="1" applyAlignment="1">
      <alignment horizontal="center"/>
    </xf>
    <xf numFmtId="164" fontId="7" fillId="0" borderId="0" xfId="1" applyNumberFormat="1" applyFont="1" applyBorder="1"/>
    <xf numFmtId="43" fontId="7" fillId="0" borderId="0" xfId="0" applyNumberFormat="1" applyFont="1"/>
    <xf numFmtId="0" fontId="7" fillId="0" borderId="0" xfId="0" applyFont="1" applyBorder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37" fontId="7" fillId="0" borderId="1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37" fontId="7" fillId="0" borderId="0" xfId="0" applyNumberFormat="1" applyFont="1"/>
    <xf numFmtId="164" fontId="7" fillId="0" borderId="0" xfId="1" applyNumberFormat="1" applyFont="1" applyFill="1"/>
    <xf numFmtId="37" fontId="7" fillId="0" borderId="1" xfId="0" applyNumberFormat="1" applyFont="1" applyBorder="1"/>
    <xf numFmtId="164" fontId="7" fillId="0" borderId="1" xfId="1" applyNumberFormat="1" applyFont="1" applyFill="1" applyBorder="1"/>
    <xf numFmtId="0" fontId="10" fillId="0" borderId="0" xfId="0" applyFont="1" applyAlignment="1" applyProtection="1">
      <alignment horizontal="left"/>
    </xf>
    <xf numFmtId="37" fontId="7" fillId="0" borderId="1" xfId="0" applyNumberFormat="1" applyFont="1" applyBorder="1" applyAlignment="1">
      <alignment horizontal="center"/>
    </xf>
    <xf numFmtId="44" fontId="7" fillId="0" borderId="0" xfId="2" applyFont="1"/>
    <xf numFmtId="165" fontId="7" fillId="0" borderId="0" xfId="2" applyNumberFormat="1" applyFont="1"/>
    <xf numFmtId="43" fontId="7" fillId="0" borderId="0" xfId="1" applyFont="1"/>
    <xf numFmtId="0" fontId="7" fillId="0" borderId="1" xfId="0" applyFont="1" applyBorder="1"/>
    <xf numFmtId="43" fontId="7" fillId="0" borderId="1" xfId="1" applyFont="1" applyBorder="1"/>
    <xf numFmtId="164" fontId="7" fillId="0" borderId="1" xfId="1" applyNumberFormat="1" applyFont="1" applyBorder="1"/>
    <xf numFmtId="3" fontId="7" fillId="0" borderId="0" xfId="0" applyNumberFormat="1" applyFont="1"/>
    <xf numFmtId="0" fontId="10" fillId="0" borderId="0" xfId="0" applyFont="1"/>
    <xf numFmtId="164" fontId="7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A12" sqref="A12"/>
    </sheetView>
  </sheetViews>
  <sheetFormatPr defaultRowHeight="15"/>
  <cols>
    <col min="1" max="1" width="11.140625" style="1" customWidth="1"/>
    <col min="2" max="2" width="10.7109375" style="1" customWidth="1"/>
    <col min="3" max="3" width="11.7109375" style="1" customWidth="1"/>
    <col min="4" max="4" width="12.7109375" style="1" customWidth="1"/>
    <col min="5" max="9" width="11.7109375" style="1" customWidth="1"/>
    <col min="10" max="10" width="12.7109375" style="1" customWidth="1"/>
    <col min="11" max="16384" width="9.140625" style="1"/>
  </cols>
  <sheetData>
    <row r="1" spans="1:10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/>
      <c r="B5" s="7" t="s">
        <v>3</v>
      </c>
      <c r="C5" s="7" t="s">
        <v>4</v>
      </c>
      <c r="D5" s="8" t="s">
        <v>5</v>
      </c>
      <c r="E5" s="8" t="s">
        <v>6</v>
      </c>
      <c r="F5" s="6"/>
      <c r="G5" s="6"/>
      <c r="H5" s="6"/>
      <c r="I5" s="6"/>
      <c r="J5" s="6"/>
    </row>
    <row r="6" spans="1:10">
      <c r="A6" s="6"/>
      <c r="B6" s="6" t="s">
        <v>7</v>
      </c>
      <c r="C6" s="9">
        <f>C31</f>
        <v>15165</v>
      </c>
      <c r="D6" s="10">
        <f>D31</f>
        <v>54982080</v>
      </c>
      <c r="E6" s="11">
        <f>F31</f>
        <v>910348.01209999993</v>
      </c>
      <c r="F6" s="6"/>
      <c r="G6" s="6"/>
      <c r="H6" s="6"/>
      <c r="I6" s="6"/>
      <c r="J6" s="6"/>
    </row>
    <row r="7" spans="1:10">
      <c r="A7" s="6"/>
      <c r="B7" s="6" t="s">
        <v>8</v>
      </c>
      <c r="C7" s="9">
        <f>C48</f>
        <v>256</v>
      </c>
      <c r="D7" s="10">
        <f>D48</f>
        <v>4629790</v>
      </c>
      <c r="E7" s="9">
        <f>F48</f>
        <v>57469.074999999997</v>
      </c>
      <c r="F7" s="6"/>
      <c r="G7" s="6"/>
      <c r="H7" s="6"/>
      <c r="I7" s="6"/>
      <c r="J7" s="6"/>
    </row>
    <row r="8" spans="1:10">
      <c r="A8" s="6"/>
      <c r="B8" s="6" t="s">
        <v>9</v>
      </c>
      <c r="C8" s="9">
        <f>C61</f>
        <v>68</v>
      </c>
      <c r="D8" s="10">
        <f>D61</f>
        <v>733000</v>
      </c>
      <c r="E8" s="9">
        <f>F61</f>
        <v>12901.649700000002</v>
      </c>
      <c r="F8" s="6"/>
      <c r="G8" s="6"/>
      <c r="H8" s="6"/>
      <c r="I8" s="6"/>
      <c r="J8" s="6"/>
    </row>
    <row r="9" spans="1:10">
      <c r="A9" s="6"/>
      <c r="B9" s="6" t="s">
        <v>10</v>
      </c>
      <c r="C9" s="9">
        <f>C74</f>
        <v>19</v>
      </c>
      <c r="D9" s="10">
        <f>D74</f>
        <v>1395020</v>
      </c>
      <c r="E9" s="9">
        <f>F74</f>
        <v>15345.727599999998</v>
      </c>
      <c r="F9" s="6"/>
      <c r="G9" s="6"/>
      <c r="H9" s="6"/>
      <c r="I9" s="6"/>
      <c r="J9" s="6"/>
    </row>
    <row r="10" spans="1:10" ht="17.25">
      <c r="A10" s="6"/>
      <c r="B10" s="6" t="s">
        <v>11</v>
      </c>
      <c r="C10" s="12">
        <f>C87</f>
        <v>12</v>
      </c>
      <c r="D10" s="13">
        <f>D87</f>
        <v>43900</v>
      </c>
      <c r="E10" s="14">
        <f>F87</f>
        <v>3974.5199999999995</v>
      </c>
      <c r="F10" s="6"/>
      <c r="G10" s="6"/>
      <c r="H10" s="6"/>
      <c r="I10" s="6"/>
      <c r="J10" s="6"/>
    </row>
    <row r="11" spans="1:10">
      <c r="A11" s="6"/>
      <c r="B11" s="15" t="s">
        <v>12</v>
      </c>
      <c r="C11" s="16">
        <f>SUM(C6:C10)</f>
        <v>15520</v>
      </c>
      <c r="D11" s="16">
        <f>SUM(D6:D10)</f>
        <v>61783790</v>
      </c>
      <c r="E11" s="11">
        <f>SUM(E6:E10)</f>
        <v>1000038.9843999998</v>
      </c>
      <c r="F11" s="6"/>
      <c r="G11" s="17"/>
      <c r="H11" s="6"/>
      <c r="I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5" t="s">
        <v>13</v>
      </c>
      <c r="B14" s="18"/>
      <c r="C14" s="18"/>
      <c r="D14" s="18"/>
      <c r="E14" s="18"/>
      <c r="F14" s="18"/>
      <c r="G14" s="18"/>
      <c r="H14" s="18"/>
      <c r="I14" s="6"/>
      <c r="J14" s="6"/>
    </row>
    <row r="15" spans="1:10">
      <c r="A15" s="19"/>
      <c r="B15" s="19"/>
      <c r="C15" s="19"/>
      <c r="D15" s="19"/>
      <c r="E15" s="20" t="s">
        <v>14</v>
      </c>
      <c r="F15" s="20" t="s">
        <v>15</v>
      </c>
      <c r="G15" s="20" t="s">
        <v>15</v>
      </c>
      <c r="H15" s="20" t="s">
        <v>15</v>
      </c>
      <c r="I15" s="20" t="s">
        <v>16</v>
      </c>
      <c r="J15" s="6"/>
    </row>
    <row r="16" spans="1:10">
      <c r="A16" s="19"/>
      <c r="B16" s="8" t="s">
        <v>17</v>
      </c>
      <c r="C16" s="21" t="s">
        <v>18</v>
      </c>
      <c r="D16" s="21" t="s">
        <v>19</v>
      </c>
      <c r="E16" s="21">
        <f>B17</f>
        <v>2000</v>
      </c>
      <c r="F16" s="21">
        <f>B18</f>
        <v>2000</v>
      </c>
      <c r="G16" s="21">
        <f>B19</f>
        <v>3000</v>
      </c>
      <c r="H16" s="21">
        <f>B20</f>
        <v>3000</v>
      </c>
      <c r="I16" s="21">
        <f>B21</f>
        <v>10000</v>
      </c>
      <c r="J16" s="7" t="s">
        <v>20</v>
      </c>
    </row>
    <row r="17" spans="1:10">
      <c r="A17" s="22" t="s">
        <v>14</v>
      </c>
      <c r="B17" s="23">
        <v>2000</v>
      </c>
      <c r="C17" s="24">
        <f>1168+20+923+816+19+625+879</f>
        <v>4450</v>
      </c>
      <c r="D17" s="24">
        <f>1246420+23670+1032520+889830+11810+593060+946560</f>
        <v>4743870</v>
      </c>
      <c r="E17" s="24">
        <f>D17</f>
        <v>4743870</v>
      </c>
      <c r="F17" s="24">
        <v>0</v>
      </c>
      <c r="G17" s="24">
        <v>0</v>
      </c>
      <c r="H17" s="24">
        <v>0</v>
      </c>
      <c r="I17" s="24">
        <v>0</v>
      </c>
      <c r="J17" s="24">
        <f>SUM(E17:I17)</f>
        <v>4743870</v>
      </c>
    </row>
    <row r="18" spans="1:10">
      <c r="A18" s="22" t="s">
        <v>15</v>
      </c>
      <c r="B18" s="23">
        <v>2000</v>
      </c>
      <c r="C18" s="24">
        <f>1272+4+1548+1257+4+581+1327</f>
        <v>5993</v>
      </c>
      <c r="D18" s="24">
        <f>3690080+8000+4516840+3675260+11250+1694790+3910860</f>
        <v>17507080</v>
      </c>
      <c r="E18" s="24">
        <f>C18*2000</f>
        <v>11986000</v>
      </c>
      <c r="F18" s="24">
        <f>D18-E18</f>
        <v>5521080</v>
      </c>
      <c r="G18" s="24">
        <v>0</v>
      </c>
      <c r="H18" s="24">
        <v>0</v>
      </c>
      <c r="I18" s="24">
        <v>0</v>
      </c>
      <c r="J18" s="24">
        <f t="shared" ref="J18:J21" si="0">SUM(E18:I18)</f>
        <v>17507080</v>
      </c>
    </row>
    <row r="19" spans="1:10">
      <c r="A19" s="22" t="s">
        <v>15</v>
      </c>
      <c r="B19" s="23">
        <v>3000</v>
      </c>
      <c r="C19" s="24">
        <f>674+8+799+726+1+380+870</f>
        <v>3458</v>
      </c>
      <c r="D19" s="24">
        <f>3455710+16000+4068490+3704390+5560+1952630+4470000</f>
        <v>17672780</v>
      </c>
      <c r="E19" s="24">
        <f>C19*2000</f>
        <v>6916000</v>
      </c>
      <c r="F19" s="24">
        <f>C19*2000</f>
        <v>6916000</v>
      </c>
      <c r="G19" s="24">
        <f>D19-(F19+E19)</f>
        <v>3840780</v>
      </c>
      <c r="H19" s="24">
        <v>0</v>
      </c>
      <c r="I19" s="24">
        <v>0</v>
      </c>
      <c r="J19" s="24">
        <f t="shared" si="0"/>
        <v>17672780</v>
      </c>
    </row>
    <row r="20" spans="1:10">
      <c r="A20" s="22" t="s">
        <v>15</v>
      </c>
      <c r="B20" s="23">
        <v>3000</v>
      </c>
      <c r="C20" s="24">
        <f>166+2+211+139+8+47+205</f>
        <v>778</v>
      </c>
      <c r="D20" s="24">
        <f>1358500+4000+1699810+1113360+70970+386890+1678640</f>
        <v>6312170</v>
      </c>
      <c r="E20" s="24">
        <f t="shared" ref="E20:E21" si="1">C20*2000</f>
        <v>1556000</v>
      </c>
      <c r="F20" s="24">
        <f t="shared" ref="F20:F21" si="2">C20*2000</f>
        <v>1556000</v>
      </c>
      <c r="G20" s="24">
        <f>C20*3000</f>
        <v>2334000</v>
      </c>
      <c r="H20" s="24">
        <f>D20-(G20+F20+E20)</f>
        <v>866170</v>
      </c>
      <c r="I20" s="24">
        <v>0</v>
      </c>
      <c r="J20" s="24">
        <f t="shared" si="0"/>
        <v>6312170</v>
      </c>
    </row>
    <row r="21" spans="1:10">
      <c r="A21" s="22" t="s">
        <v>16</v>
      </c>
      <c r="B21" s="25">
        <v>10000</v>
      </c>
      <c r="C21" s="26">
        <f>92+2+109+81+4+48+150</f>
        <v>486</v>
      </c>
      <c r="D21" s="26">
        <f>2206390+4000+1632770+1322240+204040+841260+2535480</f>
        <v>8746180</v>
      </c>
      <c r="E21" s="26">
        <f t="shared" si="1"/>
        <v>972000</v>
      </c>
      <c r="F21" s="26">
        <f t="shared" si="2"/>
        <v>972000</v>
      </c>
      <c r="G21" s="26">
        <f>C21*3000</f>
        <v>1458000</v>
      </c>
      <c r="H21" s="26">
        <f>C21*3000</f>
        <v>1458000</v>
      </c>
      <c r="I21" s="26">
        <f>D21-(H21+G21+F21+E21)</f>
        <v>3886180</v>
      </c>
      <c r="J21" s="26">
        <f t="shared" si="0"/>
        <v>8746180</v>
      </c>
    </row>
    <row r="22" spans="1:10">
      <c r="A22" s="22"/>
      <c r="B22" s="23"/>
      <c r="C22" s="16">
        <f>SUM(C17:C21)</f>
        <v>15165</v>
      </c>
      <c r="D22" s="16">
        <f>SUM(D17:D21)</f>
        <v>54982080</v>
      </c>
      <c r="E22" s="16">
        <f t="shared" ref="E22:J22" si="3">SUM(E17:E21)</f>
        <v>26173870</v>
      </c>
      <c r="F22" s="16">
        <f t="shared" si="3"/>
        <v>14965080</v>
      </c>
      <c r="G22" s="16">
        <f t="shared" si="3"/>
        <v>7632780</v>
      </c>
      <c r="H22" s="16">
        <f t="shared" si="3"/>
        <v>2324170</v>
      </c>
      <c r="I22" s="16">
        <f t="shared" si="3"/>
        <v>3886180</v>
      </c>
      <c r="J22" s="16">
        <f t="shared" si="3"/>
        <v>54982080</v>
      </c>
    </row>
    <row r="23" spans="1:10">
      <c r="A23" s="22"/>
      <c r="B23" s="23"/>
      <c r="C23" s="9"/>
      <c r="D23" s="9"/>
      <c r="E23" s="23"/>
      <c r="F23" s="23"/>
      <c r="G23" s="23"/>
      <c r="H23" s="23"/>
      <c r="I23" s="23"/>
      <c r="J23" s="6"/>
    </row>
    <row r="24" spans="1:10">
      <c r="A24" s="27" t="s">
        <v>21</v>
      </c>
      <c r="B24" s="27"/>
      <c r="C24" s="6"/>
      <c r="D24" s="23"/>
      <c r="E24" s="23"/>
      <c r="F24" s="23"/>
      <c r="G24" s="23"/>
      <c r="H24" s="23"/>
      <c r="I24" s="23"/>
      <c r="J24" s="6"/>
    </row>
    <row r="25" spans="1:10">
      <c r="A25" s="22"/>
      <c r="B25" s="6"/>
      <c r="C25" s="28" t="s">
        <v>18</v>
      </c>
      <c r="D25" s="7" t="s">
        <v>19</v>
      </c>
      <c r="E25" s="28" t="s">
        <v>22</v>
      </c>
      <c r="F25" s="28" t="s">
        <v>23</v>
      </c>
      <c r="G25" s="23"/>
      <c r="H25" s="23"/>
      <c r="I25" s="23"/>
      <c r="J25" s="6"/>
    </row>
    <row r="26" spans="1:10">
      <c r="A26" s="22" t="s">
        <v>14</v>
      </c>
      <c r="B26" s="23">
        <f>B17</f>
        <v>2000</v>
      </c>
      <c r="C26" s="9">
        <f>C22</f>
        <v>15165</v>
      </c>
      <c r="D26" s="24">
        <f>E22</f>
        <v>26173870</v>
      </c>
      <c r="E26" s="29">
        <v>33.14</v>
      </c>
      <c r="F26" s="30">
        <f>E26*C26</f>
        <v>502568.10000000003</v>
      </c>
      <c r="G26" s="23"/>
      <c r="H26" s="23"/>
      <c r="I26" s="23"/>
      <c r="J26" s="6"/>
    </row>
    <row r="27" spans="1:10">
      <c r="A27" s="22" t="s">
        <v>15</v>
      </c>
      <c r="B27" s="23">
        <f t="shared" ref="B27:B30" si="4">B18</f>
        <v>2000</v>
      </c>
      <c r="C27" s="6"/>
      <c r="D27" s="24">
        <f>F22</f>
        <v>14965080</v>
      </c>
      <c r="E27" s="31">
        <v>16.190000000000001</v>
      </c>
      <c r="F27" s="9">
        <f>E27*(D27/1000)</f>
        <v>242284.64520000003</v>
      </c>
      <c r="G27" s="23"/>
      <c r="H27" s="23"/>
      <c r="I27" s="23"/>
      <c r="J27" s="6"/>
    </row>
    <row r="28" spans="1:10">
      <c r="A28" s="22" t="s">
        <v>15</v>
      </c>
      <c r="B28" s="23">
        <f t="shared" si="4"/>
        <v>3000</v>
      </c>
      <c r="C28" s="6"/>
      <c r="D28" s="24">
        <f>G22</f>
        <v>7632780</v>
      </c>
      <c r="E28" s="31">
        <v>13.24</v>
      </c>
      <c r="F28" s="9">
        <f t="shared" ref="F28:F30" si="5">E28*(D28/1000)</f>
        <v>101058.00719999999</v>
      </c>
      <c r="G28" s="23"/>
      <c r="H28" s="23"/>
      <c r="I28" s="23"/>
      <c r="J28" s="6"/>
    </row>
    <row r="29" spans="1:10">
      <c r="A29" s="22" t="s">
        <v>15</v>
      </c>
      <c r="B29" s="23">
        <f t="shared" si="4"/>
        <v>3000</v>
      </c>
      <c r="C29" s="6"/>
      <c r="D29" s="24">
        <f>H22</f>
        <v>2324170</v>
      </c>
      <c r="E29" s="31">
        <v>11.79</v>
      </c>
      <c r="F29" s="9">
        <f t="shared" si="5"/>
        <v>27401.9643</v>
      </c>
      <c r="G29" s="23"/>
      <c r="H29" s="23"/>
      <c r="I29" s="23"/>
      <c r="J29" s="6"/>
    </row>
    <row r="30" spans="1:10">
      <c r="A30" s="22" t="s">
        <v>16</v>
      </c>
      <c r="B30" s="23">
        <f t="shared" si="4"/>
        <v>10000</v>
      </c>
      <c r="C30" s="32"/>
      <c r="D30" s="26">
        <f>I22</f>
        <v>3886180</v>
      </c>
      <c r="E30" s="33">
        <v>9.5299999999999994</v>
      </c>
      <c r="F30" s="34">
        <f t="shared" si="5"/>
        <v>37035.295399999995</v>
      </c>
      <c r="G30" s="23"/>
      <c r="H30" s="23"/>
      <c r="I30" s="23"/>
      <c r="J30" s="6"/>
    </row>
    <row r="31" spans="1:10">
      <c r="A31" s="22"/>
      <c r="B31" s="23" t="s">
        <v>20</v>
      </c>
      <c r="C31" s="35">
        <f>SUM(C26:C30)</f>
        <v>15165</v>
      </c>
      <c r="D31" s="16">
        <f>SUM(D26:D30)</f>
        <v>54982080</v>
      </c>
      <c r="E31" s="6"/>
      <c r="F31" s="30">
        <f>SUM(F26:F30)</f>
        <v>910348.01209999993</v>
      </c>
      <c r="G31" s="23"/>
      <c r="H31" s="23"/>
      <c r="I31" s="23"/>
      <c r="J31" s="6"/>
    </row>
    <row r="32" spans="1:10">
      <c r="A32" s="22"/>
      <c r="B32" s="23"/>
      <c r="C32" s="35"/>
      <c r="D32" s="35"/>
      <c r="E32" s="6"/>
      <c r="F32" s="29"/>
      <c r="G32" s="23"/>
      <c r="H32" s="23"/>
      <c r="I32" s="23"/>
      <c r="J32" s="6"/>
    </row>
    <row r="33" spans="1:10">
      <c r="A33" s="5" t="s">
        <v>24</v>
      </c>
      <c r="B33" s="36"/>
      <c r="C33" s="15"/>
      <c r="D33" s="15"/>
      <c r="E33" s="15"/>
      <c r="F33" s="15"/>
      <c r="G33" s="15"/>
      <c r="H33" s="15"/>
      <c r="I33" s="6"/>
      <c r="J33" s="6"/>
    </row>
    <row r="34" spans="1:10">
      <c r="A34" s="19"/>
      <c r="B34" s="19"/>
      <c r="C34" s="19"/>
      <c r="D34" s="19"/>
      <c r="E34" s="20" t="s">
        <v>14</v>
      </c>
      <c r="F34" s="20" t="s">
        <v>15</v>
      </c>
      <c r="G34" s="20" t="s">
        <v>15</v>
      </c>
      <c r="H34" s="20" t="s">
        <v>25</v>
      </c>
      <c r="I34" s="6"/>
      <c r="J34" s="6"/>
    </row>
    <row r="35" spans="1:10">
      <c r="A35" s="19"/>
      <c r="B35" s="8" t="s">
        <v>17</v>
      </c>
      <c r="C35" s="21" t="s">
        <v>18</v>
      </c>
      <c r="D35" s="21" t="s">
        <v>19</v>
      </c>
      <c r="E35" s="21">
        <f>B36</f>
        <v>5000</v>
      </c>
      <c r="F35" s="21">
        <f>B37</f>
        <v>2000</v>
      </c>
      <c r="G35" s="21">
        <f>B38</f>
        <v>3000</v>
      </c>
      <c r="H35" s="21">
        <f>B39</f>
        <v>10000</v>
      </c>
      <c r="I35" s="7" t="s">
        <v>20</v>
      </c>
      <c r="J35" s="6"/>
    </row>
    <row r="36" spans="1:10">
      <c r="A36" s="22" t="s">
        <v>14</v>
      </c>
      <c r="B36" s="23">
        <v>5000</v>
      </c>
      <c r="C36" s="9">
        <f>23+20+34+21+12+21+3+22</f>
        <v>156</v>
      </c>
      <c r="D36" s="24">
        <f>39350+28430+113160+17050+50830+42260+110+31360</f>
        <v>322550</v>
      </c>
      <c r="E36" s="9">
        <f>D36</f>
        <v>322550</v>
      </c>
      <c r="F36" s="9"/>
      <c r="G36" s="9"/>
      <c r="H36" s="9"/>
      <c r="I36" s="9">
        <f>SUM(E36:H36)</f>
        <v>322550</v>
      </c>
      <c r="J36" s="6"/>
    </row>
    <row r="37" spans="1:10">
      <c r="A37" s="22" t="s">
        <v>15</v>
      </c>
      <c r="B37" s="23">
        <v>2000</v>
      </c>
      <c r="C37" s="9">
        <f>12+6+8+2+3</f>
        <v>31</v>
      </c>
      <c r="D37" s="24">
        <f>68070+35130+45980+12900+17880+0</f>
        <v>179960</v>
      </c>
      <c r="E37" s="9">
        <f>C37*E$35</f>
        <v>155000</v>
      </c>
      <c r="F37" s="9">
        <f>D37-E37</f>
        <v>24960</v>
      </c>
      <c r="G37" s="9"/>
      <c r="H37" s="9"/>
      <c r="I37" s="9">
        <f t="shared" ref="I37:I39" si="6">SUM(E37:H37)</f>
        <v>179960</v>
      </c>
      <c r="J37" s="6"/>
    </row>
    <row r="38" spans="1:10">
      <c r="A38" s="22" t="s">
        <v>15</v>
      </c>
      <c r="B38" s="23">
        <v>3000</v>
      </c>
      <c r="C38" s="9">
        <f>0+3+10+0+1</f>
        <v>14</v>
      </c>
      <c r="D38" s="24">
        <f>0+24680+84040+0+9650</f>
        <v>118370</v>
      </c>
      <c r="E38" s="9">
        <f t="shared" ref="E38:E39" si="7">C38*E$35</f>
        <v>70000</v>
      </c>
      <c r="F38" s="9">
        <f>C38*F$35</f>
        <v>28000</v>
      </c>
      <c r="G38" s="9">
        <f>D38-(F38+E38)</f>
        <v>20370</v>
      </c>
      <c r="H38" s="9"/>
      <c r="I38" s="9">
        <f t="shared" si="6"/>
        <v>118370</v>
      </c>
      <c r="J38" s="6"/>
    </row>
    <row r="39" spans="1:10">
      <c r="A39" s="22" t="s">
        <v>16</v>
      </c>
      <c r="B39" s="25">
        <v>10000</v>
      </c>
      <c r="C39" s="34">
        <f>1+7+21+1+12+1+12</f>
        <v>55</v>
      </c>
      <c r="D39" s="26">
        <f>12970+255820+342790+29700+541410+28000+2798220</f>
        <v>4008910</v>
      </c>
      <c r="E39" s="26">
        <f t="shared" si="7"/>
        <v>275000</v>
      </c>
      <c r="F39" s="26">
        <f>C39*F$35</f>
        <v>110000</v>
      </c>
      <c r="G39" s="34">
        <f>C39*G35</f>
        <v>165000</v>
      </c>
      <c r="H39" s="34">
        <f>D39-(G39+F39+E39)</f>
        <v>3458910</v>
      </c>
      <c r="I39" s="34">
        <f t="shared" si="6"/>
        <v>4008910</v>
      </c>
      <c r="J39" s="6"/>
    </row>
    <row r="40" spans="1:10">
      <c r="A40" s="22"/>
      <c r="B40" s="23"/>
      <c r="C40" s="9">
        <f>SUM(C36:C39)</f>
        <v>256</v>
      </c>
      <c r="D40" s="9">
        <f t="shared" ref="D40:I40" si="8">SUM(D36:D39)</f>
        <v>4629790</v>
      </c>
      <c r="E40" s="9">
        <f t="shared" si="8"/>
        <v>822550</v>
      </c>
      <c r="F40" s="9">
        <f t="shared" si="8"/>
        <v>162960</v>
      </c>
      <c r="G40" s="9">
        <f t="shared" si="8"/>
        <v>185370</v>
      </c>
      <c r="H40" s="9">
        <f t="shared" si="8"/>
        <v>3458910</v>
      </c>
      <c r="I40" s="9">
        <f t="shared" si="8"/>
        <v>4629790</v>
      </c>
      <c r="J40" s="6"/>
    </row>
    <row r="41" spans="1:10">
      <c r="A41" s="22"/>
      <c r="B41" s="23"/>
      <c r="C41" s="9"/>
      <c r="D41" s="9"/>
      <c r="E41" s="6"/>
      <c r="F41" s="6"/>
      <c r="G41" s="6"/>
      <c r="H41" s="6"/>
      <c r="I41" s="6"/>
      <c r="J41" s="6"/>
    </row>
    <row r="42" spans="1:10">
      <c r="A42" s="27" t="s">
        <v>21</v>
      </c>
      <c r="B42" s="27"/>
      <c r="C42" s="6"/>
      <c r="D42" s="6"/>
      <c r="E42" s="6"/>
      <c r="F42" s="6"/>
      <c r="G42" s="6"/>
      <c r="H42" s="6"/>
      <c r="I42" s="6"/>
      <c r="J42" s="6"/>
    </row>
    <row r="43" spans="1:10">
      <c r="A43" s="22"/>
      <c r="B43" s="6"/>
      <c r="C43" s="28" t="s">
        <v>18</v>
      </c>
      <c r="D43" s="7" t="s">
        <v>19</v>
      </c>
      <c r="E43" s="7" t="s">
        <v>22</v>
      </c>
      <c r="F43" s="7" t="s">
        <v>23</v>
      </c>
      <c r="G43" s="6"/>
      <c r="H43" s="6"/>
      <c r="I43" s="6"/>
      <c r="J43" s="6"/>
    </row>
    <row r="44" spans="1:10">
      <c r="A44" s="22" t="s">
        <v>14</v>
      </c>
      <c r="B44" s="23">
        <f>B36</f>
        <v>5000</v>
      </c>
      <c r="C44" s="37">
        <f>C40</f>
        <v>256</v>
      </c>
      <c r="D44" s="24">
        <f>E40</f>
        <v>822550</v>
      </c>
      <c r="E44" s="29">
        <v>78.760000000000005</v>
      </c>
      <c r="F44" s="30">
        <f>E44*C44</f>
        <v>20162.560000000001</v>
      </c>
      <c r="G44" s="6"/>
      <c r="H44" s="6"/>
      <c r="I44" s="6"/>
      <c r="J44" s="6"/>
    </row>
    <row r="45" spans="1:10">
      <c r="A45" s="22" t="s">
        <v>15</v>
      </c>
      <c r="B45" s="23">
        <f t="shared" ref="B45:B47" si="9">B37</f>
        <v>2000</v>
      </c>
      <c r="C45" s="6"/>
      <c r="D45" s="24">
        <f>F40</f>
        <v>162960</v>
      </c>
      <c r="E45" s="31">
        <v>13.24</v>
      </c>
      <c r="F45" s="9">
        <f t="shared" ref="F45:F47" si="10">E45*(D45/1000)</f>
        <v>2157.5904</v>
      </c>
      <c r="G45" s="6"/>
      <c r="H45" s="6"/>
      <c r="I45" s="6"/>
      <c r="J45" s="6"/>
    </row>
    <row r="46" spans="1:10">
      <c r="A46" s="22" t="s">
        <v>15</v>
      </c>
      <c r="B46" s="23">
        <f t="shared" si="9"/>
        <v>3000</v>
      </c>
      <c r="C46" s="6"/>
      <c r="D46" s="24">
        <f>G40</f>
        <v>185370</v>
      </c>
      <c r="E46" s="31">
        <v>11.79</v>
      </c>
      <c r="F46" s="9">
        <f t="shared" si="10"/>
        <v>2185.5122999999999</v>
      </c>
      <c r="G46" s="6"/>
      <c r="H46" s="6"/>
      <c r="I46" s="6"/>
      <c r="J46" s="6"/>
    </row>
    <row r="47" spans="1:10">
      <c r="A47" s="22" t="s">
        <v>16</v>
      </c>
      <c r="B47" s="23">
        <f t="shared" si="9"/>
        <v>10000</v>
      </c>
      <c r="C47" s="32"/>
      <c r="D47" s="26">
        <f>H40</f>
        <v>3458910</v>
      </c>
      <c r="E47" s="33">
        <v>9.5299999999999994</v>
      </c>
      <c r="F47" s="34">
        <f t="shared" si="10"/>
        <v>32963.412299999996</v>
      </c>
      <c r="G47" s="6"/>
      <c r="H47" s="6"/>
      <c r="I47" s="6"/>
      <c r="J47" s="6"/>
    </row>
    <row r="48" spans="1:10">
      <c r="A48" s="22"/>
      <c r="B48" s="23" t="s">
        <v>20</v>
      </c>
      <c r="C48" s="9">
        <f t="shared" ref="C48:D48" si="11">SUM(C44:C47)</f>
        <v>256</v>
      </c>
      <c r="D48" s="9">
        <f t="shared" si="11"/>
        <v>4629790</v>
      </c>
      <c r="E48" s="6"/>
      <c r="F48" s="30">
        <f t="shared" ref="F48" si="12">SUM(F44:F47)</f>
        <v>57469.074999999997</v>
      </c>
      <c r="G48" s="6"/>
      <c r="H48" s="6"/>
      <c r="I48" s="6"/>
      <c r="J48" s="6"/>
    </row>
    <row r="49" spans="1:10">
      <c r="A49" s="22"/>
      <c r="B49" s="23"/>
      <c r="C49" s="9"/>
      <c r="D49" s="9"/>
      <c r="E49" s="6"/>
      <c r="F49" s="29"/>
      <c r="G49" s="6"/>
      <c r="H49" s="6"/>
      <c r="I49" s="6"/>
      <c r="J49" s="6"/>
    </row>
    <row r="50" spans="1:10">
      <c r="A50" s="5" t="s">
        <v>26</v>
      </c>
      <c r="B50" s="36"/>
      <c r="C50" s="15"/>
      <c r="D50" s="15"/>
      <c r="E50" s="15"/>
      <c r="F50" s="15"/>
      <c r="G50" s="15"/>
      <c r="H50" s="15"/>
      <c r="I50" s="6"/>
      <c r="J50" s="6"/>
    </row>
    <row r="51" spans="1:10">
      <c r="A51" s="19"/>
      <c r="B51" s="19"/>
      <c r="C51" s="19"/>
      <c r="D51" s="19"/>
      <c r="E51" s="20" t="s">
        <v>14</v>
      </c>
      <c r="F51" s="20" t="s">
        <v>25</v>
      </c>
      <c r="G51" s="6"/>
      <c r="H51" s="6"/>
      <c r="I51" s="6"/>
      <c r="J51" s="6"/>
    </row>
    <row r="52" spans="1:10">
      <c r="A52" s="19"/>
      <c r="B52" s="8" t="s">
        <v>17</v>
      </c>
      <c r="C52" s="21" t="s">
        <v>18</v>
      </c>
      <c r="D52" s="21" t="s">
        <v>19</v>
      </c>
      <c r="E52" s="21">
        <f>B53</f>
        <v>10000</v>
      </c>
      <c r="F52" s="21">
        <f>B54</f>
        <v>10000</v>
      </c>
      <c r="G52" s="7" t="s">
        <v>20</v>
      </c>
      <c r="H52" s="6"/>
      <c r="I52" s="6"/>
      <c r="J52" s="6"/>
    </row>
    <row r="53" spans="1:10">
      <c r="A53" s="22" t="s">
        <v>14</v>
      </c>
      <c r="B53" s="23">
        <v>10000</v>
      </c>
      <c r="C53" s="9">
        <f>5+6+0+12+17</f>
        <v>40</v>
      </c>
      <c r="D53" s="24">
        <f>9800+21000+0+0+71710</f>
        <v>102510</v>
      </c>
      <c r="E53" s="9">
        <f>D53</f>
        <v>102510</v>
      </c>
      <c r="F53" s="9"/>
      <c r="G53" s="9">
        <f>SUM(E53:F53)</f>
        <v>102510</v>
      </c>
      <c r="H53" s="6"/>
      <c r="I53" s="6"/>
      <c r="J53" s="6"/>
    </row>
    <row r="54" spans="1:10">
      <c r="A54" s="22" t="s">
        <v>16</v>
      </c>
      <c r="B54" s="25">
        <v>10000</v>
      </c>
      <c r="C54" s="34">
        <f>5+3+12+0+7+1</f>
        <v>28</v>
      </c>
      <c r="D54" s="26">
        <f>169200+95100+234700+0+96890+34600</f>
        <v>630490</v>
      </c>
      <c r="E54" s="34">
        <f>C54*E52</f>
        <v>280000</v>
      </c>
      <c r="F54" s="34">
        <f>D54-E54</f>
        <v>350490</v>
      </c>
      <c r="G54" s="34">
        <f>SUM(E54:F54)</f>
        <v>630490</v>
      </c>
      <c r="H54" s="6"/>
      <c r="I54" s="6"/>
      <c r="J54" s="6"/>
    </row>
    <row r="55" spans="1:10">
      <c r="A55" s="22"/>
      <c r="B55" s="23"/>
      <c r="C55" s="9">
        <f>SUM(C53:C54)</f>
        <v>68</v>
      </c>
      <c r="D55" s="9">
        <f>SUM(D53:D54)</f>
        <v>733000</v>
      </c>
      <c r="E55" s="9">
        <f>SUM(E53:E54)</f>
        <v>382510</v>
      </c>
      <c r="F55" s="9">
        <f>SUM(F53:F54)</f>
        <v>350490</v>
      </c>
      <c r="G55" s="9">
        <f>SUM(G53:G54)</f>
        <v>733000</v>
      </c>
      <c r="H55" s="6"/>
      <c r="I55" s="6"/>
      <c r="J55" s="6"/>
    </row>
    <row r="56" spans="1:10">
      <c r="A56" s="22"/>
      <c r="B56" s="23"/>
      <c r="C56" s="9"/>
      <c r="D56" s="9"/>
      <c r="E56" s="6"/>
      <c r="F56" s="6"/>
      <c r="G56" s="6"/>
      <c r="H56" s="6"/>
      <c r="I56" s="6"/>
      <c r="J56" s="6"/>
    </row>
    <row r="57" spans="1:10">
      <c r="A57" s="27" t="s">
        <v>21</v>
      </c>
      <c r="B57" s="27"/>
      <c r="C57" s="6"/>
      <c r="D57" s="6"/>
      <c r="E57" s="6"/>
      <c r="F57" s="6"/>
      <c r="G57" s="6"/>
      <c r="H57" s="6"/>
      <c r="I57" s="6"/>
      <c r="J57" s="6"/>
    </row>
    <row r="58" spans="1:10">
      <c r="A58" s="22"/>
      <c r="B58" s="6"/>
      <c r="C58" s="28" t="s">
        <v>18</v>
      </c>
      <c r="D58" s="7" t="s">
        <v>19</v>
      </c>
      <c r="E58" s="7" t="s">
        <v>22</v>
      </c>
      <c r="F58" s="7" t="s">
        <v>23</v>
      </c>
      <c r="G58" s="6"/>
      <c r="H58" s="6"/>
      <c r="I58" s="6"/>
      <c r="J58" s="6"/>
    </row>
    <row r="59" spans="1:10">
      <c r="A59" s="22" t="s">
        <v>14</v>
      </c>
      <c r="B59" s="23">
        <f>B53</f>
        <v>10000</v>
      </c>
      <c r="C59" s="37">
        <f>C55</f>
        <v>68</v>
      </c>
      <c r="D59" s="24">
        <f>E55</f>
        <v>382510</v>
      </c>
      <c r="E59" s="29">
        <v>140.61000000000001</v>
      </c>
      <c r="F59" s="30">
        <f>E59*C59</f>
        <v>9561.4800000000014</v>
      </c>
      <c r="G59" s="6"/>
      <c r="H59" s="6"/>
      <c r="I59" s="6"/>
      <c r="J59" s="6"/>
    </row>
    <row r="60" spans="1:10">
      <c r="A60" s="22" t="s">
        <v>16</v>
      </c>
      <c r="B60" s="23">
        <f t="shared" ref="B60" si="13">B54</f>
        <v>10000</v>
      </c>
      <c r="C60" s="32"/>
      <c r="D60" s="26">
        <f>F55</f>
        <v>350490</v>
      </c>
      <c r="E60" s="33">
        <v>9.5299999999999994</v>
      </c>
      <c r="F60" s="34">
        <f t="shared" ref="F60" si="14">E60*(D60/1000)</f>
        <v>3340.1696999999999</v>
      </c>
      <c r="G60" s="6"/>
      <c r="H60" s="6"/>
      <c r="I60" s="6"/>
      <c r="J60" s="6"/>
    </row>
    <row r="61" spans="1:10">
      <c r="A61" s="22"/>
      <c r="B61" s="23" t="s">
        <v>20</v>
      </c>
      <c r="C61" s="9">
        <f>SUM(C59:C60)</f>
        <v>68</v>
      </c>
      <c r="D61" s="9">
        <f>SUM(D59:D60)</f>
        <v>733000</v>
      </c>
      <c r="E61" s="6"/>
      <c r="F61" s="30">
        <f>SUM(F59:F60)</f>
        <v>12901.649700000002</v>
      </c>
      <c r="G61" s="6"/>
      <c r="H61" s="6"/>
      <c r="I61" s="6"/>
      <c r="J61" s="6"/>
    </row>
    <row r="62" spans="1:10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5" t="s">
        <v>27</v>
      </c>
      <c r="B63" s="36"/>
      <c r="C63" s="15"/>
      <c r="D63" s="15"/>
      <c r="E63" s="15"/>
      <c r="F63" s="15"/>
      <c r="G63" s="15"/>
      <c r="H63" s="15"/>
      <c r="I63" s="6"/>
      <c r="J63" s="6"/>
    </row>
    <row r="64" spans="1:10">
      <c r="A64" s="19"/>
      <c r="B64" s="19"/>
      <c r="C64" s="19"/>
      <c r="D64" s="19"/>
      <c r="E64" s="20" t="s">
        <v>14</v>
      </c>
      <c r="F64" s="20" t="s">
        <v>25</v>
      </c>
      <c r="G64" s="6"/>
      <c r="H64" s="6"/>
      <c r="I64" s="6"/>
      <c r="J64" s="6"/>
    </row>
    <row r="65" spans="1:10">
      <c r="A65" s="19"/>
      <c r="B65" s="8" t="s">
        <v>17</v>
      </c>
      <c r="C65" s="21" t="s">
        <v>18</v>
      </c>
      <c r="D65" s="21" t="s">
        <v>19</v>
      </c>
      <c r="E65" s="21">
        <f>B66</f>
        <v>15000</v>
      </c>
      <c r="F65" s="21">
        <f>B67</f>
        <v>15000</v>
      </c>
      <c r="G65" s="7" t="s">
        <v>20</v>
      </c>
      <c r="H65" s="6"/>
      <c r="I65" s="6"/>
      <c r="J65" s="6"/>
    </row>
    <row r="66" spans="1:10">
      <c r="A66" s="22" t="s">
        <v>14</v>
      </c>
      <c r="B66" s="23">
        <v>15000</v>
      </c>
      <c r="C66" s="9">
        <f>4+1+6</f>
        <v>11</v>
      </c>
      <c r="D66" s="24">
        <f>18600+0+21500</f>
        <v>40100</v>
      </c>
      <c r="E66" s="9">
        <f>D66</f>
        <v>40100</v>
      </c>
      <c r="F66" s="9"/>
      <c r="G66" s="9">
        <f>SUM(E66:F66)</f>
        <v>40100</v>
      </c>
      <c r="H66" s="6"/>
      <c r="I66" s="6"/>
      <c r="J66" s="6"/>
    </row>
    <row r="67" spans="1:10">
      <c r="A67" s="22" t="s">
        <v>16</v>
      </c>
      <c r="B67" s="25">
        <v>15000</v>
      </c>
      <c r="C67" s="34">
        <f>2+6</f>
        <v>8</v>
      </c>
      <c r="D67" s="26">
        <f>183520+1171400</f>
        <v>1354920</v>
      </c>
      <c r="E67" s="34">
        <f>C67*E65</f>
        <v>120000</v>
      </c>
      <c r="F67" s="34">
        <f>D67-E67</f>
        <v>1234920</v>
      </c>
      <c r="G67" s="34">
        <f>SUM(E67:F67)</f>
        <v>1354920</v>
      </c>
      <c r="H67" s="6"/>
      <c r="I67" s="6"/>
      <c r="J67" s="6"/>
    </row>
    <row r="68" spans="1:10">
      <c r="A68" s="22"/>
      <c r="B68" s="23"/>
      <c r="C68" s="9">
        <f>SUM(C66:C67)</f>
        <v>19</v>
      </c>
      <c r="D68" s="9">
        <f>SUM(D66:D67)</f>
        <v>1395020</v>
      </c>
      <c r="E68" s="9">
        <f>SUM(E66:E67)</f>
        <v>160100</v>
      </c>
      <c r="F68" s="9">
        <f>SUM(F66:F67)</f>
        <v>1234920</v>
      </c>
      <c r="G68" s="9">
        <f>SUM(G66:G67)</f>
        <v>1395020</v>
      </c>
      <c r="H68" s="6"/>
      <c r="I68" s="6"/>
      <c r="J68" s="6"/>
    </row>
    <row r="69" spans="1:10">
      <c r="A69" s="22"/>
      <c r="B69" s="23"/>
      <c r="C69" s="9"/>
      <c r="D69" s="9"/>
      <c r="E69" s="6"/>
      <c r="F69" s="6"/>
      <c r="G69" s="6"/>
      <c r="H69" s="6"/>
      <c r="I69" s="6"/>
      <c r="J69" s="6"/>
    </row>
    <row r="70" spans="1:10">
      <c r="A70" s="27" t="s">
        <v>21</v>
      </c>
      <c r="B70" s="27"/>
      <c r="C70" s="6"/>
      <c r="D70" s="6"/>
      <c r="E70" s="6"/>
      <c r="F70" s="6"/>
      <c r="G70" s="6"/>
      <c r="H70" s="6"/>
      <c r="I70" s="6"/>
      <c r="J70" s="6"/>
    </row>
    <row r="71" spans="1:10">
      <c r="A71" s="22"/>
      <c r="B71" s="6"/>
      <c r="C71" s="28" t="s">
        <v>18</v>
      </c>
      <c r="D71" s="7" t="s">
        <v>19</v>
      </c>
      <c r="E71" s="7" t="s">
        <v>22</v>
      </c>
      <c r="F71" s="7" t="s">
        <v>23</v>
      </c>
      <c r="G71" s="6"/>
      <c r="H71" s="6"/>
      <c r="I71" s="6"/>
      <c r="J71" s="6"/>
    </row>
    <row r="72" spans="1:10">
      <c r="A72" s="22" t="s">
        <v>14</v>
      </c>
      <c r="B72" s="23">
        <f>B66</f>
        <v>15000</v>
      </c>
      <c r="C72" s="37">
        <f>C68</f>
        <v>19</v>
      </c>
      <c r="D72" s="24">
        <f>E68</f>
        <v>160100</v>
      </c>
      <c r="E72" s="29">
        <v>188.26</v>
      </c>
      <c r="F72" s="30">
        <f>E72*C72</f>
        <v>3576.9399999999996</v>
      </c>
      <c r="G72" s="6"/>
      <c r="H72" s="6"/>
      <c r="I72" s="6"/>
      <c r="J72" s="6"/>
    </row>
    <row r="73" spans="1:10">
      <c r="A73" s="22" t="s">
        <v>16</v>
      </c>
      <c r="B73" s="23">
        <f t="shared" ref="B73" si="15">B67</f>
        <v>15000</v>
      </c>
      <c r="C73" s="32"/>
      <c r="D73" s="26">
        <f>F68</f>
        <v>1234920</v>
      </c>
      <c r="E73" s="33">
        <v>9.5299999999999994</v>
      </c>
      <c r="F73" s="34">
        <f t="shared" ref="F73" si="16">E73*(D73/1000)</f>
        <v>11768.7876</v>
      </c>
      <c r="G73" s="6"/>
      <c r="H73" s="6"/>
      <c r="I73" s="6"/>
      <c r="J73" s="6"/>
    </row>
    <row r="74" spans="1:10">
      <c r="A74" s="22"/>
      <c r="B74" s="23" t="s">
        <v>20</v>
      </c>
      <c r="C74" s="9">
        <f>SUM(C72:C73)</f>
        <v>19</v>
      </c>
      <c r="D74" s="9">
        <f>SUM(D72:D73)</f>
        <v>1395020</v>
      </c>
      <c r="E74" s="6"/>
      <c r="F74" s="30">
        <f>SUM(F72:F73)</f>
        <v>15345.727599999998</v>
      </c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5" t="s">
        <v>28</v>
      </c>
      <c r="B76" s="36"/>
      <c r="C76" s="15"/>
      <c r="D76" s="15"/>
      <c r="E76" s="15"/>
      <c r="F76" s="15"/>
      <c r="G76" s="15"/>
      <c r="H76" s="6"/>
      <c r="I76" s="6"/>
      <c r="J76" s="6"/>
    </row>
    <row r="77" spans="1:10">
      <c r="A77" s="19"/>
      <c r="B77" s="19"/>
      <c r="C77" s="19"/>
      <c r="D77" s="19"/>
      <c r="E77" s="20" t="s">
        <v>14</v>
      </c>
      <c r="F77" s="20" t="s">
        <v>25</v>
      </c>
      <c r="G77" s="6"/>
      <c r="H77" s="6"/>
      <c r="I77" s="6"/>
      <c r="J77" s="6"/>
    </row>
    <row r="78" spans="1:10">
      <c r="A78" s="19"/>
      <c r="B78" s="8" t="s">
        <v>17</v>
      </c>
      <c r="C78" s="21" t="s">
        <v>18</v>
      </c>
      <c r="D78" s="21" t="s">
        <v>19</v>
      </c>
      <c r="E78" s="21">
        <f>B79</f>
        <v>30000</v>
      </c>
      <c r="F78" s="21">
        <f>B80</f>
        <v>30000</v>
      </c>
      <c r="G78" s="7" t="s">
        <v>20</v>
      </c>
      <c r="H78" s="6"/>
      <c r="I78" s="6"/>
      <c r="J78" s="6"/>
    </row>
    <row r="79" spans="1:10">
      <c r="A79" s="22" t="s">
        <v>14</v>
      </c>
      <c r="B79" s="23">
        <v>30000</v>
      </c>
      <c r="C79" s="9">
        <f>12</f>
        <v>12</v>
      </c>
      <c r="D79" s="24">
        <f>43900</f>
        <v>43900</v>
      </c>
      <c r="E79" s="9">
        <f>D79</f>
        <v>43900</v>
      </c>
      <c r="F79" s="9"/>
      <c r="G79" s="9">
        <f>SUM(E79:F79)</f>
        <v>43900</v>
      </c>
      <c r="H79" s="6"/>
      <c r="I79" s="6"/>
      <c r="J79" s="6"/>
    </row>
    <row r="80" spans="1:10">
      <c r="A80" s="22" t="s">
        <v>16</v>
      </c>
      <c r="B80" s="25">
        <v>30000</v>
      </c>
      <c r="C80" s="34">
        <f>0</f>
        <v>0</v>
      </c>
      <c r="D80" s="26">
        <f>0</f>
        <v>0</v>
      </c>
      <c r="E80" s="34">
        <f>E78*C80</f>
        <v>0</v>
      </c>
      <c r="F80" s="34">
        <f>D80-E80</f>
        <v>0</v>
      </c>
      <c r="G80" s="34">
        <f>SUM(E80:F80)</f>
        <v>0</v>
      </c>
      <c r="H80" s="6"/>
      <c r="I80" s="6"/>
      <c r="J80" s="6"/>
    </row>
    <row r="81" spans="1:10">
      <c r="A81" s="22"/>
      <c r="B81" s="23"/>
      <c r="C81" s="9">
        <f>SUM(C79:C80)</f>
        <v>12</v>
      </c>
      <c r="D81" s="9">
        <f>SUM(D79:D80)</f>
        <v>43900</v>
      </c>
      <c r="E81" s="9">
        <f>SUM(E79:E80)</f>
        <v>43900</v>
      </c>
      <c r="F81" s="9">
        <f>SUM(F79:F80)</f>
        <v>0</v>
      </c>
      <c r="G81" s="9">
        <f>SUM(G79:G80)</f>
        <v>43900</v>
      </c>
      <c r="H81" s="6"/>
      <c r="I81" s="6"/>
      <c r="J81" s="6"/>
    </row>
    <row r="82" spans="1:10">
      <c r="A82" s="22"/>
      <c r="B82" s="23"/>
      <c r="C82" s="6"/>
      <c r="D82" s="6"/>
      <c r="E82" s="6"/>
      <c r="F82" s="6"/>
      <c r="G82" s="6"/>
      <c r="H82" s="6"/>
      <c r="I82" s="6"/>
      <c r="J82" s="6"/>
    </row>
    <row r="83" spans="1:10">
      <c r="A83" s="27" t="s">
        <v>21</v>
      </c>
      <c r="B83" s="27"/>
      <c r="C83" s="6"/>
      <c r="D83" s="6"/>
      <c r="E83" s="6"/>
      <c r="F83" s="6"/>
      <c r="G83" s="6"/>
      <c r="H83" s="6"/>
      <c r="I83" s="6"/>
      <c r="J83" s="6"/>
    </row>
    <row r="84" spans="1:10">
      <c r="A84" s="22"/>
      <c r="B84" s="6"/>
      <c r="C84" s="28" t="s">
        <v>18</v>
      </c>
      <c r="D84" s="7" t="s">
        <v>19</v>
      </c>
      <c r="E84" s="7" t="s">
        <v>22</v>
      </c>
      <c r="F84" s="7" t="s">
        <v>23</v>
      </c>
      <c r="G84" s="6"/>
      <c r="H84" s="6"/>
      <c r="I84" s="6"/>
      <c r="J84" s="6"/>
    </row>
    <row r="85" spans="1:10">
      <c r="A85" s="22" t="s">
        <v>14</v>
      </c>
      <c r="B85" s="23">
        <f>B79</f>
        <v>30000</v>
      </c>
      <c r="C85" s="37">
        <f>C81</f>
        <v>12</v>
      </c>
      <c r="D85" s="24">
        <f>E81</f>
        <v>43900</v>
      </c>
      <c r="E85" s="29">
        <v>331.21</v>
      </c>
      <c r="F85" s="30">
        <f>E85*C85</f>
        <v>3974.5199999999995</v>
      </c>
      <c r="G85" s="6"/>
      <c r="H85" s="6"/>
      <c r="I85" s="6"/>
      <c r="J85" s="6"/>
    </row>
    <row r="86" spans="1:10">
      <c r="A86" s="22" t="s">
        <v>16</v>
      </c>
      <c r="B86" s="23">
        <f t="shared" ref="B86" si="17">B80</f>
        <v>30000</v>
      </c>
      <c r="C86" s="34"/>
      <c r="D86" s="26">
        <f>F81</f>
        <v>0</v>
      </c>
      <c r="E86" s="33">
        <v>9.5299999999999994</v>
      </c>
      <c r="F86" s="34">
        <f t="shared" ref="F86" si="18">E86*(D86/1000)</f>
        <v>0</v>
      </c>
      <c r="G86" s="6"/>
      <c r="H86" s="6"/>
      <c r="I86" s="6"/>
      <c r="J86" s="6"/>
    </row>
    <row r="87" spans="1:10">
      <c r="A87" s="22"/>
      <c r="B87" s="23" t="s">
        <v>20</v>
      </c>
      <c r="C87" s="9">
        <f>SUM(C85:C86)</f>
        <v>12</v>
      </c>
      <c r="D87" s="9">
        <f>SUM(D85:D86)</f>
        <v>43900</v>
      </c>
      <c r="E87" s="6"/>
      <c r="F87" s="30">
        <f>SUM(F85:F86)</f>
        <v>3974.5199999999995</v>
      </c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2020-05-15T16:18:45Z</dcterms:created>
  <dcterms:modified xsi:type="dcterms:W3CDTF">2020-05-15T16:25:40Z</dcterms:modified>
</cp:coreProperties>
</file>