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SEIDON\Shared\Users\SSchmuck\My Documents\PSC\Disconnect_Late Fee Waivers\PSC Data Request Case No. 2020-00085 - COVID-19\"/>
    </mc:Choice>
  </mc:AlternateContent>
  <bookViews>
    <workbookView xWindow="28680" yWindow="-120" windowWidth="29040" windowHeight="15840"/>
  </bookViews>
  <sheets>
    <sheet name="2017_2020 Summary" sheetId="5" r:id="rId1"/>
    <sheet name="2017 Water_Sewer" sheetId="1" r:id="rId2"/>
    <sheet name="2018 Water_Sewer" sheetId="2" r:id="rId3"/>
    <sheet name="2019 Water_Sewer" sheetId="3" r:id="rId4"/>
    <sheet name="2020 Water_Sewer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9" i="4" l="1"/>
  <c r="N26" i="4"/>
  <c r="N56" i="3"/>
  <c r="N55" i="3"/>
  <c r="N56" i="2"/>
  <c r="N55" i="2"/>
  <c r="N54" i="1"/>
  <c r="N53" i="1"/>
  <c r="N51" i="2" l="1"/>
  <c r="D23" i="3" l="1"/>
  <c r="C23" i="3"/>
  <c r="M23" i="2"/>
  <c r="L23" i="2"/>
  <c r="K23" i="2"/>
  <c r="J23" i="2"/>
  <c r="I23" i="2"/>
  <c r="H23" i="2"/>
  <c r="G23" i="2"/>
  <c r="F23" i="2"/>
  <c r="E23" i="2"/>
  <c r="D23" i="2"/>
  <c r="C23" i="2"/>
  <c r="B23" i="2"/>
  <c r="M23" i="1"/>
  <c r="L23" i="1"/>
  <c r="K23" i="1"/>
  <c r="J23" i="1"/>
  <c r="H23" i="1"/>
  <c r="G23" i="1"/>
  <c r="E23" i="1"/>
  <c r="D23" i="1"/>
  <c r="N32" i="4" l="1"/>
  <c r="N31" i="4"/>
  <c r="N30" i="3"/>
  <c r="N29" i="3"/>
  <c r="N30" i="2"/>
  <c r="N29" i="2"/>
  <c r="N56" i="4" l="1"/>
  <c r="N44" i="4"/>
  <c r="N23" i="4"/>
  <c r="N11" i="4"/>
  <c r="N51" i="3"/>
  <c r="N39" i="3"/>
  <c r="N23" i="3"/>
  <c r="N11" i="3"/>
  <c r="N39" i="2"/>
  <c r="N23" i="2"/>
  <c r="N11" i="2"/>
  <c r="I23" i="1" l="1"/>
  <c r="H49" i="1"/>
  <c r="G49" i="1"/>
  <c r="F49" i="1"/>
  <c r="F23" i="1"/>
  <c r="E49" i="1"/>
  <c r="D49" i="1"/>
  <c r="C49" i="1"/>
  <c r="C23" i="1"/>
  <c r="B49" i="1"/>
  <c r="B23" i="1"/>
  <c r="N37" i="1"/>
  <c r="N11" i="1"/>
  <c r="D50" i="2"/>
  <c r="C55" i="4"/>
  <c r="D55" i="4"/>
  <c r="E55" i="4"/>
  <c r="F55" i="4"/>
  <c r="B55" i="4"/>
  <c r="C22" i="4"/>
  <c r="D22" i="4"/>
  <c r="E22" i="4"/>
  <c r="F22" i="4"/>
  <c r="B22" i="4"/>
  <c r="E50" i="3"/>
  <c r="C50" i="3"/>
  <c r="D50" i="3"/>
  <c r="F50" i="3"/>
  <c r="G50" i="3"/>
  <c r="H50" i="3"/>
  <c r="I50" i="3"/>
  <c r="J50" i="3"/>
  <c r="K50" i="3"/>
  <c r="L50" i="3"/>
  <c r="M50" i="3"/>
  <c r="B50" i="3"/>
  <c r="C22" i="3"/>
  <c r="D22" i="3"/>
  <c r="E22" i="3"/>
  <c r="F22" i="3"/>
  <c r="G22" i="3"/>
  <c r="H22" i="3"/>
  <c r="I22" i="3"/>
  <c r="J22" i="3"/>
  <c r="K22" i="3"/>
  <c r="L22" i="3"/>
  <c r="M22" i="3"/>
  <c r="B22" i="3"/>
  <c r="C50" i="2"/>
  <c r="E50" i="2"/>
  <c r="F50" i="2"/>
  <c r="G50" i="2"/>
  <c r="H50" i="2"/>
  <c r="I50" i="2"/>
  <c r="J50" i="2"/>
  <c r="K50" i="2"/>
  <c r="L50" i="2"/>
  <c r="M50" i="2"/>
  <c r="B50" i="2"/>
  <c r="C22" i="2"/>
  <c r="D22" i="2"/>
  <c r="E22" i="2"/>
  <c r="F22" i="2"/>
  <c r="G22" i="2"/>
  <c r="H22" i="2"/>
  <c r="I22" i="2"/>
  <c r="J22" i="2"/>
  <c r="K22" i="2"/>
  <c r="L22" i="2"/>
  <c r="M22" i="2"/>
  <c r="B22" i="2"/>
  <c r="C48" i="1"/>
  <c r="D48" i="1"/>
  <c r="E48" i="1"/>
  <c r="F48" i="1"/>
  <c r="G48" i="1"/>
  <c r="H48" i="1"/>
  <c r="I48" i="1"/>
  <c r="J48" i="1"/>
  <c r="K48" i="1"/>
  <c r="L48" i="1"/>
  <c r="M48" i="1"/>
  <c r="B48" i="1"/>
  <c r="C22" i="1"/>
  <c r="D22" i="1"/>
  <c r="E22" i="1"/>
  <c r="F22" i="1"/>
  <c r="G22" i="1"/>
  <c r="H22" i="1"/>
  <c r="I22" i="1"/>
  <c r="J22" i="1"/>
  <c r="K22" i="1"/>
  <c r="L22" i="1"/>
  <c r="M22" i="1"/>
  <c r="B22" i="1"/>
  <c r="N49" i="1" l="1"/>
  <c r="N23" i="1"/>
  <c r="N50" i="2"/>
  <c r="N55" i="4"/>
  <c r="N22" i="4"/>
  <c r="N50" i="3"/>
  <c r="N22" i="3"/>
  <c r="N22" i="2"/>
  <c r="N48" i="1"/>
  <c r="N22" i="1"/>
  <c r="G9" i="5"/>
  <c r="G10" i="5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2" i="1"/>
  <c r="M41" i="1"/>
  <c r="L41" i="1"/>
  <c r="L47" i="1" s="1"/>
  <c r="L50" i="1" s="1"/>
  <c r="K41" i="1"/>
  <c r="J41" i="1"/>
  <c r="J47" i="1" s="1"/>
  <c r="J50" i="1" s="1"/>
  <c r="I41" i="1"/>
  <c r="H41" i="1"/>
  <c r="H47" i="1" s="1"/>
  <c r="H50" i="1" s="1"/>
  <c r="G41" i="1"/>
  <c r="F41" i="1"/>
  <c r="E41" i="1"/>
  <c r="D41" i="1"/>
  <c r="D47" i="1" s="1"/>
  <c r="D50" i="1" s="1"/>
  <c r="C41" i="1"/>
  <c r="B41" i="1"/>
  <c r="N36" i="1"/>
  <c r="M35" i="1"/>
  <c r="M38" i="1" s="1"/>
  <c r="L35" i="1"/>
  <c r="L38" i="1" s="1"/>
  <c r="K35" i="1"/>
  <c r="K38" i="1" s="1"/>
  <c r="J35" i="1"/>
  <c r="J38" i="1" s="1"/>
  <c r="I35" i="1"/>
  <c r="I38" i="1" s="1"/>
  <c r="H35" i="1"/>
  <c r="H38" i="1" s="1"/>
  <c r="G35" i="1"/>
  <c r="G38" i="1" s="1"/>
  <c r="F35" i="1"/>
  <c r="F38" i="1" s="1"/>
  <c r="E35" i="1"/>
  <c r="E38" i="1" s="1"/>
  <c r="D35" i="1"/>
  <c r="D38" i="1" s="1"/>
  <c r="C35" i="1"/>
  <c r="C38" i="1" s="1"/>
  <c r="B35" i="1"/>
  <c r="B38" i="1" s="1"/>
  <c r="N28" i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F27" i="1"/>
  <c r="F29" i="1" s="1"/>
  <c r="E27" i="1"/>
  <c r="E29" i="1" s="1"/>
  <c r="D27" i="1"/>
  <c r="D29" i="1" s="1"/>
  <c r="C27" i="1"/>
  <c r="C29" i="1" s="1"/>
  <c r="B27" i="1"/>
  <c r="B29" i="1" s="1"/>
  <c r="N19" i="1"/>
  <c r="M18" i="1"/>
  <c r="L18" i="1"/>
  <c r="K18" i="1"/>
  <c r="J18" i="1"/>
  <c r="I18" i="1"/>
  <c r="H18" i="1"/>
  <c r="G18" i="1"/>
  <c r="F18" i="1"/>
  <c r="E18" i="1"/>
  <c r="D18" i="1"/>
  <c r="C18" i="1"/>
  <c r="B18" i="1"/>
  <c r="N16" i="1"/>
  <c r="M15" i="1"/>
  <c r="L15" i="1"/>
  <c r="K15" i="1"/>
  <c r="J15" i="1"/>
  <c r="I15" i="1"/>
  <c r="H15" i="1"/>
  <c r="G15" i="1"/>
  <c r="F15" i="1"/>
  <c r="E15" i="1"/>
  <c r="D15" i="1"/>
  <c r="C15" i="1"/>
  <c r="B15" i="1"/>
  <c r="N10" i="1"/>
  <c r="M9" i="1"/>
  <c r="M12" i="1" s="1"/>
  <c r="L9" i="1"/>
  <c r="L12" i="1" s="1"/>
  <c r="K9" i="1"/>
  <c r="K12" i="1" s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C9" i="1"/>
  <c r="C12" i="1" s="1"/>
  <c r="B9" i="1"/>
  <c r="B12" i="1" s="1"/>
  <c r="F47" i="1" l="1"/>
  <c r="F50" i="1" s="1"/>
  <c r="C21" i="1"/>
  <c r="C24" i="1" s="1"/>
  <c r="G21" i="1"/>
  <c r="G24" i="1" s="1"/>
  <c r="K21" i="1"/>
  <c r="K24" i="1" s="1"/>
  <c r="C47" i="1"/>
  <c r="C50" i="1" s="1"/>
  <c r="G47" i="1"/>
  <c r="G50" i="1" s="1"/>
  <c r="K47" i="1"/>
  <c r="K50" i="1" s="1"/>
  <c r="E47" i="1"/>
  <c r="E50" i="1" s="1"/>
  <c r="I47" i="1"/>
  <c r="I50" i="1" s="1"/>
  <c r="M47" i="1"/>
  <c r="M50" i="1" s="1"/>
  <c r="B47" i="1"/>
  <c r="B50" i="1" s="1"/>
  <c r="D21" i="1"/>
  <c r="D24" i="1" s="1"/>
  <c r="H21" i="1"/>
  <c r="H24" i="1" s="1"/>
  <c r="L21" i="1"/>
  <c r="L24" i="1" s="1"/>
  <c r="B21" i="1"/>
  <c r="B24" i="1" s="1"/>
  <c r="F21" i="1"/>
  <c r="F24" i="1" s="1"/>
  <c r="J21" i="1"/>
  <c r="J24" i="1" s="1"/>
  <c r="E21" i="1"/>
  <c r="E24" i="1" s="1"/>
  <c r="I21" i="1"/>
  <c r="I24" i="1" s="1"/>
  <c r="M21" i="1"/>
  <c r="M24" i="1" s="1"/>
  <c r="N9" i="1"/>
  <c r="N35" i="1"/>
  <c r="N15" i="1"/>
  <c r="N41" i="1"/>
  <c r="N18" i="1"/>
  <c r="N44" i="1"/>
  <c r="N27" i="1"/>
  <c r="N29" i="1" s="1"/>
  <c r="F60" i="1" s="1"/>
  <c r="F9" i="5" s="1"/>
  <c r="G25" i="5"/>
  <c r="G26" i="5"/>
  <c r="G17" i="5"/>
  <c r="G18" i="5"/>
  <c r="N52" i="4"/>
  <c r="F51" i="4"/>
  <c r="E51" i="4"/>
  <c r="D51" i="4"/>
  <c r="C51" i="4"/>
  <c r="B51" i="4"/>
  <c r="N49" i="4"/>
  <c r="F48" i="4"/>
  <c r="E48" i="4"/>
  <c r="D48" i="4"/>
  <c r="C48" i="4"/>
  <c r="B48" i="4"/>
  <c r="N43" i="4"/>
  <c r="F42" i="4"/>
  <c r="E42" i="4"/>
  <c r="D42" i="4"/>
  <c r="C42" i="4"/>
  <c r="B42" i="4"/>
  <c r="N30" i="4"/>
  <c r="F29" i="4"/>
  <c r="E29" i="4"/>
  <c r="D29" i="4"/>
  <c r="C29" i="4"/>
  <c r="B29" i="4"/>
  <c r="N19" i="4"/>
  <c r="F18" i="4"/>
  <c r="E18" i="4"/>
  <c r="D18" i="4"/>
  <c r="C18" i="4"/>
  <c r="B18" i="4"/>
  <c r="N16" i="4"/>
  <c r="F15" i="4"/>
  <c r="E15" i="4"/>
  <c r="D15" i="4"/>
  <c r="C15" i="4"/>
  <c r="B15" i="4"/>
  <c r="N10" i="4"/>
  <c r="F9" i="4"/>
  <c r="E9" i="4"/>
  <c r="D9" i="4"/>
  <c r="C9" i="4"/>
  <c r="B9" i="4"/>
  <c r="N38" i="1" l="1"/>
  <c r="N12" i="1"/>
  <c r="D45" i="4"/>
  <c r="H39" i="5" s="1"/>
  <c r="C45" i="4"/>
  <c r="G39" i="5" s="1"/>
  <c r="E45" i="4"/>
  <c r="I39" i="5" s="1"/>
  <c r="F45" i="4"/>
  <c r="J39" i="5" s="1"/>
  <c r="F61" i="4"/>
  <c r="J41" i="5" s="1"/>
  <c r="B45" i="4"/>
  <c r="F39" i="5" s="1"/>
  <c r="E54" i="4"/>
  <c r="E57" i="4" s="1"/>
  <c r="I40" i="5" s="1"/>
  <c r="F12" i="4"/>
  <c r="J32" i="5" s="1"/>
  <c r="D12" i="4"/>
  <c r="B12" i="4"/>
  <c r="F32" i="5" s="1"/>
  <c r="C12" i="4"/>
  <c r="G32" i="5" s="1"/>
  <c r="E12" i="4"/>
  <c r="I32" i="5" s="1"/>
  <c r="E33" i="4"/>
  <c r="I34" i="5" s="1"/>
  <c r="D33" i="4"/>
  <c r="H34" i="5" s="1"/>
  <c r="B33" i="4"/>
  <c r="F34" i="5" s="1"/>
  <c r="F33" i="4"/>
  <c r="J34" i="5" s="1"/>
  <c r="C33" i="4"/>
  <c r="G34" i="5" s="1"/>
  <c r="F58" i="1"/>
  <c r="F7" i="5" s="1"/>
  <c r="G58" i="1"/>
  <c r="G7" i="5" s="1"/>
  <c r="D54" i="4"/>
  <c r="D57" i="4" s="1"/>
  <c r="H40" i="5" s="1"/>
  <c r="B54" i="4"/>
  <c r="B57" i="4" s="1"/>
  <c r="F40" i="5" s="1"/>
  <c r="F54" i="4"/>
  <c r="F57" i="4" s="1"/>
  <c r="J40" i="5" s="1"/>
  <c r="C54" i="4"/>
  <c r="C57" i="4" s="1"/>
  <c r="G40" i="5" s="1"/>
  <c r="D21" i="4"/>
  <c r="D24" i="4" s="1"/>
  <c r="C21" i="4"/>
  <c r="C24" i="4" s="1"/>
  <c r="E21" i="4"/>
  <c r="E24" i="4" s="1"/>
  <c r="H32" i="5"/>
  <c r="B21" i="4"/>
  <c r="B24" i="4" s="1"/>
  <c r="F21" i="4"/>
  <c r="F24" i="4" s="1"/>
  <c r="N15" i="4"/>
  <c r="N48" i="4"/>
  <c r="N29" i="4"/>
  <c r="N51" i="4"/>
  <c r="N18" i="4"/>
  <c r="N9" i="4"/>
  <c r="N42" i="4"/>
  <c r="N47" i="1"/>
  <c r="N21" i="1"/>
  <c r="F62" i="1" s="1"/>
  <c r="M46" i="3"/>
  <c r="M43" i="3"/>
  <c r="M37" i="3"/>
  <c r="M40" i="3" s="1"/>
  <c r="M27" i="3"/>
  <c r="M31" i="3" s="1"/>
  <c r="M18" i="3"/>
  <c r="M15" i="3"/>
  <c r="M9" i="3"/>
  <c r="M12" i="3" s="1"/>
  <c r="L46" i="3"/>
  <c r="L43" i="3"/>
  <c r="L49" i="3" s="1"/>
  <c r="L52" i="3" s="1"/>
  <c r="L37" i="3"/>
  <c r="L40" i="3" s="1"/>
  <c r="L27" i="3"/>
  <c r="L31" i="3" s="1"/>
  <c r="L18" i="3"/>
  <c r="L15" i="3"/>
  <c r="L21" i="3" s="1"/>
  <c r="L24" i="3" s="1"/>
  <c r="L9" i="3"/>
  <c r="L12" i="3" s="1"/>
  <c r="C61" i="4" l="1"/>
  <c r="G41" i="5" s="1"/>
  <c r="B61" i="4"/>
  <c r="F41" i="5" s="1"/>
  <c r="N50" i="1"/>
  <c r="G59" i="1" s="1"/>
  <c r="G8" i="5" s="1"/>
  <c r="D61" i="4"/>
  <c r="H41" i="5" s="1"/>
  <c r="F61" i="1"/>
  <c r="E61" i="4"/>
  <c r="I41" i="5" s="1"/>
  <c r="G62" i="1"/>
  <c r="N45" i="4"/>
  <c r="C35" i="4"/>
  <c r="G35" i="5" s="1"/>
  <c r="D35" i="4"/>
  <c r="E36" i="4"/>
  <c r="I36" i="5" s="1"/>
  <c r="B36" i="4"/>
  <c r="F36" i="5" s="1"/>
  <c r="E35" i="4"/>
  <c r="I35" i="5" s="1"/>
  <c r="C36" i="4"/>
  <c r="G36" i="5" s="1"/>
  <c r="F35" i="4"/>
  <c r="J35" i="5" s="1"/>
  <c r="N12" i="4"/>
  <c r="F66" i="4" s="1"/>
  <c r="B35" i="4"/>
  <c r="F35" i="5" s="1"/>
  <c r="D36" i="4"/>
  <c r="H36" i="5" s="1"/>
  <c r="F36" i="4"/>
  <c r="J36" i="5" s="1"/>
  <c r="H33" i="5"/>
  <c r="G66" i="4"/>
  <c r="I33" i="5"/>
  <c r="N33" i="4"/>
  <c r="F68" i="4" s="1"/>
  <c r="J33" i="5"/>
  <c r="G33" i="5"/>
  <c r="H35" i="5"/>
  <c r="F11" i="5"/>
  <c r="N24" i="1"/>
  <c r="F59" i="1" s="1"/>
  <c r="F8" i="5" s="1"/>
  <c r="G11" i="5"/>
  <c r="F10" i="5"/>
  <c r="N54" i="4"/>
  <c r="N61" i="4" s="1"/>
  <c r="F33" i="5"/>
  <c r="N21" i="4"/>
  <c r="N24" i="4" s="1"/>
  <c r="M49" i="3"/>
  <c r="M52" i="3" s="1"/>
  <c r="M21" i="3"/>
  <c r="M24" i="3" s="1"/>
  <c r="K46" i="3"/>
  <c r="K43" i="3"/>
  <c r="K37" i="3"/>
  <c r="K40" i="3" s="1"/>
  <c r="K27" i="3"/>
  <c r="K31" i="3" s="1"/>
  <c r="K18" i="3"/>
  <c r="K15" i="3"/>
  <c r="K9" i="3"/>
  <c r="K12" i="3" s="1"/>
  <c r="J46" i="3"/>
  <c r="J43" i="3"/>
  <c r="J37" i="3"/>
  <c r="J40" i="3" s="1"/>
  <c r="J27" i="3"/>
  <c r="J31" i="3" s="1"/>
  <c r="J18" i="3"/>
  <c r="J15" i="3"/>
  <c r="J9" i="3"/>
  <c r="J12" i="3" s="1"/>
  <c r="I46" i="3"/>
  <c r="I43" i="3"/>
  <c r="I37" i="3"/>
  <c r="I40" i="3" s="1"/>
  <c r="I27" i="3"/>
  <c r="I31" i="3" s="1"/>
  <c r="I18" i="3"/>
  <c r="I15" i="3"/>
  <c r="I9" i="3"/>
  <c r="I12" i="3" s="1"/>
  <c r="H46" i="3"/>
  <c r="H43" i="3"/>
  <c r="H37" i="3"/>
  <c r="H40" i="3" s="1"/>
  <c r="H27" i="3"/>
  <c r="H31" i="3" s="1"/>
  <c r="H18" i="3"/>
  <c r="H15" i="3"/>
  <c r="H9" i="3"/>
  <c r="H12" i="3" s="1"/>
  <c r="N47" i="2"/>
  <c r="M46" i="2"/>
  <c r="L46" i="2"/>
  <c r="K46" i="2"/>
  <c r="J46" i="2"/>
  <c r="I46" i="2"/>
  <c r="H46" i="2"/>
  <c r="G46" i="2"/>
  <c r="F46" i="2"/>
  <c r="E46" i="2"/>
  <c r="D46" i="2"/>
  <c r="C46" i="2"/>
  <c r="B46" i="2"/>
  <c r="N44" i="2"/>
  <c r="M43" i="2"/>
  <c r="M49" i="2" s="1"/>
  <c r="M52" i="2" s="1"/>
  <c r="L43" i="2"/>
  <c r="K43" i="2"/>
  <c r="J43" i="2"/>
  <c r="I43" i="2"/>
  <c r="H43" i="2"/>
  <c r="G43" i="2"/>
  <c r="F43" i="2"/>
  <c r="E43" i="2"/>
  <c r="E49" i="2" s="1"/>
  <c r="E52" i="2" s="1"/>
  <c r="D43" i="2"/>
  <c r="C43" i="2"/>
  <c r="B43" i="2"/>
  <c r="N38" i="2"/>
  <c r="M37" i="2"/>
  <c r="M40" i="2" s="1"/>
  <c r="L37" i="2"/>
  <c r="L40" i="2" s="1"/>
  <c r="K37" i="2"/>
  <c r="K40" i="2" s="1"/>
  <c r="J37" i="2"/>
  <c r="J40" i="2" s="1"/>
  <c r="I37" i="2"/>
  <c r="I40" i="2" s="1"/>
  <c r="H37" i="2"/>
  <c r="H40" i="2" s="1"/>
  <c r="G37" i="2"/>
  <c r="G40" i="2" s="1"/>
  <c r="F37" i="2"/>
  <c r="F40" i="2" s="1"/>
  <c r="E37" i="2"/>
  <c r="E40" i="2" s="1"/>
  <c r="D37" i="2"/>
  <c r="D40" i="2" s="1"/>
  <c r="C37" i="2"/>
  <c r="C40" i="2" s="1"/>
  <c r="B37" i="2"/>
  <c r="B40" i="2" s="1"/>
  <c r="N28" i="2"/>
  <c r="M27" i="2"/>
  <c r="M31" i="2" s="1"/>
  <c r="L27" i="2"/>
  <c r="L31" i="2" s="1"/>
  <c r="K27" i="2"/>
  <c r="K31" i="2" s="1"/>
  <c r="J27" i="2"/>
  <c r="J31" i="2" s="1"/>
  <c r="I27" i="2"/>
  <c r="I31" i="2" s="1"/>
  <c r="H27" i="2"/>
  <c r="H31" i="2" s="1"/>
  <c r="G27" i="2"/>
  <c r="G31" i="2" s="1"/>
  <c r="F27" i="2"/>
  <c r="F31" i="2" s="1"/>
  <c r="E27" i="2"/>
  <c r="E31" i="2" s="1"/>
  <c r="D27" i="2"/>
  <c r="D31" i="2" s="1"/>
  <c r="C27" i="2"/>
  <c r="C31" i="2" s="1"/>
  <c r="B27" i="2"/>
  <c r="B31" i="2" s="1"/>
  <c r="N19" i="2"/>
  <c r="M18" i="2"/>
  <c r="L18" i="2"/>
  <c r="K18" i="2"/>
  <c r="J18" i="2"/>
  <c r="I18" i="2"/>
  <c r="H18" i="2"/>
  <c r="G18" i="2"/>
  <c r="F18" i="2"/>
  <c r="E18" i="2"/>
  <c r="D18" i="2"/>
  <c r="C18" i="2"/>
  <c r="B18" i="2"/>
  <c r="N16" i="2"/>
  <c r="M15" i="2"/>
  <c r="L15" i="2"/>
  <c r="K15" i="2"/>
  <c r="J15" i="2"/>
  <c r="I15" i="2"/>
  <c r="I21" i="2" s="1"/>
  <c r="I24" i="2" s="1"/>
  <c r="H15" i="2"/>
  <c r="G15" i="2"/>
  <c r="F15" i="2"/>
  <c r="E15" i="2"/>
  <c r="D15" i="2"/>
  <c r="C15" i="2"/>
  <c r="B15" i="2"/>
  <c r="N10" i="2"/>
  <c r="M9" i="2"/>
  <c r="M12" i="2" s="1"/>
  <c r="L9" i="2"/>
  <c r="L12" i="2" s="1"/>
  <c r="K9" i="2"/>
  <c r="K12" i="2" s="1"/>
  <c r="J9" i="2"/>
  <c r="J12" i="2" s="1"/>
  <c r="I9" i="2"/>
  <c r="I12" i="2" s="1"/>
  <c r="H9" i="2"/>
  <c r="H12" i="2" s="1"/>
  <c r="G9" i="2"/>
  <c r="G12" i="2" s="1"/>
  <c r="F9" i="2"/>
  <c r="F12" i="2" s="1"/>
  <c r="E9" i="2"/>
  <c r="E12" i="2" s="1"/>
  <c r="D9" i="2"/>
  <c r="D12" i="2" s="1"/>
  <c r="C9" i="2"/>
  <c r="C12" i="2" s="1"/>
  <c r="B9" i="2"/>
  <c r="B12" i="2" s="1"/>
  <c r="H21" i="3" l="1"/>
  <c r="H24" i="3" s="1"/>
  <c r="E21" i="2"/>
  <c r="E24" i="2" s="1"/>
  <c r="M21" i="2"/>
  <c r="M24" i="2" s="1"/>
  <c r="I49" i="2"/>
  <c r="I52" i="2" s="1"/>
  <c r="G70" i="4"/>
  <c r="N57" i="4"/>
  <c r="G67" i="4" s="1"/>
  <c r="N35" i="4"/>
  <c r="F69" i="4" s="1"/>
  <c r="N36" i="4"/>
  <c r="F70" i="4" s="1"/>
  <c r="K21" i="3"/>
  <c r="K24" i="3" s="1"/>
  <c r="K49" i="3"/>
  <c r="K52" i="3" s="1"/>
  <c r="B21" i="2"/>
  <c r="B24" i="2" s="1"/>
  <c r="F21" i="2"/>
  <c r="F24" i="2" s="1"/>
  <c r="J21" i="2"/>
  <c r="J24" i="2" s="1"/>
  <c r="B49" i="2"/>
  <c r="B52" i="2" s="1"/>
  <c r="F49" i="2"/>
  <c r="F52" i="2" s="1"/>
  <c r="J49" i="2"/>
  <c r="J52" i="2" s="1"/>
  <c r="D49" i="2"/>
  <c r="D52" i="2" s="1"/>
  <c r="H49" i="2"/>
  <c r="H52" i="2" s="1"/>
  <c r="L49" i="2"/>
  <c r="L52" i="2" s="1"/>
  <c r="C49" i="2"/>
  <c r="C52" i="2" s="1"/>
  <c r="F67" i="4"/>
  <c r="J21" i="3"/>
  <c r="J24" i="3" s="1"/>
  <c r="J49" i="3"/>
  <c r="J52" i="3" s="1"/>
  <c r="I49" i="3"/>
  <c r="I52" i="3" s="1"/>
  <c r="H49" i="3"/>
  <c r="H52" i="3" s="1"/>
  <c r="I21" i="3"/>
  <c r="I24" i="3" s="1"/>
  <c r="C21" i="2"/>
  <c r="C24" i="2" s="1"/>
  <c r="G21" i="2"/>
  <c r="G24" i="2" s="1"/>
  <c r="K21" i="2"/>
  <c r="K24" i="2" s="1"/>
  <c r="G49" i="2"/>
  <c r="G52" i="2" s="1"/>
  <c r="K49" i="2"/>
  <c r="K52" i="2" s="1"/>
  <c r="D21" i="2"/>
  <c r="D24" i="2" s="1"/>
  <c r="H21" i="2"/>
  <c r="H24" i="2" s="1"/>
  <c r="L21" i="2"/>
  <c r="L24" i="2" s="1"/>
  <c r="N9" i="2"/>
  <c r="N15" i="2"/>
  <c r="N37" i="2"/>
  <c r="N43" i="2"/>
  <c r="N18" i="2"/>
  <c r="N46" i="2"/>
  <c r="N27" i="2"/>
  <c r="N31" i="2" s="1"/>
  <c r="G46" i="3"/>
  <c r="G43" i="3"/>
  <c r="G37" i="3"/>
  <c r="G40" i="3" s="1"/>
  <c r="G27" i="3"/>
  <c r="G31" i="3" s="1"/>
  <c r="G18" i="3"/>
  <c r="G15" i="3"/>
  <c r="G9" i="3"/>
  <c r="G12" i="3" s="1"/>
  <c r="F46" i="3"/>
  <c r="F43" i="3"/>
  <c r="F37" i="3"/>
  <c r="F40" i="3" s="1"/>
  <c r="F27" i="3"/>
  <c r="F31" i="3" s="1"/>
  <c r="F18" i="3"/>
  <c r="F15" i="3"/>
  <c r="F9" i="3"/>
  <c r="F12" i="3" s="1"/>
  <c r="E46" i="3"/>
  <c r="E43" i="3"/>
  <c r="E37" i="3"/>
  <c r="E40" i="3" s="1"/>
  <c r="E27" i="3"/>
  <c r="E31" i="3" s="1"/>
  <c r="E18" i="3"/>
  <c r="E15" i="3"/>
  <c r="E9" i="3"/>
  <c r="E12" i="3" s="1"/>
  <c r="D46" i="3"/>
  <c r="D43" i="3"/>
  <c r="D37" i="3"/>
  <c r="D40" i="3" s="1"/>
  <c r="D27" i="3"/>
  <c r="D31" i="3" s="1"/>
  <c r="D18" i="3"/>
  <c r="D15" i="3"/>
  <c r="D21" i="3" s="1"/>
  <c r="D24" i="3" s="1"/>
  <c r="N40" i="2" l="1"/>
  <c r="N12" i="2"/>
  <c r="F60" i="2" s="1"/>
  <c r="F15" i="5" s="1"/>
  <c r="D49" i="3"/>
  <c r="D52" i="3" s="1"/>
  <c r="F21" i="3"/>
  <c r="F24" i="3" s="1"/>
  <c r="F49" i="3"/>
  <c r="F52" i="3" s="1"/>
  <c r="G49" i="3"/>
  <c r="G52" i="3" s="1"/>
  <c r="F62" i="2"/>
  <c r="F17" i="5" s="1"/>
  <c r="G60" i="2"/>
  <c r="G15" i="5" s="1"/>
  <c r="N21" i="2"/>
  <c r="F64" i="2" s="1"/>
  <c r="E21" i="3"/>
  <c r="E24" i="3" s="1"/>
  <c r="E49" i="3"/>
  <c r="E52" i="3" s="1"/>
  <c r="G21" i="3"/>
  <c r="G24" i="3" s="1"/>
  <c r="N49" i="2"/>
  <c r="D9" i="3"/>
  <c r="D12" i="3" s="1"/>
  <c r="C46" i="3"/>
  <c r="C43" i="3"/>
  <c r="C37" i="3"/>
  <c r="C40" i="3" s="1"/>
  <c r="C27" i="3"/>
  <c r="C31" i="3" s="1"/>
  <c r="C18" i="3"/>
  <c r="C15" i="3"/>
  <c r="C9" i="3"/>
  <c r="C12" i="3" s="1"/>
  <c r="B46" i="3"/>
  <c r="B43" i="3"/>
  <c r="B37" i="3"/>
  <c r="B40" i="3" s="1"/>
  <c r="B27" i="3"/>
  <c r="B31" i="3" s="1"/>
  <c r="B18" i="3"/>
  <c r="B15" i="3"/>
  <c r="B9" i="3"/>
  <c r="B12" i="3" s="1"/>
  <c r="F63" i="2" l="1"/>
  <c r="C49" i="3"/>
  <c r="C52" i="3" s="1"/>
  <c r="N52" i="2"/>
  <c r="G61" i="2" s="1"/>
  <c r="G16" i="5" s="1"/>
  <c r="G64" i="2"/>
  <c r="G19" i="5" s="1"/>
  <c r="N37" i="3"/>
  <c r="N24" i="2"/>
  <c r="F61" i="2" s="1"/>
  <c r="F16" i="5" s="1"/>
  <c r="F19" i="5"/>
  <c r="F18" i="5"/>
  <c r="B49" i="3"/>
  <c r="B52" i="3" s="1"/>
  <c r="C21" i="3"/>
  <c r="C24" i="3" s="1"/>
  <c r="N15" i="3"/>
  <c r="B21" i="3"/>
  <c r="B24" i="3" s="1"/>
  <c r="N43" i="3"/>
  <c r="N27" i="3"/>
  <c r="N46" i="3"/>
  <c r="N18" i="3"/>
  <c r="N9" i="3"/>
  <c r="N47" i="3"/>
  <c r="N44" i="3"/>
  <c r="N38" i="3"/>
  <c r="N28" i="3"/>
  <c r="N19" i="3"/>
  <c r="N16" i="3"/>
  <c r="N10" i="3"/>
  <c r="N40" i="3" l="1"/>
  <c r="N12" i="3"/>
  <c r="F64" i="3"/>
  <c r="F63" i="3"/>
  <c r="N31" i="3"/>
  <c r="F62" i="3" s="1"/>
  <c r="F25" i="5" s="1"/>
  <c r="G60" i="3"/>
  <c r="G23" i="5" s="1"/>
  <c r="F60" i="3"/>
  <c r="F23" i="5" s="1"/>
  <c r="N49" i="3"/>
  <c r="N21" i="3"/>
  <c r="N52" i="3" l="1"/>
  <c r="G61" i="3" s="1"/>
  <c r="G24" i="5" s="1"/>
  <c r="G64" i="3"/>
  <c r="G27" i="5" s="1"/>
  <c r="N24" i="3"/>
  <c r="F61" i="3" s="1"/>
  <c r="F24" i="5" s="1"/>
  <c r="F27" i="5"/>
  <c r="F26" i="5"/>
</calcChain>
</file>

<file path=xl/comments1.xml><?xml version="1.0" encoding="utf-8"?>
<comments xmlns="http://schemas.openxmlformats.org/spreadsheetml/2006/main">
  <authors>
    <author>Scott Schmuck</author>
  </authors>
  <commentList>
    <comment ref="L30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One-time write-off of Penalty's per agreement between GM &amp; Mayor of West Point</t>
        </r>
      </text>
    </comment>
  </commentList>
</comments>
</file>

<file path=xl/comments2.xml><?xml version="1.0" encoding="utf-8"?>
<comments xmlns="http://schemas.openxmlformats.org/spreadsheetml/2006/main">
  <authors>
    <author>Scott Schmuck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Thrru 03/15/20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Scott Schmuck:</t>
        </r>
        <r>
          <rPr>
            <sz val="9"/>
            <color indexed="81"/>
            <rFont val="Tahoma"/>
            <family val="2"/>
          </rPr>
          <t xml:space="preserve">
Thru 03/15/20
</t>
        </r>
      </text>
    </comment>
  </commentList>
</comments>
</file>

<file path=xl/sharedStrings.xml><?xml version="1.0" encoding="utf-8"?>
<sst xmlns="http://schemas.openxmlformats.org/spreadsheetml/2006/main" count="410" uniqueCount="61">
  <si>
    <t>Dollars Billed</t>
  </si>
  <si>
    <t>Residential</t>
  </si>
  <si>
    <t># of Bills</t>
  </si>
  <si>
    <t>Total Annual</t>
  </si>
  <si>
    <t>Commercial</t>
  </si>
  <si>
    <t>Multi-Family</t>
  </si>
  <si>
    <t>Wholesale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</si>
  <si>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</si>
  <si>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</si>
  <si>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</si>
  <si>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</si>
  <si>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</si>
  <si>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</si>
  <si>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</si>
  <si>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</si>
  <si>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</si>
  <si>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</si>
  <si>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</si>
  <si>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</si>
  <si>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Water</t>
  </si>
  <si>
    <t>2017 Sewer</t>
  </si>
  <si>
    <t>2018 Water</t>
  </si>
  <si>
    <t>2018 Sewer</t>
  </si>
  <si>
    <t>2019 Water</t>
  </si>
  <si>
    <t>2019 Sewer</t>
  </si>
  <si>
    <t>2020 Water</t>
  </si>
  <si>
    <t>2020 Sewer</t>
  </si>
  <si>
    <t>Avg Bill</t>
  </si>
  <si>
    <t>Water</t>
  </si>
  <si>
    <t>Sewer</t>
  </si>
  <si>
    <t>Residentail</t>
  </si>
  <si>
    <t>All Customers with Wholesale</t>
  </si>
  <si>
    <t>All Customers without Wholesale</t>
  </si>
  <si>
    <t>N/A</t>
  </si>
  <si>
    <t>2019 Avg Bill</t>
  </si>
  <si>
    <t>2018 Avg Bill</t>
  </si>
  <si>
    <t>2020 Avg Bill</t>
  </si>
  <si>
    <t>Avg Bill ALL Customers</t>
  </si>
  <si>
    <t>2017 Avg Bill</t>
  </si>
  <si>
    <t>Case No. 2020-00085</t>
  </si>
  <si>
    <t>Hardin County Water District No. 1</t>
  </si>
  <si>
    <t>Mthly Avg Bill All Customers WITH Wholesale</t>
  </si>
  <si>
    <t>Mthly Avg Bill All Customers WITHOUT Wholesale</t>
  </si>
  <si>
    <t>Taxable</t>
  </si>
  <si>
    <t>Past Due</t>
  </si>
  <si>
    <t>Penalty</t>
  </si>
  <si>
    <t>Past Due Amounts</t>
  </si>
  <si>
    <t>**NOTE**</t>
  </si>
  <si>
    <t>Past Due Amounts for Water and Sewer cannot be broken down by Class (Residential, Taxable) and are included in the All Customer Avg Bill Calculation Only.</t>
  </si>
  <si>
    <t>Water Past Due</t>
  </si>
  <si>
    <t>Past Due Sewer</t>
  </si>
  <si>
    <t>All Customers</t>
  </si>
  <si>
    <t>3.a</t>
  </si>
  <si>
    <t>4.a</t>
  </si>
  <si>
    <t>Response to Data Request Question 3 and 4</t>
  </si>
  <si>
    <t>3.b</t>
  </si>
  <si>
    <t>4.b</t>
  </si>
  <si>
    <t>4.c</t>
  </si>
  <si>
    <t>3.c</t>
  </si>
  <si>
    <t>4.d</t>
  </si>
  <si>
    <t>3.d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</si>
</sst>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2" fillId="0" borderId="0" xfId="0" applyFont="1" applyAlignment="1">
      <alignment horizontal="center"/>
    </xf>
    <xf numFmtId="44" fontId="0" fillId="0" borderId="0" xfId="0" applyNumberFormat="1"/>
    <xf numFmtId="44" fontId="0" fillId="0" borderId="0" xfId="2" applyFont="1"/>
    <xf numFmtId="44" fontId="0" fillId="0" borderId="0" xfId="2" applyFont="1" applyAlignment="1">
      <alignment horizontal="center"/>
    </xf>
    <xf numFmtId="164" fontId="0" fillId="0" borderId="0" xfId="0" applyNumberFormat="1" applyFill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2" borderId="0" xfId="0" applyNumberFormat="1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4" fontId="0" fillId="0" borderId="0" xfId="0" applyNumberFormat="1" applyFont="1" applyAlignment="1">
      <alignment horizontal="center"/>
    </xf>
    <xf numFmtId="0" fontId="2" fillId="0" borderId="0" xfId="0" applyFont="1"/>
    <xf numFmtId="44" fontId="0" fillId="0" borderId="0" xfId="0" applyNumberFormat="1" applyFill="1"/>
    <xf numFmtId="0" fontId="0" fillId="2" borderId="0" xfId="0" applyFill="1"/>
    <xf numFmtId="44" fontId="1" fillId="0" borderId="0" xfId="1" applyNumberFormat="1" applyFont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B4" sqref="B4"/>
    </sheetView>
  </sheetViews>
  <sheetFormatPr defaultRowHeight="15" x14ac:dyDescent="0.25"/>
  <cols>
    <col min="6" max="10" width="13.5703125" customWidth="1"/>
  </cols>
  <sheetData>
    <row r="1" spans="1:8" x14ac:dyDescent="0.25">
      <c r="A1" s="21" t="s">
        <v>39</v>
      </c>
    </row>
    <row r="2" spans="1:8" x14ac:dyDescent="0.25">
      <c r="A2" s="21" t="s">
        <v>40</v>
      </c>
    </row>
    <row r="3" spans="1:8" x14ac:dyDescent="0.25">
      <c r="A3" s="21" t="s">
        <v>54</v>
      </c>
    </row>
    <row r="5" spans="1:8" x14ac:dyDescent="0.25">
      <c r="F5" s="35" t="s">
        <v>38</v>
      </c>
      <c r="G5" s="35"/>
    </row>
    <row r="6" spans="1:8" x14ac:dyDescent="0.25">
      <c r="F6" t="s">
        <v>28</v>
      </c>
      <c r="G6" t="s">
        <v>29</v>
      </c>
    </row>
    <row r="7" spans="1:8" x14ac:dyDescent="0.25">
      <c r="A7" t="s">
        <v>53</v>
      </c>
      <c r="E7" s="15" t="s">
        <v>1</v>
      </c>
      <c r="F7" s="9">
        <f>'2017 Water_Sewer'!F58</f>
        <v>25.902141995317844</v>
      </c>
      <c r="G7" s="9">
        <f>'2017 Water_Sewer'!G58</f>
        <v>32.920623839584103</v>
      </c>
    </row>
    <row r="8" spans="1:8" x14ac:dyDescent="0.25">
      <c r="A8" t="s">
        <v>53</v>
      </c>
      <c r="E8" s="15" t="s">
        <v>43</v>
      </c>
      <c r="F8" s="9">
        <f>'2017 Water_Sewer'!F59</f>
        <v>64.218235294117633</v>
      </c>
      <c r="G8" s="9">
        <f>'2017 Water_Sewer'!G59</f>
        <v>79.974737937184187</v>
      </c>
    </row>
    <row r="9" spans="1:8" x14ac:dyDescent="0.25">
      <c r="A9" t="s">
        <v>53</v>
      </c>
      <c r="E9" s="15" t="s">
        <v>6</v>
      </c>
      <c r="F9" s="9">
        <f>'2017 Water_Sewer'!F60</f>
        <v>28001.859230769231</v>
      </c>
      <c r="G9" s="32" t="str">
        <f>'2017 Water_Sewer'!G60</f>
        <v>N/A</v>
      </c>
    </row>
    <row r="10" spans="1:8" x14ac:dyDescent="0.25">
      <c r="A10" t="s">
        <v>52</v>
      </c>
      <c r="E10" s="15" t="s">
        <v>31</v>
      </c>
      <c r="F10" s="9">
        <f>'2017 Water_Sewer'!F61</f>
        <v>37.01931800073924</v>
      </c>
      <c r="G10" s="32" t="str">
        <f>'2017 Water_Sewer'!G61</f>
        <v>N/A</v>
      </c>
      <c r="H10" s="21" t="s">
        <v>47</v>
      </c>
    </row>
    <row r="11" spans="1:8" x14ac:dyDescent="0.25">
      <c r="A11" t="s">
        <v>52</v>
      </c>
      <c r="E11" s="15" t="s">
        <v>32</v>
      </c>
      <c r="F11" s="9">
        <f>'2017 Water_Sewer'!F62</f>
        <v>31.045839433449171</v>
      </c>
      <c r="G11" s="9">
        <f>'2017 Water_Sewer'!G62</f>
        <v>38.915119346792352</v>
      </c>
      <c r="H11" s="21" t="s">
        <v>47</v>
      </c>
    </row>
    <row r="13" spans="1:8" x14ac:dyDescent="0.25">
      <c r="F13" s="35" t="s">
        <v>35</v>
      </c>
      <c r="G13" s="35"/>
    </row>
    <row r="14" spans="1:8" x14ac:dyDescent="0.25">
      <c r="F14" t="s">
        <v>28</v>
      </c>
      <c r="G14" t="s">
        <v>29</v>
      </c>
    </row>
    <row r="15" spans="1:8" x14ac:dyDescent="0.25">
      <c r="A15" t="s">
        <v>56</v>
      </c>
      <c r="E15" s="15" t="s">
        <v>1</v>
      </c>
      <c r="F15" s="9">
        <f>'2018 Water_Sewer'!F60</f>
        <v>27.822805244903734</v>
      </c>
      <c r="G15" s="9">
        <f>'2018 Water_Sewer'!G60</f>
        <v>32.698916277653744</v>
      </c>
    </row>
    <row r="16" spans="1:8" x14ac:dyDescent="0.25">
      <c r="A16" t="s">
        <v>56</v>
      </c>
      <c r="E16" s="15" t="s">
        <v>43</v>
      </c>
      <c r="F16" s="9">
        <f>'2018 Water_Sewer'!F61</f>
        <v>74.785825000000003</v>
      </c>
      <c r="G16" s="9">
        <f>'2018 Water_Sewer'!G61</f>
        <v>87.822367458866538</v>
      </c>
    </row>
    <row r="17" spans="1:10" x14ac:dyDescent="0.25">
      <c r="A17" t="s">
        <v>56</v>
      </c>
      <c r="E17" s="15" t="s">
        <v>6</v>
      </c>
      <c r="F17" s="9">
        <f>'2018 Water_Sewer'!F62</f>
        <v>31540.650606060601</v>
      </c>
      <c r="G17" s="32" t="str">
        <f>'2018 Water_Sewer'!G62</f>
        <v>N/A</v>
      </c>
    </row>
    <row r="18" spans="1:10" x14ac:dyDescent="0.25">
      <c r="A18" t="s">
        <v>55</v>
      </c>
      <c r="E18" s="15" t="s">
        <v>31</v>
      </c>
      <c r="F18" s="9">
        <f>'2018 Water_Sewer'!F63</f>
        <v>42.489022169662313</v>
      </c>
      <c r="G18" s="32" t="str">
        <f>'2018 Water_Sewer'!G63</f>
        <v>N/A</v>
      </c>
      <c r="H18" s="21" t="s">
        <v>47</v>
      </c>
    </row>
    <row r="19" spans="1:10" x14ac:dyDescent="0.25">
      <c r="A19" t="s">
        <v>55</v>
      </c>
      <c r="E19" s="15" t="s">
        <v>32</v>
      </c>
      <c r="F19" s="9">
        <f>'2018 Water_Sewer'!F64</f>
        <v>34.067326775991702</v>
      </c>
      <c r="G19" s="9">
        <f>'2018 Water_Sewer'!G64</f>
        <v>39.46322283320724</v>
      </c>
      <c r="H19" s="21" t="s">
        <v>47</v>
      </c>
    </row>
    <row r="21" spans="1:10" x14ac:dyDescent="0.25">
      <c r="F21" s="35" t="s">
        <v>34</v>
      </c>
      <c r="G21" s="35"/>
    </row>
    <row r="22" spans="1:10" x14ac:dyDescent="0.25">
      <c r="F22" t="s">
        <v>28</v>
      </c>
      <c r="G22" t="s">
        <v>29</v>
      </c>
    </row>
    <row r="23" spans="1:10" x14ac:dyDescent="0.25">
      <c r="A23" t="s">
        <v>57</v>
      </c>
      <c r="E23" s="15" t="s">
        <v>1</v>
      </c>
      <c r="F23" s="9">
        <f>'2019 Water_Sewer'!F60</f>
        <v>27.625481249835296</v>
      </c>
      <c r="G23" s="9">
        <f>'2019 Water_Sewer'!G60</f>
        <v>32.494120696450047</v>
      </c>
    </row>
    <row r="24" spans="1:10" x14ac:dyDescent="0.25">
      <c r="A24" t="s">
        <v>57</v>
      </c>
      <c r="E24" s="15" t="s">
        <v>43</v>
      </c>
      <c r="F24" s="9">
        <f>'2019 Water_Sewer'!F61</f>
        <v>75.963168445197965</v>
      </c>
      <c r="G24" s="9">
        <f>'2019 Water_Sewer'!G61</f>
        <v>90.081949798771461</v>
      </c>
    </row>
    <row r="25" spans="1:10" x14ac:dyDescent="0.25">
      <c r="A25" t="s">
        <v>57</v>
      </c>
      <c r="E25" s="15" t="s">
        <v>6</v>
      </c>
      <c r="F25" s="9">
        <f>'2019 Water_Sewer'!F62</f>
        <v>41687.904166666674</v>
      </c>
      <c r="G25" s="32" t="str">
        <f>'2019 Water_Sewer'!G62</f>
        <v>N/A</v>
      </c>
    </row>
    <row r="26" spans="1:10" x14ac:dyDescent="0.25">
      <c r="A26" t="s">
        <v>58</v>
      </c>
      <c r="E26" s="15" t="s">
        <v>31</v>
      </c>
      <c r="F26" s="9">
        <f>'2019 Water_Sewer'!F63</f>
        <v>46.274634065632512</v>
      </c>
      <c r="G26" s="32" t="str">
        <f>'2019 Water_Sewer'!G63</f>
        <v>N/A</v>
      </c>
      <c r="H26" s="21" t="s">
        <v>47</v>
      </c>
    </row>
    <row r="27" spans="1:10" x14ac:dyDescent="0.25">
      <c r="A27" t="s">
        <v>58</v>
      </c>
      <c r="E27" s="15" t="s">
        <v>32</v>
      </c>
      <c r="F27" s="9">
        <f>'2019 Water_Sewer'!F64</f>
        <v>34.17205011867663</v>
      </c>
      <c r="G27" s="9">
        <f>'2019 Water_Sewer'!G64</f>
        <v>39.993354120349444</v>
      </c>
      <c r="H27" s="21" t="s">
        <v>47</v>
      </c>
    </row>
    <row r="30" spans="1:10" x14ac:dyDescent="0.25">
      <c r="C30" s="36" t="s">
        <v>25</v>
      </c>
      <c r="D30" s="36"/>
      <c r="E30" s="36"/>
      <c r="F30" s="36"/>
      <c r="G30" s="36"/>
      <c r="H30" s="36"/>
      <c r="I30" s="36"/>
      <c r="J30" s="36"/>
    </row>
    <row r="31" spans="1:10" x14ac:dyDescent="0.25"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</row>
    <row r="32" spans="1:10" x14ac:dyDescent="0.25">
      <c r="A32" t="s">
        <v>59</v>
      </c>
      <c r="E32" s="15" t="s">
        <v>1</v>
      </c>
      <c r="F32" s="9">
        <f>'2020 Water_Sewer'!B12</f>
        <v>26.913101159114863</v>
      </c>
      <c r="G32" s="9">
        <f>'2020 Water_Sewer'!C12</f>
        <v>27.020136870920197</v>
      </c>
      <c r="H32" s="9">
        <f>'2020 Water_Sewer'!D12</f>
        <v>26.399678740157476</v>
      </c>
      <c r="I32" s="9">
        <f>'2020 Water_Sewer'!E12</f>
        <v>26.432545912477703</v>
      </c>
      <c r="J32" s="9">
        <f>'2020 Water_Sewer'!F12</f>
        <v>26.66178902426325</v>
      </c>
    </row>
    <row r="33" spans="1:14" x14ac:dyDescent="0.25">
      <c r="A33" t="s">
        <v>59</v>
      </c>
      <c r="E33" s="15" t="s">
        <v>43</v>
      </c>
      <c r="F33" s="9">
        <f>'2020 Water_Sewer'!B24</f>
        <v>69.725460048426143</v>
      </c>
      <c r="G33" s="9">
        <f>'2020 Water_Sewer'!C24</f>
        <v>71.085072289156614</v>
      </c>
      <c r="H33" s="9">
        <f>'2020 Water_Sewer'!D24</f>
        <v>71.721024390243898</v>
      </c>
      <c r="I33" s="9">
        <f>'2020 Water_Sewer'!E24</f>
        <v>69.551496259351623</v>
      </c>
      <c r="J33" s="9">
        <f>'2020 Water_Sewer'!F24</f>
        <v>70.661410891089119</v>
      </c>
    </row>
    <row r="34" spans="1:14" x14ac:dyDescent="0.25">
      <c r="A34" t="s">
        <v>59</v>
      </c>
      <c r="E34" s="15" t="s">
        <v>6</v>
      </c>
      <c r="F34" s="9">
        <f>'2020 Water_Sewer'!B33</f>
        <v>42385.526666666665</v>
      </c>
      <c r="G34" s="9">
        <f>'2020 Water_Sewer'!C33</f>
        <v>45721.06</v>
      </c>
      <c r="H34" s="9">
        <f>'2020 Water_Sewer'!D33</f>
        <v>38570.250000000007</v>
      </c>
      <c r="I34" s="9">
        <f>'2020 Water_Sewer'!E33</f>
        <v>42395.149999999994</v>
      </c>
      <c r="J34" s="9">
        <f>'2020 Water_Sewer'!F33</f>
        <v>40593.29</v>
      </c>
    </row>
    <row r="35" spans="1:14" x14ac:dyDescent="0.25">
      <c r="A35" t="s">
        <v>60</v>
      </c>
      <c r="E35" s="15" t="s">
        <v>31</v>
      </c>
      <c r="F35" s="9">
        <f>'2020 Water_Sewer'!B35</f>
        <v>45.112736699292569</v>
      </c>
      <c r="G35" s="9">
        <f>'2020 Water_Sewer'!C35</f>
        <v>46.44032717065145</v>
      </c>
      <c r="H35" s="9">
        <f>'2020 Water_Sewer'!D35</f>
        <v>44.38410514109006</v>
      </c>
      <c r="I35" s="9">
        <f>'2020 Water_Sewer'!E35</f>
        <v>46.216248306560864</v>
      </c>
      <c r="J35" s="9">
        <f>'2020 Water_Sewer'!F35</f>
        <v>45.958063184175145</v>
      </c>
      <c r="K35" s="21" t="s">
        <v>47</v>
      </c>
    </row>
    <row r="36" spans="1:14" x14ac:dyDescent="0.25">
      <c r="A36" t="s">
        <v>60</v>
      </c>
      <c r="E36" s="15" t="s">
        <v>32</v>
      </c>
      <c r="F36" s="9">
        <f>'2020 Water_Sewer'!B36</f>
        <v>32.799704342768521</v>
      </c>
      <c r="G36" s="9">
        <f>'2020 Water_Sewer'!C36</f>
        <v>33.173106119287382</v>
      </c>
      <c r="H36" s="9">
        <f>'2020 Water_Sewer'!D36</f>
        <v>33.211790236829387</v>
      </c>
      <c r="I36" s="9">
        <f>'2020 Water_Sewer'!E36</f>
        <v>33.918619688316717</v>
      </c>
      <c r="J36" s="9">
        <f>'2020 Water_Sewer'!F36</f>
        <v>34.274075497070406</v>
      </c>
      <c r="K36" s="21" t="s">
        <v>47</v>
      </c>
    </row>
    <row r="38" spans="1:14" x14ac:dyDescent="0.25">
      <c r="C38" s="36" t="s">
        <v>26</v>
      </c>
      <c r="D38" s="36"/>
      <c r="E38" s="36"/>
      <c r="F38" s="36"/>
      <c r="G38" s="36"/>
      <c r="H38" s="36"/>
      <c r="I38" s="36"/>
      <c r="J38" s="36"/>
    </row>
    <row r="39" spans="1:14" x14ac:dyDescent="0.25">
      <c r="A39" t="s">
        <v>59</v>
      </c>
      <c r="E39" s="15" t="s">
        <v>1</v>
      </c>
      <c r="F39" s="9">
        <f>'2020 Water_Sewer'!B45</f>
        <v>31.454511854103345</v>
      </c>
      <c r="G39" s="9">
        <f>'2020 Water_Sewer'!C45</f>
        <v>31.549918630070447</v>
      </c>
      <c r="H39" s="9">
        <f>'2020 Water_Sewer'!D45</f>
        <v>31.036966905079403</v>
      </c>
      <c r="I39" s="9">
        <f>'2020 Water_Sewer'!E45</f>
        <v>30.711112052274924</v>
      </c>
      <c r="J39" s="9">
        <f>'2020 Water_Sewer'!F45</f>
        <v>30.983835353414133</v>
      </c>
    </row>
    <row r="40" spans="1:14" x14ac:dyDescent="0.25">
      <c r="A40" t="s">
        <v>59</v>
      </c>
      <c r="E40" s="15" t="s">
        <v>43</v>
      </c>
      <c r="F40" s="9">
        <f>'2020 Water_Sewer'!B57</f>
        <v>81.7568677792041</v>
      </c>
      <c r="G40" s="9">
        <f>'2020 Water_Sewer'!C57</f>
        <v>84.275575447570333</v>
      </c>
      <c r="H40" s="9">
        <f>'2020 Water_Sewer'!D57</f>
        <v>85.21053040103493</v>
      </c>
      <c r="I40" s="9">
        <f>'2020 Water_Sewer'!E57</f>
        <v>84.756172185430458</v>
      </c>
      <c r="J40" s="9">
        <f>'2020 Water_Sewer'!F57</f>
        <v>82.077928759894448</v>
      </c>
    </row>
    <row r="41" spans="1:14" x14ac:dyDescent="0.25">
      <c r="A41" t="s">
        <v>60</v>
      </c>
      <c r="E41" s="15" t="s">
        <v>51</v>
      </c>
      <c r="F41" s="9">
        <f>'2020 Water_Sewer'!B61</f>
        <v>38.943531763660594</v>
      </c>
      <c r="G41" s="9">
        <f>'2020 Water_Sewer'!C61</f>
        <v>38.508706743567004</v>
      </c>
      <c r="H41" s="9">
        <f>'2020 Water_Sewer'!D61</f>
        <v>39.093305253823985</v>
      </c>
      <c r="I41" s="9">
        <f>'2020 Water_Sewer'!E61</f>
        <v>40.135884244372988</v>
      </c>
      <c r="J41" s="9">
        <f>'2020 Water_Sewer'!F61</f>
        <v>40.611168188318111</v>
      </c>
      <c r="K41" s="21" t="s">
        <v>47</v>
      </c>
    </row>
    <row r="43" spans="1:14" x14ac:dyDescent="0.25">
      <c r="A43" s="30" t="s">
        <v>47</v>
      </c>
      <c r="B43" s="21" t="s">
        <v>48</v>
      </c>
      <c r="N43" s="29"/>
    </row>
  </sheetData>
  <mergeCells count="5">
    <mergeCell ref="F5:G5"/>
    <mergeCell ref="F13:G13"/>
    <mergeCell ref="F21:G21"/>
    <mergeCell ref="C30:J30"/>
    <mergeCell ref="C38:J38"/>
  </mergeCells>
  <pageMargins left="0.7" right="0.7" top="0.75" bottom="0.75" header="0.3" footer="0.3"/>
  <pageSetup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29" workbookViewId="0">
      <selection activeCell="K37" sqref="K37"/>
    </sheetView>
  </sheetViews>
  <sheetFormatPr defaultRowHeight="15" x14ac:dyDescent="0.25"/>
  <cols>
    <col min="1" max="1" width="15" customWidth="1"/>
    <col min="2" max="2" width="12.5703125" bestFit="1" customWidth="1"/>
    <col min="3" max="3" width="15" bestFit="1" customWidth="1"/>
    <col min="4" max="13" width="12.5703125" bestFit="1" customWidth="1"/>
    <col min="14" max="14" width="17.7109375" style="1" customWidth="1"/>
  </cols>
  <sheetData>
    <row r="1" spans="1:14" x14ac:dyDescent="0.25">
      <c r="A1" s="21" t="s">
        <v>39</v>
      </c>
      <c r="N1" s="33"/>
    </row>
    <row r="2" spans="1:14" x14ac:dyDescent="0.25">
      <c r="A2" s="21" t="s">
        <v>40</v>
      </c>
      <c r="N2" s="33"/>
    </row>
    <row r="3" spans="1:14" x14ac:dyDescent="0.25">
      <c r="A3" s="21" t="s">
        <v>54</v>
      </c>
      <c r="N3" s="33"/>
    </row>
    <row r="4" spans="1:14" x14ac:dyDescent="0.25">
      <c r="N4" s="33"/>
    </row>
    <row r="5" spans="1:14" x14ac:dyDescent="0.25">
      <c r="A5" s="3"/>
      <c r="B5" s="36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5">
      <c r="A6" s="1"/>
    </row>
    <row r="7" spans="1:14" x14ac:dyDescent="0.25">
      <c r="A7" s="1"/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s="1" t="s">
        <v>3</v>
      </c>
    </row>
    <row r="8" spans="1:14" x14ac:dyDescent="0.25">
      <c r="A8" s="3" t="s">
        <v>1</v>
      </c>
    </row>
    <row r="9" spans="1:14" x14ac:dyDescent="0.25">
      <c r="A9" t="s">
        <v>0</v>
      </c>
      <c r="B9" s="9">
        <f>SUM(144150.6+2692.75+4679.9+0.15+5694+0.15+103.11+941.25+50.2+763.04+120.48+150.6+251+326.3+50.2+911.13+7.53+44999.28+25.1+815.1+33.21+0.51+17.02)</f>
        <v>206782.61000000002</v>
      </c>
      <c r="C9" s="9">
        <f>SUM(138944.75+2773.03+4474.26+0.15+5517.25+0.15+124.99+966.35+50.2+763.04+120.48+150.6+251+326.3+50.2+888.54+7.53+45019.36+25.1+815.1+33.21+0.51+17.02)</f>
        <v>201319.12000000005</v>
      </c>
      <c r="D9" s="9">
        <f>SUM(137873.11+2508.95+4525.59+0.15+5521.91+0.15+104.26+953.8+50.2+763.04+120.48+150.6+251+351.4+50.2+881.01+7.53+45546.46+25.1+8.51+815.1+33.21+0.51+17.02)</f>
        <v>200559.29000000004</v>
      </c>
      <c r="E9" s="9">
        <f>SUM(138790.77+2450.54+4569.47+0.15+5550.69+0.15+98.58+966.35+50.2+763.04+120.48+150.6+251+351.4+50.2+881.01+7.53+45395.86+25.1+8.51+822.51+33.21+0.51+17.02)</f>
        <v>201354.88000000003</v>
      </c>
      <c r="F9" s="9">
        <f>SUM(147212.43+2793.7+4679.96+0.15+5804.73+0.15+111.12+991.45+50.2+763.04+120.48+150.6+251+351.4+50.2+888.54+7.53+45787.42+25.1+8.51+839.8+33.21+0.51+17.02)</f>
        <v>210938.25000000003</v>
      </c>
      <c r="G9" s="9">
        <f>SUM(176309.74+2697.01+5660.36+0.15+6841.3+0.15+114.56+1037.66+59.24+820.88+142.17+150.6+125.5+251+401.12+59.24+925.26+8.89+50449.5+28.7+35.8+10.04+888.75+39.19+0.6+20.08)</f>
        <v>247077.49</v>
      </c>
      <c r="H9" s="9">
        <f>SUM(186002.1+3506.04+5810.03+0.18+7242.51+0.18+140.83+1184.8+59.24+853.02+142.17+177.7+148.09+296.18+414.68+59.24+1040.13+8.89+54079.2+29.6+97.49+10.04+991.1+39.19+0.6+20.08)</f>
        <v>262353.30999999994</v>
      </c>
      <c r="I9" s="9">
        <f>SUM(188650.65+3185.62+5835.95+0.18+7334.97+0.18+141.16+1199.61+59.24+853.02+142.17+177.7+148.09+296.18+414.68+59.24+1040.13+8.89+54416.64+29.6+97.49+10.04+1078.55+39.19+0.6+20.08)</f>
        <v>265239.84999999992</v>
      </c>
      <c r="J9" s="9">
        <f>SUM(183385.41+3532.47+5830.99+0.18+7186.17+0.18+130.04+1199.61+59.24+853.02+142.17+177.7+148.09+296.18+414.68+59.24+1031.24+8.89+54345.6+29.6+97.49+10.04+1078.55+39.19+0.6+20.08)</f>
        <v>260076.64999999997</v>
      </c>
      <c r="K9" s="9">
        <f>SUM(175960.32+3811.39+5681.74+0.18+6977.26+0.18+119.16+1214.42+59.24+853.02+142.17+177.7+148.09+296.18+414.68+59.24+1040.13+8.89+54428.48+29.6+97.49+10.04+1078.55+39.19+0.6+20.08)</f>
        <v>252668.02000000002</v>
      </c>
      <c r="L9" s="9">
        <f>SUM(171188.42+3321.91+5542.69+0.18+6816.84+0.18+134.43+1229.23+59.24+853.02+142.17+177.7+148.09+296.18+444.3+59.24+1040.13+8.89+54316+29.6+97.49+10.04+1078.55+39.19+0.6+20.08)</f>
        <v>247054.38999999998</v>
      </c>
      <c r="M9" s="9">
        <f>SUM(165035.94+3058.97+5416.02+0.18+6629.71+0.18+126.15+1214.42+59.24+853.02+142.17+177.7+148.09+296.18+414.68+59.24+1031.24+8.89+54025.92+29.6+97.49+10.04+1078.55+39.19+0.6+20.08)</f>
        <v>239973.48999999993</v>
      </c>
      <c r="N9" s="13">
        <f>SUM(B9:M9)</f>
        <v>2795397.3499999996</v>
      </c>
    </row>
    <row r="10" spans="1:14" x14ac:dyDescent="0.25">
      <c r="A10" t="s">
        <v>2</v>
      </c>
      <c r="B10" s="4">
        <v>9101</v>
      </c>
      <c r="C10" s="4">
        <v>9112</v>
      </c>
      <c r="D10" s="4">
        <v>9198</v>
      </c>
      <c r="E10" s="4">
        <v>9205</v>
      </c>
      <c r="F10" s="4">
        <v>9259</v>
      </c>
      <c r="G10" s="4">
        <v>9270</v>
      </c>
      <c r="H10" s="4">
        <v>9276</v>
      </c>
      <c r="I10" s="4">
        <v>9315</v>
      </c>
      <c r="J10" s="4">
        <v>9332</v>
      </c>
      <c r="K10" s="4">
        <v>9345</v>
      </c>
      <c r="L10" s="4">
        <v>9336</v>
      </c>
      <c r="M10" s="4">
        <v>9311</v>
      </c>
      <c r="N10" s="12">
        <f>SUM(B10:M10)</f>
        <v>111060</v>
      </c>
    </row>
    <row r="11" spans="1:14" x14ac:dyDescent="0.25">
      <c r="A11" t="s">
        <v>45</v>
      </c>
      <c r="B11" s="24">
        <v>5739.33</v>
      </c>
      <c r="C11" s="24">
        <v>5893.6</v>
      </c>
      <c r="D11" s="24">
        <v>5720.3</v>
      </c>
      <c r="E11" s="24">
        <v>5598.27</v>
      </c>
      <c r="F11" s="24">
        <v>5731.46</v>
      </c>
      <c r="G11" s="24">
        <v>6432.1</v>
      </c>
      <c r="H11" s="24">
        <v>7993.21</v>
      </c>
      <c r="I11" s="24">
        <v>7940.59</v>
      </c>
      <c r="J11" s="24">
        <v>8412.42</v>
      </c>
      <c r="K11" s="24">
        <v>7292.83</v>
      </c>
      <c r="L11" s="24">
        <v>7503.92</v>
      </c>
      <c r="M11" s="24">
        <v>7036.51</v>
      </c>
      <c r="N11" s="25">
        <f>SUM(B11:M11)</f>
        <v>81294.539999999994</v>
      </c>
    </row>
    <row r="12" spans="1:14" x14ac:dyDescent="0.25">
      <c r="A12" s="1" t="s">
        <v>27</v>
      </c>
      <c r="B12" s="9">
        <f>(B9+B11)/B10</f>
        <v>23.351493242500823</v>
      </c>
      <c r="C12" s="9">
        <f t="shared" ref="C12:N12" si="0">(C9+C11)/C10</f>
        <v>22.740640913081656</v>
      </c>
      <c r="D12" s="9">
        <f t="shared" si="0"/>
        <v>22.426569906501417</v>
      </c>
      <c r="E12" s="9">
        <f t="shared" si="0"/>
        <v>22.482688756110811</v>
      </c>
      <c r="F12" s="9">
        <f t="shared" si="0"/>
        <v>23.400983907549413</v>
      </c>
      <c r="G12" s="9">
        <f t="shared" si="0"/>
        <v>27.347312837108952</v>
      </c>
      <c r="H12" s="9">
        <f t="shared" si="0"/>
        <v>29.144730487278995</v>
      </c>
      <c r="I12" s="9">
        <f t="shared" si="0"/>
        <v>29.326939345142236</v>
      </c>
      <c r="J12" s="9">
        <f t="shared" si="0"/>
        <v>28.770796185169303</v>
      </c>
      <c r="K12" s="9">
        <f t="shared" si="0"/>
        <v>27.818175494917067</v>
      </c>
      <c r="L12" s="9">
        <f t="shared" si="0"/>
        <v>27.266314267352186</v>
      </c>
      <c r="M12" s="9">
        <f t="shared" si="0"/>
        <v>26.528836859628392</v>
      </c>
      <c r="N12" s="9">
        <f t="shared" si="0"/>
        <v>25.902141995317844</v>
      </c>
    </row>
    <row r="14" spans="1:14" hidden="1" x14ac:dyDescent="0.25">
      <c r="A14" s="3" t="s">
        <v>4</v>
      </c>
    </row>
    <row r="15" spans="1:14" hidden="1" x14ac:dyDescent="0.25">
      <c r="A15" t="s">
        <v>0</v>
      </c>
      <c r="B15" s="9">
        <f>SUM(17974.75+712.53+765.33+8.76+1637.59+790.65+1606.4+451.8+125.5+451.8+263.55+2761+107.31+57.91+165.22+51.06+543.4+145.37+126.77+17.02+172.9+17.81+36.69+189.92+8.51+395.2)</f>
        <v>29584.750000000004</v>
      </c>
      <c r="C15" s="9">
        <f>SUM(18602.33+732.93+788.97+7.75+1685.03+778.1+1767.04+451.8+125.5+451.8+271.08+2730.88+107.31+57.91+165.22+51.06+543.4+145.37+126.77+17.02+172.9+16.81+34.62+189.92+370.5)</f>
        <v>30392.020000000008</v>
      </c>
      <c r="D15" s="9">
        <f>SUM(18615.39+733.91+791.63+8+1691.09+778.1+1767.04+451.8+125.5+451.8+256.02+2836.3+107.31+57.91+165.22+42.55+545.05+145.37+126.77+17.02+172.9+16.81+34.62+189.92+370.5)</f>
        <v>30498.53</v>
      </c>
      <c r="E15" s="9">
        <f>SUM(19870.18+767.2+829.8+6.45+1768.43+790.65+1807.2+451.8+125.5+426.7+256.02+2776.06+107.31+57.91+165.22+42.55+543.4+145.37+126.77+17.02+172.9+16.81+34.62+189.92+370.5)</f>
        <v>31866.290000000008</v>
      </c>
      <c r="F15" s="9">
        <f>SUM(20568.29+783.91+850.32+7.36+1814.01+803.2+1847.36+451.8+125.5+451.8+278.61+2650.56+107.31+57.91+212.03+40+543.4+145.37+126.77+17.02+172.9+16.81+34.62+189.92+370.5)</f>
        <v>32667.280000000002</v>
      </c>
      <c r="G15" s="9">
        <f>SUM(26238.32+925.12+1045.01+8.34+2225.83+944.57+1976.71+478.9+125.5+489.98+317.32+3073.36+126.64+68.34+82.61+50.2+610.15+153.45+126.77+20.08+204.05+19.82+40.88+224.13+437.25)</f>
        <v>40013.329999999987</v>
      </c>
      <c r="H15" s="9">
        <f>SUM(28085.01+999.65+1108.94+9.9+2364.64+947.84+2132.55+533.1+148.09+444.3+320.04+3131.68+126.64+68.34+97.49+50.2+641.3+153.45+149.6+20.08+204.05+19.82+40.88+224.13+437.25)</f>
        <v>42458.969999999987</v>
      </c>
      <c r="I15" s="9">
        <f>SUM(28481.96+994.28+1120.6+10.23+2389.15+977.46+2085.16+533.1+148.09+444.3+328.93+3143.52+126.64+68.34+97.49+50.2+641.3+153.45+149.6+20.08+204.05+17.2+35.47+224.13+349.8)</f>
        <v>42794.529999999984</v>
      </c>
      <c r="J15" s="9">
        <f>SUM(28784.06+1006.84+1128.56+12.98+2411.83+933.03+2132.55+533.1+148.09+444.3+328.93+3190.88+126.64+68.34+97.49+54.22+641.3+153.45+149.6+20.08+204.05+17.2+35.47+224.13+349.8)</f>
        <v>43196.92</v>
      </c>
      <c r="K15" s="9">
        <f>SUM(28504.62+1006.24+1123.89+12.26+2400.33+918.22+2085.16+533.1+148.09+533.16+320.04+3279.68+126.64+68.34+97.49+46.18+641.3+153.45+149.6+20.08+204.05+17.2+35.47+224.13+349.8)</f>
        <v>42998.52</v>
      </c>
      <c r="L15" s="9">
        <f>SUM(27511.02+955.26+1094.85+9.91+2332.99+918.22+2085.16+533.1+148.09+533.16+311.15+3232.32+126.64+68.34+97.49+50.2+641.3+153.45+149.6+20.08+204.05+17.2+35.47+224.13+349.8)</f>
        <v>41802.979999999996</v>
      </c>
      <c r="M15" s="9">
        <f>SUM(23992.5+898.97+996.58+7.15+2121.18+903.41+2085.16+533.1+296.18+533.16+320.04+3238.24+126.64+68.34+97.49+50.2+641.3+153.45+149.6+20.08+204.05+17.2+35.47+224.13+349.8)</f>
        <v>38063.42</v>
      </c>
      <c r="N15" s="13">
        <f>SUM(B15:M15)</f>
        <v>446337.53999999992</v>
      </c>
    </row>
    <row r="16" spans="1:14" hidden="1" x14ac:dyDescent="0.25">
      <c r="A16" t="s">
        <v>2</v>
      </c>
      <c r="B16" s="5">
        <v>698</v>
      </c>
      <c r="C16" s="5">
        <v>701</v>
      </c>
      <c r="D16" s="5">
        <v>714</v>
      </c>
      <c r="E16" s="5">
        <v>706</v>
      </c>
      <c r="F16" s="5">
        <v>693</v>
      </c>
      <c r="G16" s="5">
        <v>689</v>
      </c>
      <c r="H16" s="5">
        <v>685</v>
      </c>
      <c r="I16" s="5">
        <v>689</v>
      </c>
      <c r="J16" s="5">
        <v>700</v>
      </c>
      <c r="K16" s="5">
        <v>708</v>
      </c>
      <c r="L16" s="5">
        <v>703</v>
      </c>
      <c r="M16" s="5">
        <v>703</v>
      </c>
      <c r="N16" s="1">
        <f>SUM(B16:M16)</f>
        <v>8389</v>
      </c>
    </row>
    <row r="17" spans="1:14" hidden="1" x14ac:dyDescent="0.25">
      <c r="A17" s="3" t="s">
        <v>5</v>
      </c>
    </row>
    <row r="18" spans="1:14" hidden="1" x14ac:dyDescent="0.25">
      <c r="A18" t="s">
        <v>0</v>
      </c>
      <c r="B18" s="9">
        <f>SUM(14089.06+491.5+515.04+0.51+1090.44+1029.1+401.6+75.3+125.5+502+200.8+240.96+321.28+123.5+66.42)</f>
        <v>19273.009999999991</v>
      </c>
      <c r="C18" s="9">
        <f>SUM(12824.64+451.93+476.29+0.56+1008.27+1016.55+401.6+75.3+125.5+502+200.8+233.43+311.24+123.5+66.42)</f>
        <v>17818.03</v>
      </c>
      <c r="D18" s="9">
        <f>SUM(12813.14+455.11+476.14+0.58+1008.47+1016.55+401.6+75.3+125.5+502+200.8+233.43+321.28+123.5+66.42)</f>
        <v>17819.819999999996</v>
      </c>
      <c r="E18" s="9">
        <f>SUM(11936.67+429.38+449.76+0.53+952.4+1016.55+401.6+75.3+125.5+502+200.8+233.43+316.26+123.5+66.42)</f>
        <v>16830.099999999995</v>
      </c>
      <c r="F18" s="9">
        <f>SUM(11956.79+431.12+450.31+0.58+953.65+1016.55+401.6+75.3+125.5+502+200.8+233.43+316.26+123.5+66.42)</f>
        <v>16853.809999999998</v>
      </c>
      <c r="G18" s="9">
        <f>SUM(13564.31+481.45+505.54+0.57+1070.77+1054.97+452.21+75.3+148.09+502+227.92+260.63+354.96+145.75+72.4)</f>
        <v>18916.87</v>
      </c>
      <c r="H18" s="9">
        <f>SUM(14482.29+517.64+542.14+0.83+1150.01+1199.61+473.9+88.85+148.09+592.36+236.96+275.59+378.88+145.75+78.38)</f>
        <v>20311.280000000002</v>
      </c>
      <c r="I18" s="9">
        <f>SUM(13923.22+496.75+524.79+0.76+1113+1184.8+473.9+88.85+148.09+592.36+236.96+275.59+372.96+145.75+78.38)</f>
        <v>19656.16</v>
      </c>
      <c r="J18" s="9">
        <f>SUM(14634.84+519.79+545.92+0.79+1158.06+1184.8+473.9+88.85+148.09+592.36+236.96+275.59+367.04+145.75+78.38)</f>
        <v>20451.120000000003</v>
      </c>
      <c r="K18" s="9">
        <f>SUM(14745.7+525.12+550.07+0.78+1166.65+1184.8+473.9+88.85+148.09+592.36+236.96+293.37+372.96+145.75+78.38)</f>
        <v>20603.740000000002</v>
      </c>
      <c r="L18" s="9">
        <f>SUM(14762.98+529.23+549.69+0.87+1166.38+1184.8+473.9+88.85+148.09+592.36+236.96+275.59+367.04+145.75+78.38)</f>
        <v>20600.870000000003</v>
      </c>
      <c r="M18" s="9">
        <f>SUM(14027.98+507.47+527.57+0.7+1119.15+1184.8+473.9+88.85+148.09+592.36+236.96+266.7+367.04+145.75+78.38)</f>
        <v>19765.7</v>
      </c>
      <c r="N18" s="13">
        <f>SUM(B18:M18)</f>
        <v>228900.50999999995</v>
      </c>
    </row>
    <row r="19" spans="1:14" hidden="1" x14ac:dyDescent="0.25">
      <c r="A19" t="s">
        <v>2</v>
      </c>
      <c r="B19" s="5">
        <v>192</v>
      </c>
      <c r="C19" s="5">
        <v>189</v>
      </c>
      <c r="D19" s="5">
        <v>191</v>
      </c>
      <c r="E19" s="5">
        <v>190</v>
      </c>
      <c r="F19" s="5">
        <v>190</v>
      </c>
      <c r="G19" s="5">
        <v>190</v>
      </c>
      <c r="H19" s="5">
        <v>187</v>
      </c>
      <c r="I19" s="5">
        <v>188</v>
      </c>
      <c r="J19" s="5">
        <v>188</v>
      </c>
      <c r="K19" s="5">
        <v>190</v>
      </c>
      <c r="L19" s="5">
        <v>188</v>
      </c>
      <c r="M19" s="5">
        <v>187</v>
      </c>
      <c r="N19" s="1">
        <f>SUM(B19:M19)</f>
        <v>2270</v>
      </c>
    </row>
    <row r="20" spans="1:14" x14ac:dyDescent="0.25">
      <c r="A20" s="8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6"/>
    </row>
    <row r="21" spans="1:14" x14ac:dyDescent="0.25">
      <c r="A21" t="s">
        <v>0</v>
      </c>
      <c r="B21" s="20">
        <f>B15+B18</f>
        <v>48857.759999999995</v>
      </c>
      <c r="C21" s="20">
        <f t="shared" ref="C21:M21" si="1">C15+C18</f>
        <v>48210.05</v>
      </c>
      <c r="D21" s="20">
        <f t="shared" si="1"/>
        <v>48318.349999999991</v>
      </c>
      <c r="E21" s="20">
        <f t="shared" si="1"/>
        <v>48696.39</v>
      </c>
      <c r="F21" s="20">
        <f t="shared" si="1"/>
        <v>49521.09</v>
      </c>
      <c r="G21" s="20">
        <f t="shared" si="1"/>
        <v>58930.199999999983</v>
      </c>
      <c r="H21" s="20">
        <f t="shared" si="1"/>
        <v>62770.249999999985</v>
      </c>
      <c r="I21" s="20">
        <f t="shared" si="1"/>
        <v>62450.689999999988</v>
      </c>
      <c r="J21" s="20">
        <f t="shared" si="1"/>
        <v>63648.04</v>
      </c>
      <c r="K21" s="20">
        <f t="shared" si="1"/>
        <v>63602.259999999995</v>
      </c>
      <c r="L21" s="20">
        <f t="shared" si="1"/>
        <v>62403.85</v>
      </c>
      <c r="M21" s="20">
        <f t="shared" si="1"/>
        <v>57829.119999999995</v>
      </c>
      <c r="N21" s="13">
        <f>SUM(B21:M21)</f>
        <v>675238.04999999993</v>
      </c>
    </row>
    <row r="22" spans="1:14" x14ac:dyDescent="0.25">
      <c r="A22" t="s">
        <v>2</v>
      </c>
      <c r="B22" s="31">
        <f>B16+B19</f>
        <v>890</v>
      </c>
      <c r="C22" s="31">
        <f t="shared" ref="C22:M22" si="2">C16+C19</f>
        <v>890</v>
      </c>
      <c r="D22" s="31">
        <f t="shared" si="2"/>
        <v>905</v>
      </c>
      <c r="E22" s="31">
        <f t="shared" si="2"/>
        <v>896</v>
      </c>
      <c r="F22" s="31">
        <f t="shared" si="2"/>
        <v>883</v>
      </c>
      <c r="G22" s="31">
        <f t="shared" si="2"/>
        <v>879</v>
      </c>
      <c r="H22" s="31">
        <f t="shared" si="2"/>
        <v>872</v>
      </c>
      <c r="I22" s="31">
        <f t="shared" si="2"/>
        <v>877</v>
      </c>
      <c r="J22" s="31">
        <f t="shared" si="2"/>
        <v>888</v>
      </c>
      <c r="K22" s="31">
        <f t="shared" si="2"/>
        <v>898</v>
      </c>
      <c r="L22" s="31">
        <f t="shared" si="2"/>
        <v>891</v>
      </c>
      <c r="M22" s="31">
        <f t="shared" si="2"/>
        <v>890</v>
      </c>
      <c r="N22" s="34">
        <f>SUM(B22:M22)</f>
        <v>10659</v>
      </c>
    </row>
    <row r="23" spans="1:14" x14ac:dyDescent="0.25">
      <c r="A23" t="s">
        <v>45</v>
      </c>
      <c r="B23" s="20">
        <f>449.36+258.61</f>
        <v>707.97</v>
      </c>
      <c r="C23" s="20">
        <f>120.46+366.59</f>
        <v>487.04999999999995</v>
      </c>
      <c r="D23" s="20">
        <f>564.9+210.7+46.66</f>
        <v>822.25999999999988</v>
      </c>
      <c r="E23" s="20">
        <f>296.49+275.26+36.28</f>
        <v>608.03</v>
      </c>
      <c r="F23" s="20">
        <f>356.9+275.26</f>
        <v>632.16</v>
      </c>
      <c r="G23" s="20">
        <f>302.91+341.45+60.21</f>
        <v>704.57</v>
      </c>
      <c r="H23" s="20">
        <f>477.84+275.18+42.82</f>
        <v>795.84</v>
      </c>
      <c r="I23" s="20">
        <f>864.31</f>
        <v>864.31</v>
      </c>
      <c r="J23" s="20">
        <f>1111.02+68.15</f>
        <v>1179.17</v>
      </c>
      <c r="K23" s="20">
        <f>844.86+39.9</f>
        <v>884.76</v>
      </c>
      <c r="L23" s="20">
        <f>807.86+28.24</f>
        <v>836.1</v>
      </c>
      <c r="M23" s="20">
        <f>702+39.9</f>
        <v>741.9</v>
      </c>
      <c r="N23" s="13">
        <f>SUM(B23:M23)</f>
        <v>9264.119999999999</v>
      </c>
    </row>
    <row r="24" spans="1:14" x14ac:dyDescent="0.25">
      <c r="A24" s="1" t="s">
        <v>27</v>
      </c>
      <c r="B24" s="9">
        <f>(B21+B23)/B22</f>
        <v>55.691831460674152</v>
      </c>
      <c r="C24" s="9">
        <f t="shared" ref="C24:N24" si="3">(C21+C23)/C22</f>
        <v>54.715842696629217</v>
      </c>
      <c r="D24" s="9">
        <f t="shared" si="3"/>
        <v>54.299016574585629</v>
      </c>
      <c r="E24" s="9">
        <f t="shared" si="3"/>
        <v>55.027254464285711</v>
      </c>
      <c r="F24" s="9">
        <f t="shared" si="3"/>
        <v>56.798697621744054</v>
      </c>
      <c r="G24" s="9">
        <f t="shared" si="3"/>
        <v>67.843879408418644</v>
      </c>
      <c r="H24" s="9">
        <f t="shared" si="3"/>
        <v>72.896892201834845</v>
      </c>
      <c r="I24" s="9">
        <f t="shared" si="3"/>
        <v>72.19498289623715</v>
      </c>
      <c r="J24" s="9">
        <f t="shared" si="3"/>
        <v>73.003614864864858</v>
      </c>
      <c r="K24" s="9">
        <f t="shared" si="3"/>
        <v>71.811826280623606</v>
      </c>
      <c r="L24" s="9">
        <f t="shared" si="3"/>
        <v>70.976374859708187</v>
      </c>
      <c r="M24" s="9">
        <f t="shared" si="3"/>
        <v>65.810134831460672</v>
      </c>
      <c r="N24" s="9">
        <f t="shared" si="3"/>
        <v>64.218235294117633</v>
      </c>
    </row>
    <row r="26" spans="1:14" x14ac:dyDescent="0.25">
      <c r="A26" s="3" t="s">
        <v>6</v>
      </c>
    </row>
    <row r="27" spans="1:14" x14ac:dyDescent="0.25">
      <c r="A27" t="s">
        <v>0</v>
      </c>
      <c r="B27" s="9">
        <f>SUM(120.48+75.3+125.5+753+25574+22319.2)</f>
        <v>48967.479999999996</v>
      </c>
      <c r="C27" s="9">
        <f>SUM(120.48+75.3+125.5+753+29760.6+21252)</f>
        <v>52086.879999999997</v>
      </c>
      <c r="D27" s="9">
        <f>SUM(120.48+75.3+125.5+753+24775.4+21462.2)</f>
        <v>47311.880000000005</v>
      </c>
      <c r="E27" s="9">
        <f>SUM(120.48+75.3+125.5+753+24875.2+23214.2)</f>
        <v>49163.68</v>
      </c>
      <c r="F27" s="9">
        <f>SUM(29392+1110+23691.2+75.3+120.48+753+251)</f>
        <v>55392.98</v>
      </c>
      <c r="G27" s="9">
        <f>SUM(142.17+88.85+273.59+888.54+35754.23+51.2+30812.63)</f>
        <v>68011.210000000006</v>
      </c>
      <c r="H27" s="9">
        <f>SUM(32150.52+39098.35+888.54+148.09+88.85+142.17)</f>
        <v>72516.51999999999</v>
      </c>
      <c r="I27" s="9">
        <f>SUM(142.17+88.85+148.09+888.54+42966.63+31436.61)</f>
        <v>75670.89</v>
      </c>
      <c r="J27" s="9">
        <f>SUM(142.17+88.85+148.09+888.54+38608.89+30150.89)</f>
        <v>70027.429999999993</v>
      </c>
      <c r="K27" s="9">
        <f>SUM(27251.87+36604.78+888.54+148.09+88.85+142.17)</f>
        <v>65124.299999999988</v>
      </c>
      <c r="L27" s="9">
        <f>SUM(142.17+88.85+148.09+888.54+36504.95+25249.87)</f>
        <v>63022.47</v>
      </c>
      <c r="M27" s="9">
        <f>SUM(142.17+88.85+148.09+888.54+32991.38+26493.59)</f>
        <v>60752.619999999995</v>
      </c>
      <c r="N27" s="13">
        <f>SUM(B27:M27)</f>
        <v>728048.34</v>
      </c>
    </row>
    <row r="28" spans="1:14" x14ac:dyDescent="0.25">
      <c r="A28" t="s">
        <v>2</v>
      </c>
      <c r="B28" s="31">
        <v>2</v>
      </c>
      <c r="C28" s="31">
        <v>2</v>
      </c>
      <c r="D28" s="31">
        <v>2</v>
      </c>
      <c r="E28" s="31">
        <v>3</v>
      </c>
      <c r="F28" s="31">
        <v>3</v>
      </c>
      <c r="G28" s="31">
        <v>2</v>
      </c>
      <c r="H28" s="31">
        <v>2</v>
      </c>
      <c r="I28" s="31">
        <v>2</v>
      </c>
      <c r="J28" s="31">
        <v>2</v>
      </c>
      <c r="K28" s="31">
        <v>2</v>
      </c>
      <c r="L28" s="31">
        <v>2</v>
      </c>
      <c r="M28" s="31">
        <v>2</v>
      </c>
      <c r="N28" s="15">
        <f>SUM(B28:M28)</f>
        <v>26</v>
      </c>
    </row>
    <row r="29" spans="1:14" x14ac:dyDescent="0.25">
      <c r="A29" s="1" t="s">
        <v>27</v>
      </c>
      <c r="B29" s="9">
        <f>B27/B28</f>
        <v>24483.739999999998</v>
      </c>
      <c r="C29" s="9">
        <f t="shared" ref="C29" si="4">C27/C28</f>
        <v>26043.439999999999</v>
      </c>
      <c r="D29" s="9">
        <f t="shared" ref="D29" si="5">D27/D28</f>
        <v>23655.940000000002</v>
      </c>
      <c r="E29" s="9">
        <f t="shared" ref="E29" si="6">E27/E28</f>
        <v>16387.893333333333</v>
      </c>
      <c r="F29" s="9">
        <f t="shared" ref="F29" si="7">F27/F28</f>
        <v>18464.326666666668</v>
      </c>
      <c r="G29" s="9">
        <f t="shared" ref="G29" si="8">G27/G28</f>
        <v>34005.605000000003</v>
      </c>
      <c r="H29" s="9">
        <f t="shared" ref="H29" si="9">H27/H28</f>
        <v>36258.259999999995</v>
      </c>
      <c r="I29" s="9">
        <f t="shared" ref="I29" si="10">I27/I28</f>
        <v>37835.445</v>
      </c>
      <c r="J29" s="9">
        <f t="shared" ref="J29" si="11">J27/J28</f>
        <v>35013.714999999997</v>
      </c>
      <c r="K29" s="9">
        <f t="shared" ref="K29" si="12">K27/K28</f>
        <v>32562.149999999994</v>
      </c>
      <c r="L29" s="9">
        <f t="shared" ref="L29" si="13">L27/L28</f>
        <v>31511.235000000001</v>
      </c>
      <c r="M29" s="9">
        <f t="shared" ref="M29" si="14">M27/M28</f>
        <v>30376.309999999998</v>
      </c>
      <c r="N29" s="13">
        <f t="shared" ref="N29" si="15">N27/N28</f>
        <v>28001.859230769231</v>
      </c>
    </row>
    <row r="31" spans="1:14" x14ac:dyDescent="0.25">
      <c r="B31" s="36" t="s">
        <v>20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4" x14ac:dyDescent="0.25">
      <c r="A33" s="1"/>
      <c r="B33" t="s">
        <v>7</v>
      </c>
      <c r="C33" t="s">
        <v>8</v>
      </c>
      <c r="D33" t="s">
        <v>9</v>
      </c>
      <c r="E33" t="s">
        <v>10</v>
      </c>
      <c r="F33" t="s">
        <v>11</v>
      </c>
      <c r="G33" t="s">
        <v>12</v>
      </c>
      <c r="H33" t="s">
        <v>13</v>
      </c>
      <c r="I33" t="s">
        <v>14</v>
      </c>
      <c r="J33" t="s">
        <v>15</v>
      </c>
      <c r="K33" t="s">
        <v>16</v>
      </c>
      <c r="L33" t="s">
        <v>17</v>
      </c>
      <c r="M33" t="s">
        <v>18</v>
      </c>
      <c r="N33" s="1" t="s">
        <v>3</v>
      </c>
    </row>
    <row r="34" spans="1:14" x14ac:dyDescent="0.25">
      <c r="A34" s="8" t="s">
        <v>1</v>
      </c>
    </row>
    <row r="35" spans="1:14" x14ac:dyDescent="0.25">
      <c r="A35" t="s">
        <v>0</v>
      </c>
      <c r="B35" s="9">
        <f>SUM(243795.93+78.52+458.5+2755.57+7325.89)</f>
        <v>254414.41</v>
      </c>
      <c r="C35" s="9">
        <f>SUM(235159.33+78.52+465.4+2575.71+7067.16)</f>
        <v>245346.11999999997</v>
      </c>
      <c r="D35" s="9">
        <f>SUM(236485.57+79.16+573.12+2587.41+7110.44)</f>
        <v>246835.7</v>
      </c>
      <c r="E35" s="9">
        <f>SUM(237242.81+90.68+562.18+2745.47+7133.17)</f>
        <v>247774.31</v>
      </c>
      <c r="F35" s="9">
        <f>SUM(244723.88+84.92+608.26+2945.8+7357.63)</f>
        <v>255720.49000000002</v>
      </c>
      <c r="G35" s="9">
        <f>SUM(262531.79+84.92+650.3+3020.56+7891.96)</f>
        <v>274179.52999999997</v>
      </c>
      <c r="H35" s="9">
        <f>SUM(253843.46+106.68+312.19+3315.18+7623.07)</f>
        <v>265200.57999999996</v>
      </c>
      <c r="I35" s="9">
        <f>SUM(255921.09+78.52+228.67+2966.24+7682.07)</f>
        <v>266876.58999999997</v>
      </c>
      <c r="J35" s="9">
        <f>SUM(258548.74+78.52+518.4+2741.96+7769.34)</f>
        <v>269656.95999999996</v>
      </c>
      <c r="K35" s="9">
        <f>SUM(251875.34+80.44+593.28+2845.85+7571.7)</f>
        <v>262966.61</v>
      </c>
      <c r="L35" s="9">
        <f>SUM(245423.41+78.52+622.08+2631.12+7379.25)</f>
        <v>256134.37999999998</v>
      </c>
      <c r="M35" s="9">
        <f>SUM(238936.47+78.52+649.73+2700.9+7186.19)</f>
        <v>249551.81</v>
      </c>
      <c r="N35" s="13">
        <f>SUM(B35:M35)</f>
        <v>3094657.4899999998</v>
      </c>
    </row>
    <row r="36" spans="1:14" x14ac:dyDescent="0.25">
      <c r="A36" t="s">
        <v>2</v>
      </c>
      <c r="B36" s="4">
        <v>7939</v>
      </c>
      <c r="C36" s="4">
        <v>7947</v>
      </c>
      <c r="D36" s="4">
        <v>8031</v>
      </c>
      <c r="E36" s="4">
        <v>8041</v>
      </c>
      <c r="F36" s="4">
        <v>8081</v>
      </c>
      <c r="G36" s="4">
        <v>8096</v>
      </c>
      <c r="H36" s="4">
        <v>8099</v>
      </c>
      <c r="I36" s="4">
        <v>8141</v>
      </c>
      <c r="J36" s="4">
        <v>8156</v>
      </c>
      <c r="K36" s="4">
        <v>8159</v>
      </c>
      <c r="L36" s="4">
        <v>8142</v>
      </c>
      <c r="M36" s="4">
        <v>8116</v>
      </c>
      <c r="N36" s="14">
        <f>SUM(B36:M36)</f>
        <v>96948</v>
      </c>
    </row>
    <row r="37" spans="1:14" x14ac:dyDescent="0.25">
      <c r="A37" t="s">
        <v>45</v>
      </c>
      <c r="B37" s="24">
        <v>7516.17</v>
      </c>
      <c r="C37" s="24">
        <v>7840.36</v>
      </c>
      <c r="D37" s="24">
        <v>7557.03</v>
      </c>
      <c r="E37" s="24">
        <v>7292.53</v>
      </c>
      <c r="F37" s="24">
        <v>7498.74</v>
      </c>
      <c r="G37" s="24">
        <v>8342.2000000000007</v>
      </c>
      <c r="H37" s="24">
        <v>8670.98</v>
      </c>
      <c r="I37" s="24">
        <v>8653.3700000000008</v>
      </c>
      <c r="J37" s="24">
        <v>9281.01</v>
      </c>
      <c r="K37" s="24">
        <v>8222.4500000000007</v>
      </c>
      <c r="L37" s="24">
        <v>8221.6</v>
      </c>
      <c r="M37" s="24">
        <v>7834.71</v>
      </c>
      <c r="N37" s="13">
        <f>SUM(B37:M37)</f>
        <v>96931.150000000009</v>
      </c>
    </row>
    <row r="38" spans="1:14" x14ac:dyDescent="0.25">
      <c r="A38" s="1" t="s">
        <v>27</v>
      </c>
      <c r="B38" s="9">
        <f>(B35+B37)/B36</f>
        <v>32.99289331150019</v>
      </c>
      <c r="C38" s="9">
        <f t="shared" ref="C38:N38" si="16">(C35+C37)/C36</f>
        <v>31.859378381779283</v>
      </c>
      <c r="D38" s="9">
        <f t="shared" si="16"/>
        <v>31.67634541153032</v>
      </c>
      <c r="E38" s="9">
        <f t="shared" si="16"/>
        <v>31.720785971894042</v>
      </c>
      <c r="F38" s="9">
        <f t="shared" si="16"/>
        <v>32.572606113104818</v>
      </c>
      <c r="G38" s="9">
        <f t="shared" si="16"/>
        <v>34.896458745059284</v>
      </c>
      <c r="H38" s="9">
        <f t="shared" si="16"/>
        <v>33.81547845413013</v>
      </c>
      <c r="I38" s="9">
        <f t="shared" si="16"/>
        <v>33.844731605453873</v>
      </c>
      <c r="J38" s="9">
        <f t="shared" si="16"/>
        <v>34.200339627268264</v>
      </c>
      <c r="K38" s="9">
        <f t="shared" si="16"/>
        <v>33.238026718960654</v>
      </c>
      <c r="L38" s="9">
        <f t="shared" si="16"/>
        <v>32.468187177597642</v>
      </c>
      <c r="M38" s="9">
        <f t="shared" si="16"/>
        <v>31.713469689502215</v>
      </c>
      <c r="N38" s="9">
        <f t="shared" si="16"/>
        <v>32.920623839584103</v>
      </c>
    </row>
    <row r="40" spans="1:14" hidden="1" x14ac:dyDescent="0.25">
      <c r="A40" s="1" t="s">
        <v>4</v>
      </c>
    </row>
    <row r="41" spans="1:14" hidden="1" x14ac:dyDescent="0.25">
      <c r="A41" t="s">
        <v>0</v>
      </c>
      <c r="B41" s="9">
        <f>SUM(36786.43+1101.39+2275.91)</f>
        <v>40163.729999999996</v>
      </c>
      <c r="C41" s="9">
        <f>SUM(37444.74+1120.41+2316.49)</f>
        <v>40881.64</v>
      </c>
      <c r="D41" s="9">
        <f>SUM(39538.11+1182.9+2445.81)</f>
        <v>43166.82</v>
      </c>
      <c r="E41" s="9">
        <f>SUM(40245.7+1204.34+2489.62)</f>
        <v>43939.659999999996</v>
      </c>
      <c r="F41" s="9">
        <f>SUM(41721.29+1248.14+2580.58)</f>
        <v>45550.01</v>
      </c>
      <c r="G41" s="9">
        <f>SUM(42488.12+1271.12+2628.14)</f>
        <v>46387.380000000005</v>
      </c>
      <c r="H41" s="9">
        <f>SUM(43009.73+1287.4+2660.37)</f>
        <v>46957.500000000007</v>
      </c>
      <c r="I41" s="9">
        <f>SUM(41508.3+1242.58+2567.42)</f>
        <v>45318.3</v>
      </c>
      <c r="J41" s="9">
        <f>SUM(40734.55+1218.24+2519.64)</f>
        <v>44472.43</v>
      </c>
      <c r="K41" s="9">
        <f>SUM(42089.42+1258.97+2603.33)</f>
        <v>45951.72</v>
      </c>
      <c r="L41" s="9">
        <f>SUM(42434.49+1268.84+2624.65)</f>
        <v>46327.979999999996</v>
      </c>
      <c r="M41" s="9">
        <f>SUM(38522.56+1151.11+2382.9)</f>
        <v>42056.57</v>
      </c>
      <c r="N41" s="13">
        <f>SUM(B41:M41)</f>
        <v>531173.74</v>
      </c>
    </row>
    <row r="42" spans="1:14" hidden="1" x14ac:dyDescent="0.25">
      <c r="A42" t="s">
        <v>2</v>
      </c>
      <c r="B42" s="5">
        <v>669</v>
      </c>
      <c r="C42" s="5">
        <v>668</v>
      </c>
      <c r="D42" s="5">
        <v>684</v>
      </c>
      <c r="E42" s="5">
        <v>674</v>
      </c>
      <c r="F42" s="5">
        <v>660</v>
      </c>
      <c r="G42" s="5">
        <v>655</v>
      </c>
      <c r="H42" s="5">
        <v>647</v>
      </c>
      <c r="I42" s="5">
        <v>654</v>
      </c>
      <c r="J42" s="5">
        <v>666</v>
      </c>
      <c r="K42" s="5">
        <v>673</v>
      </c>
      <c r="L42" s="5">
        <v>667</v>
      </c>
      <c r="M42" s="5">
        <v>669</v>
      </c>
      <c r="N42" s="1">
        <f>SUM(B42:M42)</f>
        <v>7986</v>
      </c>
    </row>
    <row r="43" spans="1:14" hidden="1" x14ac:dyDescent="0.25">
      <c r="A43" s="1" t="s">
        <v>5</v>
      </c>
    </row>
    <row r="44" spans="1:14" hidden="1" x14ac:dyDescent="0.25">
      <c r="A44" t="s">
        <v>0</v>
      </c>
      <c r="B44" s="9">
        <f>SUM(22799.66+682.71+1409.11)</f>
        <v>24891.48</v>
      </c>
      <c r="C44" s="9">
        <f>SUM(20555.23+615.44+1270.42)</f>
        <v>22441.089999999997</v>
      </c>
      <c r="D44" s="9">
        <f>SUM(20653.34+618.55+1276.42)</f>
        <v>22548.309999999998</v>
      </c>
      <c r="E44" s="9">
        <f>SUM(19191.83+574.57+1186.15)</f>
        <v>20952.550000000003</v>
      </c>
      <c r="F44" s="9">
        <f>SUM(19310.09+578.41+1193.55)</f>
        <v>21082.05</v>
      </c>
      <c r="G44" s="9">
        <f>SUM(20136.19+602.85+1244.6)</f>
        <v>21983.639999999996</v>
      </c>
      <c r="H44" s="9">
        <f>SUM(19982.11+597.92+1234.93)</f>
        <v>21814.959999999999</v>
      </c>
      <c r="I44" s="9">
        <f>SUM(18997.73+568.21+1174.18)</f>
        <v>20740.12</v>
      </c>
      <c r="J44" s="9">
        <f>SUM(20087.62+601.04+1241.56)</f>
        <v>21930.22</v>
      </c>
      <c r="K44" s="9">
        <f>SUM(20284.14+606.21+1253.61)</f>
        <v>22143.96</v>
      </c>
      <c r="L44" s="9">
        <f>SUM(20521.8+613.61+1268.33)</f>
        <v>22403.739999999998</v>
      </c>
      <c r="M44" s="9">
        <f>SUM(19458.43+581.99+1202.71)</f>
        <v>21243.13</v>
      </c>
      <c r="N44" s="13">
        <f>SUM(B44:M44)</f>
        <v>264175.24999999994</v>
      </c>
    </row>
    <row r="45" spans="1:14" hidden="1" x14ac:dyDescent="0.25">
      <c r="A45" t="s">
        <v>2</v>
      </c>
      <c r="B45" s="5">
        <v>178</v>
      </c>
      <c r="C45" s="5">
        <v>175</v>
      </c>
      <c r="D45" s="5">
        <v>176</v>
      </c>
      <c r="E45" s="5">
        <v>176</v>
      </c>
      <c r="F45" s="5">
        <v>176</v>
      </c>
      <c r="G45" s="5">
        <v>176</v>
      </c>
      <c r="H45" s="5">
        <v>174</v>
      </c>
      <c r="I45" s="5">
        <v>175</v>
      </c>
      <c r="J45" s="5">
        <v>175</v>
      </c>
      <c r="K45" s="5">
        <v>177</v>
      </c>
      <c r="L45" s="5">
        <v>175</v>
      </c>
      <c r="M45" s="5">
        <v>174</v>
      </c>
      <c r="N45" s="1">
        <f>SUM(B45:M45)</f>
        <v>2107</v>
      </c>
    </row>
    <row r="46" spans="1:14" x14ac:dyDescent="0.25">
      <c r="A46" s="8" t="s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6"/>
    </row>
    <row r="47" spans="1:14" x14ac:dyDescent="0.25">
      <c r="A47" t="s">
        <v>0</v>
      </c>
      <c r="B47" s="20">
        <f>B41+B44</f>
        <v>65055.209999999992</v>
      </c>
      <c r="C47" s="20">
        <f t="shared" ref="C47:M47" si="17">C41+C44</f>
        <v>63322.729999999996</v>
      </c>
      <c r="D47" s="20">
        <f t="shared" si="17"/>
        <v>65715.13</v>
      </c>
      <c r="E47" s="20">
        <f t="shared" si="17"/>
        <v>64892.21</v>
      </c>
      <c r="F47" s="20">
        <f t="shared" si="17"/>
        <v>66632.06</v>
      </c>
      <c r="G47" s="20">
        <f t="shared" si="17"/>
        <v>68371.02</v>
      </c>
      <c r="H47" s="20">
        <f t="shared" si="17"/>
        <v>68772.460000000006</v>
      </c>
      <c r="I47" s="20">
        <f t="shared" si="17"/>
        <v>66058.42</v>
      </c>
      <c r="J47" s="20">
        <f t="shared" si="17"/>
        <v>66402.649999999994</v>
      </c>
      <c r="K47" s="20">
        <f t="shared" si="17"/>
        <v>68095.679999999993</v>
      </c>
      <c r="L47" s="20">
        <f t="shared" si="17"/>
        <v>68731.72</v>
      </c>
      <c r="M47" s="20">
        <f t="shared" si="17"/>
        <v>63299.7</v>
      </c>
      <c r="N47" s="13">
        <f>SUM(B47:M47)</f>
        <v>795348.99</v>
      </c>
    </row>
    <row r="48" spans="1:14" x14ac:dyDescent="0.25">
      <c r="A48" t="s">
        <v>2</v>
      </c>
      <c r="B48" s="31">
        <f>B42+B45</f>
        <v>847</v>
      </c>
      <c r="C48" s="31">
        <f t="shared" ref="C48:M48" si="18">C42+C45</f>
        <v>843</v>
      </c>
      <c r="D48" s="31">
        <f t="shared" si="18"/>
        <v>860</v>
      </c>
      <c r="E48" s="31">
        <f t="shared" si="18"/>
        <v>850</v>
      </c>
      <c r="F48" s="31">
        <f t="shared" si="18"/>
        <v>836</v>
      </c>
      <c r="G48" s="31">
        <f t="shared" si="18"/>
        <v>831</v>
      </c>
      <c r="H48" s="31">
        <f t="shared" si="18"/>
        <v>821</v>
      </c>
      <c r="I48" s="31">
        <f t="shared" si="18"/>
        <v>829</v>
      </c>
      <c r="J48" s="31">
        <f t="shared" si="18"/>
        <v>841</v>
      </c>
      <c r="K48" s="31">
        <f t="shared" si="18"/>
        <v>850</v>
      </c>
      <c r="L48" s="31">
        <f t="shared" si="18"/>
        <v>842</v>
      </c>
      <c r="M48" s="31">
        <f t="shared" si="18"/>
        <v>843</v>
      </c>
      <c r="N48" s="15">
        <f>SUM(B48:M48)</f>
        <v>10093</v>
      </c>
    </row>
    <row r="49" spans="1:14" x14ac:dyDescent="0.25">
      <c r="A49" t="s">
        <v>45</v>
      </c>
      <c r="B49" s="20">
        <f>806.6+392.49</f>
        <v>1199.0900000000001</v>
      </c>
      <c r="C49" s="20">
        <f>139.18+531.32</f>
        <v>670.5</v>
      </c>
      <c r="D49" s="20">
        <f>834.46+316.93</f>
        <v>1151.3900000000001</v>
      </c>
      <c r="E49" s="20">
        <f>455.23+367.04</f>
        <v>822.27</v>
      </c>
      <c r="F49" s="20">
        <f>472.92+367.04</f>
        <v>839.96</v>
      </c>
      <c r="G49" s="20">
        <f>490.17+479.91</f>
        <v>970.08</v>
      </c>
      <c r="H49" s="20">
        <f>597.56+305.11</f>
        <v>902.67</v>
      </c>
      <c r="I49" s="20">
        <v>1055.4000000000001</v>
      </c>
      <c r="J49" s="20">
        <v>1101.05</v>
      </c>
      <c r="K49" s="20">
        <v>1285.03</v>
      </c>
      <c r="L49" s="20">
        <v>980.83</v>
      </c>
      <c r="M49" s="20">
        <v>857.77</v>
      </c>
      <c r="N49" s="13">
        <f>SUM(B49:M49)</f>
        <v>11836.04</v>
      </c>
    </row>
    <row r="50" spans="1:14" x14ac:dyDescent="0.25">
      <c r="A50" s="1" t="s">
        <v>27</v>
      </c>
      <c r="B50" s="9">
        <f>(B47+B49)/B48</f>
        <v>78.222314049586757</v>
      </c>
      <c r="C50" s="9">
        <f t="shared" ref="C50:N50" si="19">(C47+C49)/C48</f>
        <v>75.911304863582444</v>
      </c>
      <c r="D50" s="9">
        <f t="shared" si="19"/>
        <v>77.751767441860466</v>
      </c>
      <c r="E50" s="9">
        <f t="shared" si="19"/>
        <v>77.311152941176459</v>
      </c>
      <c r="F50" s="9">
        <f t="shared" si="19"/>
        <v>80.708157894736843</v>
      </c>
      <c r="G50" s="9">
        <f t="shared" si="19"/>
        <v>83.442960288808678</v>
      </c>
      <c r="H50" s="9">
        <f t="shared" si="19"/>
        <v>84.866175395858718</v>
      </c>
      <c r="I50" s="9">
        <f t="shared" si="19"/>
        <v>80.957563329312421</v>
      </c>
      <c r="J50" s="9">
        <f t="shared" si="19"/>
        <v>80.26599286563615</v>
      </c>
      <c r="K50" s="9">
        <f t="shared" si="19"/>
        <v>81.624364705882343</v>
      </c>
      <c r="L50" s="9">
        <f t="shared" si="19"/>
        <v>82.794002375296913</v>
      </c>
      <c r="M50" s="9">
        <f t="shared" si="19"/>
        <v>76.106132858837483</v>
      </c>
      <c r="N50" s="9">
        <f t="shared" si="19"/>
        <v>79.974737937184187</v>
      </c>
    </row>
    <row r="52" spans="1:14" x14ac:dyDescent="0.25">
      <c r="A52" s="21" t="s">
        <v>46</v>
      </c>
      <c r="N52" s="29"/>
    </row>
    <row r="53" spans="1:14" x14ac:dyDescent="0.25">
      <c r="A53" t="s">
        <v>28</v>
      </c>
      <c r="B53" s="9">
        <v>20433.02</v>
      </c>
      <c r="C53" s="9">
        <v>15312.13</v>
      </c>
      <c r="D53" s="9">
        <v>10479.620000000001</v>
      </c>
      <c r="E53" s="9">
        <v>16558.91</v>
      </c>
      <c r="F53" s="9">
        <v>19251.71</v>
      </c>
      <c r="G53" s="9">
        <v>16374.77</v>
      </c>
      <c r="H53" s="9">
        <v>15377.66</v>
      </c>
      <c r="I53" s="9">
        <v>23012.7</v>
      </c>
      <c r="J53" s="9">
        <v>16497.97</v>
      </c>
      <c r="K53" s="9">
        <v>27399.360000000001</v>
      </c>
      <c r="L53" s="9">
        <v>24258.78</v>
      </c>
      <c r="M53" s="9">
        <v>12717.84</v>
      </c>
      <c r="N53" s="13">
        <f>SUM(B53:M53)</f>
        <v>217674.47000000003</v>
      </c>
    </row>
    <row r="54" spans="1:14" x14ac:dyDescent="0.25">
      <c r="A54" t="s">
        <v>29</v>
      </c>
      <c r="B54" s="9">
        <v>19077.560000000001</v>
      </c>
      <c r="C54" s="9">
        <v>11524.68</v>
      </c>
      <c r="D54" s="9">
        <v>7465.93</v>
      </c>
      <c r="E54" s="9">
        <v>11023.39</v>
      </c>
      <c r="F54" s="9">
        <v>14505.24</v>
      </c>
      <c r="G54" s="9">
        <v>13969.92</v>
      </c>
      <c r="H54" s="9">
        <v>14458.72</v>
      </c>
      <c r="I54" s="9">
        <v>14626.65</v>
      </c>
      <c r="J54" s="9">
        <v>14220.95</v>
      </c>
      <c r="K54" s="9">
        <v>14975.23</v>
      </c>
      <c r="L54" s="9">
        <v>19597.78</v>
      </c>
      <c r="M54" s="9">
        <v>11293.57</v>
      </c>
      <c r="N54" s="13">
        <f>SUM(B54:M54)</f>
        <v>166739.62</v>
      </c>
    </row>
    <row r="55" spans="1:14" x14ac:dyDescent="0.25">
      <c r="N55" s="29"/>
    </row>
    <row r="56" spans="1:14" x14ac:dyDescent="0.25">
      <c r="F56" s="35" t="s">
        <v>38</v>
      </c>
      <c r="G56" s="35"/>
    </row>
    <row r="57" spans="1:14" x14ac:dyDescent="0.25">
      <c r="F57" t="s">
        <v>28</v>
      </c>
      <c r="G57" t="s">
        <v>29</v>
      </c>
    </row>
    <row r="58" spans="1:14" x14ac:dyDescent="0.25">
      <c r="E58" t="s">
        <v>30</v>
      </c>
      <c r="F58" s="9">
        <f>N12</f>
        <v>25.902141995317844</v>
      </c>
      <c r="G58" s="9">
        <f>N38</f>
        <v>32.920623839584103</v>
      </c>
    </row>
    <row r="59" spans="1:14" x14ac:dyDescent="0.25">
      <c r="E59" t="s">
        <v>43</v>
      </c>
      <c r="F59" s="9">
        <f>N24</f>
        <v>64.218235294117633</v>
      </c>
      <c r="G59" s="9">
        <f>N50</f>
        <v>79.974737937184187</v>
      </c>
    </row>
    <row r="60" spans="1:14" x14ac:dyDescent="0.25">
      <c r="E60" t="s">
        <v>6</v>
      </c>
      <c r="F60" s="9">
        <f>N29</f>
        <v>28001.859230769231</v>
      </c>
      <c r="G60" s="1" t="s">
        <v>33</v>
      </c>
    </row>
    <row r="61" spans="1:14" x14ac:dyDescent="0.25">
      <c r="E61" s="15" t="s">
        <v>31</v>
      </c>
      <c r="F61" s="9">
        <f>(N9+N11+N21+N23+N27+N53)/(N10+N22+N28)</f>
        <v>37.01931800073924</v>
      </c>
      <c r="G61" s="1" t="s">
        <v>33</v>
      </c>
    </row>
    <row r="62" spans="1:14" x14ac:dyDescent="0.25">
      <c r="E62" s="15" t="s">
        <v>32</v>
      </c>
      <c r="F62" s="9">
        <f>(N9+N11+N21+N23+N53)/(N10+N22)</f>
        <v>31.045839433449171</v>
      </c>
      <c r="G62" s="13">
        <f>(N35+N37+N47+N49+N54)/(N36+N48)</f>
        <v>38.915119346792352</v>
      </c>
    </row>
    <row r="64" spans="1:14" x14ac:dyDescent="0.25">
      <c r="A64" s="30" t="s">
        <v>47</v>
      </c>
      <c r="B64" s="21" t="s">
        <v>48</v>
      </c>
    </row>
  </sheetData>
  <mergeCells count="3">
    <mergeCell ref="B5:M5"/>
    <mergeCell ref="B31:M31"/>
    <mergeCell ref="F56:G5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workbookViewId="0">
      <selection activeCell="H34" sqref="H34"/>
    </sheetView>
  </sheetViews>
  <sheetFormatPr defaultRowHeight="15" x14ac:dyDescent="0.25"/>
  <cols>
    <col min="1" max="1" width="15" customWidth="1"/>
    <col min="2" max="13" width="12.5703125" bestFit="1" customWidth="1"/>
    <col min="14" max="14" width="17.7109375" style="1" customWidth="1"/>
  </cols>
  <sheetData>
    <row r="1" spans="1:14" x14ac:dyDescent="0.25">
      <c r="A1" s="21" t="s">
        <v>39</v>
      </c>
      <c r="N1" s="33"/>
    </row>
    <row r="2" spans="1:14" x14ac:dyDescent="0.25">
      <c r="A2" s="21" t="s">
        <v>40</v>
      </c>
      <c r="N2" s="33"/>
    </row>
    <row r="3" spans="1:14" x14ac:dyDescent="0.25">
      <c r="A3" s="21" t="s">
        <v>54</v>
      </c>
      <c r="N3" s="33"/>
    </row>
    <row r="4" spans="1:14" x14ac:dyDescent="0.25">
      <c r="N4" s="33"/>
    </row>
    <row r="5" spans="1:14" x14ac:dyDescent="0.25">
      <c r="A5" s="3"/>
      <c r="B5" s="36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5">
      <c r="A6" s="1"/>
    </row>
    <row r="7" spans="1:14" x14ac:dyDescent="0.25">
      <c r="A7" s="1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3</v>
      </c>
    </row>
    <row r="8" spans="1:14" x14ac:dyDescent="0.25">
      <c r="A8" s="3" t="s">
        <v>1</v>
      </c>
    </row>
    <row r="9" spans="1:14" x14ac:dyDescent="0.25">
      <c r="A9" t="s">
        <v>0</v>
      </c>
      <c r="B9" s="10">
        <f>178903.22+3542.24+5699.95+0.18+7039.9+0.18+133.9+1214.42+59.24+853.02+142.17+177.7+148.09+296.18+414.68+59.24+1031.24+8.89+54091.04+29.6+97.49+10.04+1078.55+39.19+0.6+20.08</f>
        <v>255091.02999999997</v>
      </c>
      <c r="C9" s="10">
        <f>171722.07+3101.57+5500.75+0.18+6840.58+0.18+118.05+1214.42+59.24+853.02+142.17+177.7+148.09+296.18+414.68+59.24+1040.13+8.89+54073.28+29.6+97.49+10.04+1078.55+39.19+0.6+20.08</f>
        <v>247045.96999999997</v>
      </c>
      <c r="D9" s="10">
        <f>165875.62+3490.39+5405.64+0.18+6685.59+0.18+116.43+1214.42+59.24+853.02+142.17+177.7+148.09+296.18+414.68+59.24+1049.02+8.89+54677.12+29.6+97.49+10.04+1078.55+39.19+0.6+20.08</f>
        <v>241949.34999999998</v>
      </c>
      <c r="E9" s="10">
        <f>167656.81+3081.86+5456.92+0.18+6738+0.18+118.7+1229.23+59.24+853.02+142.17+177.7+148.09+296.18+414.68+59.24+1040.13+8.89+54730.4+29.6+97.49+10.04+1078.55+39.19+0.6+20.08</f>
        <v>243487.16999999998</v>
      </c>
      <c r="F9" s="10">
        <f>178319.52+3716.32+5676.11+0.18+7067.55+0.18+123.58+1214.42+59.24+853.02+142.17+177.7+148.09+296.18+414.68+59.24+1040.13+8.89+55215.84+29.6+97.49+10.04+1078.55+39.19+0.6+20.08</f>
        <v>255808.58999999994</v>
      </c>
      <c r="G9" s="10">
        <f>192640.93+3093.98+5924.15+0.18+7478.99+0.18+136.65+1214.42+59.24+853.02+142.17+177.7+148.09+296.18+414.68+59.24+1040.13+8.89+55056+29.6+97.49+10.04+1078.55+39.19+0.6+20.08</f>
        <v>270020.36999999988</v>
      </c>
      <c r="H9" s="10">
        <f>184127.63+3166.53+5809.67+0.18+7232.9+0.18+136.31+1214.42+59.24+853.02+142.17+177.7+148.09+296.18+414.68+59.24+1040.13+8.89+55357.92+23.68+97.49+10.04+1078.55+39.19+0.6+20.08</f>
        <v>261514.71</v>
      </c>
      <c r="I9" s="10">
        <f>188210.56+3641.85+5814.76+7344.02+143.57+1244.04+59.24+853.02+142.17+177.7+148.09+296.18+414.68+59.24+1049.02+8.89+55168.48+17.76+97.49+10.04+1078.55+39.19+0.6+20.08</f>
        <v>266039.21999999997</v>
      </c>
      <c r="J9" s="10">
        <f>187727.85+4048.56+5870.47+7345.48+117.78+1244.04+59.24+805.63+142.17+177.7+148.09+296.18+414.68+59.24+1040.13+8.89+54902.08+17.76+97.49+10.04+1078.55+39.19+0.6+20.08</f>
        <v>265671.92</v>
      </c>
      <c r="K9" s="10">
        <f>173990.21+4564.99+5539.08+6934.72+123.46+1258.85+59.24+805.63+142.17+177.7+148.09+296.18+414.68+59.24+1040.13+8.89+55132.96+17.76+97.49+10.04+1078.55+39.19+0.6+20.08</f>
        <v>251959.92999999996</v>
      </c>
      <c r="L9" s="10">
        <f>172159.94+6062.16+5567.79+6871.3+125.59+1244.04+59.24+805.63+142.17+177.7+148.09+296.18+414.68+59.24+1031.24+8.89+54937.6+17.76+97.49+10.04+1078.55+39.19+0.6+20.08</f>
        <v>251375.19</v>
      </c>
      <c r="M9" s="10">
        <f>168870.11+4857.85+5494.32+6776.87+115.96+1273.66+59.24+805.63+142.17+177.7+148.09+296.18+414.68+59.24+1022.35+8.89+54730.4+17.76+97.49+10.04+1078.55+39.19+0.6+20.08</f>
        <v>246517.05</v>
      </c>
      <c r="N9" s="11">
        <f>SUM(B9:M9)</f>
        <v>3056480.4999999995</v>
      </c>
    </row>
    <row r="10" spans="1:14" x14ac:dyDescent="0.25">
      <c r="A10" t="s">
        <v>2</v>
      </c>
      <c r="B10" s="4">
        <v>9303</v>
      </c>
      <c r="C10" s="4">
        <v>9290</v>
      </c>
      <c r="D10" s="4">
        <v>9398</v>
      </c>
      <c r="E10" s="4">
        <v>9416</v>
      </c>
      <c r="F10" s="4">
        <v>9468</v>
      </c>
      <c r="G10" s="4">
        <v>9466</v>
      </c>
      <c r="H10" s="4">
        <v>9477</v>
      </c>
      <c r="I10" s="4">
        <v>9445</v>
      </c>
      <c r="J10" s="4">
        <v>9439</v>
      </c>
      <c r="K10" s="4">
        <v>9462</v>
      </c>
      <c r="L10" s="4">
        <v>9436</v>
      </c>
      <c r="M10" s="4">
        <v>9424</v>
      </c>
      <c r="N10" s="12">
        <f>SUM(B10:M10)</f>
        <v>113024</v>
      </c>
    </row>
    <row r="11" spans="1:14" x14ac:dyDescent="0.25">
      <c r="A11" t="s">
        <v>45</v>
      </c>
      <c r="B11" s="24">
        <v>7014.12</v>
      </c>
      <c r="C11" s="24">
        <v>7065.67</v>
      </c>
      <c r="D11" s="24">
        <v>6714.33</v>
      </c>
      <c r="E11" s="24">
        <v>6706.72</v>
      </c>
      <c r="F11" s="24">
        <v>6854.57</v>
      </c>
      <c r="G11" s="24">
        <v>8154.66</v>
      </c>
      <c r="H11" s="24">
        <v>7798.85</v>
      </c>
      <c r="I11" s="24">
        <v>7820.33</v>
      </c>
      <c r="J11" s="24">
        <v>7614.33</v>
      </c>
      <c r="K11" s="24">
        <v>7660.84</v>
      </c>
      <c r="L11" s="24">
        <v>7410.43</v>
      </c>
      <c r="M11" s="24">
        <v>7349.39</v>
      </c>
      <c r="N11" s="25">
        <f>SUM(B11:M11)</f>
        <v>88164.24</v>
      </c>
    </row>
    <row r="12" spans="1:14" x14ac:dyDescent="0.25">
      <c r="A12" s="1" t="s">
        <v>27</v>
      </c>
      <c r="B12" s="9">
        <f>(B9+B11)/B10</f>
        <v>28.174260991078143</v>
      </c>
      <c r="C12" s="9">
        <f t="shared" ref="C12:N12" si="0">(C9+C11)/C10</f>
        <v>27.353244348762107</v>
      </c>
      <c r="D12" s="9">
        <f t="shared" si="0"/>
        <v>26.459212598425193</v>
      </c>
      <c r="E12" s="9">
        <f t="shared" si="0"/>
        <v>26.571143797790992</v>
      </c>
      <c r="F12" s="9">
        <f t="shared" si="0"/>
        <v>27.74220109843683</v>
      </c>
      <c r="G12" s="9">
        <f t="shared" si="0"/>
        <v>29.386755757447691</v>
      </c>
      <c r="H12" s="9">
        <f t="shared" si="0"/>
        <v>28.417596285744434</v>
      </c>
      <c r="I12" s="9">
        <f t="shared" si="0"/>
        <v>28.995187930121755</v>
      </c>
      <c r="J12" s="9">
        <f t="shared" si="0"/>
        <v>28.952881661192922</v>
      </c>
      <c r="K12" s="9">
        <f t="shared" si="0"/>
        <v>27.438255125766219</v>
      </c>
      <c r="L12" s="9">
        <f t="shared" si="0"/>
        <v>27.425351844001696</v>
      </c>
      <c r="M12" s="9">
        <f t="shared" si="0"/>
        <v>26.938289473684211</v>
      </c>
      <c r="N12" s="9">
        <f t="shared" si="0"/>
        <v>27.822805244903734</v>
      </c>
    </row>
    <row r="13" spans="1:14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idden="1" x14ac:dyDescent="0.25">
      <c r="A14" s="3" t="s">
        <v>4</v>
      </c>
    </row>
    <row r="15" spans="1:14" hidden="1" x14ac:dyDescent="0.25">
      <c r="A15" t="s">
        <v>0</v>
      </c>
      <c r="B15" s="10">
        <f>17.52+24859.58+928.33+1021.15+8.59+2174.9+947.84+2085.16+533.1+296.18+533.16+320.04+3173.12+126.64+68.34+97.49+50.2+641.3+153.45+149.6+20.08+204.05+17.2+35.47+224.13+349.8</f>
        <v>39036.420000000006</v>
      </c>
      <c r="C15" s="10">
        <f>27982.77+947.51+1101.2+15.86+2357.45+888.6+2085.16+533.1+148.09+562.78+320.04+3161.28+126.64+68.34+97.49+50.2+641.3+153.45+149.6+20.08+204.05+17.2+35.47+224.13+349.8</f>
        <v>42241.589999999989</v>
      </c>
      <c r="D15" s="10">
        <f>25901.67+923.74+1045.08+8.09+2224.52+888.6+2085.16+533.1+148.09+533.16+320.04+3143.52+126.64+68.34+97.49+50.2+641.3+153.45+149.6+20.08+204.05+16.31+33.62+194.25+349.8</f>
        <v>39859.899999999994</v>
      </c>
      <c r="E15" s="10">
        <f>25284.57+923.98+1021.03+11.34+2182.09+888.6+2085.16+533.1+148.09+533.16+320.04+3072.48+126.64+68.34+97.49+50.2+641.3+153.45+149.6+20.08+204.05+17.2+35.47+224.13+349.8</f>
        <v>39141.389999999992</v>
      </c>
      <c r="F15" s="10">
        <f>26999.35+971.88+1072.34+9.28+2286.48+888.6+2085.16+533.1+148.09+533.16+337.82+2977.76+126.64+68.34+97.49+50.2+641.3+153.45+149.6+20.08+204.05+17.2+35.47+224.13+349.8</f>
        <v>40980.76999999999</v>
      </c>
      <c r="G15" s="10">
        <f>27872.61+985.73+1101.56+10.02+2349.02+918.22+2085.16+533.1+148.09+562.78+346.71+3036.96+126.64+68.34+97.49+50.2+641.3+153.45+149.6+20.08+204.05+17.2+35.47+224.13+349.8</f>
        <v>42087.709999999992</v>
      </c>
      <c r="H15" s="10">
        <f>31640.66+1081.38+1221.35+9.69+2600.58+918.22+2085.16+533.1+148.09+592.4+337.82+3226.4+126.64+68.34+97.49+50.2+641.3+153.45+149.6+20.08+204.05+17.2+35.47+224.13+349.8</f>
        <v>46532.6</v>
      </c>
      <c r="I15" s="10">
        <f>31489.69+1069.47+1206.17+16.03+2581.67+918.22+2085.16+533.1+148.09+562.78+355.6+3096.16+126.64+66.06+97.49+50.2+641.3+153.45+149.6+20.08+204.05+17.2+35.47+224.13+349.8</f>
        <v>46197.609999999993</v>
      </c>
      <c r="J15" s="10">
        <f>30911.66+1012.02+1181.69+18.4+2532.74+918.22+2085.16+533.1+148.09+533.16+364.49+3025.12+126.64+97.49+50.2+641.3+153.45+149.6+20.08+204.05+17.2+35.47+224.13+349.8</f>
        <v>45333.259999999995</v>
      </c>
      <c r="K15" s="10">
        <f>29607.72+960.18+1150.32+11.07+2449.5+933.03+2085.16+533.1+148.09+533.16+355.6+3031.04+126.64+97.49+50.2+641.3+153.45+149.6+20.08+204.05+17.2+35.47+224.13+349.8</f>
        <v>43867.37999999999</v>
      </c>
      <c r="L15" s="10">
        <f>27669.32+981.97+1095.45+9.93+2335.78+933.03+2132.55+533.1+148.09+533.16+355.6+3060.64+126.64+97.49+50.2+641.3+153.45+149.6+20.08+204.05+17.2+35.47+224.13+349.8</f>
        <v>41858.03</v>
      </c>
      <c r="M15" s="10">
        <f>23309.13+884.41+965.08+7.7+2056.61+933.03+2132.55+533.1+148.09+533.16+355.6+3001.44+126.64+97.49+50.2+641.3+153.45+149.6+20.08+204.05+17.2+35.47+224.13+349.8</f>
        <v>36929.31</v>
      </c>
      <c r="N15" s="11">
        <f>SUM(B15:M15)</f>
        <v>504065.96999999991</v>
      </c>
    </row>
    <row r="16" spans="1:14" hidden="1" x14ac:dyDescent="0.25">
      <c r="A16" t="s">
        <v>2</v>
      </c>
      <c r="B16" s="5">
        <v>694</v>
      </c>
      <c r="C16" s="5">
        <v>690</v>
      </c>
      <c r="D16" s="5">
        <v>689</v>
      </c>
      <c r="E16" s="5">
        <v>672</v>
      </c>
      <c r="F16" s="5">
        <v>661</v>
      </c>
      <c r="G16" s="5">
        <v>668</v>
      </c>
      <c r="H16" s="5">
        <v>707</v>
      </c>
      <c r="I16" s="5">
        <v>676</v>
      </c>
      <c r="J16" s="5">
        <v>673</v>
      </c>
      <c r="K16" s="5">
        <v>671</v>
      </c>
      <c r="L16" s="5">
        <v>676</v>
      </c>
      <c r="M16" s="5">
        <v>673</v>
      </c>
      <c r="N16" s="1">
        <f>SUM(B16:M16)</f>
        <v>8150</v>
      </c>
    </row>
    <row r="17" spans="1:14" hidden="1" x14ac:dyDescent="0.25">
      <c r="A17" s="3" t="s">
        <v>5</v>
      </c>
    </row>
    <row r="18" spans="1:14" hidden="1" x14ac:dyDescent="0.25">
      <c r="A18" t="s">
        <v>0</v>
      </c>
      <c r="B18" s="10">
        <f>18719.76+638.76+668.51+0.67+1417.39+1184.8+473.9+88.85+148.09+592.36+236.96+266.7+372.96+145.75+78.38</f>
        <v>25033.839999999993</v>
      </c>
      <c r="C18" s="10">
        <f>18427.15+632.34+660.1+0.64+1399.75+1184.8+473.9+88.85+148.09+592.36+236.96+284.48+367.04+145.75+78.38</f>
        <v>24720.59</v>
      </c>
      <c r="D18" s="10">
        <f>15295.21+548.1+568.6+0.62+1206.06+1288.47+473.9+88.85+148.09+592.36+236.96+266.7+361.12+145.75+78.38</f>
        <v>21299.170000000002</v>
      </c>
      <c r="E18" s="10">
        <f>15275.49+545.03+565.93+0.63+1199.88+0.41+1184.8+473.9+88.85+148.09+592.36+266.58+266.7+367.04+145.75+78.38</f>
        <v>21199.820000000007</v>
      </c>
      <c r="F18" s="10">
        <f>15601.48+553.65+575.1+0.59+1184.8+1219.45+473.9+88.85+148.09+592.36+236.96+266.7+372.96+145.75+78.38</f>
        <v>21539.02</v>
      </c>
      <c r="G18" s="10">
        <f>16012.78+566.58+587.38+0.63+1246.04+1199.61+473.9+88.85+148.09+592.36+236.96+266.7+361.12+145.75+78.38</f>
        <v>22005.130000000005</v>
      </c>
      <c r="H18" s="10">
        <f>16587.04+582.96+604.33+0.71+1281.97+1184.8+473.9+88.85+148.09+592.36+236.96+266.7+367.04+145.75+78.38</f>
        <v>22639.840000000004</v>
      </c>
      <c r="I18" s="10">
        <f>16131.76+569.79+590.68+0.71+1252.88+1184.8+473.9+88.85+148.09+592.36+236.96+266.7+367.04+145.75+78.38</f>
        <v>22128.65</v>
      </c>
      <c r="J18" s="10">
        <f>16219.2+573.36+594.02+0.63+1259.73+1199.61+473.9+88.85+148.09+592.36+236.96+266.7+372.96+145.75+78.38</f>
        <v>22250.500000000004</v>
      </c>
      <c r="K18" s="10">
        <f>15060.7+540.23+559.44+0.65+1186.5+1199.61+88.85+473.9+148.09+592.36+236.96+266.7+378.88+145.75+78.38</f>
        <v>20957.000000000004</v>
      </c>
      <c r="L18" s="10">
        <f>14529.65+521.33+542.59+0.68+1151.09+1184.8+473.9+88.85+148.09+592.36+236.96+266.7+367.04+145.75+78.38</f>
        <v>20328.170000000002</v>
      </c>
      <c r="M18" s="10">
        <f>15082.49+534.15+559.23+0.65+1186.1+1184.8+473.9+88.85+148.09+592.36+236.96+266.7+367.04+145.75+78.38</f>
        <v>20945.45</v>
      </c>
      <c r="N18" s="11">
        <f>SUM(B18:M18)</f>
        <v>265047.18</v>
      </c>
    </row>
    <row r="19" spans="1:14" hidden="1" x14ac:dyDescent="0.25">
      <c r="A19" t="s">
        <v>2</v>
      </c>
      <c r="B19" s="5">
        <v>188</v>
      </c>
      <c r="C19" s="5">
        <v>189</v>
      </c>
      <c r="D19" s="5">
        <v>187</v>
      </c>
      <c r="E19" s="5">
        <v>187</v>
      </c>
      <c r="F19" s="5">
        <v>187</v>
      </c>
      <c r="G19" s="5">
        <v>187</v>
      </c>
      <c r="H19" s="5">
        <v>187</v>
      </c>
      <c r="I19" s="5">
        <v>187</v>
      </c>
      <c r="J19" s="5">
        <v>188</v>
      </c>
      <c r="K19" s="5">
        <v>189</v>
      </c>
      <c r="L19" s="5">
        <v>187</v>
      </c>
      <c r="M19" s="5">
        <v>187</v>
      </c>
      <c r="N19" s="1">
        <f>SUM(B19:M19)</f>
        <v>2250</v>
      </c>
    </row>
    <row r="20" spans="1:14" x14ac:dyDescent="0.25">
      <c r="A20" s="21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6"/>
    </row>
    <row r="21" spans="1:14" x14ac:dyDescent="0.25">
      <c r="A21" t="s">
        <v>0</v>
      </c>
      <c r="B21" s="20">
        <f>B15+B18</f>
        <v>64070.259999999995</v>
      </c>
      <c r="C21" s="20">
        <f t="shared" ref="C21:M21" si="1">C15+C18</f>
        <v>66962.179999999993</v>
      </c>
      <c r="D21" s="20">
        <f t="shared" si="1"/>
        <v>61159.069999999992</v>
      </c>
      <c r="E21" s="20">
        <f t="shared" si="1"/>
        <v>60341.21</v>
      </c>
      <c r="F21" s="20">
        <f t="shared" si="1"/>
        <v>62519.789999999994</v>
      </c>
      <c r="G21" s="20">
        <f t="shared" si="1"/>
        <v>64092.84</v>
      </c>
      <c r="H21" s="20">
        <f t="shared" si="1"/>
        <v>69172.44</v>
      </c>
      <c r="I21" s="20">
        <f t="shared" si="1"/>
        <v>68326.259999999995</v>
      </c>
      <c r="J21" s="20">
        <f t="shared" si="1"/>
        <v>67583.759999999995</v>
      </c>
      <c r="K21" s="20">
        <f t="shared" si="1"/>
        <v>64824.37999999999</v>
      </c>
      <c r="L21" s="20">
        <f t="shared" si="1"/>
        <v>62186.2</v>
      </c>
      <c r="M21" s="20">
        <f t="shared" si="1"/>
        <v>57874.759999999995</v>
      </c>
      <c r="N21" s="11">
        <f>SUM(B21:M21)</f>
        <v>769113.14999999991</v>
      </c>
    </row>
    <row r="22" spans="1:14" x14ac:dyDescent="0.25">
      <c r="A22" t="s">
        <v>2</v>
      </c>
      <c r="B22" s="31">
        <f>B16+B19</f>
        <v>882</v>
      </c>
      <c r="C22" s="31">
        <f t="shared" ref="C22:M22" si="2">C16+C19</f>
        <v>879</v>
      </c>
      <c r="D22" s="31">
        <f t="shared" si="2"/>
        <v>876</v>
      </c>
      <c r="E22" s="31">
        <f t="shared" si="2"/>
        <v>859</v>
      </c>
      <c r="F22" s="31">
        <f t="shared" si="2"/>
        <v>848</v>
      </c>
      <c r="G22" s="31">
        <f t="shared" si="2"/>
        <v>855</v>
      </c>
      <c r="H22" s="31">
        <f t="shared" si="2"/>
        <v>894</v>
      </c>
      <c r="I22" s="31">
        <f t="shared" si="2"/>
        <v>863</v>
      </c>
      <c r="J22" s="31">
        <f t="shared" si="2"/>
        <v>861</v>
      </c>
      <c r="K22" s="31">
        <f t="shared" si="2"/>
        <v>860</v>
      </c>
      <c r="L22" s="31">
        <f t="shared" si="2"/>
        <v>863</v>
      </c>
      <c r="M22" s="31">
        <f t="shared" si="2"/>
        <v>860</v>
      </c>
      <c r="N22" s="15">
        <f>SUM(B22:M22)</f>
        <v>10400</v>
      </c>
    </row>
    <row r="23" spans="1:14" x14ac:dyDescent="0.25">
      <c r="A23" t="s">
        <v>45</v>
      </c>
      <c r="B23" s="20">
        <f>817.96+28.24</f>
        <v>846.2</v>
      </c>
      <c r="C23" s="20">
        <f>844.34+39.9</f>
        <v>884.24</v>
      </c>
      <c r="D23" s="20">
        <f>1071.39+39.9</f>
        <v>1111.2900000000002</v>
      </c>
      <c r="E23" s="20">
        <f>564.43+17.49</f>
        <v>581.91999999999996</v>
      </c>
      <c r="F23" s="20">
        <f>578.17+5.83</f>
        <v>584</v>
      </c>
      <c r="G23" s="20">
        <f>966.59+17.49</f>
        <v>984.08</v>
      </c>
      <c r="H23" s="20">
        <f>677.15+5.83</f>
        <v>682.98</v>
      </c>
      <c r="I23" s="20">
        <f>468.9+17.49</f>
        <v>486.39</v>
      </c>
      <c r="J23" s="20">
        <f>424.42+17.49</f>
        <v>441.91</v>
      </c>
      <c r="K23" s="20">
        <f>1009.51+17.49</f>
        <v>1027</v>
      </c>
      <c r="L23" s="20">
        <f>329.69+17.49</f>
        <v>347.18</v>
      </c>
      <c r="M23" s="20">
        <f>664.75+17.49</f>
        <v>682.24</v>
      </c>
      <c r="N23" s="11">
        <f t="shared" ref="N23" si="3">SUM(B23:M23)</f>
        <v>8659.4300000000021</v>
      </c>
    </row>
    <row r="24" spans="1:14" x14ac:dyDescent="0.25">
      <c r="A24" s="1" t="s">
        <v>27</v>
      </c>
      <c r="B24" s="9">
        <f>(B21+B23)/B22</f>
        <v>73.601428571428556</v>
      </c>
      <c r="C24" s="9">
        <f t="shared" ref="C24:N24" si="4">(C21+C23)/C22</f>
        <v>77.185915813424344</v>
      </c>
      <c r="D24" s="9">
        <f t="shared" si="4"/>
        <v>71.084885844748854</v>
      </c>
      <c r="E24" s="9">
        <f t="shared" si="4"/>
        <v>70.923317811408609</v>
      </c>
      <c r="F24" s="9">
        <f t="shared" si="4"/>
        <v>74.414846698113195</v>
      </c>
      <c r="G24" s="9">
        <f t="shared" si="4"/>
        <v>76.11335672514619</v>
      </c>
      <c r="H24" s="9">
        <f t="shared" si="4"/>
        <v>78.138053691275161</v>
      </c>
      <c r="I24" s="9">
        <f t="shared" si="4"/>
        <v>79.73655851680185</v>
      </c>
      <c r="J24" s="9">
        <f t="shared" si="4"/>
        <v>79.007746806039492</v>
      </c>
      <c r="K24" s="9">
        <f t="shared" si="4"/>
        <v>76.571372093023243</v>
      </c>
      <c r="L24" s="9">
        <f t="shared" si="4"/>
        <v>72.460463499420626</v>
      </c>
      <c r="M24" s="9">
        <f t="shared" si="4"/>
        <v>68.089534883720916</v>
      </c>
      <c r="N24" s="9">
        <f t="shared" si="4"/>
        <v>74.785825000000003</v>
      </c>
    </row>
    <row r="25" spans="1:14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x14ac:dyDescent="0.25">
      <c r="A26" s="3" t="s">
        <v>6</v>
      </c>
    </row>
    <row r="27" spans="1:14" x14ac:dyDescent="0.25">
      <c r="A27" t="s">
        <v>0</v>
      </c>
      <c r="B27" s="10">
        <f>142.17+88.85+148.09+888.54+35587.86+27973.56</f>
        <v>64829.070000000007</v>
      </c>
      <c r="C27" s="10">
        <f>142.17+88.85+148.09+888.54+34640.09+26981.87</f>
        <v>62889.61</v>
      </c>
      <c r="D27" s="10">
        <f>142.17+88.85+148.09+888.54+31521.1+28183.36</f>
        <v>60972.11</v>
      </c>
      <c r="E27" s="10">
        <f>142.17+177.7+148.09+888.54+2423.72+32503.57+26663.75</f>
        <v>62947.54</v>
      </c>
      <c r="F27" s="10">
        <f>142.17+177.7+148.09+888.54+5420.92+33453.95+29552.63</f>
        <v>69784</v>
      </c>
      <c r="G27" s="10">
        <f>142.17+177.7+148.09+888.54+5380.56+39527.88+33481.08</f>
        <v>79746.01999999999</v>
      </c>
      <c r="H27" s="10">
        <f>6142.17+177.7+148.09+888.54+8303.19+38405.92+32570.12</f>
        <v>86635.73</v>
      </c>
      <c r="I27" s="10">
        <f>142.17+177.7+148.09+1184.72+9012.13+43475.46+29548.85</f>
        <v>83689.119999999995</v>
      </c>
      <c r="J27" s="10">
        <f>142.17+177.7+148.09+1184.72+6438.32+38750.27+28143.48</f>
        <v>74984.75</v>
      </c>
      <c r="K27" s="10">
        <f>142.17+177.7+148.09+888.54+5345.64+46289.98+27446.09</f>
        <v>80438.210000000006</v>
      </c>
      <c r="L27" s="10">
        <f>142.17+88.85+148.09+888.54+5064.09+53534+26277.19</f>
        <v>86142.93</v>
      </c>
      <c r="M27" s="10">
        <f>142.17+88.85+148.09+888.54+5305.99+78452.53+27172.81</f>
        <v>112198.98</v>
      </c>
      <c r="N27" s="11">
        <f>SUM(B27:M27)</f>
        <v>925258.06999999983</v>
      </c>
    </row>
    <row r="28" spans="1:14" x14ac:dyDescent="0.25">
      <c r="A28" t="s">
        <v>2</v>
      </c>
      <c r="B28" s="31">
        <v>2</v>
      </c>
      <c r="C28" s="31">
        <v>2</v>
      </c>
      <c r="D28" s="31">
        <v>2</v>
      </c>
      <c r="E28" s="31">
        <v>3</v>
      </c>
      <c r="F28" s="31">
        <v>3</v>
      </c>
      <c r="G28" s="31">
        <v>3</v>
      </c>
      <c r="H28" s="31">
        <v>3</v>
      </c>
      <c r="I28" s="31">
        <v>3</v>
      </c>
      <c r="J28" s="31">
        <v>3</v>
      </c>
      <c r="K28" s="31">
        <v>3</v>
      </c>
      <c r="L28" s="31">
        <v>3</v>
      </c>
      <c r="M28" s="31">
        <v>3</v>
      </c>
      <c r="N28" s="15">
        <f>SUM(B28:M28)</f>
        <v>33</v>
      </c>
    </row>
    <row r="29" spans="1:14" x14ac:dyDescent="0.25">
      <c r="A29" s="23" t="s">
        <v>44</v>
      </c>
      <c r="B29" s="20">
        <v>0</v>
      </c>
      <c r="C29" s="20">
        <v>0</v>
      </c>
      <c r="D29" s="20">
        <v>0</v>
      </c>
      <c r="E29" s="20">
        <v>0</v>
      </c>
      <c r="F29" s="20"/>
      <c r="G29" s="20">
        <v>5420.92</v>
      </c>
      <c r="H29" s="20">
        <v>5380.56</v>
      </c>
      <c r="I29" s="20">
        <v>13683.75</v>
      </c>
      <c r="J29" s="20">
        <v>22695.88</v>
      </c>
      <c r="K29" s="20">
        <v>29134.2</v>
      </c>
      <c r="L29" s="20">
        <v>16051.3</v>
      </c>
      <c r="M29" s="20">
        <v>21115.39</v>
      </c>
      <c r="N29" s="11">
        <f t="shared" ref="N29:N30" si="5">SUM(B29:M29)</f>
        <v>113482</v>
      </c>
    </row>
    <row r="30" spans="1:14" x14ac:dyDescent="0.25">
      <c r="A30" t="s">
        <v>45</v>
      </c>
      <c r="B30" s="20">
        <v>0</v>
      </c>
      <c r="C30" s="20">
        <v>0</v>
      </c>
      <c r="D30" s="20">
        <v>0</v>
      </c>
      <c r="E30" s="20">
        <v>0</v>
      </c>
      <c r="F30" s="20">
        <v>251.26</v>
      </c>
      <c r="G30" s="20">
        <v>550.98</v>
      </c>
      <c r="H30" s="20">
        <v>546.94000000000005</v>
      </c>
      <c r="I30" s="20">
        <v>839.2</v>
      </c>
      <c r="J30" s="20">
        <v>1030.31</v>
      </c>
      <c r="K30" s="20">
        <v>772.92</v>
      </c>
      <c r="L30" s="20">
        <v>-2525.71</v>
      </c>
      <c r="M30" s="20">
        <v>635.5</v>
      </c>
      <c r="N30" s="11">
        <f t="shared" si="5"/>
        <v>2101.4</v>
      </c>
    </row>
    <row r="31" spans="1:14" x14ac:dyDescent="0.25">
      <c r="A31" s="1" t="s">
        <v>27</v>
      </c>
      <c r="B31" s="9">
        <f>(B27+B29+B30)/B28</f>
        <v>32414.535000000003</v>
      </c>
      <c r="C31" s="9">
        <f t="shared" ref="C31:N31" si="6">(C27+C29+C30)/C28</f>
        <v>31444.805</v>
      </c>
      <c r="D31" s="9">
        <f t="shared" si="6"/>
        <v>30486.055</v>
      </c>
      <c r="E31" s="9">
        <f t="shared" si="6"/>
        <v>20982.513333333332</v>
      </c>
      <c r="F31" s="9">
        <f t="shared" si="6"/>
        <v>23345.086666666666</v>
      </c>
      <c r="G31" s="9">
        <f t="shared" si="6"/>
        <v>28572.639999999996</v>
      </c>
      <c r="H31" s="9">
        <f t="shared" si="6"/>
        <v>30854.41</v>
      </c>
      <c r="I31" s="9">
        <f t="shared" si="6"/>
        <v>32737.356666666663</v>
      </c>
      <c r="J31" s="9">
        <f t="shared" si="6"/>
        <v>32903.646666666667</v>
      </c>
      <c r="K31" s="9">
        <f t="shared" si="6"/>
        <v>36781.776666666665</v>
      </c>
      <c r="L31" s="9">
        <f t="shared" si="6"/>
        <v>33222.839999999997</v>
      </c>
      <c r="M31" s="9">
        <f t="shared" si="6"/>
        <v>44649.956666666665</v>
      </c>
      <c r="N31" s="9">
        <f t="shared" si="6"/>
        <v>31540.650606060601</v>
      </c>
    </row>
    <row r="33" spans="1:14" x14ac:dyDescent="0.25">
      <c r="B33" s="36" t="s">
        <v>22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4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1"/>
      <c r="B35" s="1" t="s">
        <v>7</v>
      </c>
      <c r="C35" s="1" t="s">
        <v>8</v>
      </c>
      <c r="D35" s="1" t="s">
        <v>9</v>
      </c>
      <c r="E35" s="1" t="s">
        <v>10</v>
      </c>
      <c r="F35" s="1" t="s">
        <v>11</v>
      </c>
      <c r="G35" s="1" t="s">
        <v>12</v>
      </c>
      <c r="H35" s="1" t="s">
        <v>13</v>
      </c>
      <c r="I35" s="1" t="s">
        <v>14</v>
      </c>
      <c r="J35" s="1" t="s">
        <v>15</v>
      </c>
      <c r="K35" s="1" t="s">
        <v>16</v>
      </c>
      <c r="L35" s="1" t="s">
        <v>17</v>
      </c>
      <c r="M35" s="1" t="s">
        <v>18</v>
      </c>
      <c r="N35" s="1" t="s">
        <v>3</v>
      </c>
    </row>
    <row r="36" spans="1:14" x14ac:dyDescent="0.25">
      <c r="A36" s="3" t="s">
        <v>1</v>
      </c>
    </row>
    <row r="37" spans="1:14" x14ac:dyDescent="0.25">
      <c r="A37" t="s">
        <v>0</v>
      </c>
      <c r="B37" s="10">
        <f>250782.78+78.52+437.76+2758.19+7534.46</f>
        <v>261591.71</v>
      </c>
      <c r="C37" s="10">
        <f>241192+78.52+553.54+2520.32+7250.76</f>
        <v>251595.14</v>
      </c>
      <c r="D37" s="10">
        <f>240593.06+78.52+628.99+2611.55+7235.11</f>
        <v>251147.22999999995</v>
      </c>
      <c r="E37" s="10">
        <f>239521.01+78.52+502.84+2528.3+7199.69</f>
        <v>249830.36</v>
      </c>
      <c r="F37" s="10">
        <f>249312.04+91.96+676.23+2859.34+7497.68</f>
        <v>260437.25</v>
      </c>
      <c r="G37" s="10">
        <f>260163.71+99.64+588.1+3005.26+7821</f>
        <v>271677.71000000002</v>
      </c>
      <c r="H37" s="10">
        <f>258137.79+64.65+910.65+3215.46+7770.43</f>
        <v>270098.98</v>
      </c>
      <c r="I37" s="10">
        <f>256683.53+59.53+100.23+2978.41+7701.79</f>
        <v>267523.49</v>
      </c>
      <c r="J37" s="10">
        <f>260173.64+58.89+614.01+2974.51+7822.85</f>
        <v>271643.90000000002</v>
      </c>
      <c r="K37" s="10">
        <f>246820.8+61.45+640.51+2477.33+7424.41</f>
        <v>257424.5</v>
      </c>
      <c r="L37" s="10">
        <f>246169.98+58.89+656.05+2633.37+7404.71</f>
        <v>256923</v>
      </c>
      <c r="M37" s="10">
        <f>243745.91+58.89+577.16+2678.19+7329.28</f>
        <v>254389.43000000002</v>
      </c>
      <c r="N37" s="11">
        <f>SUM(B37:M37)</f>
        <v>3124282.7</v>
      </c>
    </row>
    <row r="38" spans="1:14" x14ac:dyDescent="0.25">
      <c r="A38" t="s">
        <v>2</v>
      </c>
      <c r="B38" s="4">
        <v>8117</v>
      </c>
      <c r="C38" s="4">
        <v>8103</v>
      </c>
      <c r="D38" s="4">
        <v>8203</v>
      </c>
      <c r="E38" s="4">
        <v>8214</v>
      </c>
      <c r="F38" s="4">
        <v>8272</v>
      </c>
      <c r="G38" s="4">
        <v>8260</v>
      </c>
      <c r="H38" s="4">
        <v>8265</v>
      </c>
      <c r="I38" s="4">
        <v>8240</v>
      </c>
      <c r="J38" s="4">
        <v>8225</v>
      </c>
      <c r="K38" s="4">
        <v>8234</v>
      </c>
      <c r="L38" s="4">
        <v>8213</v>
      </c>
      <c r="M38" s="4">
        <v>8194</v>
      </c>
      <c r="N38" s="14">
        <f>SUM(B38:M38)</f>
        <v>98540</v>
      </c>
    </row>
    <row r="39" spans="1:14" x14ac:dyDescent="0.25">
      <c r="A39" t="s">
        <v>45</v>
      </c>
      <c r="B39" s="24">
        <v>7735.25</v>
      </c>
      <c r="C39" s="24">
        <v>7944.53</v>
      </c>
      <c r="D39" s="24">
        <v>7562.57</v>
      </c>
      <c r="E39" s="24">
        <v>7297.73</v>
      </c>
      <c r="F39" s="24">
        <v>7693.84</v>
      </c>
      <c r="G39" s="24">
        <v>8915.35</v>
      </c>
      <c r="H39" s="24">
        <v>8905.36</v>
      </c>
      <c r="I39" s="24">
        <v>8594.09</v>
      </c>
      <c r="J39" s="24">
        <v>8227.77</v>
      </c>
      <c r="K39" s="24">
        <v>8592.5</v>
      </c>
      <c r="L39" s="24">
        <v>8348.65</v>
      </c>
      <c r="M39" s="24">
        <v>8050.87</v>
      </c>
      <c r="N39" s="11">
        <f t="shared" ref="N39" si="7">SUM(B39:M39)</f>
        <v>97868.51</v>
      </c>
    </row>
    <row r="40" spans="1:14" x14ac:dyDescent="0.25">
      <c r="A40" s="1" t="s">
        <v>27</v>
      </c>
      <c r="B40" s="9">
        <f>(B37+B39)/B38</f>
        <v>33.180603671307125</v>
      </c>
      <c r="C40" s="9">
        <f t="shared" ref="C40:N40" si="8">(C37+C39)/C38</f>
        <v>32.030071578427744</v>
      </c>
      <c r="D40" s="9">
        <f t="shared" si="8"/>
        <v>31.538437157137629</v>
      </c>
      <c r="E40" s="9">
        <f t="shared" si="8"/>
        <v>31.303638909179448</v>
      </c>
      <c r="F40" s="9">
        <f t="shared" si="8"/>
        <v>32.414300048355905</v>
      </c>
      <c r="G40" s="9">
        <f t="shared" si="8"/>
        <v>33.970104116222757</v>
      </c>
      <c r="H40" s="9">
        <f t="shared" si="8"/>
        <v>33.75733091349062</v>
      </c>
      <c r="I40" s="9">
        <f t="shared" si="8"/>
        <v>33.509415048543694</v>
      </c>
      <c r="J40" s="9">
        <f t="shared" si="8"/>
        <v>34.026950759878424</v>
      </c>
      <c r="K40" s="9">
        <f t="shared" si="8"/>
        <v>32.30714112217634</v>
      </c>
      <c r="L40" s="9">
        <f t="shared" si="8"/>
        <v>32.298995494947036</v>
      </c>
      <c r="M40" s="9">
        <f t="shared" si="8"/>
        <v>32.028350012204058</v>
      </c>
      <c r="N40" s="9">
        <f t="shared" si="8"/>
        <v>32.698916277653744</v>
      </c>
    </row>
    <row r="42" spans="1:14" hidden="1" x14ac:dyDescent="0.25">
      <c r="A42" s="3" t="s">
        <v>4</v>
      </c>
    </row>
    <row r="43" spans="1:14" hidden="1" x14ac:dyDescent="0.25">
      <c r="A43" t="s">
        <v>0</v>
      </c>
      <c r="B43" s="10">
        <f>41814.4+27.95+1249.36+2586.16</f>
        <v>45677.869999999995</v>
      </c>
      <c r="C43" s="10">
        <f>42627.76+1274.77+2636.55</f>
        <v>46539.08</v>
      </c>
      <c r="D43" s="10">
        <f>41342.63+1236.81+2557.11</f>
        <v>45136.549999999996</v>
      </c>
      <c r="E43" s="10">
        <f>40490.5+1211.48+2504.42</f>
        <v>44206.400000000001</v>
      </c>
      <c r="F43" s="10">
        <f>42542.79+1272.26+2631.17</f>
        <v>46446.22</v>
      </c>
      <c r="G43" s="10">
        <f>45016.14+1346.25+2784.06</f>
        <v>49146.45</v>
      </c>
      <c r="H43" s="10">
        <f>47859.39+1431.13+2959.45</f>
        <v>52249.969999999994</v>
      </c>
      <c r="I43" s="10">
        <f>46003.37+1376.39+2845.06</f>
        <v>50224.82</v>
      </c>
      <c r="J43" s="10">
        <f>42395.26+1267.39+2622.07</f>
        <v>46284.72</v>
      </c>
      <c r="K43" s="10">
        <f>41322.72+1236.31+2555.97</f>
        <v>45115</v>
      </c>
      <c r="L43" s="10">
        <f>41710+1247.99+2579.94</f>
        <v>45537.93</v>
      </c>
      <c r="M43" s="10">
        <f>38909.63+4.58+1163.79+2406.79</f>
        <v>42484.79</v>
      </c>
      <c r="N43" s="11">
        <f>SUM(B43:M43)</f>
        <v>559049.79999999993</v>
      </c>
    </row>
    <row r="44" spans="1:14" hidden="1" x14ac:dyDescent="0.25">
      <c r="A44" t="s">
        <v>2</v>
      </c>
      <c r="B44" s="5">
        <v>659</v>
      </c>
      <c r="C44" s="5">
        <v>655</v>
      </c>
      <c r="D44" s="5">
        <v>654</v>
      </c>
      <c r="E44" s="5">
        <v>639</v>
      </c>
      <c r="F44" s="5">
        <v>626</v>
      </c>
      <c r="G44" s="5">
        <v>632</v>
      </c>
      <c r="H44" s="5">
        <v>675</v>
      </c>
      <c r="I44" s="5">
        <v>647</v>
      </c>
      <c r="J44" s="5">
        <v>641</v>
      </c>
      <c r="K44" s="5">
        <v>640</v>
      </c>
      <c r="L44" s="5">
        <v>643</v>
      </c>
      <c r="M44" s="5">
        <v>641</v>
      </c>
      <c r="N44" s="1">
        <f>SUM(B44:M44)</f>
        <v>7752</v>
      </c>
    </row>
    <row r="45" spans="1:14" hidden="1" x14ac:dyDescent="0.25">
      <c r="A45" s="3" t="s">
        <v>5</v>
      </c>
    </row>
    <row r="46" spans="1:14" hidden="1" x14ac:dyDescent="0.25">
      <c r="A46" t="s">
        <v>0</v>
      </c>
      <c r="B46" s="10">
        <f>25880.1+773.01+1599.35</f>
        <v>28252.459999999995</v>
      </c>
      <c r="C46" s="10">
        <f>25670.74+768.37+1586.41</f>
        <v>28025.52</v>
      </c>
      <c r="D46" s="10">
        <f>21350.79+639+1319.59</f>
        <v>23309.38</v>
      </c>
      <c r="E46" s="10">
        <f>21203.22+634.53+1310.42</f>
        <v>23148.17</v>
      </c>
      <c r="F46" s="10">
        <f>21652.29+647.72+1338.16</f>
        <v>23638.170000000002</v>
      </c>
      <c r="G46" s="10">
        <f>22369.78+669.08+1382.57</f>
        <v>24421.43</v>
      </c>
      <c r="H46" s="10">
        <f>23431.25+700.88+1448.13</f>
        <v>25580.260000000002</v>
      </c>
      <c r="I46" s="10">
        <f>22556.23+674.62+1394.01</f>
        <v>24624.859999999997</v>
      </c>
      <c r="J46" s="10">
        <f>22888.22+684.56+1414.58</f>
        <v>24987.360000000001</v>
      </c>
      <c r="K46" s="10">
        <f>21369.65+639.22+1320.67</f>
        <v>23329.54</v>
      </c>
      <c r="L46" s="10">
        <f>20466.12+611.67+1264.88</f>
        <v>22342.67</v>
      </c>
      <c r="M46" s="10">
        <f>21338.24+638.27+1318.82</f>
        <v>23295.33</v>
      </c>
      <c r="N46" s="11">
        <f>SUM(B46:M46)</f>
        <v>294955.15000000002</v>
      </c>
    </row>
    <row r="47" spans="1:14" hidden="1" x14ac:dyDescent="0.25">
      <c r="A47" t="s">
        <v>2</v>
      </c>
      <c r="B47" s="5">
        <v>175</v>
      </c>
      <c r="C47" s="5">
        <v>176</v>
      </c>
      <c r="D47" s="5">
        <v>174</v>
      </c>
      <c r="E47" s="5">
        <v>174</v>
      </c>
      <c r="F47" s="5">
        <v>174</v>
      </c>
      <c r="G47" s="5">
        <v>174</v>
      </c>
      <c r="H47" s="5">
        <v>174</v>
      </c>
      <c r="I47" s="5">
        <v>174</v>
      </c>
      <c r="J47" s="5">
        <v>175</v>
      </c>
      <c r="K47" s="5">
        <v>176</v>
      </c>
      <c r="L47" s="5">
        <v>174</v>
      </c>
      <c r="M47" s="5">
        <v>174</v>
      </c>
      <c r="N47" s="1">
        <f>SUM(B47:M47)</f>
        <v>2094</v>
      </c>
    </row>
    <row r="48" spans="1:14" x14ac:dyDescent="0.25">
      <c r="A48" s="21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6"/>
    </row>
    <row r="49" spans="1:14" x14ac:dyDescent="0.25">
      <c r="A49" t="s">
        <v>0</v>
      </c>
      <c r="B49" s="20">
        <f>B43+B46</f>
        <v>73930.329999999987</v>
      </c>
      <c r="C49" s="20">
        <f>C43+C46</f>
        <v>74564.600000000006</v>
      </c>
      <c r="D49" s="20">
        <f t="shared" ref="D49:M49" si="9">D43+D46</f>
        <v>68445.929999999993</v>
      </c>
      <c r="E49" s="20">
        <f t="shared" si="9"/>
        <v>67354.570000000007</v>
      </c>
      <c r="F49" s="20">
        <f t="shared" si="9"/>
        <v>70084.39</v>
      </c>
      <c r="G49" s="20">
        <f t="shared" si="9"/>
        <v>73567.88</v>
      </c>
      <c r="H49" s="20">
        <f t="shared" si="9"/>
        <v>77830.23</v>
      </c>
      <c r="I49" s="20">
        <f t="shared" si="9"/>
        <v>74849.679999999993</v>
      </c>
      <c r="J49" s="20">
        <f t="shared" si="9"/>
        <v>71272.08</v>
      </c>
      <c r="K49" s="20">
        <f t="shared" si="9"/>
        <v>68444.540000000008</v>
      </c>
      <c r="L49" s="20">
        <f t="shared" si="9"/>
        <v>67880.600000000006</v>
      </c>
      <c r="M49" s="20">
        <f t="shared" si="9"/>
        <v>65780.12</v>
      </c>
      <c r="N49" s="11">
        <f>SUM(B49:M49)</f>
        <v>854004.95</v>
      </c>
    </row>
    <row r="50" spans="1:14" x14ac:dyDescent="0.25">
      <c r="A50" t="s">
        <v>2</v>
      </c>
      <c r="B50" s="31">
        <f>B44+B47</f>
        <v>834</v>
      </c>
      <c r="C50" s="31">
        <f t="shared" ref="C50:M50" si="10">C44+C47</f>
        <v>831</v>
      </c>
      <c r="D50" s="31">
        <f>D44+D47</f>
        <v>828</v>
      </c>
      <c r="E50" s="31">
        <f t="shared" si="10"/>
        <v>813</v>
      </c>
      <c r="F50" s="31">
        <f t="shared" si="10"/>
        <v>800</v>
      </c>
      <c r="G50" s="31">
        <f t="shared" si="10"/>
        <v>806</v>
      </c>
      <c r="H50" s="31">
        <f t="shared" si="10"/>
        <v>849</v>
      </c>
      <c r="I50" s="31">
        <f t="shared" si="10"/>
        <v>821</v>
      </c>
      <c r="J50" s="31">
        <f t="shared" si="10"/>
        <v>816</v>
      </c>
      <c r="K50" s="31">
        <f t="shared" si="10"/>
        <v>816</v>
      </c>
      <c r="L50" s="31">
        <f t="shared" si="10"/>
        <v>817</v>
      </c>
      <c r="M50" s="31">
        <f t="shared" si="10"/>
        <v>815</v>
      </c>
      <c r="N50" s="15">
        <f>SUM(B50:M50)</f>
        <v>9846</v>
      </c>
    </row>
    <row r="51" spans="1:14" x14ac:dyDescent="0.25">
      <c r="A51" t="s">
        <v>45</v>
      </c>
      <c r="B51" s="20">
        <v>876.79</v>
      </c>
      <c r="C51" s="20">
        <v>1032.23</v>
      </c>
      <c r="D51" s="20">
        <v>1395.79</v>
      </c>
      <c r="E51" s="20">
        <v>755.83</v>
      </c>
      <c r="F51" s="20">
        <v>782.56</v>
      </c>
      <c r="G51" s="20">
        <v>1225.1400000000001</v>
      </c>
      <c r="H51" s="20">
        <v>820.01</v>
      </c>
      <c r="I51" s="20">
        <v>706.31</v>
      </c>
      <c r="J51" s="20">
        <v>596.91</v>
      </c>
      <c r="K51" s="20">
        <v>1158.17</v>
      </c>
      <c r="L51" s="20">
        <v>482.25</v>
      </c>
      <c r="M51" s="20">
        <v>862.09</v>
      </c>
      <c r="N51" s="11">
        <f t="shared" ref="N51" si="11">SUM(B51:M51)</f>
        <v>10694.08</v>
      </c>
    </row>
    <row r="52" spans="1:14" x14ac:dyDescent="0.25">
      <c r="A52" s="1" t="s">
        <v>27</v>
      </c>
      <c r="B52" s="9">
        <f>(B49+B51)/B50</f>
        <v>89.696786570743384</v>
      </c>
      <c r="C52" s="9">
        <f t="shared" ref="C52:N52" si="12">(C49+C51)/C50</f>
        <v>90.970914560770154</v>
      </c>
      <c r="D52" s="9">
        <f t="shared" si="12"/>
        <v>84.349903381642491</v>
      </c>
      <c r="E52" s="9">
        <f t="shared" si="12"/>
        <v>83.776629766297674</v>
      </c>
      <c r="F52" s="9">
        <f t="shared" si="12"/>
        <v>88.583687499999996</v>
      </c>
      <c r="G52" s="9">
        <f t="shared" si="12"/>
        <v>92.795310173697274</v>
      </c>
      <c r="H52" s="9">
        <f t="shared" si="12"/>
        <v>92.638680800942268</v>
      </c>
      <c r="I52" s="9">
        <f t="shared" si="12"/>
        <v>92.029220462850176</v>
      </c>
      <c r="J52" s="9">
        <f t="shared" si="12"/>
        <v>88.074742647058827</v>
      </c>
      <c r="K52" s="9">
        <f t="shared" si="12"/>
        <v>85.29743872549021</v>
      </c>
      <c r="L52" s="9">
        <f t="shared" si="12"/>
        <v>83.675458996328032</v>
      </c>
      <c r="M52" s="9">
        <f t="shared" si="12"/>
        <v>81.76958282208588</v>
      </c>
      <c r="N52" s="9">
        <f t="shared" si="12"/>
        <v>87.822367458866538</v>
      </c>
    </row>
    <row r="54" spans="1:14" x14ac:dyDescent="0.25">
      <c r="A54" s="21" t="s">
        <v>46</v>
      </c>
      <c r="N54" s="29"/>
    </row>
    <row r="55" spans="1:14" x14ac:dyDescent="0.25">
      <c r="A55" t="s">
        <v>28</v>
      </c>
      <c r="B55" s="9">
        <v>24883.58</v>
      </c>
      <c r="C55" s="9">
        <v>22922.51</v>
      </c>
      <c r="D55" s="9">
        <v>21059.49</v>
      </c>
      <c r="E55" s="9">
        <v>20550.150000000001</v>
      </c>
      <c r="F55" s="9">
        <v>19358.68</v>
      </c>
      <c r="G55" s="9">
        <v>12259.98</v>
      </c>
      <c r="H55" s="9">
        <v>27680.36</v>
      </c>
      <c r="I55" s="9">
        <v>24250.43</v>
      </c>
      <c r="J55" s="9">
        <v>22938.46</v>
      </c>
      <c r="K55" s="9">
        <v>35236.07</v>
      </c>
      <c r="L55" s="9">
        <v>33680.959999999999</v>
      </c>
      <c r="M55" s="9">
        <v>17487.75</v>
      </c>
      <c r="N55" s="13">
        <f>SUM(B55:M55)</f>
        <v>282308.42</v>
      </c>
    </row>
    <row r="56" spans="1:14" x14ac:dyDescent="0.25">
      <c r="A56" t="s">
        <v>29</v>
      </c>
      <c r="B56" s="9">
        <v>11293.57</v>
      </c>
      <c r="C56" s="9">
        <v>16796.88</v>
      </c>
      <c r="D56" s="9">
        <v>13125.78</v>
      </c>
      <c r="E56" s="9">
        <v>16261.85</v>
      </c>
      <c r="F56" s="9">
        <v>8910.9</v>
      </c>
      <c r="G56" s="9">
        <v>9481.18</v>
      </c>
      <c r="H56" s="9">
        <v>15834.16</v>
      </c>
      <c r="I56" s="9">
        <v>16951.919999999998</v>
      </c>
      <c r="J56" s="9">
        <v>16717.21</v>
      </c>
      <c r="K56" s="9">
        <v>24993.82</v>
      </c>
      <c r="L56" s="9">
        <v>24329.63</v>
      </c>
      <c r="M56" s="9">
        <v>15713.73</v>
      </c>
      <c r="N56" s="13">
        <f>SUM(B56:M56)</f>
        <v>190410.63000000003</v>
      </c>
    </row>
    <row r="58" spans="1:14" x14ac:dyDescent="0.25">
      <c r="F58" s="35" t="s">
        <v>35</v>
      </c>
      <c r="G58" s="35"/>
    </row>
    <row r="59" spans="1:14" x14ac:dyDescent="0.25">
      <c r="F59" t="s">
        <v>28</v>
      </c>
      <c r="G59" t="s">
        <v>29</v>
      </c>
    </row>
    <row r="60" spans="1:14" x14ac:dyDescent="0.25">
      <c r="E60" t="s">
        <v>1</v>
      </c>
      <c r="F60" s="9">
        <f>N12</f>
        <v>27.822805244903734</v>
      </c>
      <c r="G60" s="9">
        <f>N40</f>
        <v>32.698916277653744</v>
      </c>
    </row>
    <row r="61" spans="1:14" x14ac:dyDescent="0.25">
      <c r="E61" t="s">
        <v>43</v>
      </c>
      <c r="F61" s="9">
        <f>N24</f>
        <v>74.785825000000003</v>
      </c>
      <c r="G61" s="9">
        <f>N52</f>
        <v>87.822367458866538</v>
      </c>
    </row>
    <row r="62" spans="1:14" x14ac:dyDescent="0.25">
      <c r="E62" t="s">
        <v>6</v>
      </c>
      <c r="F62" s="9">
        <f>N31</f>
        <v>31540.650606060601</v>
      </c>
      <c r="G62" s="16" t="s">
        <v>33</v>
      </c>
    </row>
    <row r="63" spans="1:14" x14ac:dyDescent="0.25">
      <c r="E63" s="15" t="s">
        <v>31</v>
      </c>
      <c r="F63" s="9">
        <f>(N9+N11+N21+N23+N27+N29+N30+N55)/(N10+N22+N28)</f>
        <v>42.489022169662313</v>
      </c>
      <c r="G63" s="16" t="s">
        <v>33</v>
      </c>
    </row>
    <row r="64" spans="1:14" x14ac:dyDescent="0.25">
      <c r="E64" s="15" t="s">
        <v>32</v>
      </c>
      <c r="F64" s="9">
        <f>(N9+N11+N21+N23+N55)/(N10+N22)</f>
        <v>34.067326775991702</v>
      </c>
      <c r="G64" s="13">
        <f>(N37+N39+N49+N51+N56)/(N38+N50)</f>
        <v>39.46322283320724</v>
      </c>
    </row>
    <row r="66" spans="1:14" x14ac:dyDescent="0.25">
      <c r="A66" s="30" t="s">
        <v>47</v>
      </c>
      <c r="B66" s="21" t="s">
        <v>48</v>
      </c>
      <c r="N66" s="29"/>
    </row>
  </sheetData>
  <mergeCells count="3">
    <mergeCell ref="B5:M5"/>
    <mergeCell ref="B33:M33"/>
    <mergeCell ref="F58:G5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H39" sqref="H39"/>
    </sheetView>
  </sheetViews>
  <sheetFormatPr defaultRowHeight="15" x14ac:dyDescent="0.25"/>
  <cols>
    <col min="1" max="1" width="15" customWidth="1"/>
    <col min="2" max="13" width="12.5703125" bestFit="1" customWidth="1"/>
    <col min="14" max="14" width="17.7109375" style="1" customWidth="1"/>
  </cols>
  <sheetData>
    <row r="1" spans="1:14" x14ac:dyDescent="0.25">
      <c r="A1" s="21" t="s">
        <v>39</v>
      </c>
      <c r="N1" s="33"/>
    </row>
    <row r="2" spans="1:14" x14ac:dyDescent="0.25">
      <c r="A2" s="21" t="s">
        <v>40</v>
      </c>
      <c r="N2" s="33"/>
    </row>
    <row r="3" spans="1:14" x14ac:dyDescent="0.25">
      <c r="A3" s="21" t="s">
        <v>54</v>
      </c>
      <c r="N3" s="33"/>
    </row>
    <row r="4" spans="1:14" x14ac:dyDescent="0.25">
      <c r="N4" s="33"/>
    </row>
    <row r="5" spans="1:14" x14ac:dyDescent="0.25">
      <c r="A5" s="2"/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5">
      <c r="A6" s="1"/>
    </row>
    <row r="7" spans="1:14" x14ac:dyDescent="0.25">
      <c r="A7" s="1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3</v>
      </c>
    </row>
    <row r="8" spans="1:14" x14ac:dyDescent="0.25">
      <c r="A8" s="3" t="s">
        <v>1</v>
      </c>
    </row>
    <row r="9" spans="1:14" x14ac:dyDescent="0.25">
      <c r="A9" t="s">
        <v>0</v>
      </c>
      <c r="B9" s="9">
        <f>173549.78+5011.89+6.37+5548.19+6912.16+121.78+0.78+1258.85+59.24+805.63+142.17+177.7+148.09+296.18+414.68+59.24+1022.35+8.89+54777.76+17.76+97.49+10.04+1078.55+39.19+0.6+20.08</f>
        <v>251585.44000000003</v>
      </c>
      <c r="C9" s="9">
        <f>171488.07+5732.99+5542.17+6851.54+116.56+1258.85+59.24+805.63+142.17+177.7+148.09+296.18+414.68+59.24+1049.02+8.89+54629.76+17.76+97.49+10.04+1078.55+39.19+0.6+20.08</f>
        <v>250044.49000000002</v>
      </c>
      <c r="D9" s="9">
        <f>163584.64+4829.87+5386.82+6636.02+110.3+1258.85+59.24+805.63+142.17+177.7+148.09+296.18+414.68+59.24+1013.46+8.89+55162.56+17.76+97.49+10.04+1078.55+39.19+0.6+20.08</f>
        <v>241358.05</v>
      </c>
      <c r="E9" s="9">
        <f>159114.19+5072.39+5318.19+6514.25+107.79+1288.47+59.24+805.63+142.17+177.7+148.09+296.18+414.68+59.24+1049.02+8.89+55417.12+17.76+97.49+10.04+1078.55+39.19+0.6+20.08</f>
        <v>237256.95</v>
      </c>
      <c r="F9" s="9">
        <f>172002.26+5502.13+5545.29+6888.04+123.31+1303.28+59.24+805.63+142.17+177.7+148.09+296.18+414.68+59.24+1040.13+8.89+55494.08+17.76+97.49+10.04+1078.55+39.19+0.6+20.08</f>
        <v>251274.05000000002</v>
      </c>
      <c r="G9" s="9">
        <f>190867.05+5835.25+7308.12+137.2+1332.9+59.24+805.63+142.17+177.7+148.09+296.18+414.68+59.24+1057.91+8.89+55452.64+17.76+97.49+10.04+1078.55+39.19+0.6+20.08</f>
        <v>265366.59999999998</v>
      </c>
      <c r="H9" s="9">
        <f>186296.91+5767.66+7167.16+120.49+1332.9+59.24+853.02+142.17+177.7+148.09+296.18+414.68+59.24+1049.02+8.89+55559.2+17.76+97.49+10.04+1078.55+39.19+0.6+20.08</f>
        <v>260716.25999999998</v>
      </c>
      <c r="I9" s="9">
        <f>188604.75+5652.11+7205.02+150.23+1347.71+59.24+853.02+142.17+177.7+148.09+296.18+414.68+59.24+1049.02+8.89+55423.04+17.76+97.49+10.04+1078.55+39.19+0.6+20.08</f>
        <v>262854.8</v>
      </c>
      <c r="J9" s="9">
        <f>195139.49+5907.79+7410.43+127.67+1362.52+59.24+853.02+142.17+177.7+148.09+296.18+385.06+59.24+1040.13+8.89+55280.96+17.76+97.49+10.04+1078.55+39.19+0.6+20.08</f>
        <v>269662.28999999998</v>
      </c>
      <c r="K9" s="9">
        <f>191549.31+5772.09+7227.9+121.02+1406.95+59.24+853.02+142.17+177.7+148.09+296.18+385.06+59.24+1049.02+8.89+55280.96+17.76+97.49+10.04+1078.55+39.19+0.6+20.08</f>
        <v>265800.54999999993</v>
      </c>
      <c r="L9" s="9">
        <f>182581.72+4.78+5540.94+6991.41+128.11+0.67+1406.95+59.24+853.02+142.17+177.7+148.09+296.18+385.06+59.24+1049.02+8.89+55280.96+17.76+97.49+10.04+1078.55+39.19+0.6+20.08</f>
        <v>256377.86</v>
      </c>
      <c r="M9" s="9">
        <f>175792.76+5471.59+6773.71+105.7+1406.95+59.24+853.02+142.17+177.7+148.09+296.18+385.06+59.24+1049.02+8.89+55322.4+17.76+97.49+10.04+1078.55+39.19+0.6+20.08</f>
        <v>249315.43</v>
      </c>
      <c r="N9" s="13">
        <f>SUM(B9:M9)</f>
        <v>3061612.77</v>
      </c>
    </row>
    <row r="10" spans="1:14" x14ac:dyDescent="0.25">
      <c r="A10" t="s">
        <v>2</v>
      </c>
      <c r="B10" s="4">
        <v>9411</v>
      </c>
      <c r="C10" s="4">
        <v>9390</v>
      </c>
      <c r="D10" s="4">
        <v>9475</v>
      </c>
      <c r="E10" s="4">
        <v>9507</v>
      </c>
      <c r="F10" s="4">
        <v>9517</v>
      </c>
      <c r="G10" s="4">
        <v>9518</v>
      </c>
      <c r="H10" s="4">
        <v>9516</v>
      </c>
      <c r="I10" s="4">
        <v>9502</v>
      </c>
      <c r="J10" s="4">
        <v>9500</v>
      </c>
      <c r="K10" s="4">
        <v>9497</v>
      </c>
      <c r="L10" s="4">
        <v>9502</v>
      </c>
      <c r="M10" s="4">
        <v>9504</v>
      </c>
      <c r="N10" s="12">
        <f>SUM(B10:M10)</f>
        <v>113839</v>
      </c>
    </row>
    <row r="11" spans="1:14" x14ac:dyDescent="0.25">
      <c r="A11" t="s">
        <v>45</v>
      </c>
      <c r="B11" s="24">
        <v>7298.17</v>
      </c>
      <c r="C11" s="24">
        <v>6949.5</v>
      </c>
      <c r="D11" s="24">
        <v>6541.74</v>
      </c>
      <c r="E11" s="24">
        <v>6277.49</v>
      </c>
      <c r="F11" s="24">
        <v>6863.13</v>
      </c>
      <c r="G11" s="24">
        <v>6878.11</v>
      </c>
      <c r="H11" s="24">
        <v>7068.15</v>
      </c>
      <c r="I11" s="24">
        <v>7755.65</v>
      </c>
      <c r="J11" s="24">
        <v>6811.37</v>
      </c>
      <c r="K11" s="24">
        <v>7133.22</v>
      </c>
      <c r="L11" s="24">
        <v>6863.47</v>
      </c>
      <c r="M11" s="24">
        <v>6804.39</v>
      </c>
      <c r="N11" s="13">
        <f t="shared" ref="N11" si="0">SUM(B11:M11)</f>
        <v>83244.39</v>
      </c>
    </row>
    <row r="12" spans="1:14" x14ac:dyDescent="0.25">
      <c r="A12" s="1" t="s">
        <v>27</v>
      </c>
      <c r="B12" s="9">
        <f>(B9+B11)/B10</f>
        <v>27.508618637764322</v>
      </c>
      <c r="C12" s="9">
        <f t="shared" ref="C12:N12" si="1">(C9+C11)/C10</f>
        <v>27.368902023429182</v>
      </c>
      <c r="D12" s="9">
        <f t="shared" si="1"/>
        <v>26.163566226912927</v>
      </c>
      <c r="E12" s="9">
        <f t="shared" si="1"/>
        <v>25.616329020721572</v>
      </c>
      <c r="F12" s="9">
        <f t="shared" si="1"/>
        <v>27.123797415151834</v>
      </c>
      <c r="G12" s="9">
        <f t="shared" si="1"/>
        <v>28.603142466904806</v>
      </c>
      <c r="H12" s="9">
        <f t="shared" si="1"/>
        <v>28.140438209331649</v>
      </c>
      <c r="I12" s="9">
        <f t="shared" si="1"/>
        <v>28.47931488107767</v>
      </c>
      <c r="J12" s="9">
        <f t="shared" si="1"/>
        <v>29.102490526315787</v>
      </c>
      <c r="K12" s="9">
        <f t="shared" si="1"/>
        <v>28.738945982941971</v>
      </c>
      <c r="L12" s="9">
        <f t="shared" si="1"/>
        <v>27.70378130919806</v>
      </c>
      <c r="M12" s="9">
        <f t="shared" si="1"/>
        <v>26.948634259259261</v>
      </c>
      <c r="N12" s="9">
        <f t="shared" si="1"/>
        <v>27.625481249835296</v>
      </c>
    </row>
    <row r="13" spans="1:14" x14ac:dyDescent="0.25">
      <c r="A13" s="1"/>
      <c r="B13" s="9"/>
    </row>
    <row r="14" spans="1:14" hidden="1" x14ac:dyDescent="0.25">
      <c r="A14" s="3" t="s">
        <v>4</v>
      </c>
    </row>
    <row r="15" spans="1:14" hidden="1" x14ac:dyDescent="0.25">
      <c r="A15" t="s">
        <v>0</v>
      </c>
      <c r="B15" s="9">
        <f>23074.13+883.05+961.77+8.12+2050.53+918.22+2227.33+533.1+148.09+533.16+355.6+3054.72+126.64+97.49+50.2+641.3+153.45+149.6+20.08+204.05+17.2+35.47+224.13+349.8</f>
        <v>36817.229999999996</v>
      </c>
      <c r="C15" s="9">
        <f>25058.63+942.4+1014.76+7.76+2162.65+933.03+2132.55+533.1+148.09+533.16+355.6+2912.64+126.64+97.49+50.2+641.3+153.45+149.6+20.08+204.05+17.2+35.47+224.13+349.8</f>
        <v>38803.779999999992</v>
      </c>
      <c r="D15" s="9">
        <f>23796.81+906.52+979.35+7.1+2086.28+933.03+2132.55+533.1+148.09+592.4+346.71+2918.56+126.64+97.49+50.2+641.3+153.45+149.6+20.08+204.05+17.2+35.47+224.13+349.8</f>
        <v>37449.909999999989</v>
      </c>
      <c r="E15" s="9">
        <f>25885.89+952.28+1035.52+9.51+2209.56+933.03+2132.55+533.1+148.09+533.16+346.71+2841.6+126.64+97.49+50.2+641.3+153.45+149.6+20.08+204.05+17.2+35.47+224.13+349.8</f>
        <v>39630.409999999989</v>
      </c>
      <c r="F15" s="9">
        <f>25797.62+941.88+1034.66+8.53+2205.38+933.03+2132.55+533.1+148.09+533.16+355.6+2859.36+126.64+97.49+50.2+641.3+153.45+149.6+20.08+204.05+17.2+35.47+224.13+349.8</f>
        <v>39552.369999999995</v>
      </c>
      <c r="G15" s="9">
        <f>27349.94+979.44+1076.67+13.57+2304.58+962.65+2179.94+533.1+148.09+533.16+355.6+2800.16+126.64+97.49+50.2+641.3+153.45+149.6+20.08+204.05+17.2+35.47+224.13+349.8</f>
        <v>41306.30999999999</v>
      </c>
      <c r="H15" s="9">
        <f>27558.21+984.97+1096.87+6.57+2332+962.65+2274.72+533.1+148.09+533.16+355.6+2924.48+126.64+97.49+50.2+654.9+153.45+149.6+20.08+204.05+20.11+41.47+321.25+349.8</f>
        <v>41899.46</v>
      </c>
      <c r="I15" s="9">
        <f>27265.08+977.1+1082.57+6.9+0.38+2302.08+977.46+2179.94+533.1+148.09+533.16+373.38+2853.44+126.64+97.49+50.2+612.15+153.45+149.6+20.08+204.05+14.29+29.47+127.01+349.8</f>
        <v>41166.910000000003</v>
      </c>
      <c r="J15" s="9">
        <f>30434.54+1025.5+1176.46+8.18+2501.6+962.65+2179.94+533.1+148.09+533.16+355.6+2859.36+126.64+97.49+50.2+641.3+153.45+149.6+20.08+204.05+17.2+35.47+224.13+349.8</f>
        <v>44787.59</v>
      </c>
      <c r="K15" s="9">
        <f>31280.2+1049.82+1199.66+9.29+2553.32+962.65+2132.55+533.1+148.09+533.16+346.71+2883.04+126.64+97.49+50.2+641.3+153.45+149.6+20.08+204.05+17.2+35.47+224.13+349.8</f>
        <v>45701</v>
      </c>
      <c r="L15" s="9">
        <f>28791.52+976.71+1107.16+25.09+2390.74+977.46+2132.55+533.1+148.09+533.16+346.71+2800.16+126.64+97.49+50.2+641.3+153.45+149.6+20.08+204.05+17.2+35.47+224.13+349.8</f>
        <v>42831.859999999993</v>
      </c>
      <c r="M15" s="9">
        <f>23541.81+851.06+941.75+32.86+2058.33+977.46+2085.16+533.1+148.09+533.16+346.71+2841.6+126.64+97.49+50.2+641.3+153.45+149.6+20.08+204.05+17.2+35.47+224.13+349.8</f>
        <v>36960.5</v>
      </c>
      <c r="N15" s="13">
        <f>SUM(B15:M15)</f>
        <v>486907.32999999996</v>
      </c>
    </row>
    <row r="16" spans="1:14" hidden="1" x14ac:dyDescent="0.25">
      <c r="A16" t="s">
        <v>2</v>
      </c>
      <c r="B16" s="5">
        <v>673</v>
      </c>
      <c r="C16" s="5">
        <v>655</v>
      </c>
      <c r="D16" s="5">
        <v>654</v>
      </c>
      <c r="E16" s="5">
        <v>644</v>
      </c>
      <c r="F16" s="5">
        <v>648</v>
      </c>
      <c r="G16" s="5">
        <v>644</v>
      </c>
      <c r="H16" s="5">
        <v>653</v>
      </c>
      <c r="I16" s="5">
        <v>653</v>
      </c>
      <c r="J16" s="5">
        <v>648</v>
      </c>
      <c r="K16" s="5">
        <v>646</v>
      </c>
      <c r="L16" s="5">
        <v>642</v>
      </c>
      <c r="M16" s="5">
        <v>642</v>
      </c>
      <c r="N16" s="1">
        <f>SUM(B16:M16)</f>
        <v>7802</v>
      </c>
    </row>
    <row r="17" spans="1:14" hidden="1" x14ac:dyDescent="0.25">
      <c r="A17" s="3" t="s">
        <v>5</v>
      </c>
    </row>
    <row r="18" spans="1:14" hidden="1" x14ac:dyDescent="0.25">
      <c r="A18" t="s">
        <v>0</v>
      </c>
      <c r="B18" s="9">
        <f>16049.53+564.48+587.96+0.73+1247.2+1184.8+473.9+88.85+148.09+592.36+236.96+266.7+361.12+145.75+78.38</f>
        <v>22026.81</v>
      </c>
      <c r="C18" s="9">
        <f>17276.08+598.76+625.29+0.64+1325.78+1184.8+473.9+88.85+148.09+592.36+236.96+284.48+355.2+145.75+78.38</f>
        <v>23415.32</v>
      </c>
      <c r="D18" s="9">
        <f>17402.61+613.79+634.56+0.77+1346.21+1303.28+473.9+88.85+148.09+592.36+325.82+266.7+355.2+145.75+78.38</f>
        <v>23776.270000000004</v>
      </c>
      <c r="E18" s="9">
        <f>13894.05+502.81+523.08+0.79+1109.89+1184.8+473.9+88.85+148.09+592.36+236.96+266.7+355.2+145.75+78.38</f>
        <v>19601.61</v>
      </c>
      <c r="F18" s="9">
        <f>16060.97+566.42+588.39+0.74+1248.08+1184.8+473.9+88.85+148.09+592.36+236.96+266.7+361.12+145.75+78.38</f>
        <v>22041.51</v>
      </c>
      <c r="G18" s="9">
        <f>15527.41+548.78+572.13+0.7+1213.57+1184.8+473.9+88.85+148.09+592.36+236.96+266.7+355.2+145.75+78.38</f>
        <v>21433.58</v>
      </c>
      <c r="H18" s="9">
        <f>15730.72+548.93+578.26+0.73+1226.38+1184.8+473.9+88.85+148.09+592.36+236.96+266.7+355.2+145.75+78.38</f>
        <v>21656.010000000002</v>
      </c>
      <c r="I18" s="9">
        <f>17754.11+617.37+640.77+0.74+1359.04+1214.42+473.9+88.85+148.09+592.36+236.96+266.7+384.8+145.75+78.38</f>
        <v>24002.240000000005</v>
      </c>
      <c r="J18" s="9">
        <f>16106.1+569.24+589.27+0.8+1250.26+1184.8+473.9+88.85+148.09+592.36+236.96+266.7+349.28+145.75+78.38</f>
        <v>22080.739999999998</v>
      </c>
      <c r="K18" s="9">
        <f>15514.69+551.65+574.34+0.74+1217.33+0.96+1199.61+521.29+88.85+148.09+592.36+236.96+266.7+355.2+169.07+78.38</f>
        <v>21516.22</v>
      </c>
      <c r="L18" s="9">
        <f>16456.94+577.29+600.01+0.7+1272.66+1199.61+473.9+88.85+148.09+592.36+236.96+275.59+349.28+126.32+78.38</f>
        <v>22476.94</v>
      </c>
      <c r="M18" s="9">
        <f>15851.05+560.67+581.8+0.54+1233.9+1169.99+473.9+88.85+148.09+592.36+236.96+266.7+361.12+145.75+78.38</f>
        <v>21790.06</v>
      </c>
      <c r="N18" s="13">
        <f>SUM(B18:M18)</f>
        <v>265817.31000000006</v>
      </c>
    </row>
    <row r="19" spans="1:14" hidden="1" x14ac:dyDescent="0.25">
      <c r="A19" t="s">
        <v>2</v>
      </c>
      <c r="B19" s="5">
        <v>186</v>
      </c>
      <c r="C19" s="5">
        <v>185</v>
      </c>
      <c r="D19" s="5">
        <v>185</v>
      </c>
      <c r="E19" s="5">
        <v>185</v>
      </c>
      <c r="F19" s="5">
        <v>185</v>
      </c>
      <c r="G19" s="5">
        <v>185</v>
      </c>
      <c r="H19" s="5">
        <v>185</v>
      </c>
      <c r="I19" s="5">
        <v>191</v>
      </c>
      <c r="J19" s="5">
        <v>184</v>
      </c>
      <c r="K19" s="5">
        <v>185</v>
      </c>
      <c r="L19" s="5">
        <v>185</v>
      </c>
      <c r="M19" s="5">
        <v>184</v>
      </c>
      <c r="N19" s="1">
        <f>SUM(B19:M19)</f>
        <v>2225</v>
      </c>
    </row>
    <row r="20" spans="1:14" x14ac:dyDescent="0.25">
      <c r="A20" s="21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6"/>
    </row>
    <row r="21" spans="1:14" x14ac:dyDescent="0.25">
      <c r="A21" t="s">
        <v>0</v>
      </c>
      <c r="B21" s="20">
        <f>B15+B18</f>
        <v>58844.039999999994</v>
      </c>
      <c r="C21" s="20">
        <f t="shared" ref="C21:M21" si="2">C15+C18</f>
        <v>62219.099999999991</v>
      </c>
      <c r="D21" s="20">
        <f t="shared" si="2"/>
        <v>61226.179999999993</v>
      </c>
      <c r="E21" s="20">
        <f t="shared" si="2"/>
        <v>59232.01999999999</v>
      </c>
      <c r="F21" s="20">
        <f t="shared" si="2"/>
        <v>61593.87999999999</v>
      </c>
      <c r="G21" s="20">
        <f t="shared" si="2"/>
        <v>62739.889999999992</v>
      </c>
      <c r="H21" s="20">
        <f t="shared" si="2"/>
        <v>63555.47</v>
      </c>
      <c r="I21" s="20">
        <f t="shared" si="2"/>
        <v>65169.150000000009</v>
      </c>
      <c r="J21" s="20">
        <f t="shared" si="2"/>
        <v>66868.329999999987</v>
      </c>
      <c r="K21" s="20">
        <f t="shared" si="2"/>
        <v>67217.22</v>
      </c>
      <c r="L21" s="20">
        <f t="shared" si="2"/>
        <v>65308.799999999988</v>
      </c>
      <c r="M21" s="20">
        <f t="shared" si="2"/>
        <v>58750.559999999998</v>
      </c>
      <c r="N21" s="13">
        <f>SUM(B21:M21)</f>
        <v>752724.6399999999</v>
      </c>
    </row>
    <row r="22" spans="1:14" x14ac:dyDescent="0.25">
      <c r="A22" t="s">
        <v>2</v>
      </c>
      <c r="B22" s="31">
        <f>B16+B19</f>
        <v>859</v>
      </c>
      <c r="C22" s="31">
        <f t="shared" ref="C22:M22" si="3">C16+C19</f>
        <v>840</v>
      </c>
      <c r="D22" s="31">
        <f t="shared" si="3"/>
        <v>839</v>
      </c>
      <c r="E22" s="31">
        <f t="shared" si="3"/>
        <v>829</v>
      </c>
      <c r="F22" s="31">
        <f t="shared" si="3"/>
        <v>833</v>
      </c>
      <c r="G22" s="31">
        <f t="shared" si="3"/>
        <v>829</v>
      </c>
      <c r="H22" s="31">
        <f t="shared" si="3"/>
        <v>838</v>
      </c>
      <c r="I22" s="31">
        <f t="shared" si="3"/>
        <v>844</v>
      </c>
      <c r="J22" s="31">
        <f t="shared" si="3"/>
        <v>832</v>
      </c>
      <c r="K22" s="31">
        <f t="shared" si="3"/>
        <v>831</v>
      </c>
      <c r="L22" s="31">
        <f t="shared" si="3"/>
        <v>827</v>
      </c>
      <c r="M22" s="31">
        <f t="shared" si="3"/>
        <v>826</v>
      </c>
      <c r="N22" s="15">
        <f>SUM(B22:M22)</f>
        <v>10027</v>
      </c>
    </row>
    <row r="23" spans="1:14" x14ac:dyDescent="0.25">
      <c r="A23" t="s">
        <v>45</v>
      </c>
      <c r="B23" s="20">
        <v>955.78</v>
      </c>
      <c r="C23" s="20">
        <f>925.66+11.66</f>
        <v>937.31999999999994</v>
      </c>
      <c r="D23" s="20">
        <f>953.92+17.49</f>
        <v>971.41</v>
      </c>
      <c r="E23" s="20">
        <v>248.68</v>
      </c>
      <c r="F23" s="20">
        <v>873.46</v>
      </c>
      <c r="G23" s="20">
        <v>611.97</v>
      </c>
      <c r="H23" s="20">
        <v>689.75</v>
      </c>
      <c r="I23" s="20">
        <v>727.14</v>
      </c>
      <c r="J23" s="20">
        <v>686.33</v>
      </c>
      <c r="K23" s="20">
        <v>690.69</v>
      </c>
      <c r="L23" s="20">
        <v>710.95</v>
      </c>
      <c r="M23" s="20">
        <v>854.57</v>
      </c>
      <c r="N23" s="13">
        <f t="shared" ref="N23" si="4">SUM(B23:M23)</f>
        <v>8958.0500000000011</v>
      </c>
    </row>
    <row r="24" spans="1:14" x14ac:dyDescent="0.25">
      <c r="A24" s="1" t="s">
        <v>27</v>
      </c>
      <c r="B24" s="9">
        <f>(B21+B23)/B22</f>
        <v>69.615622817229323</v>
      </c>
      <c r="C24" s="9">
        <f t="shared" ref="C24:N24" si="5">(C21+C23)/C22</f>
        <v>75.186214285714271</v>
      </c>
      <c r="D24" s="9">
        <f t="shared" si="5"/>
        <v>74.133003575685336</v>
      </c>
      <c r="E24" s="9">
        <f t="shared" si="5"/>
        <v>71.749939686369103</v>
      </c>
      <c r="F24" s="9">
        <f t="shared" si="5"/>
        <v>74.990804321728675</v>
      </c>
      <c r="G24" s="9">
        <f t="shared" si="5"/>
        <v>76.419613992762351</v>
      </c>
      <c r="H24" s="9">
        <f t="shared" si="5"/>
        <v>76.664940334128886</v>
      </c>
      <c r="I24" s="9">
        <f t="shared" si="5"/>
        <v>78.076172985781994</v>
      </c>
      <c r="J24" s="9">
        <f t="shared" si="5"/>
        <v>81.195504807692288</v>
      </c>
      <c r="K24" s="9">
        <f t="shared" si="5"/>
        <v>81.718303249097474</v>
      </c>
      <c r="L24" s="9">
        <f t="shared" si="5"/>
        <v>79.830411124546529</v>
      </c>
      <c r="M24" s="9">
        <f t="shared" si="5"/>
        <v>72.161174334140426</v>
      </c>
      <c r="N24" s="9">
        <f t="shared" si="5"/>
        <v>75.963168445197965</v>
      </c>
    </row>
    <row r="25" spans="1:14" x14ac:dyDescent="0.25">
      <c r="A25" s="1"/>
    </row>
    <row r="26" spans="1:14" x14ac:dyDescent="0.25">
      <c r="A26" s="3" t="s">
        <v>6</v>
      </c>
    </row>
    <row r="27" spans="1:14" x14ac:dyDescent="0.25">
      <c r="A27" t="s">
        <v>0</v>
      </c>
      <c r="B27" s="9">
        <f>142.17+88.85+148.09+888.54+5135.83+75966.28+27127.49</f>
        <v>109497.25</v>
      </c>
      <c r="C27" s="9">
        <f>142.17+88.85+148.09+888.54+6602.34+72461.44+28326.61</f>
        <v>108658.04000000001</v>
      </c>
      <c r="D27" s="9">
        <f>142.17+88.85+148.09+888.54+6386.4+69573.27+24020.32</f>
        <v>101247.64000000001</v>
      </c>
      <c r="E27" s="9">
        <f>142.17+88.85+148.09+888.54+6182.96+63757.76+24319.8</f>
        <v>95528.17</v>
      </c>
      <c r="F27" s="9">
        <f>142.17+88.85+148.09+592.36+5887.96+74064.11+26496.19</f>
        <v>107419.73000000001</v>
      </c>
      <c r="G27" s="9">
        <f>142.17+88.85+148.09+592.36+7023.6+73088.02+31399.33</f>
        <v>112482.42000000001</v>
      </c>
      <c r="H27" s="9">
        <f>142.17+88.85+148.09+592.36+7500.08+68992.71+30881.54</f>
        <v>108345.80000000002</v>
      </c>
      <c r="I27" s="9">
        <f>142.17+88.85+148.09+592.36+7051.92+81797.6+33327.45</f>
        <v>123148.44</v>
      </c>
      <c r="J27" s="9">
        <f>142.17+88.85+148.09+592.36+5923.36+74828.75+32158.54</f>
        <v>113882.12</v>
      </c>
      <c r="K27" s="9">
        <f>142.17+88.85+148.09+592.36+4877.65+70188.52+29451.62</f>
        <v>105489.26</v>
      </c>
      <c r="L27" s="9">
        <f>142.17+88.85+148.09+592.36+5242.27+85434.36+26007.2</f>
        <v>117655.3</v>
      </c>
      <c r="M27" s="9">
        <f>142.17+88.85+148.09+592.36+5243.21+80947.53+26349.63</f>
        <v>113511.84</v>
      </c>
      <c r="N27" s="13">
        <f>SUM(B27:M27)</f>
        <v>1316866.0100000002</v>
      </c>
    </row>
    <row r="28" spans="1:14" x14ac:dyDescent="0.25">
      <c r="A28" t="s">
        <v>2</v>
      </c>
      <c r="B28" s="31">
        <v>3</v>
      </c>
      <c r="C28" s="31">
        <v>3</v>
      </c>
      <c r="D28" s="31">
        <v>3</v>
      </c>
      <c r="E28" s="31">
        <v>3</v>
      </c>
      <c r="F28" s="31">
        <v>3</v>
      </c>
      <c r="G28" s="31">
        <v>3</v>
      </c>
      <c r="H28" s="31">
        <v>3</v>
      </c>
      <c r="I28" s="31">
        <v>3</v>
      </c>
      <c r="J28" s="31">
        <v>3</v>
      </c>
      <c r="K28" s="31">
        <v>3</v>
      </c>
      <c r="L28" s="31">
        <v>3</v>
      </c>
      <c r="M28" s="31">
        <v>3</v>
      </c>
      <c r="N28" s="15">
        <f>SUM(B28:M28)</f>
        <v>36</v>
      </c>
    </row>
    <row r="29" spans="1:14" x14ac:dyDescent="0.25">
      <c r="A29" s="23" t="s">
        <v>44</v>
      </c>
      <c r="B29" s="20">
        <v>12003.22</v>
      </c>
      <c r="C29" s="20">
        <v>17139.05</v>
      </c>
      <c r="D29" s="20">
        <v>23742.57</v>
      </c>
      <c r="E29" s="20">
        <v>15959.4</v>
      </c>
      <c r="F29" s="20">
        <v>22142.36</v>
      </c>
      <c r="G29" s="20">
        <v>28030.32</v>
      </c>
      <c r="H29" s="20">
        <v>19094.52</v>
      </c>
      <c r="I29" s="20">
        <v>26594.6</v>
      </c>
      <c r="J29" s="20">
        <v>0</v>
      </c>
      <c r="K29" s="20">
        <v>5923.36</v>
      </c>
      <c r="L29" s="20">
        <v>0</v>
      </c>
      <c r="M29" s="20">
        <v>5242.2700000000004</v>
      </c>
      <c r="N29" s="13">
        <f t="shared" ref="N29:N30" si="6">SUM(B29:M29)</f>
        <v>175871.66999999995</v>
      </c>
    </row>
    <row r="30" spans="1:14" x14ac:dyDescent="0.25">
      <c r="A30" t="s">
        <v>45</v>
      </c>
      <c r="B30" s="20">
        <v>659.69</v>
      </c>
      <c r="C30" s="20">
        <v>642.67999999999995</v>
      </c>
      <c r="D30" s="20">
        <v>789.33</v>
      </c>
      <c r="E30" s="20">
        <v>767.73</v>
      </c>
      <c r="F30" s="20">
        <v>747.39</v>
      </c>
      <c r="G30" s="20">
        <v>717.89</v>
      </c>
      <c r="H30" s="20">
        <v>831.45</v>
      </c>
      <c r="I30" s="20">
        <v>879.1</v>
      </c>
      <c r="J30" s="20">
        <v>0</v>
      </c>
      <c r="K30" s="20">
        <v>721.43</v>
      </c>
      <c r="L30" s="20">
        <v>616.86</v>
      </c>
      <c r="M30" s="20">
        <v>653.32000000000005</v>
      </c>
      <c r="N30" s="13">
        <f t="shared" si="6"/>
        <v>8026.87</v>
      </c>
    </row>
    <row r="31" spans="1:14" x14ac:dyDescent="0.25">
      <c r="A31" s="1" t="s">
        <v>27</v>
      </c>
      <c r="B31" s="9">
        <f>(B27+B29+B30)/B28</f>
        <v>40720.053333333337</v>
      </c>
      <c r="C31" s="9">
        <f t="shared" ref="C31:N31" si="7">(C27+C29+C30)/C28</f>
        <v>42146.590000000004</v>
      </c>
      <c r="D31" s="9">
        <f t="shared" si="7"/>
        <v>41926.513333333343</v>
      </c>
      <c r="E31" s="9">
        <f t="shared" si="7"/>
        <v>37418.433333333327</v>
      </c>
      <c r="F31" s="9">
        <f t="shared" si="7"/>
        <v>43436.493333333339</v>
      </c>
      <c r="G31" s="9">
        <f t="shared" si="7"/>
        <v>47076.876666666678</v>
      </c>
      <c r="H31" s="9">
        <f t="shared" si="7"/>
        <v>42757.256666666675</v>
      </c>
      <c r="I31" s="9">
        <f t="shared" si="7"/>
        <v>50207.380000000005</v>
      </c>
      <c r="J31" s="9">
        <f t="shared" si="7"/>
        <v>37960.706666666665</v>
      </c>
      <c r="K31" s="9">
        <f t="shared" si="7"/>
        <v>37378.016666666663</v>
      </c>
      <c r="L31" s="9">
        <f t="shared" si="7"/>
        <v>39424.053333333337</v>
      </c>
      <c r="M31" s="9">
        <f t="shared" si="7"/>
        <v>39802.476666666669</v>
      </c>
      <c r="N31" s="9">
        <f t="shared" si="7"/>
        <v>41687.904166666674</v>
      </c>
    </row>
    <row r="32" spans="1:14" x14ac:dyDescent="0.25">
      <c r="A32" s="1"/>
    </row>
    <row r="33" spans="1:14" x14ac:dyDescent="0.25">
      <c r="B33" s="36" t="s">
        <v>24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4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x14ac:dyDescent="0.25">
      <c r="A35" s="1"/>
      <c r="B35" s="1" t="s">
        <v>7</v>
      </c>
      <c r="C35" s="1" t="s">
        <v>8</v>
      </c>
      <c r="D35" s="1" t="s">
        <v>9</v>
      </c>
      <c r="E35" s="1" t="s">
        <v>10</v>
      </c>
      <c r="F35" s="1" t="s">
        <v>11</v>
      </c>
      <c r="G35" s="1" t="s">
        <v>12</v>
      </c>
      <c r="H35" s="1" t="s">
        <v>13</v>
      </c>
      <c r="I35" s="1" t="s">
        <v>14</v>
      </c>
      <c r="J35" s="1" t="s">
        <v>15</v>
      </c>
      <c r="K35" s="1" t="s">
        <v>16</v>
      </c>
      <c r="L35" s="1" t="s">
        <v>17</v>
      </c>
      <c r="M35" s="1" t="s">
        <v>18</v>
      </c>
      <c r="N35" s="1" t="s">
        <v>3</v>
      </c>
    </row>
    <row r="36" spans="1:14" x14ac:dyDescent="0.25">
      <c r="A36" s="3" t="s">
        <v>1</v>
      </c>
    </row>
    <row r="37" spans="1:14" x14ac:dyDescent="0.25">
      <c r="A37" t="s">
        <v>0</v>
      </c>
      <c r="B37" s="9">
        <f>19.63+244582.27+741.13+2383.49+2722.5+7410.16+1.22</f>
        <v>257860.4</v>
      </c>
      <c r="C37" s="9">
        <f>245345.39+58.89+440.06+2600.54+7373.39</f>
        <v>255818.27000000005</v>
      </c>
      <c r="D37" s="9">
        <f>239503.8+58.89+599.04+2499.17+7203.68</f>
        <v>249864.58000000002</v>
      </c>
      <c r="E37" s="9">
        <f>236578.93+58.89+569.09+2818.33+7114.56</f>
        <v>247139.8</v>
      </c>
      <c r="F37" s="9">
        <f>244266.82+64.01+642.83+2819.17+7347.51</f>
        <v>255140.34000000003</v>
      </c>
      <c r="G37" s="9">
        <f>256943.67+67.21+613.43+2617.04+7726.31</f>
        <v>267967.66000000003</v>
      </c>
      <c r="H37" s="9">
        <f>256661.09+58.89+217.16+3077+7706.18</f>
        <v>267720.32000000001</v>
      </c>
      <c r="I37" s="9">
        <f>250846.26+297.48+157.25+2742.44+7530.78</f>
        <v>261574.21000000002</v>
      </c>
      <c r="J37" s="9">
        <f>261695.59+206.79+559.3+2708.28+7867.95</f>
        <v>273037.91000000003</v>
      </c>
      <c r="K37" s="9">
        <f>259335.69+94.09+752.26+2704.36+7802.77</f>
        <v>270689.17000000004</v>
      </c>
      <c r="L37" s="9">
        <f>248499.72+58.89+608.25+2458.87+7473.09</f>
        <v>259098.82</v>
      </c>
      <c r="M37" s="9">
        <f>244677.89+58.89+753.99+2358.33+7363</f>
        <v>255212.1</v>
      </c>
      <c r="N37" s="13">
        <f>SUM(B37:M37)</f>
        <v>3121123.58</v>
      </c>
    </row>
    <row r="38" spans="1:14" x14ac:dyDescent="0.25">
      <c r="A38" t="s">
        <v>2</v>
      </c>
      <c r="B38" s="4">
        <v>8187</v>
      </c>
      <c r="C38" s="4">
        <v>8168</v>
      </c>
      <c r="D38" s="4">
        <v>8256</v>
      </c>
      <c r="E38" s="4">
        <v>8283</v>
      </c>
      <c r="F38" s="4">
        <v>8282</v>
      </c>
      <c r="G38" s="4">
        <v>8280</v>
      </c>
      <c r="H38" s="4">
        <v>8269</v>
      </c>
      <c r="I38" s="4">
        <v>8257</v>
      </c>
      <c r="J38" s="4">
        <v>8252</v>
      </c>
      <c r="K38" s="4">
        <v>8243</v>
      </c>
      <c r="L38" s="4">
        <v>8244</v>
      </c>
      <c r="M38" s="4">
        <v>8238</v>
      </c>
      <c r="N38" s="14">
        <f>SUM(B38:M38)</f>
        <v>98959</v>
      </c>
    </row>
    <row r="39" spans="1:14" x14ac:dyDescent="0.25">
      <c r="A39" t="s">
        <v>45</v>
      </c>
      <c r="B39" s="24">
        <v>8141.99</v>
      </c>
      <c r="C39" s="24">
        <v>7723.81</v>
      </c>
      <c r="D39" s="24">
        <v>7391.8</v>
      </c>
      <c r="E39" s="24">
        <v>7201.4</v>
      </c>
      <c r="F39" s="24">
        <v>7926.47</v>
      </c>
      <c r="G39" s="24">
        <v>7821.91</v>
      </c>
      <c r="H39" s="24">
        <v>8060.99</v>
      </c>
      <c r="I39" s="24">
        <v>8650.15</v>
      </c>
      <c r="J39" s="24">
        <v>7694.2</v>
      </c>
      <c r="K39" s="24">
        <v>8367.5400000000009</v>
      </c>
      <c r="L39" s="24">
        <v>7762.27</v>
      </c>
      <c r="M39" s="24">
        <v>7719.58</v>
      </c>
      <c r="N39" s="13">
        <f t="shared" ref="N39" si="8">SUM(B39:M39)</f>
        <v>94462.110000000015</v>
      </c>
    </row>
    <row r="40" spans="1:14" x14ac:dyDescent="0.25">
      <c r="A40" s="1" t="s">
        <v>27</v>
      </c>
      <c r="B40" s="9">
        <f>(B37+B39)/B38</f>
        <v>32.490825699279348</v>
      </c>
      <c r="C40" s="9">
        <f t="shared" ref="C40:N40" si="9">(C37+C39)/C38</f>
        <v>32.265190989226255</v>
      </c>
      <c r="D40" s="9">
        <f t="shared" si="9"/>
        <v>31.159929748062016</v>
      </c>
      <c r="E40" s="9">
        <f t="shared" si="9"/>
        <v>30.706410720753347</v>
      </c>
      <c r="F40" s="9">
        <f t="shared" si="9"/>
        <v>31.763681477903887</v>
      </c>
      <c r="G40" s="9">
        <f t="shared" si="9"/>
        <v>33.307919082125608</v>
      </c>
      <c r="H40" s="9">
        <f t="shared" si="9"/>
        <v>33.351228685451687</v>
      </c>
      <c r="I40" s="9">
        <f t="shared" si="9"/>
        <v>32.726699769892221</v>
      </c>
      <c r="J40" s="9">
        <f t="shared" si="9"/>
        <v>34.019887300048481</v>
      </c>
      <c r="K40" s="9">
        <f t="shared" si="9"/>
        <v>33.853780177119987</v>
      </c>
      <c r="L40" s="9">
        <f t="shared" si="9"/>
        <v>32.370340853954396</v>
      </c>
      <c r="M40" s="9">
        <f t="shared" si="9"/>
        <v>31.916931294003398</v>
      </c>
      <c r="N40" s="9">
        <f t="shared" si="9"/>
        <v>32.494120696450047</v>
      </c>
    </row>
    <row r="41" spans="1:14" x14ac:dyDescent="0.25">
      <c r="A41" s="1"/>
    </row>
    <row r="42" spans="1:14" hidden="1" x14ac:dyDescent="0.25">
      <c r="A42" s="3" t="s">
        <v>4</v>
      </c>
    </row>
    <row r="43" spans="1:14" hidden="1" x14ac:dyDescent="0.25">
      <c r="A43" t="s">
        <v>0</v>
      </c>
      <c r="B43" s="9">
        <f>39402.12+1177.39+2437.34</f>
        <v>43016.850000000006</v>
      </c>
      <c r="C43" s="9">
        <f>42149.82+1261.57+2606.98</f>
        <v>46018.37</v>
      </c>
      <c r="D43" s="9">
        <f>39726+1186.54+2457.12</f>
        <v>43369.66</v>
      </c>
      <c r="E43" s="9">
        <f>40816.4+1220.2+2524.58</f>
        <v>44561.18</v>
      </c>
      <c r="F43" s="9">
        <f>41901.4+1251.33+2591.35</f>
        <v>45744.08</v>
      </c>
      <c r="G43" s="9">
        <f>42489.83+1269.07+2627.93</f>
        <v>46386.83</v>
      </c>
      <c r="H43" s="9">
        <f>43033.03+1281.73+2661.22</f>
        <v>46975.98</v>
      </c>
      <c r="I43" s="9">
        <f>40252.88+1200.61+2489.56</f>
        <v>43943.049999999996</v>
      </c>
      <c r="J43" s="9">
        <f>41515.82+1240.29+2567.65</f>
        <v>45323.76</v>
      </c>
      <c r="K43" s="9">
        <f>43849.32+1310.28+2712</f>
        <v>47871.6</v>
      </c>
      <c r="L43" s="9">
        <f>44223.39+1323.45+2735.09</f>
        <v>48281.929999999993</v>
      </c>
      <c r="M43" s="9">
        <f>37474.87+1119.6+2318.09</f>
        <v>40912.559999999998</v>
      </c>
      <c r="N43" s="13">
        <f>SUM(B43:M43)</f>
        <v>542405.85</v>
      </c>
    </row>
    <row r="44" spans="1:14" hidden="1" x14ac:dyDescent="0.25">
      <c r="A44" t="s">
        <v>2</v>
      </c>
      <c r="B44" s="5">
        <v>638</v>
      </c>
      <c r="C44" s="5">
        <v>619</v>
      </c>
      <c r="D44" s="5">
        <v>618</v>
      </c>
      <c r="E44" s="5">
        <v>608</v>
      </c>
      <c r="F44" s="5">
        <v>614</v>
      </c>
      <c r="G44" s="5">
        <v>609</v>
      </c>
      <c r="H44" s="5">
        <v>618</v>
      </c>
      <c r="I44" s="5">
        <v>617</v>
      </c>
      <c r="J44" s="5">
        <v>612</v>
      </c>
      <c r="K44" s="5">
        <v>609</v>
      </c>
      <c r="L44" s="5">
        <v>605</v>
      </c>
      <c r="M44" s="5">
        <v>605</v>
      </c>
      <c r="N44" s="1">
        <f>SUM(B44:M44)</f>
        <v>7372</v>
      </c>
    </row>
    <row r="45" spans="1:14" hidden="1" x14ac:dyDescent="0.25">
      <c r="A45" s="3" t="s">
        <v>5</v>
      </c>
    </row>
    <row r="46" spans="1:14" hidden="1" x14ac:dyDescent="0.25">
      <c r="A46" t="s">
        <v>0</v>
      </c>
      <c r="B46" s="9">
        <f>22576.5+675.27+1395.31</f>
        <v>24647.08</v>
      </c>
      <c r="C46" s="9">
        <f>24134.21+721.86+1491.57</f>
        <v>26347.64</v>
      </c>
      <c r="D46" s="9">
        <f>24441.96+731.44+1510.57</f>
        <v>26683.969999999998</v>
      </c>
      <c r="E46" s="9">
        <f>19356.11+578.72+1196.2</f>
        <v>21131.030000000002</v>
      </c>
      <c r="F46" s="9">
        <f>22504.12+673.35+1390.74</f>
        <v>24568.21</v>
      </c>
      <c r="G46" s="9">
        <f>21771.2+651.57+1345.52</f>
        <v>23768.29</v>
      </c>
      <c r="H46" s="9">
        <f>21979.02+657.41+1358.38</f>
        <v>23994.81</v>
      </c>
      <c r="I46" s="9">
        <f>25360.78+759.01+1567.33</f>
        <v>27687.119999999995</v>
      </c>
      <c r="J46" s="9">
        <f>22696.98+678.94+1402.79</f>
        <v>24778.71</v>
      </c>
      <c r="K46" s="9">
        <f>21830.08+652.64+1349.24</f>
        <v>23831.960000000003</v>
      </c>
      <c r="L46" s="9">
        <f>23097.73+690.95+1427.57</f>
        <v>25216.25</v>
      </c>
      <c r="M46" s="9">
        <f>22350.09+668.58+1381.39</f>
        <v>24400.06</v>
      </c>
      <c r="N46" s="13">
        <f>SUM(B46:M46)</f>
        <v>297055.12999999995</v>
      </c>
    </row>
    <row r="47" spans="1:14" hidden="1" x14ac:dyDescent="0.25">
      <c r="A47" t="s">
        <v>2</v>
      </c>
      <c r="B47" s="5">
        <v>173</v>
      </c>
      <c r="C47" s="5">
        <v>172</v>
      </c>
      <c r="D47" s="5">
        <v>172</v>
      </c>
      <c r="E47" s="5">
        <v>172</v>
      </c>
      <c r="F47" s="5">
        <v>172</v>
      </c>
      <c r="G47" s="5">
        <v>172</v>
      </c>
      <c r="H47" s="5">
        <v>172</v>
      </c>
      <c r="I47" s="5">
        <v>178</v>
      </c>
      <c r="J47" s="5">
        <v>171</v>
      </c>
      <c r="K47" s="5">
        <v>172</v>
      </c>
      <c r="L47" s="5">
        <v>172</v>
      </c>
      <c r="M47" s="5">
        <v>172</v>
      </c>
      <c r="N47" s="1">
        <f>SUM(B47:M47)</f>
        <v>2070</v>
      </c>
    </row>
    <row r="48" spans="1:14" x14ac:dyDescent="0.25">
      <c r="A48" s="21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6"/>
    </row>
    <row r="49" spans="1:14" x14ac:dyDescent="0.25">
      <c r="A49" t="s">
        <v>0</v>
      </c>
      <c r="B49" s="20">
        <f t="shared" ref="B49:M49" si="10">B43+B46</f>
        <v>67663.930000000008</v>
      </c>
      <c r="C49" s="20">
        <f t="shared" si="10"/>
        <v>72366.010000000009</v>
      </c>
      <c r="D49" s="20">
        <f t="shared" si="10"/>
        <v>70053.63</v>
      </c>
      <c r="E49" s="20">
        <f t="shared" si="10"/>
        <v>65692.210000000006</v>
      </c>
      <c r="F49" s="20">
        <f t="shared" si="10"/>
        <v>70312.290000000008</v>
      </c>
      <c r="G49" s="20">
        <f t="shared" si="10"/>
        <v>70155.12</v>
      </c>
      <c r="H49" s="20">
        <f t="shared" si="10"/>
        <v>70970.790000000008</v>
      </c>
      <c r="I49" s="20">
        <f t="shared" si="10"/>
        <v>71630.169999999984</v>
      </c>
      <c r="J49" s="20">
        <f t="shared" si="10"/>
        <v>70102.47</v>
      </c>
      <c r="K49" s="20">
        <f t="shared" si="10"/>
        <v>71703.56</v>
      </c>
      <c r="L49" s="20">
        <f t="shared" si="10"/>
        <v>73498.179999999993</v>
      </c>
      <c r="M49" s="20">
        <f t="shared" si="10"/>
        <v>65312.619999999995</v>
      </c>
      <c r="N49" s="13">
        <f>SUM(B49:M49)</f>
        <v>839460.9800000001</v>
      </c>
    </row>
    <row r="50" spans="1:14" x14ac:dyDescent="0.25">
      <c r="A50" t="s">
        <v>2</v>
      </c>
      <c r="B50" s="31">
        <f t="shared" ref="B50:M50" si="11">B44+B47</f>
        <v>811</v>
      </c>
      <c r="C50" s="31">
        <f t="shared" si="11"/>
        <v>791</v>
      </c>
      <c r="D50" s="31">
        <f t="shared" si="11"/>
        <v>790</v>
      </c>
      <c r="E50" s="31">
        <f t="shared" si="11"/>
        <v>780</v>
      </c>
      <c r="F50" s="31">
        <f t="shared" si="11"/>
        <v>786</v>
      </c>
      <c r="G50" s="31">
        <f t="shared" si="11"/>
        <v>781</v>
      </c>
      <c r="H50" s="31">
        <f t="shared" si="11"/>
        <v>790</v>
      </c>
      <c r="I50" s="31">
        <f t="shared" si="11"/>
        <v>795</v>
      </c>
      <c r="J50" s="31">
        <f t="shared" si="11"/>
        <v>783</v>
      </c>
      <c r="K50" s="31">
        <f t="shared" si="11"/>
        <v>781</v>
      </c>
      <c r="L50" s="31">
        <f t="shared" si="11"/>
        <v>777</v>
      </c>
      <c r="M50" s="31">
        <f t="shared" si="11"/>
        <v>777</v>
      </c>
      <c r="N50" s="15">
        <f>SUM(B50:M50)</f>
        <v>9442</v>
      </c>
    </row>
    <row r="51" spans="1:14" x14ac:dyDescent="0.25">
      <c r="A51" t="s">
        <v>45</v>
      </c>
      <c r="B51" s="20">
        <v>1246.22</v>
      </c>
      <c r="C51" s="20">
        <v>1190.7</v>
      </c>
      <c r="D51" s="20">
        <v>1229.28</v>
      </c>
      <c r="E51" s="20">
        <v>318.89</v>
      </c>
      <c r="F51" s="20">
        <v>1077.3699999999999</v>
      </c>
      <c r="G51" s="20">
        <v>793.4</v>
      </c>
      <c r="H51" s="20">
        <v>928.04</v>
      </c>
      <c r="I51" s="20">
        <v>950.02</v>
      </c>
      <c r="J51" s="20">
        <v>902.11</v>
      </c>
      <c r="K51" s="20">
        <v>933.07</v>
      </c>
      <c r="L51" s="20">
        <v>571.4</v>
      </c>
      <c r="M51" s="20">
        <v>952.29</v>
      </c>
      <c r="N51" s="13">
        <f t="shared" ref="N51" si="12">SUM(B51:M51)</f>
        <v>11092.789999999997</v>
      </c>
    </row>
    <row r="52" spans="1:14" x14ac:dyDescent="0.25">
      <c r="A52" s="1" t="s">
        <v>27</v>
      </c>
      <c r="B52" s="9">
        <f>(B49+B51)/B50</f>
        <v>84.969358816276213</v>
      </c>
      <c r="C52" s="9">
        <f t="shared" ref="C52:N52" si="13">(C49+C51)/C50</f>
        <v>92.992048040455131</v>
      </c>
      <c r="D52" s="9">
        <f t="shared" si="13"/>
        <v>90.231531645569618</v>
      </c>
      <c r="E52" s="9">
        <f t="shared" si="13"/>
        <v>84.629615384615391</v>
      </c>
      <c r="F52" s="9">
        <f t="shared" si="13"/>
        <v>90.826539440203561</v>
      </c>
      <c r="G52" s="9">
        <f t="shared" si="13"/>
        <v>90.84317541613315</v>
      </c>
      <c r="H52" s="9">
        <f t="shared" si="13"/>
        <v>91.011177215189875</v>
      </c>
      <c r="I52" s="9">
        <f t="shared" si="13"/>
        <v>91.295836477987407</v>
      </c>
      <c r="J52" s="9">
        <f t="shared" si="13"/>
        <v>90.682733077905496</v>
      </c>
      <c r="K52" s="9">
        <f t="shared" si="13"/>
        <v>93.004647887323955</v>
      </c>
      <c r="L52" s="9">
        <f t="shared" si="13"/>
        <v>95.327644787644772</v>
      </c>
      <c r="M52" s="9">
        <f t="shared" si="13"/>
        <v>85.283024453024439</v>
      </c>
      <c r="N52" s="9">
        <f t="shared" si="13"/>
        <v>90.081949798771461</v>
      </c>
    </row>
    <row r="54" spans="1:14" x14ac:dyDescent="0.25">
      <c r="A54" s="21" t="s">
        <v>46</v>
      </c>
      <c r="N54" s="29"/>
    </row>
    <row r="55" spans="1:14" x14ac:dyDescent="0.25">
      <c r="A55" t="s">
        <v>28</v>
      </c>
      <c r="B55" s="9">
        <v>34501.599999999999</v>
      </c>
      <c r="C55" s="9">
        <v>23952.98</v>
      </c>
      <c r="D55" s="9">
        <v>13841.64</v>
      </c>
      <c r="E55" s="9">
        <v>24718.98</v>
      </c>
      <c r="F55" s="9">
        <v>26384.51</v>
      </c>
      <c r="G55" s="9">
        <v>16234.3</v>
      </c>
      <c r="H55" s="9">
        <v>23768.5</v>
      </c>
      <c r="I55" s="9">
        <v>32403.99</v>
      </c>
      <c r="J55" s="9">
        <v>32640.89</v>
      </c>
      <c r="K55" s="9">
        <v>27915.279999999999</v>
      </c>
      <c r="L55" s="9">
        <v>36500.120000000003</v>
      </c>
      <c r="M55" s="9">
        <v>33352.519999999997</v>
      </c>
      <c r="N55" s="13">
        <f>SUM(B55:M55)</f>
        <v>326215.31</v>
      </c>
    </row>
    <row r="56" spans="1:14" x14ac:dyDescent="0.25">
      <c r="A56" t="s">
        <v>29</v>
      </c>
      <c r="B56" s="9">
        <v>25121.88</v>
      </c>
      <c r="C56" s="9">
        <v>10808.67</v>
      </c>
      <c r="D56" s="9">
        <v>9703.6299999999992</v>
      </c>
      <c r="E56" s="9">
        <v>17668.990000000002</v>
      </c>
      <c r="F56" s="9">
        <v>22647.81</v>
      </c>
      <c r="G56" s="9">
        <v>19497.91</v>
      </c>
      <c r="H56" s="9">
        <v>20540.97</v>
      </c>
      <c r="I56" s="9">
        <v>29115.77</v>
      </c>
      <c r="J56" s="9">
        <v>30082.33</v>
      </c>
      <c r="K56" s="9">
        <v>24390.2</v>
      </c>
      <c r="L56" s="9">
        <v>34102.15</v>
      </c>
      <c r="M56" s="9">
        <v>25499.81</v>
      </c>
      <c r="N56" s="13">
        <f>SUM(B56:M56)</f>
        <v>269180.12000000005</v>
      </c>
    </row>
    <row r="58" spans="1:14" x14ac:dyDescent="0.25">
      <c r="F58" s="35" t="s">
        <v>34</v>
      </c>
      <c r="G58" s="35"/>
    </row>
    <row r="59" spans="1:14" x14ac:dyDescent="0.25">
      <c r="F59" t="s">
        <v>28</v>
      </c>
      <c r="G59" t="s">
        <v>29</v>
      </c>
    </row>
    <row r="60" spans="1:14" x14ac:dyDescent="0.25">
      <c r="E60" t="s">
        <v>30</v>
      </c>
      <c r="F60" s="9">
        <f>N12</f>
        <v>27.625481249835296</v>
      </c>
      <c r="G60" s="9">
        <f>N40</f>
        <v>32.494120696450047</v>
      </c>
    </row>
    <row r="61" spans="1:14" x14ac:dyDescent="0.25">
      <c r="E61" t="s">
        <v>43</v>
      </c>
      <c r="F61" s="9">
        <f>N24</f>
        <v>75.963168445197965</v>
      </c>
      <c r="G61" s="9">
        <f>N52</f>
        <v>90.081949798771461</v>
      </c>
    </row>
    <row r="62" spans="1:14" x14ac:dyDescent="0.25">
      <c r="E62" t="s">
        <v>6</v>
      </c>
      <c r="F62" s="9">
        <f>N31</f>
        <v>41687.904166666674</v>
      </c>
      <c r="G62" s="16" t="s">
        <v>33</v>
      </c>
    </row>
    <row r="63" spans="1:14" x14ac:dyDescent="0.25">
      <c r="E63" s="15" t="s">
        <v>31</v>
      </c>
      <c r="F63" s="9">
        <f>(N9+N11+N21+N23+N27+N29+N30+N55)/(N10+N22+N28)</f>
        <v>46.274634065632512</v>
      </c>
      <c r="G63" s="16" t="s">
        <v>33</v>
      </c>
    </row>
    <row r="64" spans="1:14" x14ac:dyDescent="0.25">
      <c r="E64" s="15" t="s">
        <v>32</v>
      </c>
      <c r="F64" s="9">
        <f>(N9+N11+N21+N23+N55)/(N10+N22)</f>
        <v>34.17205011867663</v>
      </c>
      <c r="G64" s="13">
        <f>(N37+N39+N49+N51+N56)/(N38+N50)</f>
        <v>39.993354120349444</v>
      </c>
    </row>
    <row r="66" spans="1:14" x14ac:dyDescent="0.25">
      <c r="A66" s="30" t="s">
        <v>47</v>
      </c>
      <c r="B66" s="21" t="s">
        <v>48</v>
      </c>
      <c r="N66" s="29"/>
    </row>
  </sheetData>
  <mergeCells count="3">
    <mergeCell ref="B5:M5"/>
    <mergeCell ref="B33:M33"/>
    <mergeCell ref="F58:G5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0"/>
  <sheetViews>
    <sheetView topLeftCell="A35" workbookViewId="0">
      <selection activeCell="H23" sqref="H23"/>
    </sheetView>
  </sheetViews>
  <sheetFormatPr defaultRowHeight="15" x14ac:dyDescent="0.25"/>
  <cols>
    <col min="1" max="1" width="15" customWidth="1"/>
    <col min="2" max="6" width="12.5703125" bestFit="1" customWidth="1"/>
    <col min="14" max="14" width="17.7109375" customWidth="1"/>
  </cols>
  <sheetData>
    <row r="1" spans="1:14" x14ac:dyDescent="0.25">
      <c r="A1" s="21" t="s">
        <v>39</v>
      </c>
    </row>
    <row r="2" spans="1:14" x14ac:dyDescent="0.25">
      <c r="A2" s="21" t="s">
        <v>40</v>
      </c>
    </row>
    <row r="3" spans="1:14" x14ac:dyDescent="0.25">
      <c r="A3" s="21" t="s">
        <v>54</v>
      </c>
    </row>
    <row r="5" spans="1:14" x14ac:dyDescent="0.25">
      <c r="A5" s="3"/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5">
      <c r="A6" s="1"/>
    </row>
    <row r="7" spans="1:14" x14ac:dyDescent="0.25">
      <c r="A7" s="1"/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3</v>
      </c>
    </row>
    <row r="8" spans="1:14" x14ac:dyDescent="0.25">
      <c r="A8" s="3" t="s">
        <v>1</v>
      </c>
    </row>
    <row r="9" spans="1:14" x14ac:dyDescent="0.25">
      <c r="A9" t="s">
        <v>0</v>
      </c>
      <c r="B9" s="10">
        <f>169742.13+5208.91+5402.7+6813.69+125.67+1436.57+59.24+853.02+142.17+177.7+148.09+296.18+385.06+59.24+1057.91+8.89+55198.08+17.76+97.49+10.04+1078.55+39.19+0.6+20.08</f>
        <v>248378.96000000005</v>
      </c>
      <c r="C9" s="10">
        <f>170248.09+6617.87+5444.26+6837.92+116.39+1421.76+59.24+805.63+142.17+177.7+148.09+296.18+385.06+59.24+1057.91+8.89+55257.28+17.76+97.49+10.04+1078.55+39.19+0.6+20.08</f>
        <v>250347.39000000004</v>
      </c>
      <c r="D9" s="10">
        <f>167654.27+7322.5+5401.21+6765.8+114.66+1421.76+59.24+805.63+142.17+177.7+148.09+296.18+385.06+59.24+1040.13+8.89+55411.2+17.76+97.49+10.04+1078.55+39.19+0.6+20.08</f>
        <v>248477.43999999997</v>
      </c>
      <c r="E9" s="10">
        <f>171599.51+6637.2+5500.39+6871.31+125.28+1421.76+59.24+805.63+142.17+177.7+148.09+296.18+385.06+59.24+1040.13+8.89+55334.24+17.76+97.49+10.04+1078.55+39.19+0.6+20.08</f>
        <v>251875.73000000004</v>
      </c>
      <c r="F9" s="10">
        <f>174949.64+6842.57+5583.43+0.28+6987.11+0.28+122.24+1466.19+59.24+805.63+142.17+177.7+148.09+296.18+385.06+59.24+1057.91+8.89+55671.68+23.68+97.49+10.04+1078.55+39.19+0.6+20.08</f>
        <v>256033.15999999997</v>
      </c>
      <c r="N9" s="9">
        <f>SUM(B9:M9)</f>
        <v>1255112.68</v>
      </c>
    </row>
    <row r="10" spans="1:14" x14ac:dyDescent="0.25">
      <c r="A10" t="s">
        <v>2</v>
      </c>
      <c r="B10" s="4">
        <v>9490</v>
      </c>
      <c r="C10" s="4">
        <v>9498</v>
      </c>
      <c r="D10" s="4">
        <v>9525</v>
      </c>
      <c r="E10" s="4">
        <v>9529</v>
      </c>
      <c r="F10" s="4">
        <v>9603</v>
      </c>
      <c r="G10" s="4"/>
      <c r="H10" s="4"/>
      <c r="I10" s="4"/>
      <c r="J10" s="4"/>
      <c r="K10" s="4"/>
      <c r="L10" s="4"/>
      <c r="M10" s="4"/>
      <c r="N10" s="6">
        <f>SUM(B10:M10)</f>
        <v>47645</v>
      </c>
    </row>
    <row r="11" spans="1:14" x14ac:dyDescent="0.25">
      <c r="A11" t="s">
        <v>45</v>
      </c>
      <c r="B11" s="24">
        <v>7026.37</v>
      </c>
      <c r="C11" s="24">
        <v>6289.87</v>
      </c>
      <c r="D11" s="24">
        <v>2979.5</v>
      </c>
      <c r="E11" s="24"/>
      <c r="F11" s="24"/>
      <c r="G11" s="24"/>
      <c r="H11" s="24"/>
      <c r="I11" s="24"/>
      <c r="J11" s="24"/>
      <c r="K11" s="24"/>
      <c r="L11" s="24"/>
      <c r="M11" s="24"/>
      <c r="N11" s="9">
        <f t="shared" ref="N11" si="0">SUM(B11:M11)</f>
        <v>16295.74</v>
      </c>
    </row>
    <row r="12" spans="1:14" x14ac:dyDescent="0.25">
      <c r="A12" s="26" t="s">
        <v>27</v>
      </c>
      <c r="B12" s="22">
        <f>(B9+B11)/B10</f>
        <v>26.913101159114863</v>
      </c>
      <c r="C12" s="22">
        <f t="shared" ref="C12:F12" si="1">(C9+C11)/C10</f>
        <v>27.020136870920197</v>
      </c>
      <c r="D12" s="22">
        <f t="shared" si="1"/>
        <v>26.399678740157476</v>
      </c>
      <c r="E12" s="22">
        <f t="shared" si="1"/>
        <v>26.432545912477703</v>
      </c>
      <c r="F12" s="22">
        <f t="shared" si="1"/>
        <v>26.66178902426325</v>
      </c>
      <c r="G12" s="22"/>
      <c r="H12" s="22"/>
      <c r="I12" s="22"/>
      <c r="J12" s="22"/>
      <c r="K12" s="22"/>
      <c r="L12" s="22"/>
      <c r="M12" s="22"/>
      <c r="N12" s="22">
        <f t="shared" ref="N12" si="2">(N9+N11)/N10</f>
        <v>26.685033476755166</v>
      </c>
    </row>
    <row r="14" spans="1:14" hidden="1" x14ac:dyDescent="0.25">
      <c r="A14" s="3" t="s">
        <v>4</v>
      </c>
    </row>
    <row r="15" spans="1:14" hidden="1" x14ac:dyDescent="0.25">
      <c r="A15" t="s">
        <v>0</v>
      </c>
      <c r="B15" s="10">
        <f>21898.79+828.73+909.04+16.89+1956.68+977.46+2085.16+533.1+148.09+533.16+337.82+2865.28+126.64+97.49+50.2+641.3+153.45+149.6+20.08+204.05+17.2+35.47+224.13+349.8</f>
        <v>35159.609999999993</v>
      </c>
      <c r="C15" s="10">
        <f>22400.21+852.92+930.67+12.68+1994.18+977.46+2132.55+533.1+148.09+533.16+346.71+2894.88+126.64+97.49+50.2+641.3+153.45+149.6+20.08+204.05+17.2+35.47+224.13+349.8</f>
        <v>35826.01999999999</v>
      </c>
      <c r="D15" s="10">
        <f>22589.22+835.29+914.05+31.47+1997.48+962.65+2085.16+533.1+148.09+533.16+355.6+2829.76+126.64+97.49+52.21+641.3+153.45+149.6+20.08+204.05+17.2+35.47+224.13+349.8</f>
        <v>35886.449999999997</v>
      </c>
      <c r="E15" s="10">
        <f>17960.08+700.79+782.11+20.96+1696.48+947.84+2085.16+533.1+148.09+533.16+355.6+2740.96+126.64+97.49+40.16+641.3+153.45+149.6+20.08+204.05+17.2+35.47+224.13+349.8</f>
        <v>30563.7</v>
      </c>
      <c r="F15" s="10">
        <f>19629.95+736.24+835.29+20.51+1806.47+947.84+2132.55+533.1+148.09+533.16+364.49+2764.64+126.64+97.49+40.16+641.3+153.45+149.6+20.08+204.05+17.2+35.47+224.13+349.8</f>
        <v>32511.700000000004</v>
      </c>
      <c r="N15" s="9">
        <f>SUM(B15:M15)</f>
        <v>169947.47999999998</v>
      </c>
    </row>
    <row r="16" spans="1:14" hidden="1" x14ac:dyDescent="0.25">
      <c r="A16" t="s">
        <v>2</v>
      </c>
      <c r="B16" s="5">
        <v>645</v>
      </c>
      <c r="C16" s="5">
        <v>649</v>
      </c>
      <c r="D16" s="5">
        <v>640</v>
      </c>
      <c r="E16" s="5">
        <v>622</v>
      </c>
      <c r="F16" s="5">
        <v>628</v>
      </c>
      <c r="G16" s="5"/>
      <c r="H16" s="5"/>
      <c r="I16" s="5"/>
      <c r="J16" s="5"/>
      <c r="K16" s="5"/>
      <c r="L16" s="5"/>
      <c r="M16" s="5"/>
      <c r="N16">
        <f>SUM(B16:M16)</f>
        <v>3184</v>
      </c>
    </row>
    <row r="17" spans="1:14" hidden="1" x14ac:dyDescent="0.25">
      <c r="A17" s="3" t="s">
        <v>5</v>
      </c>
    </row>
    <row r="18" spans="1:14" hidden="1" x14ac:dyDescent="0.25">
      <c r="A18" t="s">
        <v>0</v>
      </c>
      <c r="B18" s="10">
        <f>15867.4+559.18+581.74+1233.69+0.58+1169.99+473.9+88.85+148.09+592.36+236.96+266.7+343.36+145.75+78.38</f>
        <v>21786.930000000004</v>
      </c>
      <c r="C18" s="10">
        <f>16699.46+581+606.49+0.55+1285.98+1169.99+473.9+88.85+148.09+592.36+236.96+266.7+337.44+145.75+78.38</f>
        <v>22711.9</v>
      </c>
      <c r="D18" s="10">
        <f>16487.41+573.76+599.89+0.55+1271.97+1169.99+473.9+88.85+148.09+592.36+236.96+266.7+331.52+145.75+78.38</f>
        <v>22466.080000000002</v>
      </c>
      <c r="E18" s="10">
        <f>18931.01+651.73+673.16+0.63+1427.57+1169.99+473.9+88.85+148.09+592.36+236.96+266.7+331.52+145.75+78.38</f>
        <v>25216.600000000002</v>
      </c>
      <c r="F18" s="10">
        <f>18366.14+635.26+656.4+0.56+1391.86+1169.99+473.9+88.85+148.09+592.36+236.96+266.7+331.52+145.75+78.38</f>
        <v>24582.720000000005</v>
      </c>
      <c r="N18" s="9">
        <f>SUM(B18:M18)</f>
        <v>116764.23000000001</v>
      </c>
    </row>
    <row r="19" spans="1:14" hidden="1" x14ac:dyDescent="0.25">
      <c r="A19" t="s">
        <v>2</v>
      </c>
      <c r="B19" s="5">
        <v>181</v>
      </c>
      <c r="C19" s="5">
        <v>181</v>
      </c>
      <c r="D19" s="5">
        <v>180</v>
      </c>
      <c r="E19" s="5">
        <v>180</v>
      </c>
      <c r="F19" s="5">
        <v>180</v>
      </c>
      <c r="G19" s="5"/>
      <c r="H19" s="5"/>
      <c r="I19" s="5"/>
      <c r="J19" s="5"/>
      <c r="K19" s="5"/>
      <c r="L19" s="5"/>
      <c r="M19" s="5"/>
      <c r="N19">
        <f>SUM(B19:M19)</f>
        <v>902</v>
      </c>
    </row>
    <row r="20" spans="1:14" x14ac:dyDescent="0.25">
      <c r="A20" s="21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t="s">
        <v>0</v>
      </c>
      <c r="B21" s="20">
        <f>B15+B18</f>
        <v>56946.539999999994</v>
      </c>
      <c r="C21" s="20">
        <f t="shared" ref="C21:F21" si="3">C15+C18</f>
        <v>58537.919999999991</v>
      </c>
      <c r="D21" s="20">
        <f t="shared" si="3"/>
        <v>58352.53</v>
      </c>
      <c r="E21" s="20">
        <f t="shared" si="3"/>
        <v>55780.3</v>
      </c>
      <c r="F21" s="20">
        <f t="shared" si="3"/>
        <v>57094.420000000013</v>
      </c>
      <c r="G21" s="5"/>
      <c r="H21" s="5"/>
      <c r="I21" s="5"/>
      <c r="J21" s="5"/>
      <c r="K21" s="5"/>
      <c r="L21" s="5"/>
      <c r="M21" s="5"/>
      <c r="N21" s="9">
        <f>SUM(B21:M21)</f>
        <v>286711.70999999996</v>
      </c>
    </row>
    <row r="22" spans="1:14" x14ac:dyDescent="0.25">
      <c r="A22" t="s">
        <v>2</v>
      </c>
      <c r="B22" s="31">
        <f>B16+B19</f>
        <v>826</v>
      </c>
      <c r="C22" s="31">
        <f t="shared" ref="C22:F22" si="4">C16+C19</f>
        <v>830</v>
      </c>
      <c r="D22" s="31">
        <f t="shared" si="4"/>
        <v>820</v>
      </c>
      <c r="E22" s="31">
        <f t="shared" si="4"/>
        <v>802</v>
      </c>
      <c r="F22" s="31">
        <f t="shared" si="4"/>
        <v>808</v>
      </c>
      <c r="G22" s="5"/>
      <c r="H22" s="5"/>
      <c r="I22" s="5"/>
      <c r="J22" s="5"/>
      <c r="K22" s="5"/>
      <c r="L22" s="5"/>
      <c r="M22" s="5"/>
      <c r="N22">
        <f>SUM(B22:M22)</f>
        <v>4086</v>
      </c>
    </row>
    <row r="23" spans="1:14" x14ac:dyDescent="0.25">
      <c r="A23" t="s">
        <v>45</v>
      </c>
      <c r="B23" s="20">
        <v>646.69000000000005</v>
      </c>
      <c r="C23" s="20">
        <v>462.69</v>
      </c>
      <c r="D23" s="20">
        <v>458.71</v>
      </c>
      <c r="E23" s="20"/>
      <c r="F23" s="20"/>
      <c r="G23" s="20"/>
      <c r="H23" s="20"/>
      <c r="I23" s="20"/>
      <c r="J23" s="20"/>
      <c r="K23" s="20"/>
      <c r="L23" s="20"/>
      <c r="M23" s="20"/>
      <c r="N23" s="9">
        <f t="shared" ref="N23" si="5">SUM(B23:M23)</f>
        <v>1568.0900000000001</v>
      </c>
    </row>
    <row r="24" spans="1:14" x14ac:dyDescent="0.25">
      <c r="A24" s="26" t="s">
        <v>27</v>
      </c>
      <c r="B24" s="22">
        <f>(B21+B23)/B22</f>
        <v>69.725460048426143</v>
      </c>
      <c r="C24" s="22">
        <f t="shared" ref="C24:F24" si="6">(C21+C23)/C22</f>
        <v>71.085072289156614</v>
      </c>
      <c r="D24" s="22">
        <f t="shared" si="6"/>
        <v>71.721024390243898</v>
      </c>
      <c r="E24" s="22">
        <f t="shared" si="6"/>
        <v>69.551496259351623</v>
      </c>
      <c r="F24" s="22">
        <f t="shared" si="6"/>
        <v>70.661410891089119</v>
      </c>
      <c r="G24" s="27"/>
      <c r="H24" s="27"/>
      <c r="I24" s="27"/>
      <c r="J24" s="27"/>
      <c r="K24" s="27"/>
      <c r="L24" s="27"/>
      <c r="M24" s="27"/>
      <c r="N24" s="22">
        <f t="shared" ref="N24" si="7">(N21+N23)/N22</f>
        <v>70.553059226627511</v>
      </c>
    </row>
    <row r="25" spans="1:14" x14ac:dyDescent="0.25">
      <c r="A25" s="26"/>
      <c r="B25" s="22"/>
      <c r="C25" s="22"/>
      <c r="D25" s="22"/>
      <c r="E25" s="22"/>
      <c r="F25" s="22"/>
      <c r="G25" s="5"/>
      <c r="H25" s="5"/>
      <c r="I25" s="5"/>
      <c r="J25" s="5"/>
      <c r="K25" s="5"/>
      <c r="L25" s="5"/>
      <c r="M25" s="5"/>
      <c r="N25" s="22"/>
    </row>
    <row r="26" spans="1:14" x14ac:dyDescent="0.25">
      <c r="A26" s="26" t="s">
        <v>49</v>
      </c>
      <c r="B26" s="22">
        <v>25363.19</v>
      </c>
      <c r="C26" s="22">
        <v>26973.97</v>
      </c>
      <c r="D26" s="22">
        <v>33307.79</v>
      </c>
      <c r="E26" s="22">
        <v>42757.23</v>
      </c>
      <c r="F26" s="22">
        <v>43699.82</v>
      </c>
      <c r="G26" s="5"/>
      <c r="H26" s="5"/>
      <c r="I26" s="5"/>
      <c r="J26" s="5"/>
      <c r="K26" s="5"/>
      <c r="L26" s="5"/>
      <c r="M26" s="5"/>
      <c r="N26" s="9">
        <f>SUM(B26:M26)</f>
        <v>172102.00000000003</v>
      </c>
    </row>
    <row r="28" spans="1:14" x14ac:dyDescent="0.25">
      <c r="A28" s="3" t="s">
        <v>6</v>
      </c>
    </row>
    <row r="29" spans="1:14" x14ac:dyDescent="0.25">
      <c r="A29" t="s">
        <v>0</v>
      </c>
      <c r="B29" s="10">
        <f>142.17+88.85+148.09+592.36+5341.86+83998.53+25705.83</f>
        <v>116017.69</v>
      </c>
      <c r="C29" s="10">
        <f>142.17+88.85+148.09+592.36+4732.74+88938.73+26029.62</f>
        <v>120672.56</v>
      </c>
      <c r="D29" s="10">
        <f>142.17+88.85+148.09+592.36+4334.38+78384.8+26684.99</f>
        <v>110375.64000000001</v>
      </c>
      <c r="E29" s="10">
        <f>142.17+88.85+148.09+592.36+4523.18+83253.95+29369.73</f>
        <v>118118.32999999999</v>
      </c>
      <c r="F29" s="10">
        <f>142.17+88.85+148.09+592.36+5330.3+83979.89+31498.21</f>
        <v>121779.87</v>
      </c>
      <c r="N29" s="9">
        <f>SUM(B29:M29)</f>
        <v>586964.09</v>
      </c>
    </row>
    <row r="30" spans="1:14" x14ac:dyDescent="0.25">
      <c r="A30" t="s">
        <v>2</v>
      </c>
      <c r="B30" s="31">
        <v>3</v>
      </c>
      <c r="C30" s="31">
        <v>3</v>
      </c>
      <c r="D30" s="31">
        <v>3</v>
      </c>
      <c r="E30" s="31">
        <v>3</v>
      </c>
      <c r="F30" s="31">
        <v>3</v>
      </c>
      <c r="G30" s="5"/>
      <c r="H30" s="5"/>
      <c r="I30" s="5"/>
      <c r="J30" s="5"/>
      <c r="K30" s="5"/>
      <c r="L30" s="5"/>
      <c r="M30" s="5"/>
      <c r="N30">
        <f>SUM(B30:M30)</f>
        <v>15</v>
      </c>
    </row>
    <row r="31" spans="1:14" x14ac:dyDescent="0.25">
      <c r="A31" s="28" t="s">
        <v>44</v>
      </c>
      <c r="B31" s="20">
        <v>10485.48</v>
      </c>
      <c r="C31" s="20">
        <v>15827.34</v>
      </c>
      <c r="D31" s="20">
        <v>4732.74</v>
      </c>
      <c r="E31" s="20">
        <v>9067.1200000000008</v>
      </c>
      <c r="F31" s="20">
        <v>0</v>
      </c>
      <c r="G31" s="20"/>
      <c r="H31" s="20"/>
      <c r="I31" s="20"/>
      <c r="J31" s="20"/>
      <c r="K31" s="20"/>
      <c r="L31" s="20"/>
      <c r="M31" s="20"/>
      <c r="N31" s="9">
        <f t="shared" ref="N31:N32" si="8">SUM(B31:M31)</f>
        <v>40112.68</v>
      </c>
    </row>
    <row r="32" spans="1:14" x14ac:dyDescent="0.25">
      <c r="A32" t="s">
        <v>45</v>
      </c>
      <c r="B32" s="20">
        <v>653.41</v>
      </c>
      <c r="C32" s="20">
        <v>663.28</v>
      </c>
      <c r="D32" s="20">
        <v>602.37</v>
      </c>
      <c r="E32" s="20">
        <v>0</v>
      </c>
      <c r="F32" s="20">
        <v>0</v>
      </c>
      <c r="G32" s="20"/>
      <c r="H32" s="20"/>
      <c r="I32" s="20"/>
      <c r="J32" s="20"/>
      <c r="K32" s="20"/>
      <c r="L32" s="20"/>
      <c r="M32" s="20"/>
      <c r="N32" s="9">
        <f t="shared" si="8"/>
        <v>1919.06</v>
      </c>
    </row>
    <row r="33" spans="1:14" x14ac:dyDescent="0.25">
      <c r="A33" s="26" t="s">
        <v>27</v>
      </c>
      <c r="B33" s="22">
        <f>(B29+B31+B32)/B30</f>
        <v>42385.526666666665</v>
      </c>
      <c r="C33" s="22">
        <f t="shared" ref="C33:F33" si="9">(C29+C31+C32)/C30</f>
        <v>45721.06</v>
      </c>
      <c r="D33" s="22">
        <f t="shared" si="9"/>
        <v>38570.250000000007</v>
      </c>
      <c r="E33" s="22">
        <f t="shared" si="9"/>
        <v>42395.149999999994</v>
      </c>
      <c r="F33" s="22">
        <f t="shared" si="9"/>
        <v>40593.29</v>
      </c>
      <c r="G33" s="27"/>
      <c r="H33" s="27"/>
      <c r="I33" s="27"/>
      <c r="J33" s="27"/>
      <c r="K33" s="27"/>
      <c r="L33" s="27"/>
      <c r="M33" s="27"/>
      <c r="N33" s="22">
        <f t="shared" ref="N33" si="10">(N29+N31+N32)/N30</f>
        <v>41933.055333333337</v>
      </c>
    </row>
    <row r="34" spans="1:14" s="28" customFormat="1" x14ac:dyDescent="0.25">
      <c r="A34" s="26"/>
      <c r="B34" s="22"/>
      <c r="C34" s="22"/>
      <c r="D34" s="22"/>
      <c r="E34" s="22"/>
      <c r="F34" s="22"/>
      <c r="G34" s="27"/>
      <c r="H34" s="27"/>
      <c r="I34" s="27"/>
      <c r="J34" s="27"/>
      <c r="K34" s="27"/>
      <c r="L34" s="27"/>
      <c r="M34" s="27"/>
      <c r="N34" s="22"/>
    </row>
    <row r="35" spans="1:14" ht="60" x14ac:dyDescent="0.25">
      <c r="A35" s="18" t="s">
        <v>41</v>
      </c>
      <c r="B35" s="17">
        <f>(B9+B11+B21+B23+B26+B29+B31+B32)/(B10+B22+B30)</f>
        <v>45.112736699292569</v>
      </c>
      <c r="C35" s="17">
        <f t="shared" ref="C35:F35" si="11">(C9+C11+C21+C23+C26+C29+C31+C32)/(C10+C22+C30)</f>
        <v>46.44032717065145</v>
      </c>
      <c r="D35" s="17">
        <f t="shared" si="11"/>
        <v>44.38410514109006</v>
      </c>
      <c r="E35" s="17">
        <f t="shared" si="11"/>
        <v>46.216248306560864</v>
      </c>
      <c r="F35" s="17">
        <f t="shared" si="11"/>
        <v>45.958063184175145</v>
      </c>
      <c r="G35" s="5"/>
      <c r="H35" s="5"/>
      <c r="I35" s="5"/>
      <c r="J35" s="5"/>
      <c r="K35" s="5"/>
      <c r="L35" s="5"/>
      <c r="M35" s="5"/>
      <c r="N35" s="22">
        <f t="shared" ref="N35" si="12">(N9+N11+N21+N23+N26+N29+N31+N32)/(N10+N22+N30)</f>
        <v>45.622580489313187</v>
      </c>
    </row>
    <row r="36" spans="1:14" ht="60" x14ac:dyDescent="0.25">
      <c r="A36" s="18" t="s">
        <v>42</v>
      </c>
      <c r="B36" s="17">
        <f>(B9+B11+B21+B23+B26)/(B10+B22)</f>
        <v>32.799704342768521</v>
      </c>
      <c r="C36" s="17">
        <f t="shared" ref="C36:F36" si="13">(C9+C11+C21+C23+C26)/(C10+C22)</f>
        <v>33.173106119287382</v>
      </c>
      <c r="D36" s="17">
        <f t="shared" si="13"/>
        <v>33.211790236829387</v>
      </c>
      <c r="E36" s="17">
        <f t="shared" si="13"/>
        <v>33.918619688316717</v>
      </c>
      <c r="F36" s="17">
        <f t="shared" si="13"/>
        <v>34.274075497070406</v>
      </c>
      <c r="G36" s="5"/>
      <c r="H36" s="5"/>
      <c r="I36" s="5"/>
      <c r="J36" s="5"/>
      <c r="K36" s="5"/>
      <c r="L36" s="5"/>
      <c r="M36" s="5"/>
      <c r="N36" s="22">
        <f t="shared" ref="N36" si="14">(N9+N11+N21+N23+N26)/(N10+N22)</f>
        <v>33.476836326380699</v>
      </c>
    </row>
    <row r="38" spans="1:14" x14ac:dyDescent="0.25">
      <c r="B38" s="36" t="s">
        <v>26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5">
      <c r="A40" s="1"/>
      <c r="B40" t="s">
        <v>7</v>
      </c>
      <c r="C40" t="s">
        <v>8</v>
      </c>
      <c r="D40" t="s">
        <v>9</v>
      </c>
      <c r="E40" t="s">
        <v>10</v>
      </c>
      <c r="F40" t="s">
        <v>11</v>
      </c>
      <c r="G40" t="s">
        <v>12</v>
      </c>
      <c r="H40" t="s">
        <v>13</v>
      </c>
      <c r="I40" t="s">
        <v>14</v>
      </c>
      <c r="J40" t="s">
        <v>15</v>
      </c>
      <c r="K40" t="s">
        <v>16</v>
      </c>
      <c r="L40" t="s">
        <v>17</v>
      </c>
      <c r="M40" t="s">
        <v>18</v>
      </c>
      <c r="N40" t="s">
        <v>3</v>
      </c>
    </row>
    <row r="41" spans="1:14" x14ac:dyDescent="0.25">
      <c r="A41" s="3" t="s">
        <v>1</v>
      </c>
    </row>
    <row r="42" spans="1:14" x14ac:dyDescent="0.25">
      <c r="A42" t="s">
        <v>0</v>
      </c>
      <c r="B42" s="10">
        <f>240734.05+58.89+412.41+2526.23+7234.67</f>
        <v>250966.25000000003</v>
      </c>
      <c r="C42" s="10">
        <f>242398.01+58.89+472.89+2484.7+7286.16</f>
        <v>252700.65000000005</v>
      </c>
      <c r="D42" s="10">
        <f>241697.28+58.89+553.53+2641.11+7267.82</f>
        <v>252218.63</v>
      </c>
      <c r="E42" s="10">
        <f>243502.55+65.93+316.79+2596.56+7314.8</f>
        <v>253796.62999999998</v>
      </c>
      <c r="F42" s="10">
        <f>248027.18+91.96+57.59+2567.93+7443.05+0.59</f>
        <v>258188.29999999996</v>
      </c>
      <c r="N42" s="9">
        <f>SUM(B42:M42)</f>
        <v>1267870.46</v>
      </c>
    </row>
    <row r="43" spans="1:14" x14ac:dyDescent="0.25">
      <c r="A43" t="s">
        <v>2</v>
      </c>
      <c r="B43" s="4">
        <v>8225</v>
      </c>
      <c r="C43" s="4">
        <v>8234</v>
      </c>
      <c r="D43" s="4">
        <v>8249</v>
      </c>
      <c r="E43" s="4">
        <v>8264</v>
      </c>
      <c r="F43" s="4">
        <v>8333</v>
      </c>
      <c r="G43" s="4"/>
      <c r="H43" s="4"/>
      <c r="I43" s="4"/>
      <c r="J43" s="4"/>
      <c r="K43" s="4"/>
      <c r="L43" s="4"/>
      <c r="M43" s="4"/>
      <c r="N43" s="7">
        <f>SUM(B43:M43)</f>
        <v>41305</v>
      </c>
    </row>
    <row r="44" spans="1:14" x14ac:dyDescent="0.25">
      <c r="A44" t="s">
        <v>45</v>
      </c>
      <c r="B44" s="24">
        <v>7747.11</v>
      </c>
      <c r="C44" s="24">
        <v>7081.38</v>
      </c>
      <c r="D44" s="24">
        <v>3805.31</v>
      </c>
      <c r="E44" s="24"/>
      <c r="F44" s="24"/>
      <c r="G44" s="24"/>
      <c r="H44" s="24"/>
      <c r="I44" s="24"/>
      <c r="J44" s="24"/>
      <c r="K44" s="24"/>
      <c r="L44" s="24"/>
      <c r="M44" s="24"/>
      <c r="N44" s="9">
        <f t="shared" ref="N44" si="15">SUM(B44:M44)</f>
        <v>18633.8</v>
      </c>
    </row>
    <row r="45" spans="1:14" x14ac:dyDescent="0.25">
      <c r="A45" s="26" t="s">
        <v>27</v>
      </c>
      <c r="B45" s="22">
        <f>(B42+B44)/B43</f>
        <v>31.454511854103345</v>
      </c>
      <c r="C45" s="22">
        <f t="shared" ref="C45:F45" si="16">(C42+C44)/C43</f>
        <v>31.549918630070447</v>
      </c>
      <c r="D45" s="22">
        <f t="shared" si="16"/>
        <v>31.036966905079403</v>
      </c>
      <c r="E45" s="22">
        <f t="shared" si="16"/>
        <v>30.711112052274924</v>
      </c>
      <c r="F45" s="22">
        <f t="shared" si="16"/>
        <v>30.983835353414133</v>
      </c>
      <c r="G45" s="27"/>
      <c r="H45" s="27"/>
      <c r="I45" s="27"/>
      <c r="J45" s="27"/>
      <c r="K45" s="27"/>
      <c r="L45" s="27"/>
      <c r="M45" s="27"/>
      <c r="N45" s="22">
        <f t="shared" ref="N45" si="17">(N42+N44)/N43</f>
        <v>31.146453455998063</v>
      </c>
    </row>
    <row r="47" spans="1:14" hidden="1" x14ac:dyDescent="0.25">
      <c r="A47" s="3" t="s">
        <v>4</v>
      </c>
    </row>
    <row r="48" spans="1:14" hidden="1" x14ac:dyDescent="0.25">
      <c r="A48" t="s">
        <v>0</v>
      </c>
      <c r="B48" s="10">
        <f>35345.03+1057.28+2186.56</f>
        <v>38588.869999999995</v>
      </c>
      <c r="C48" s="10">
        <f>36422.34+1089.8+2252.98</f>
        <v>39765.120000000003</v>
      </c>
      <c r="D48" s="10">
        <f>36639.22+1095.91+2266.29</f>
        <v>40001.420000000006</v>
      </c>
      <c r="E48" s="10">
        <f>31575.75+944.16+1953.68</f>
        <v>34473.589999999997</v>
      </c>
      <c r="F48" s="10">
        <f>30588.01+916+1892.75</f>
        <v>33396.759999999995</v>
      </c>
      <c r="N48" s="9">
        <f>SUM(B48:M48)</f>
        <v>186225.76</v>
      </c>
    </row>
    <row r="49" spans="1:14" hidden="1" x14ac:dyDescent="0.25">
      <c r="A49" t="s">
        <v>2</v>
      </c>
      <c r="B49" s="5">
        <v>610</v>
      </c>
      <c r="C49" s="5">
        <v>613</v>
      </c>
      <c r="D49" s="5">
        <v>605</v>
      </c>
      <c r="E49" s="5">
        <v>587</v>
      </c>
      <c r="F49" s="5">
        <v>590</v>
      </c>
      <c r="G49" s="5"/>
      <c r="H49" s="5"/>
      <c r="I49" s="5"/>
      <c r="J49" s="5"/>
      <c r="K49" s="5"/>
      <c r="L49" s="5"/>
      <c r="M49" s="5"/>
      <c r="N49">
        <f>SUM(B49:M49)</f>
        <v>3005</v>
      </c>
    </row>
    <row r="50" spans="1:14" hidden="1" x14ac:dyDescent="0.25">
      <c r="A50" s="3" t="s">
        <v>5</v>
      </c>
    </row>
    <row r="51" spans="1:14" hidden="1" x14ac:dyDescent="0.25">
      <c r="A51" t="s">
        <v>0</v>
      </c>
      <c r="B51" s="10">
        <f>22219.85+664.26+1373.28</f>
        <v>24257.389999999996</v>
      </c>
      <c r="C51" s="10">
        <f>23374.95+698.73+1444.56</f>
        <v>25518.240000000002</v>
      </c>
      <c r="D51" s="10">
        <f>23146.03+691.94+1430.37</f>
        <v>25268.339999999997</v>
      </c>
      <c r="E51" s="10">
        <f>27037.7+808.64+1670.98</f>
        <v>29517.32</v>
      </c>
      <c r="F51" s="10">
        <f>26397.22+789.67+1631.42</f>
        <v>28818.309999999998</v>
      </c>
      <c r="N51" s="9">
        <f>SUM(B51:M51)</f>
        <v>133379.6</v>
      </c>
    </row>
    <row r="52" spans="1:14" hidden="1" x14ac:dyDescent="0.25">
      <c r="A52" t="s">
        <v>2</v>
      </c>
      <c r="B52" s="5">
        <v>169</v>
      </c>
      <c r="C52" s="5">
        <v>169</v>
      </c>
      <c r="D52" s="5">
        <v>168</v>
      </c>
      <c r="E52" s="5">
        <v>168</v>
      </c>
      <c r="F52" s="5">
        <v>168</v>
      </c>
      <c r="G52" s="5"/>
      <c r="H52" s="5"/>
      <c r="I52" s="5"/>
      <c r="J52" s="5"/>
      <c r="K52" s="5"/>
      <c r="L52" s="5"/>
      <c r="M52" s="5"/>
      <c r="N52">
        <f>SUM(B52:M52)</f>
        <v>842</v>
      </c>
    </row>
    <row r="53" spans="1:14" x14ac:dyDescent="0.25">
      <c r="A53" s="21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4" x14ac:dyDescent="0.25">
      <c r="A54" t="s">
        <v>0</v>
      </c>
      <c r="B54" s="20">
        <f>B48+B51</f>
        <v>62846.259999999995</v>
      </c>
      <c r="C54" s="20">
        <f t="shared" ref="C54:F54" si="18">C48+C51</f>
        <v>65283.360000000001</v>
      </c>
      <c r="D54" s="20">
        <f t="shared" si="18"/>
        <v>65269.760000000002</v>
      </c>
      <c r="E54" s="20">
        <f t="shared" si="18"/>
        <v>63990.909999999996</v>
      </c>
      <c r="F54" s="20">
        <f t="shared" si="18"/>
        <v>62215.069999999992</v>
      </c>
      <c r="G54" s="5"/>
      <c r="H54" s="5"/>
      <c r="I54" s="5"/>
      <c r="J54" s="5"/>
      <c r="K54" s="5"/>
      <c r="L54" s="5"/>
      <c r="M54" s="5"/>
      <c r="N54" s="9">
        <f>SUM(B54:M54)</f>
        <v>319605.36</v>
      </c>
    </row>
    <row r="55" spans="1:14" x14ac:dyDescent="0.25">
      <c r="A55" t="s">
        <v>2</v>
      </c>
      <c r="B55" s="31">
        <f>B49+B52</f>
        <v>779</v>
      </c>
      <c r="C55" s="31">
        <f t="shared" ref="C55:F55" si="19">C49+C52</f>
        <v>782</v>
      </c>
      <c r="D55" s="31">
        <f t="shared" si="19"/>
        <v>773</v>
      </c>
      <c r="E55" s="31">
        <f t="shared" si="19"/>
        <v>755</v>
      </c>
      <c r="F55" s="31">
        <f t="shared" si="19"/>
        <v>758</v>
      </c>
      <c r="G55" s="5"/>
      <c r="H55" s="5"/>
      <c r="I55" s="5"/>
      <c r="J55" s="5"/>
      <c r="K55" s="5"/>
      <c r="L55" s="5"/>
      <c r="M55" s="5"/>
      <c r="N55">
        <f>SUM(B55:M55)</f>
        <v>3847</v>
      </c>
    </row>
    <row r="56" spans="1:14" x14ac:dyDescent="0.25">
      <c r="A56" t="s">
        <v>45</v>
      </c>
      <c r="B56" s="20">
        <v>842.34</v>
      </c>
      <c r="C56" s="20">
        <v>620.14</v>
      </c>
      <c r="D56" s="20">
        <v>597.98</v>
      </c>
      <c r="E56" s="20"/>
      <c r="F56" s="20"/>
      <c r="G56" s="20"/>
      <c r="H56" s="20"/>
      <c r="I56" s="20"/>
      <c r="J56" s="20"/>
      <c r="K56" s="20"/>
      <c r="L56" s="20"/>
      <c r="M56" s="20"/>
      <c r="N56" s="9">
        <f t="shared" ref="N56" si="20">SUM(B56:M56)</f>
        <v>2060.46</v>
      </c>
    </row>
    <row r="57" spans="1:14" x14ac:dyDescent="0.25">
      <c r="A57" s="26" t="s">
        <v>27</v>
      </c>
      <c r="B57" s="22">
        <f>(B54+B56)/B55</f>
        <v>81.7568677792041</v>
      </c>
      <c r="C57" s="22">
        <f t="shared" ref="C57:F57" si="21">(C54+C56)/C55</f>
        <v>84.275575447570333</v>
      </c>
      <c r="D57" s="22">
        <f t="shared" si="21"/>
        <v>85.21053040103493</v>
      </c>
      <c r="E57" s="22">
        <f t="shared" si="21"/>
        <v>84.756172185430458</v>
      </c>
      <c r="F57" s="22">
        <f t="shared" si="21"/>
        <v>82.077928759894448</v>
      </c>
      <c r="G57" s="27"/>
      <c r="H57" s="27"/>
      <c r="I57" s="27"/>
      <c r="J57" s="27"/>
      <c r="K57" s="27"/>
      <c r="L57" s="27"/>
      <c r="M57" s="27"/>
      <c r="N57" s="22">
        <f t="shared" ref="N57" si="22">(N54+N56)/N55</f>
        <v>83.614717962048346</v>
      </c>
    </row>
    <row r="58" spans="1:14" s="28" customFormat="1" x14ac:dyDescent="0.25">
      <c r="A58" s="26"/>
      <c r="B58" s="22"/>
      <c r="C58" s="22"/>
      <c r="D58" s="22"/>
      <c r="E58" s="22"/>
      <c r="F58" s="22"/>
      <c r="G58" s="27"/>
      <c r="H58" s="27"/>
      <c r="I58" s="27"/>
      <c r="J58" s="27"/>
      <c r="K58" s="27"/>
      <c r="L58" s="27"/>
      <c r="M58" s="27"/>
      <c r="N58" s="22"/>
    </row>
    <row r="59" spans="1:14" s="28" customFormat="1" x14ac:dyDescent="0.25">
      <c r="A59" s="26" t="s">
        <v>50</v>
      </c>
      <c r="B59" s="22">
        <v>28245.599999999999</v>
      </c>
      <c r="C59" s="22">
        <v>21508.97</v>
      </c>
      <c r="D59" s="22">
        <v>30808.12</v>
      </c>
      <c r="E59" s="22">
        <v>44198</v>
      </c>
      <c r="F59" s="22">
        <v>48792.76</v>
      </c>
      <c r="G59" s="27"/>
      <c r="H59" s="27"/>
      <c r="I59" s="27"/>
      <c r="J59" s="27"/>
      <c r="K59" s="27"/>
      <c r="L59" s="27"/>
      <c r="M59" s="27"/>
      <c r="N59" s="9">
        <f t="shared" ref="N59" si="23">SUM(B59:M59)</f>
        <v>173553.45</v>
      </c>
    </row>
    <row r="60" spans="1:14" s="28" customFormat="1" x14ac:dyDescent="0.25">
      <c r="A60" s="26"/>
      <c r="B60" s="22"/>
      <c r="C60" s="22"/>
      <c r="D60" s="22"/>
      <c r="E60" s="22"/>
      <c r="F60" s="22"/>
      <c r="G60" s="27"/>
      <c r="H60" s="27"/>
      <c r="I60" s="27"/>
      <c r="J60" s="27"/>
      <c r="K60" s="27"/>
      <c r="L60" s="27"/>
      <c r="M60" s="27"/>
      <c r="N60" s="22"/>
    </row>
    <row r="61" spans="1:14" ht="30" x14ac:dyDescent="0.25">
      <c r="A61" s="19" t="s">
        <v>37</v>
      </c>
      <c r="B61" s="17">
        <f>(B42+B44+B54+B56+B59)/(B43+B55)</f>
        <v>38.943531763660594</v>
      </c>
      <c r="C61" s="17">
        <f t="shared" ref="C61:F61" si="24">(C42+C44+C54+C56+C59)/(C43+C55)</f>
        <v>38.508706743567004</v>
      </c>
      <c r="D61" s="17">
        <f t="shared" si="24"/>
        <v>39.093305253823985</v>
      </c>
      <c r="E61" s="17">
        <f t="shared" si="24"/>
        <v>40.135884244372988</v>
      </c>
      <c r="F61" s="17">
        <f t="shared" si="24"/>
        <v>40.611168188318111</v>
      </c>
      <c r="G61" s="5"/>
      <c r="H61" s="5"/>
      <c r="I61" s="5"/>
      <c r="J61" s="5"/>
      <c r="K61" s="5"/>
      <c r="L61" s="5"/>
      <c r="M61" s="5"/>
      <c r="N61" s="17">
        <f t="shared" ref="N61" si="25">(N42+N44+N54+N56+N59)/(N43+N55)</f>
        <v>39.460567195251592</v>
      </c>
    </row>
    <row r="64" spans="1:14" x14ac:dyDescent="0.25">
      <c r="F64" s="35" t="s">
        <v>36</v>
      </c>
      <c r="G64" s="35"/>
    </row>
    <row r="65" spans="5:7" x14ac:dyDescent="0.25">
      <c r="F65" t="s">
        <v>28</v>
      </c>
      <c r="G65" t="s">
        <v>29</v>
      </c>
    </row>
    <row r="66" spans="5:7" x14ac:dyDescent="0.25">
      <c r="E66" t="s">
        <v>30</v>
      </c>
      <c r="F66" s="9">
        <f>N12</f>
        <v>26.685033476755166</v>
      </c>
      <c r="G66" s="9">
        <f>N45</f>
        <v>31.146453455998063</v>
      </c>
    </row>
    <row r="67" spans="5:7" x14ac:dyDescent="0.25">
      <c r="E67" t="s">
        <v>43</v>
      </c>
      <c r="F67" s="9">
        <f>N24</f>
        <v>70.553059226627511</v>
      </c>
      <c r="G67" s="9">
        <f>N57</f>
        <v>83.614717962048346</v>
      </c>
    </row>
    <row r="68" spans="5:7" x14ac:dyDescent="0.25">
      <c r="E68" t="s">
        <v>6</v>
      </c>
      <c r="F68" s="9">
        <f>N33</f>
        <v>41933.055333333337</v>
      </c>
      <c r="G68" s="1" t="s">
        <v>33</v>
      </c>
    </row>
    <row r="69" spans="5:7" x14ac:dyDescent="0.25">
      <c r="E69" s="15" t="s">
        <v>31</v>
      </c>
      <c r="F69" s="9">
        <f>N35</f>
        <v>45.622580489313187</v>
      </c>
      <c r="G69" s="1" t="s">
        <v>33</v>
      </c>
    </row>
    <row r="70" spans="5:7" x14ac:dyDescent="0.25">
      <c r="E70" s="15" t="s">
        <v>32</v>
      </c>
      <c r="F70" s="9">
        <f>N36</f>
        <v>33.476836326380699</v>
      </c>
      <c r="G70" s="13">
        <f>N61</f>
        <v>39.460567195251592</v>
      </c>
    </row>
  </sheetData>
  <mergeCells count="3">
    <mergeCell ref="B5:M5"/>
    <mergeCell ref="B38:M38"/>
    <mergeCell ref="F64:G6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2017_2020 Summary</vt:lpstr>
      <vt:lpstr>2017 Water_Sewer</vt:lpstr>
      <vt:lpstr>2018 Water_Sewer</vt:lpstr>
      <vt:lpstr>2019 Water_Sewer</vt:lpstr>
      <vt:lpstr>2020 Water_Sewer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Schmuck</dc:creator>
  <cp:lastModifiedBy>Scott Schmuck</cp:lastModifiedBy>
  <cp:lastPrinted>2020-07-02T13:57:20Z</cp:lastPrinted>
  <dcterms:created xsi:type="dcterms:W3CDTF">2020-06-25T16:43:33Z</dcterms:created>
  <dcterms:modified xsi:type="dcterms:W3CDTF">2020-07-02T19:11:20Z</dcterms:modified>
</cp:coreProperties>
</file>