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COVID 19 Account Information\PSC 2020-00085\"/>
    </mc:Choice>
  </mc:AlternateContent>
  <xr:revisionPtr revIDLastSave="0" documentId="13_ncr:1_{2E0B69CA-3C3C-4688-876E-A80F9E3FC959}" xr6:coauthVersionLast="45" xr6:coauthVersionMax="45" xr10:uidLastSave="{00000000-0000-0000-0000-000000000000}"/>
  <bookViews>
    <workbookView xWindow="28680" yWindow="-120" windowWidth="29040" windowHeight="15840" xr2:uid="{9A874D1B-8AD5-43FA-A422-023A72701304}"/>
  </bookViews>
  <sheets>
    <sheet name="Q1" sheetId="1" r:id="rId1"/>
    <sheet name="Q2" sheetId="2" r:id="rId2"/>
    <sheet name="Q3" sheetId="3" r:id="rId3"/>
    <sheet name="Q4" sheetId="5" r:id="rId4"/>
    <sheet name="Q5" sheetId="6" r:id="rId5"/>
    <sheet name="Q6" sheetId="7" r:id="rId6"/>
    <sheet name="Q7" sheetId="8" r:id="rId7"/>
    <sheet name="Q8" sheetId="9" r:id="rId8"/>
    <sheet name="Q9" sheetId="21" r:id="rId9"/>
    <sheet name="Q10" sheetId="25" r:id="rId10"/>
    <sheet name="Q11" sheetId="12" r:id="rId11"/>
    <sheet name="Q12" sheetId="13" r:id="rId12"/>
    <sheet name="Q13" sheetId="14" r:id="rId13"/>
    <sheet name="Q14" sheetId="15" r:id="rId14"/>
    <sheet name="Q15" sheetId="16" r:id="rId15"/>
    <sheet name="Q16" sheetId="17" r:id="rId16"/>
    <sheet name="Q17" sheetId="18" r:id="rId17"/>
  </sheets>
  <definedNames>
    <definedName name="_xlnm.Print_Area" localSheetId="0">'Q1'!$A$1:$H$19</definedName>
    <definedName name="_xlnm.Print_Area" localSheetId="9">'Q10'!$A$1:$R$42</definedName>
    <definedName name="_xlnm.Print_Area" localSheetId="10">'Q11'!$A$1:$H$32</definedName>
    <definedName name="_xlnm.Print_Area" localSheetId="13">'Q14'!$A$1:$I$49</definedName>
    <definedName name="_xlnm.Print_Area" localSheetId="14">'Q15'!$A$1:$H$24</definedName>
    <definedName name="_xlnm.Print_Area" localSheetId="15">'Q16'!$A$1:$H$31</definedName>
    <definedName name="_xlnm.Print_Area" localSheetId="16">'Q17'!$A$1:$H$29</definedName>
    <definedName name="_xlnm.Print_Area" localSheetId="1">'Q2'!$A$1:$H$20</definedName>
    <definedName name="_xlnm.Print_Area" localSheetId="2">'Q3'!$A$1:$H$33</definedName>
    <definedName name="_xlnm.Print_Area" localSheetId="3">'Q4'!$A$1:$H$98</definedName>
    <definedName name="_xlnm.Print_Area" localSheetId="4">'Q5'!$A$1:$H$32</definedName>
    <definedName name="_xlnm.Print_Area" localSheetId="5">'Q6'!$A$1:$H$97</definedName>
    <definedName name="_xlnm.Print_Area" localSheetId="6">'Q7'!$A$1:$I$46</definedName>
    <definedName name="_xlnm.Print_Area" localSheetId="7">'Q8'!$A$1:$I$47</definedName>
    <definedName name="_xlnm.Print_Area" localSheetId="8">'Q9'!$A$1:$J$30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5" l="1"/>
  <c r="E20" i="9"/>
  <c r="F20" i="9"/>
  <c r="G20" i="9"/>
  <c r="H20" i="9"/>
  <c r="E18" i="9"/>
  <c r="F18" i="9"/>
  <c r="G18" i="9"/>
  <c r="R41" i="25"/>
  <c r="Q41" i="25"/>
  <c r="P41" i="25"/>
  <c r="O41" i="25"/>
  <c r="N41" i="25"/>
  <c r="M41" i="25"/>
  <c r="L41" i="25"/>
  <c r="K41" i="25"/>
  <c r="J41" i="25"/>
  <c r="I41" i="25"/>
  <c r="H41" i="25"/>
  <c r="G41" i="25"/>
  <c r="F41" i="25" s="1"/>
  <c r="R40" i="25"/>
  <c r="Q40" i="25"/>
  <c r="P40" i="25"/>
  <c r="O40" i="25"/>
  <c r="N40" i="25"/>
  <c r="M40" i="25"/>
  <c r="L40" i="25"/>
  <c r="K40" i="25"/>
  <c r="J40" i="25"/>
  <c r="I40" i="25"/>
  <c r="H40" i="25"/>
  <c r="G40" i="25"/>
  <c r="F40" i="25" s="1"/>
  <c r="R39" i="25"/>
  <c r="Q39" i="25"/>
  <c r="P39" i="25"/>
  <c r="O39" i="25"/>
  <c r="N39" i="25"/>
  <c r="M39" i="25"/>
  <c r="L39" i="25"/>
  <c r="K39" i="25"/>
  <c r="J39" i="25"/>
  <c r="I39" i="25"/>
  <c r="H39" i="25"/>
  <c r="G39" i="25"/>
  <c r="F39" i="25"/>
  <c r="F38" i="25"/>
  <c r="F37" i="25"/>
  <c r="F34" i="25"/>
  <c r="F33" i="25"/>
  <c r="F32" i="25"/>
  <c r="F31" i="25"/>
  <c r="F30" i="25"/>
  <c r="F28" i="25"/>
  <c r="F27" i="25"/>
  <c r="F26" i="25"/>
  <c r="F25" i="25"/>
  <c r="F24" i="25"/>
  <c r="H20" i="21" l="1"/>
  <c r="J20" i="21" s="1"/>
  <c r="H29" i="21"/>
  <c r="J29" i="21" s="1"/>
  <c r="H28" i="21"/>
  <c r="J28" i="21" s="1"/>
  <c r="H27" i="21"/>
  <c r="J27" i="21" s="1"/>
  <c r="H26" i="21"/>
  <c r="J26" i="21" s="1"/>
  <c r="H25" i="21"/>
  <c r="J25" i="21" s="1"/>
  <c r="H24" i="21"/>
  <c r="J24" i="21" s="1"/>
  <c r="H22" i="21"/>
  <c r="J22" i="21" s="1"/>
  <c r="H21" i="21"/>
  <c r="J21" i="21" s="1"/>
  <c r="H49" i="15"/>
  <c r="E47" i="15"/>
  <c r="E49" i="15" s="1"/>
  <c r="D47" i="15"/>
  <c r="D49" i="15" s="1"/>
  <c r="F46" i="15"/>
  <c r="F45" i="15"/>
  <c r="F47" i="15" l="1"/>
  <c r="F49" i="15" s="1"/>
  <c r="G49" i="15" s="1"/>
  <c r="I49" i="15" s="1"/>
  <c r="F18" i="13" l="1"/>
  <c r="F17" i="13"/>
  <c r="F16" i="13"/>
  <c r="D31" i="12"/>
  <c r="G47" i="12"/>
  <c r="F47" i="12"/>
  <c r="E47" i="12"/>
  <c r="D47" i="12"/>
  <c r="E97" i="7" l="1"/>
  <c r="G97" i="7" s="1"/>
  <c r="F97" i="7"/>
  <c r="G84" i="7"/>
  <c r="G71" i="7"/>
  <c r="G47" i="7"/>
  <c r="G34" i="7"/>
  <c r="F98" i="5" l="1"/>
  <c r="G98" i="5" s="1"/>
  <c r="E98" i="5"/>
  <c r="G85" i="5"/>
  <c r="G72" i="5"/>
  <c r="G47" i="5"/>
  <c r="G34" i="5"/>
  <c r="G31" i="6"/>
  <c r="F24" i="6"/>
  <c r="F25" i="6"/>
  <c r="F26" i="6"/>
  <c r="F27" i="6"/>
  <c r="F28" i="6"/>
  <c r="F29" i="6"/>
  <c r="F30" i="6"/>
  <c r="F31" i="6"/>
  <c r="F23" i="6"/>
  <c r="G33" i="3"/>
  <c r="E25" i="3"/>
  <c r="G14" i="2" l="1"/>
  <c r="G39" i="7" l="1"/>
  <c r="G40" i="7"/>
  <c r="G41" i="7"/>
  <c r="F96" i="7"/>
  <c r="E96" i="7"/>
  <c r="F95" i="7"/>
  <c r="E95" i="7"/>
  <c r="F94" i="7"/>
  <c r="E94" i="7"/>
  <c r="F93" i="7"/>
  <c r="E93" i="7"/>
  <c r="F92" i="7"/>
  <c r="E92" i="7"/>
  <c r="F91" i="7"/>
  <c r="E91" i="7"/>
  <c r="F90" i="7"/>
  <c r="E90" i="7"/>
  <c r="F89" i="7"/>
  <c r="E89" i="7"/>
  <c r="G83" i="7"/>
  <c r="G82" i="7"/>
  <c r="G81" i="7"/>
  <c r="G80" i="7"/>
  <c r="G79" i="7"/>
  <c r="G78" i="7"/>
  <c r="G77" i="7"/>
  <c r="G76" i="7"/>
  <c r="G70" i="7"/>
  <c r="G69" i="7"/>
  <c r="G68" i="7"/>
  <c r="G67" i="7"/>
  <c r="G66" i="7"/>
  <c r="G65" i="7"/>
  <c r="G64" i="7"/>
  <c r="G63" i="7"/>
  <c r="G46" i="7"/>
  <c r="G45" i="7"/>
  <c r="G44" i="7"/>
  <c r="G43" i="7"/>
  <c r="G42" i="7"/>
  <c r="G33" i="7"/>
  <c r="G32" i="7"/>
  <c r="G31" i="7"/>
  <c r="G30" i="7"/>
  <c r="G29" i="7"/>
  <c r="G28" i="7"/>
  <c r="G27" i="7"/>
  <c r="G26" i="7"/>
  <c r="G30" i="6"/>
  <c r="G29" i="6"/>
  <c r="G28" i="6"/>
  <c r="G27" i="6"/>
  <c r="G26" i="6"/>
  <c r="G25" i="6"/>
  <c r="G24" i="6"/>
  <c r="G23" i="6"/>
  <c r="F97" i="5"/>
  <c r="E97" i="5"/>
  <c r="F96" i="5"/>
  <c r="E96" i="5"/>
  <c r="F95" i="5"/>
  <c r="E95" i="5"/>
  <c r="F94" i="5"/>
  <c r="E94" i="5"/>
  <c r="F93" i="5"/>
  <c r="E93" i="5"/>
  <c r="F92" i="5"/>
  <c r="E92" i="5"/>
  <c r="F91" i="5"/>
  <c r="E91" i="5"/>
  <c r="F90" i="5"/>
  <c r="E90" i="5"/>
  <c r="G84" i="5"/>
  <c r="G83" i="5"/>
  <c r="G82" i="5"/>
  <c r="G81" i="5"/>
  <c r="G80" i="5"/>
  <c r="G79" i="5"/>
  <c r="G78" i="5"/>
  <c r="G77" i="5"/>
  <c r="G71" i="5"/>
  <c r="G70" i="5"/>
  <c r="G69" i="5"/>
  <c r="G68" i="5"/>
  <c r="G67" i="5"/>
  <c r="G66" i="5"/>
  <c r="G65" i="5"/>
  <c r="G64" i="5"/>
  <c r="G46" i="5"/>
  <c r="G45" i="5"/>
  <c r="G44" i="5"/>
  <c r="G43" i="5"/>
  <c r="G42" i="5"/>
  <c r="G41" i="5"/>
  <c r="G40" i="5"/>
  <c r="G39" i="5"/>
  <c r="G33" i="5"/>
  <c r="G32" i="5"/>
  <c r="G31" i="5"/>
  <c r="G30" i="5"/>
  <c r="G29" i="5"/>
  <c r="G28" i="5"/>
  <c r="G27" i="5"/>
  <c r="G26" i="5"/>
  <c r="G32" i="3"/>
  <c r="G31" i="3"/>
  <c r="G30" i="3"/>
  <c r="G29" i="3"/>
  <c r="G28" i="3"/>
  <c r="G27" i="3"/>
  <c r="G26" i="3"/>
  <c r="G25" i="3"/>
  <c r="G90" i="5" l="1"/>
  <c r="G91" i="7"/>
  <c r="G89" i="7"/>
  <c r="G90" i="7"/>
  <c r="G92" i="7"/>
  <c r="G94" i="7"/>
  <c r="G93" i="7"/>
  <c r="G95" i="7"/>
  <c r="G96" i="7"/>
  <c r="G97" i="5"/>
  <c r="G92" i="5"/>
  <c r="G94" i="5"/>
  <c r="G96" i="5"/>
  <c r="G95" i="5"/>
  <c r="G91" i="5"/>
  <c r="G93" i="5"/>
  <c r="F20" i="13" l="1"/>
  <c r="G31" i="12" l="1"/>
  <c r="F31" i="12"/>
  <c r="E31" i="12"/>
  <c r="H42" i="8" l="1"/>
  <c r="G42" i="8"/>
  <c r="F42" i="8"/>
  <c r="G18" i="2" l="1"/>
</calcChain>
</file>

<file path=xl/sharedStrings.xml><?xml version="1.0" encoding="utf-8"?>
<sst xmlns="http://schemas.openxmlformats.org/spreadsheetml/2006/main" count="462" uniqueCount="181">
  <si>
    <t>Item 1</t>
  </si>
  <si>
    <t>Case No. 2020-00085</t>
  </si>
  <si>
    <t>Commission Staff's Initial Request</t>
  </si>
  <si>
    <t xml:space="preserve">Provide the utility's current number of customers and the date used for that </t>
  </si>
  <si>
    <t>determination:</t>
  </si>
  <si>
    <t>Response:</t>
  </si>
  <si>
    <t>accounts per class:</t>
  </si>
  <si>
    <t>Residential</t>
  </si>
  <si>
    <t>Street Lighting</t>
  </si>
  <si>
    <t xml:space="preserve">  Total</t>
  </si>
  <si>
    <t>Item 2</t>
  </si>
  <si>
    <t>Item 3</t>
  </si>
  <si>
    <t>If a utility provides multiple services, such as both electric and gas</t>
  </si>
  <si>
    <t>those customers that receive combined service, provide each service separately if</t>
  </si>
  <si>
    <t>separately served or combined if billed on a combined basis.  Provide the average total</t>
  </si>
  <si>
    <t>bill for all customer for:</t>
  </si>
  <si>
    <t>b. 2018 as a year, not each month;</t>
  </si>
  <si>
    <t>a.   2017 as a year, not each month;</t>
  </si>
  <si>
    <t>b.  2018 as a year, not each month;</t>
  </si>
  <si>
    <t xml:space="preserve">c.   2019 as a year, not each month; and </t>
  </si>
  <si>
    <t>d.  Each month in 2020</t>
  </si>
  <si>
    <t>Period</t>
  </si>
  <si>
    <t>Total</t>
  </si>
  <si>
    <t>Billed</t>
  </si>
  <si>
    <t>Bills</t>
  </si>
  <si>
    <t>Average</t>
  </si>
  <si>
    <t>Bill</t>
  </si>
  <si>
    <t>Total bill is defined as including charges for current service and past service that</t>
  </si>
  <si>
    <t xml:space="preserve">is unpaid, including the accumulation of fees. </t>
  </si>
  <si>
    <t>Item 4</t>
  </si>
  <si>
    <t>bill for all customers in each class for:</t>
  </si>
  <si>
    <t>Commercial &lt; 1,000 kVA</t>
  </si>
  <si>
    <t>Commercial &gt; 1,000 kVA</t>
  </si>
  <si>
    <t>Item  5</t>
  </si>
  <si>
    <t>separately served or combined if billed on a combined basis.  Provide the average bill for</t>
  </si>
  <si>
    <t>current service for all customers for:</t>
  </si>
  <si>
    <t>Item 6</t>
  </si>
  <si>
    <t>current service for all customers in each class for:</t>
  </si>
  <si>
    <t>Item 7</t>
  </si>
  <si>
    <t>Explain how the utility calculates bad debt.</t>
  </si>
  <si>
    <t>a.   Explain the decision criteria governing when the utility writes off bad debt.</t>
  </si>
  <si>
    <t>b.  Provide the monthly bad debt write-offs for each month in 2018,</t>
  </si>
  <si>
    <t>2019, and 2020.</t>
  </si>
  <si>
    <t>c.   If the utility has changed its calculation or determination of bad debt</t>
  </si>
  <si>
    <t>in the past two years, explain its previous calculation or determination of bad debt and</t>
  </si>
  <si>
    <t>the reason for the change.</t>
  </si>
  <si>
    <t>Item 8</t>
  </si>
  <si>
    <t>Item 9</t>
  </si>
  <si>
    <t>Provide the percent of customers, by class, that pay on time for:</t>
  </si>
  <si>
    <t>a. 2017 as a year, not each month;</t>
  </si>
  <si>
    <t>c. 2019 as a year, not each month; and</t>
  </si>
  <si>
    <t>d. Each month in 2020</t>
  </si>
  <si>
    <t>Item 10</t>
  </si>
  <si>
    <t>Item 11</t>
  </si>
  <si>
    <t>a.  Each month in 2017;</t>
  </si>
  <si>
    <t>b.  Each month in 2018;</t>
  </si>
  <si>
    <t>c.  Each month in 2019;</t>
  </si>
  <si>
    <t>d.  Each month in 2020;</t>
  </si>
  <si>
    <t>Item 12</t>
  </si>
  <si>
    <t>Item 13</t>
  </si>
  <si>
    <t>Provide copies of all general communication provided to customers</t>
  </si>
  <si>
    <t>regarding arrearages, late payment, payment plans, etc. since March 16, 2020.</t>
  </si>
  <si>
    <t>Item 14</t>
  </si>
  <si>
    <t xml:space="preserve">Provide a detailed explanation and breakout of any cost increases and </t>
  </si>
  <si>
    <t>of the COVID-19 State of Emergency.</t>
  </si>
  <si>
    <t>decreased income (by customer class if applicable) the utility has experienced as a result</t>
  </si>
  <si>
    <t>Item 15</t>
  </si>
  <si>
    <t xml:space="preserve">Provide a detailed explanation and breakout of any cost decreases and </t>
  </si>
  <si>
    <t>increased income the utility has experienced as a result of the COVID-19 State of</t>
  </si>
  <si>
    <t>Emergency.</t>
  </si>
  <si>
    <t>Item 16</t>
  </si>
  <si>
    <t>Provide any additional information or data the utility believes the</t>
  </si>
  <si>
    <t>Commission should consider in amending or vacating its previous Orders in this matter.</t>
  </si>
  <si>
    <t>Item 17</t>
  </si>
  <si>
    <t>If applicable, provide any information or concerns regarding the utility's</t>
  </si>
  <si>
    <t>prepay program as it related to the Commission's previous Orders in this docket.</t>
  </si>
  <si>
    <t>Page 1 of 1</t>
  </si>
  <si>
    <t>b. The following table shows gross bad debt write-offs by month:</t>
  </si>
  <si>
    <t xml:space="preserve">January </t>
  </si>
  <si>
    <t>February</t>
  </si>
  <si>
    <t>March</t>
  </si>
  <si>
    <t>April</t>
  </si>
  <si>
    <t>May</t>
  </si>
  <si>
    <t>June</t>
  </si>
  <si>
    <t>July</t>
  </si>
  <si>
    <t>August</t>
  </si>
  <si>
    <t>September</t>
  </si>
  <si>
    <t>October</t>
  </si>
  <si>
    <t>November</t>
  </si>
  <si>
    <t>December</t>
  </si>
  <si>
    <t xml:space="preserve">the past two years. </t>
  </si>
  <si>
    <t>since March 16, 2020, absent the Commission's directive.</t>
  </si>
  <si>
    <t>May, 2020</t>
  </si>
  <si>
    <t>April, 2020</t>
  </si>
  <si>
    <t>Month</t>
  </si>
  <si>
    <t>Page 2 of 2</t>
  </si>
  <si>
    <t>Page 1 of 2</t>
  </si>
  <si>
    <t>follows:</t>
  </si>
  <si>
    <t>Specific Costs:</t>
  </si>
  <si>
    <t>unknown</t>
  </si>
  <si>
    <t>item 5</t>
  </si>
  <si>
    <t>Year</t>
  </si>
  <si>
    <t>Annually</t>
  </si>
  <si>
    <t>January</t>
  </si>
  <si>
    <t>b.</t>
  </si>
  <si>
    <t>c.</t>
  </si>
  <si>
    <t>Total service terminations</t>
  </si>
  <si>
    <t>Provide the total income received from late payment fees for:</t>
  </si>
  <si>
    <t xml:space="preserve">Increased potential write-offs </t>
  </si>
  <si>
    <t>Total service termination</t>
  </si>
  <si>
    <t>notices issued</t>
  </si>
  <si>
    <t xml:space="preserve">Provide the following information for January 1, 2015, until December 31, 2019. If a utility provides multiple services, such as both electric and gas residential service, provide the information requested for each service separately. </t>
  </si>
  <si>
    <t>For those customers that receive combined service, provide each service separately if separately served  or combined if billed on a combined basis.  Further, provide the following information by class.</t>
  </si>
  <si>
    <t>a. Provide monthly totals of service termination notices issued to customers only for nonpayment of bills.</t>
  </si>
  <si>
    <t>b. Provide monthly totals of service terminations for customers only for nonpayment of bills.</t>
  </si>
  <si>
    <t>This information should be provided so as not to duplicate customer counts. The Information requested in this request should be presented similarly to the residential-only information provided in Case No. 2019-00366. For</t>
  </si>
  <si>
    <t>reference, refer to Louisville Gas and Electric Company and Kentucky Utilities Company's response to Post-Formal Conference Request for Information filed with the Commission on March 6, 2020.</t>
  </si>
  <si>
    <t>a.</t>
  </si>
  <si>
    <t>Total number of customers</t>
  </si>
  <si>
    <t>residential service, provide the information requested for each service separately. For</t>
  </si>
  <si>
    <t xml:space="preserve">c. Provide the total number of customers per month. </t>
  </si>
  <si>
    <t>Quantify the amount of the late payment fees the utility would have assessed</t>
  </si>
  <si>
    <t>Customer-specific communication is excluded from this request.</t>
  </si>
  <si>
    <t>Street Lights</t>
  </si>
  <si>
    <t>PERCENT PAID ON TIME</t>
  </si>
  <si>
    <t>If applicable, provide the utility's current number of customers</t>
  </si>
  <si>
    <t>per class.</t>
  </si>
  <si>
    <t>2015 through 2019</t>
  </si>
  <si>
    <t>Assuming the Commission's moratorium on disconnections was not in effect, provide the</t>
  </si>
  <si>
    <t>number of customers in each class that would be subject to disconnection and the date used</t>
  </si>
  <si>
    <t xml:space="preserve">for this determination. </t>
  </si>
  <si>
    <t>For the month of June 2020, Shelby Energy billed 16,958 account.</t>
  </si>
  <si>
    <t>For the month of June 2020, Shelby Energy billed the following</t>
  </si>
  <si>
    <t>Shelby Energy provides only electricity services. The data requested is as follows:</t>
  </si>
  <si>
    <t>c. Shelby Energy has not changed its calculation or determination of bad debt in</t>
  </si>
  <si>
    <t>June, 2020</t>
  </si>
  <si>
    <t>Penalties</t>
  </si>
  <si>
    <t>Reconnect Fees</t>
  </si>
  <si>
    <t>Total through June, 2020</t>
  </si>
  <si>
    <t xml:space="preserve">Shelby Energy quantifies the amount of late fees which were not assessed as </t>
  </si>
  <si>
    <t xml:space="preserve">Travel has been curtailed that has resulted in less expense although the training opportunities provided for in this travel are not being fulfilled.  Shelby energy had already tightened down in the budget process to just those training and travel opportunities that were of the highest importance.  it is difficult to quantify the lost opportunity cost for the knowledge that may have been gained via the formal presentation and the interactions with other utility professionals.
The annual meeting was held virtually on June 25, 2020 at a total cost of $14,782.84.  this is $12,596.86 less than the annual meeting held in 2019 in the traditional manner.  Shelby has also held all board meetings since March via telephone call in.  
Shelby Energy Cooperative has seen no instances of increased income since the beginning of the pandemic.  </t>
  </si>
  <si>
    <t>Shelby Energy Cooperative Corporation</t>
  </si>
  <si>
    <t>Witness: Sergio T. Cole</t>
  </si>
  <si>
    <t>Of the approximately 900 prepaid accounts, there are 203 customers who have an overdue prepayment amount.  The total amount overdue as of July 17, 2020 is $46,226 with the largest single balance of $1,049 and on average the balance is $222.
Shelby’s major concern is that these members who were on prepaid due to prior struggles to keep up with their utility bill will get in a position they cannot work through and create a delinquency that will have to be absorbed by all members.</t>
  </si>
  <si>
    <t>DocuSign licensing</t>
  </si>
  <si>
    <t>Lost late fee income - thru June (See Item 12)</t>
  </si>
  <si>
    <t>Small Comm/Ind</t>
  </si>
  <si>
    <t>Large Comm/Ind</t>
  </si>
  <si>
    <t>Diff</t>
  </si>
  <si>
    <t>Revenue Lost</t>
  </si>
  <si>
    <t>Blended kWh rate</t>
  </si>
  <si>
    <t>Decreased Margin:</t>
  </si>
  <si>
    <t>Zoom Membership</t>
  </si>
  <si>
    <t>Webcams</t>
  </si>
  <si>
    <t>Badges in case of stay-at-home order</t>
  </si>
  <si>
    <t>Masks</t>
  </si>
  <si>
    <t>Sanitizer, soaps, and cleaning supplies</t>
  </si>
  <si>
    <t>Revenue Margin %</t>
  </si>
  <si>
    <t>**</t>
  </si>
  <si>
    <t>Decreased kWh sales thru June **</t>
  </si>
  <si>
    <t>AVG LATE NOTICES</t>
  </si>
  <si>
    <t>Member Accounts</t>
  </si>
  <si>
    <t xml:space="preserve">AT&amp;T FirstNet Phones Monthly Charges </t>
  </si>
  <si>
    <t>Verizon Phone Service</t>
  </si>
  <si>
    <t xml:space="preserve">Verizon Hot Spot Service </t>
  </si>
  <si>
    <t>Termination Notices and Terminations For Non-Payment</t>
  </si>
  <si>
    <t xml:space="preserve">Shelby's unpaid account balances are written off as bad debt if amounts due are not paid within 60 days of when the account becomes inactive. During this period the following collection activity occurs: 1. Final bill is sent. 2. First collection letter is sent 25 to 30 days after final bill. 3. Second collection letter is sent approximately 45 days after final bill. After 60 days, unpaid accounts are written off as uncollectible bad debt.  Any uncollectible bad debt is then turned over to our collection agency to attempt to collect. </t>
  </si>
  <si>
    <t>Shelby Energy provides only electricity services. We are unable to break down the disconnects by class, however, the data of total disconnects are as follows:</t>
  </si>
  <si>
    <t>Prepaid Accounts</t>
  </si>
  <si>
    <t xml:space="preserve">The following table provides a breakdown of members that pay on time.  We are unable to get the breakdown by class, but billed members are available for comparative purposes.  </t>
  </si>
  <si>
    <t xml:space="preserve">We are unable to retrieve this information by class.  However, we do not generally disconnect our small commercial/industrial, large commercial/industrial, or street light accounts.  </t>
  </si>
  <si>
    <t>The following table shows income from late fees and reconnect fees for Shelby Energy:</t>
  </si>
  <si>
    <t>Shelby Energy has communicated with its members through the use of our member invoices, office signage, social media account, website, and sections in the monthly magazine, Kentucky Living.  Documentation is attached</t>
  </si>
  <si>
    <t>Truck "Social Distancing" Signage</t>
  </si>
  <si>
    <t>Office/Lobby Closed Signage</t>
  </si>
  <si>
    <t xml:space="preserve">Shelby Energy is concerned with the long-term effects on both its membership and the financial health of the Cooperative itself.  The longer the prohibition of disconnections and other collection tools, the more dire the write-offs and bad debt expense both having an untenable effect on the individual members who are delinquent and the balance of the members who will all share in any losses derived.  Not knowing the time boundaries for the suspension, it is difficult to estimate the total negative impact on the margins and viability of Shelby Energy.  It is unknown but highly likely, there are some members who are aware of the situation and are using it to defer payment with no negative consequences to that member.  There is also a concern that those members legitimately seeing financial hardship at this time may be building a delinquent amount they may not be able to effectively manage moving forward.  At the same time this situation manifests itself, revenues are down due to the suspension of late fees and the slow down in the economy in general reducing demand from our Commercial and Industrial accounts. 
Shelby Energy would prefer to be aware of how long the current suspension of disconnections may last.  If we knew this timeline, we could better estimate the number of members involved, the magnitude of the issue, and the potential total effect on Shelby's financial performance.  It would also allow us to properly gear up to serve our members in the post suspension period and properly counsel our members on how to move forward effectively.  </t>
  </si>
  <si>
    <t>* Note: Blended rate based on YTD revenue over YTD kWh usage.  Revenue Margin percentage is based off YTD Percentage of Power Cost to Revenue.  Differences in residential usage may have multiple factors including weather related changes.  Commercial and Industrial usage is less weather dependent and show more of an impact to COVID-19 related loss.</t>
  </si>
  <si>
    <t>Although Shelby Energy has not specifically tracked COVID-19 related expenses, we can assume a portion of these expenses could be attributable to COVID-19.  Some may have been directly related, while others may have been normal expenses that have been expedited in response to COVID-19.</t>
  </si>
  <si>
    <t xml:space="preserve">Witness: Jack Bragg, Jr. </t>
  </si>
  <si>
    <t>Witness: Jack Bragg, Jr.</t>
  </si>
  <si>
    <t>Page 1 of  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</si>
</sst>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00"/>
    <numFmt numFmtId="168" formatCode="_(&quot;$&quot;* #,##0.00000_);_(&quot;$&quot;* \(#,##0.00000\);_(&quot;$&quot;* &quot;-&quot;??_);_(@_)"/>
  </numFmts>
  <fonts count="8" x14ac:knownFonts="1">
    <font>
      <sz val="11"/>
      <color theme="1"/>
      <name val="Calibri"/>
      <family val="2"/>
    </font>
    <font>
      <sz val="11"/>
      <color theme="1"/>
      <name val="Calibri"/>
      <family val="2"/>
      <scheme val="minor"/>
    </font>
    <font>
      <sz val="11"/>
      <color theme="1"/>
      <name val="Calibri"/>
      <family val="2"/>
    </font>
    <font>
      <b/>
      <sz val="11"/>
      <color theme="1"/>
      <name val="Calibri"/>
      <family val="2"/>
    </font>
    <font>
      <sz val="12"/>
      <color theme="1"/>
      <name val="Times New Roman"/>
      <family val="1"/>
    </font>
    <font>
      <u val="singleAccounting"/>
      <sz val="12"/>
      <color theme="1"/>
      <name val="Times New Roman"/>
      <family val="1"/>
    </font>
    <font>
      <sz val="11"/>
      <color rgb="FF000000"/>
      <name val="Calibri"/>
      <family val="2"/>
    </font>
    <font>
      <b/>
      <u/>
      <sz val="11"/>
      <color theme="1"/>
      <name val="Calibri"/>
      <family val="2"/>
    </font>
  </fonts>
  <fills count="2">
    <fill>
      <patternFill patternType="none"/>
    </fill>
    <fill>
      <patternFill patternType="gray125"/>
    </fill>
  </fills>
  <borders count="4">
    <border>
      <left/>
      <right/>
      <top/>
      <bottom/>
      <diagonal/>
    </border>
    <border>
      <left/>
      <right/>
      <top style="thin">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62">
    <xf numFmtId="0" fontId="0" fillId="0" borderId="0" xfId="0"/>
    <xf numFmtId="0" fontId="0" fillId="0" borderId="0" xfId="0" applyAlignment="1">
      <alignment horizontal="center"/>
    </xf>
    <xf numFmtId="0" fontId="3" fillId="0" borderId="0" xfId="0" applyFont="1" applyAlignment="1">
      <alignment horizontal="right" indent="1"/>
    </xf>
    <xf numFmtId="0" fontId="3" fillId="0" borderId="0" xfId="0" applyFont="1" applyAlignment="1">
      <alignment horizontal="center"/>
    </xf>
    <xf numFmtId="0" fontId="3" fillId="0" borderId="0" xfId="0" applyFont="1"/>
    <xf numFmtId="43" fontId="0" fillId="0" borderId="0" xfId="1" applyFont="1"/>
    <xf numFmtId="164" fontId="0" fillId="0" borderId="0" xfId="1" applyNumberFormat="1" applyFont="1"/>
    <xf numFmtId="164" fontId="0" fillId="0" borderId="1" xfId="1" applyNumberFormat="1" applyFont="1" applyBorder="1"/>
    <xf numFmtId="16" fontId="0" fillId="0" borderId="0" xfId="0" applyNumberFormat="1" applyAlignment="1">
      <alignment horizontal="center"/>
    </xf>
    <xf numFmtId="44" fontId="0" fillId="0" borderId="0" xfId="2" applyFont="1"/>
    <xf numFmtId="165" fontId="0" fillId="0" borderId="0" xfId="2" applyNumberFormat="1" applyFont="1"/>
    <xf numFmtId="164" fontId="0" fillId="0" borderId="0" xfId="0" applyNumberFormat="1"/>
    <xf numFmtId="43" fontId="0" fillId="0" borderId="0" xfId="0" applyNumberFormat="1"/>
    <xf numFmtId="165" fontId="0" fillId="0" borderId="1" xfId="0" applyNumberFormat="1" applyBorder="1"/>
    <xf numFmtId="43" fontId="0" fillId="0" borderId="0" xfId="1" applyNumberFormat="1" applyFont="1"/>
    <xf numFmtId="164" fontId="3" fillId="0" borderId="0" xfId="1" applyNumberFormat="1" applyFont="1" applyAlignment="1">
      <alignment horizontal="center"/>
    </xf>
    <xf numFmtId="165" fontId="0" fillId="0" borderId="1" xfId="2" applyNumberFormat="1" applyFont="1" applyBorder="1"/>
    <xf numFmtId="166" fontId="3" fillId="0" borderId="0" xfId="3" applyNumberFormat="1" applyFont="1" applyAlignment="1">
      <alignment horizontal="center"/>
    </xf>
    <xf numFmtId="164" fontId="0" fillId="0" borderId="0" xfId="1" applyNumberFormat="1" applyFont="1" applyAlignment="1">
      <alignment horizontal="right"/>
    </xf>
    <xf numFmtId="0" fontId="4" fillId="0" borderId="0" xfId="0" applyFont="1"/>
    <xf numFmtId="43" fontId="5" fillId="0" borderId="0" xfId="1" applyFont="1"/>
    <xf numFmtId="164" fontId="4" fillId="0" borderId="0" xfId="1" applyNumberFormat="1" applyFont="1"/>
    <xf numFmtId="0" fontId="4" fillId="0" borderId="0" xfId="0" applyFont="1" applyAlignment="1">
      <alignment vertical="top"/>
    </xf>
    <xf numFmtId="0" fontId="4" fillId="0" borderId="0" xfId="0" applyFont="1" applyAlignment="1">
      <alignment vertical="top" wrapText="1"/>
    </xf>
    <xf numFmtId="0" fontId="3" fillId="0" borderId="0" xfId="0" applyFont="1" applyAlignment="1">
      <alignment horizontal="center"/>
    </xf>
    <xf numFmtId="0" fontId="3" fillId="0" borderId="0" xfId="0" applyFont="1" applyAlignment="1">
      <alignment horizontal="center" wrapText="1"/>
    </xf>
    <xf numFmtId="17" fontId="3" fillId="0" borderId="0" xfId="0" applyNumberFormat="1" applyFont="1" applyAlignment="1">
      <alignment horizontal="center"/>
    </xf>
    <xf numFmtId="0" fontId="0" fillId="0" borderId="0" xfId="0" applyFill="1"/>
    <xf numFmtId="0" fontId="3" fillId="0" borderId="0" xfId="0" applyFont="1" applyAlignment="1">
      <alignment horizontal="center"/>
    </xf>
    <xf numFmtId="164" fontId="4" fillId="0" borderId="0" xfId="1" applyNumberFormat="1" applyFont="1" applyFill="1"/>
    <xf numFmtId="0" fontId="3"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43" fontId="5" fillId="0" borderId="0" xfId="1" applyFont="1" applyAlignment="1">
      <alignment horizontal="center"/>
    </xf>
    <xf numFmtId="164" fontId="0" fillId="0" borderId="0" xfId="1" applyNumberFormat="1" applyFont="1" applyFill="1"/>
    <xf numFmtId="164" fontId="0" fillId="0" borderId="2" xfId="1" applyNumberFormat="1" applyFont="1" applyBorder="1"/>
    <xf numFmtId="167" fontId="0" fillId="0" borderId="0" xfId="0" applyNumberFormat="1" applyBorder="1"/>
    <xf numFmtId="164" fontId="0" fillId="0" borderId="0" xfId="1" applyNumberFormat="1" applyFont="1" applyBorder="1"/>
    <xf numFmtId="0" fontId="0" fillId="0" borderId="0" xfId="0" applyBorder="1"/>
    <xf numFmtId="0" fontId="3" fillId="0" borderId="0" xfId="0" applyFont="1" applyBorder="1" applyAlignment="1">
      <alignment horizontal="center" wrapText="1"/>
    </xf>
    <xf numFmtId="0" fontId="0" fillId="0" borderId="2" xfId="0" applyBorder="1"/>
    <xf numFmtId="0" fontId="3" fillId="0" borderId="2" xfId="0" applyFont="1" applyBorder="1" applyAlignment="1">
      <alignment horizontal="center"/>
    </xf>
    <xf numFmtId="0" fontId="3" fillId="0" borderId="2" xfId="0" applyFont="1" applyBorder="1" applyAlignment="1">
      <alignment horizontal="center" wrapText="1"/>
    </xf>
    <xf numFmtId="0" fontId="0" fillId="0" borderId="2" xfId="0" applyBorder="1" applyAlignment="1">
      <alignment wrapText="1"/>
    </xf>
    <xf numFmtId="0" fontId="3" fillId="0" borderId="2" xfId="0" applyFont="1" applyBorder="1" applyAlignment="1">
      <alignment wrapText="1"/>
    </xf>
    <xf numFmtId="0" fontId="3" fillId="0" borderId="0" xfId="0" applyFont="1" applyAlignment="1"/>
    <xf numFmtId="0" fontId="3" fillId="0" borderId="0" xfId="0" applyFont="1" applyAlignment="1">
      <alignment wrapText="1"/>
    </xf>
    <xf numFmtId="164" fontId="3" fillId="0" borderId="0" xfId="1" applyNumberFormat="1" applyFont="1"/>
    <xf numFmtId="168" fontId="0" fillId="0" borderId="2" xfId="2" applyNumberFormat="1" applyFont="1" applyBorder="1"/>
    <xf numFmtId="165" fontId="0" fillId="0" borderId="2" xfId="2" applyNumberFormat="1" applyFont="1" applyBorder="1"/>
    <xf numFmtId="165" fontId="3" fillId="0" borderId="3" xfId="2" applyNumberFormat="1" applyFont="1" applyBorder="1"/>
    <xf numFmtId="165" fontId="3" fillId="0" borderId="0" xfId="2" applyNumberFormat="1" applyFont="1" applyBorder="1" applyAlignment="1">
      <alignment horizontal="right"/>
    </xf>
    <xf numFmtId="164" fontId="4" fillId="0" borderId="0" xfId="1" applyNumberFormat="1" applyFont="1" applyFill="1" applyAlignment="1">
      <alignment horizontal="right"/>
    </xf>
    <xf numFmtId="0" fontId="0" fillId="0" borderId="0" xfId="0" applyAlignment="1">
      <alignment vertical="top" wrapText="1"/>
    </xf>
    <xf numFmtId="164" fontId="3" fillId="0" borderId="1" xfId="0" applyNumberFormat="1" applyFont="1" applyBorder="1"/>
    <xf numFmtId="0" fontId="7" fillId="0" borderId="0" xfId="0" applyFont="1"/>
    <xf numFmtId="0" fontId="3" fillId="0" borderId="0" xfId="0" applyFont="1" applyAlignment="1">
      <alignment horizontal="center"/>
    </xf>
    <xf numFmtId="0" fontId="0" fillId="0" borderId="0" xfId="0" applyAlignment="1">
      <alignment horizontal="left" vertical="top" wrapText="1"/>
    </xf>
    <xf numFmtId="0" fontId="4" fillId="0" borderId="0" xfId="0" applyFont="1" applyAlignment="1">
      <alignment horizontal="center"/>
    </xf>
    <xf numFmtId="0" fontId="0" fillId="0" borderId="0" xfId="0"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xf>
  </cellXfs>
  <cellStyles count="8">
    <cellStyle name="Comma" xfId="1" builtinId="3"/>
    <cellStyle name="Comma 2" xfId="5" xr:uid="{C0F8C979-3D86-4B21-BFB2-A2D9C2E67314}"/>
    <cellStyle name="Currency" xfId="2" builtinId="4"/>
    <cellStyle name="Currency 2" xfId="6" xr:uid="{B1B01A07-04AC-41EF-B2C0-973234AAB5BF}"/>
    <cellStyle name="Normal" xfId="0" builtinId="0"/>
    <cellStyle name="Normal 2" xfId="4" xr:uid="{59F605FE-AA7A-4B3B-A846-6A4360DE5C02}"/>
    <cellStyle name="Normal 3 2" xfId="7" xr:uid="{4926AF9B-D51E-49C2-A82C-269A3746E85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73475-51AE-421C-80DC-6870656A9267}">
  <dimension ref="A1:H12"/>
  <sheetViews>
    <sheetView tabSelected="1" workbookViewId="0">
      <selection activeCell="C13" sqref="C13"/>
    </sheetView>
  </sheetViews>
  <sheetFormatPr defaultRowHeight="15" x14ac:dyDescent="0.25"/>
  <cols>
    <col min="1" max="1" width="6.7109375" customWidth="1"/>
    <col min="2" max="2" width="10.140625" customWidth="1"/>
    <col min="3" max="3" width="22.5703125" customWidth="1"/>
  </cols>
  <sheetData>
    <row r="1" spans="1:8" x14ac:dyDescent="0.25">
      <c r="H1" s="2" t="s">
        <v>0</v>
      </c>
    </row>
    <row r="2" spans="1:8" x14ac:dyDescent="0.25">
      <c r="H2" s="2" t="s">
        <v>76</v>
      </c>
    </row>
    <row r="3" spans="1:8" x14ac:dyDescent="0.25">
      <c r="H3" s="2" t="s">
        <v>142</v>
      </c>
    </row>
    <row r="5" spans="1:8" x14ac:dyDescent="0.25">
      <c r="A5" s="56" t="s">
        <v>141</v>
      </c>
      <c r="B5" s="56"/>
      <c r="C5" s="56"/>
      <c r="D5" s="56"/>
      <c r="E5" s="56"/>
      <c r="F5" s="56"/>
      <c r="G5" s="56"/>
      <c r="H5" s="56"/>
    </row>
    <row r="6" spans="1:8" x14ac:dyDescent="0.25">
      <c r="A6" s="56" t="s">
        <v>1</v>
      </c>
      <c r="B6" s="56"/>
      <c r="C6" s="56"/>
      <c r="D6" s="56"/>
      <c r="E6" s="56"/>
      <c r="F6" s="56"/>
      <c r="G6" s="56"/>
      <c r="H6" s="56"/>
    </row>
    <row r="7" spans="1:8" x14ac:dyDescent="0.25">
      <c r="A7" s="56" t="s">
        <v>2</v>
      </c>
      <c r="B7" s="56"/>
      <c r="C7" s="56"/>
      <c r="D7" s="56"/>
      <c r="E7" s="56"/>
      <c r="F7" s="56"/>
      <c r="G7" s="56"/>
      <c r="H7" s="56"/>
    </row>
    <row r="9" spans="1:8" x14ac:dyDescent="0.25">
      <c r="B9" s="3" t="s">
        <v>0</v>
      </c>
      <c r="C9" t="s">
        <v>3</v>
      </c>
    </row>
    <row r="10" spans="1:8" x14ac:dyDescent="0.25">
      <c r="C10" t="s">
        <v>4</v>
      </c>
    </row>
    <row r="12" spans="1:8" x14ac:dyDescent="0.25">
      <c r="B12" s="4" t="s">
        <v>5</v>
      </c>
      <c r="C12" t="s">
        <v>131</v>
      </c>
    </row>
  </sheetData>
  <mergeCells count="3">
    <mergeCell ref="A5:H5"/>
    <mergeCell ref="A6:H6"/>
    <mergeCell ref="A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2823F-41A8-45C3-A6A1-40D001B35B19}">
  <sheetPr>
    <pageSetUpPr fitToPage="1"/>
  </sheetPr>
  <dimension ref="A1:S45"/>
  <sheetViews>
    <sheetView zoomScale="90" zoomScaleNormal="90" workbookViewId="0">
      <selection activeCell="C12" sqref="C12:R31"/>
    </sheetView>
  </sheetViews>
  <sheetFormatPr defaultRowHeight="15" x14ac:dyDescent="0.25"/>
  <cols>
    <col min="1" max="1" width="6.7109375" customWidth="1"/>
    <col min="2" max="2" width="10.140625" customWidth="1"/>
    <col min="3" max="3" width="3" customWidth="1"/>
    <col min="4" max="4" width="24.28515625" customWidth="1"/>
    <col min="5" max="6" width="12.140625" customWidth="1"/>
    <col min="7" max="7" width="13" customWidth="1"/>
    <col min="8" max="8" width="12.7109375" customWidth="1"/>
    <col min="9" max="9" width="12.5703125" customWidth="1"/>
    <col min="10" max="10" width="12.7109375" customWidth="1"/>
    <col min="11" max="11" width="13.28515625" customWidth="1"/>
    <col min="12" max="12" width="12" customWidth="1"/>
    <col min="13" max="13" width="12.140625" customWidth="1"/>
    <col min="14" max="16" width="13" customWidth="1"/>
    <col min="17" max="17" width="13.85546875" customWidth="1"/>
    <col min="18" max="18" width="13.7109375" customWidth="1"/>
  </cols>
  <sheetData>
    <row r="1" spans="1:18" x14ac:dyDescent="0.25">
      <c r="R1" s="2" t="s">
        <v>52</v>
      </c>
    </row>
    <row r="2" spans="1:18" x14ac:dyDescent="0.25">
      <c r="R2" s="2" t="s">
        <v>76</v>
      </c>
    </row>
    <row r="3" spans="1:18" x14ac:dyDescent="0.25">
      <c r="R3" s="2" t="s">
        <v>142</v>
      </c>
    </row>
    <row r="5" spans="1:18" x14ac:dyDescent="0.25">
      <c r="A5" s="56" t="s">
        <v>141</v>
      </c>
      <c r="B5" s="56"/>
      <c r="C5" s="56"/>
      <c r="D5" s="56"/>
      <c r="E5" s="56"/>
      <c r="F5" s="56"/>
      <c r="G5" s="56"/>
      <c r="H5" s="56"/>
      <c r="I5" s="56"/>
      <c r="J5" s="56"/>
      <c r="K5" s="56"/>
      <c r="L5" s="56"/>
      <c r="M5" s="56"/>
      <c r="N5" s="56"/>
      <c r="O5" s="56"/>
      <c r="P5" s="56"/>
      <c r="Q5" s="56"/>
      <c r="R5" s="56"/>
    </row>
    <row r="6" spans="1:18" x14ac:dyDescent="0.25">
      <c r="A6" s="56" t="s">
        <v>1</v>
      </c>
      <c r="B6" s="56"/>
      <c r="C6" s="56"/>
      <c r="D6" s="56"/>
      <c r="E6" s="56"/>
      <c r="F6" s="56"/>
      <c r="G6" s="56"/>
      <c r="H6" s="56"/>
      <c r="I6" s="56"/>
      <c r="J6" s="56"/>
      <c r="K6" s="56"/>
      <c r="L6" s="56"/>
      <c r="M6" s="56"/>
      <c r="N6" s="56"/>
      <c r="O6" s="56"/>
      <c r="P6" s="56"/>
      <c r="Q6" s="56"/>
      <c r="R6" s="56"/>
    </row>
    <row r="7" spans="1:18" x14ac:dyDescent="0.25">
      <c r="A7" s="56" t="s">
        <v>2</v>
      </c>
      <c r="B7" s="56"/>
      <c r="C7" s="56"/>
      <c r="D7" s="56"/>
      <c r="E7" s="56"/>
      <c r="F7" s="56"/>
      <c r="G7" s="56"/>
      <c r="H7" s="56"/>
      <c r="I7" s="56"/>
      <c r="J7" s="56"/>
      <c r="K7" s="56"/>
      <c r="L7" s="56"/>
      <c r="M7" s="56"/>
      <c r="N7" s="56"/>
      <c r="O7" s="56"/>
      <c r="P7" s="56"/>
      <c r="Q7" s="56"/>
      <c r="R7" s="56"/>
    </row>
    <row r="9" spans="1:18" x14ac:dyDescent="0.25">
      <c r="B9" s="31" t="s">
        <v>52</v>
      </c>
      <c r="C9" t="s">
        <v>111</v>
      </c>
    </row>
    <row r="10" spans="1:18" x14ac:dyDescent="0.25">
      <c r="C10" t="s">
        <v>112</v>
      </c>
    </row>
    <row r="11" spans="1:18" x14ac:dyDescent="0.25">
      <c r="D11" t="s">
        <v>113</v>
      </c>
    </row>
    <row r="12" spans="1:18" x14ac:dyDescent="0.25">
      <c r="D12" t="s">
        <v>114</v>
      </c>
    </row>
    <row r="13" spans="1:18" x14ac:dyDescent="0.25">
      <c r="D13" t="s">
        <v>120</v>
      </c>
    </row>
    <row r="14" spans="1:18" x14ac:dyDescent="0.25">
      <c r="C14" t="s">
        <v>115</v>
      </c>
    </row>
    <row r="15" spans="1:18" x14ac:dyDescent="0.25">
      <c r="C15" t="s">
        <v>116</v>
      </c>
    </row>
    <row r="17" spans="2:18" x14ac:dyDescent="0.25">
      <c r="B17" s="4" t="s">
        <v>5</v>
      </c>
      <c r="D17" t="s">
        <v>170</v>
      </c>
    </row>
    <row r="20" spans="2:18" ht="15.75" x14ac:dyDescent="0.25">
      <c r="C20" s="58" t="s">
        <v>165</v>
      </c>
      <c r="D20" s="58"/>
      <c r="E20" s="58"/>
      <c r="F20" s="58"/>
      <c r="G20" s="58"/>
      <c r="H20" s="58"/>
      <c r="I20" s="58"/>
      <c r="J20" s="58"/>
      <c r="K20" s="58"/>
      <c r="L20" s="58"/>
      <c r="M20" s="58"/>
      <c r="N20" s="58"/>
      <c r="O20" s="58"/>
      <c r="P20" s="58"/>
      <c r="Q20" s="58"/>
      <c r="R20" s="58"/>
    </row>
    <row r="21" spans="2:18" ht="15.75" x14ac:dyDescent="0.25">
      <c r="C21" s="58" t="s">
        <v>127</v>
      </c>
      <c r="D21" s="58"/>
      <c r="E21" s="58"/>
      <c r="F21" s="58"/>
      <c r="G21" s="58"/>
      <c r="H21" s="58"/>
      <c r="I21" s="58"/>
      <c r="J21" s="58"/>
      <c r="K21" s="58"/>
      <c r="L21" s="58"/>
      <c r="M21" s="58"/>
      <c r="N21" s="58"/>
      <c r="O21" s="58"/>
      <c r="P21" s="58"/>
      <c r="Q21" s="58"/>
      <c r="R21" s="58"/>
    </row>
    <row r="22" spans="2:18" ht="15.75" x14ac:dyDescent="0.25">
      <c r="C22" s="19"/>
      <c r="D22" s="19"/>
      <c r="E22" s="32"/>
      <c r="F22" s="19"/>
      <c r="G22" s="19"/>
      <c r="H22" s="19"/>
      <c r="I22" s="19"/>
      <c r="J22" s="19"/>
      <c r="K22" s="19"/>
      <c r="L22" s="19"/>
      <c r="M22" s="19"/>
      <c r="N22" s="19"/>
      <c r="O22" s="19"/>
      <c r="P22" s="19"/>
      <c r="Q22" s="19"/>
      <c r="R22" s="19"/>
    </row>
    <row r="23" spans="2:18" ht="18" x14ac:dyDescent="0.4">
      <c r="C23" s="19"/>
      <c r="D23" s="19"/>
      <c r="E23" s="33" t="s">
        <v>101</v>
      </c>
      <c r="F23" s="20" t="s">
        <v>102</v>
      </c>
      <c r="G23" s="20" t="s">
        <v>103</v>
      </c>
      <c r="H23" s="20" t="s">
        <v>79</v>
      </c>
      <c r="I23" s="20" t="s">
        <v>80</v>
      </c>
      <c r="J23" s="20" t="s">
        <v>81</v>
      </c>
      <c r="K23" s="20" t="s">
        <v>82</v>
      </c>
      <c r="L23" s="20" t="s">
        <v>83</v>
      </c>
      <c r="M23" s="20" t="s">
        <v>84</v>
      </c>
      <c r="N23" s="20" t="s">
        <v>85</v>
      </c>
      <c r="O23" s="20" t="s">
        <v>86</v>
      </c>
      <c r="P23" s="20" t="s">
        <v>87</v>
      </c>
      <c r="Q23" s="20" t="s">
        <v>88</v>
      </c>
      <c r="R23" s="20" t="s">
        <v>89</v>
      </c>
    </row>
    <row r="24" spans="2:18" ht="15.75" x14ac:dyDescent="0.25">
      <c r="C24" s="19" t="s">
        <v>117</v>
      </c>
      <c r="D24" s="19" t="s">
        <v>109</v>
      </c>
      <c r="E24" s="32">
        <v>2015</v>
      </c>
      <c r="F24" s="21">
        <f t="shared" ref="F24:F26" si="0">SUM(G24:R24)</f>
        <v>28951</v>
      </c>
      <c r="G24" s="52">
        <v>2572</v>
      </c>
      <c r="H24" s="52">
        <v>2423</v>
      </c>
      <c r="I24" s="52">
        <v>2688</v>
      </c>
      <c r="J24" s="52">
        <v>2390</v>
      </c>
      <c r="K24" s="52">
        <v>2302</v>
      </c>
      <c r="L24" s="52">
        <v>2244</v>
      </c>
      <c r="M24" s="52">
        <v>2486</v>
      </c>
      <c r="N24" s="52">
        <v>2314</v>
      </c>
      <c r="O24" s="52">
        <v>2413</v>
      </c>
      <c r="P24" s="52">
        <v>2425</v>
      </c>
      <c r="Q24" s="52">
        <v>2273</v>
      </c>
      <c r="R24" s="52">
        <v>2421</v>
      </c>
    </row>
    <row r="25" spans="2:18" ht="15.75" x14ac:dyDescent="0.25">
      <c r="C25" s="19"/>
      <c r="D25" s="19" t="s">
        <v>110</v>
      </c>
      <c r="E25" s="32">
        <v>2016</v>
      </c>
      <c r="F25" s="21">
        <f t="shared" si="0"/>
        <v>27023</v>
      </c>
      <c r="G25" s="52">
        <v>2273</v>
      </c>
      <c r="H25" s="52">
        <v>2267</v>
      </c>
      <c r="I25" s="52">
        <v>2369</v>
      </c>
      <c r="J25" s="52">
        <v>2107</v>
      </c>
      <c r="K25" s="52">
        <v>2265</v>
      </c>
      <c r="L25" s="52">
        <v>2210</v>
      </c>
      <c r="M25" s="52">
        <v>2349</v>
      </c>
      <c r="N25" s="52">
        <v>2273</v>
      </c>
      <c r="O25" s="52">
        <v>2267</v>
      </c>
      <c r="P25" s="52">
        <v>2278</v>
      </c>
      <c r="Q25" s="52">
        <v>2166</v>
      </c>
      <c r="R25" s="52">
        <v>2199</v>
      </c>
    </row>
    <row r="26" spans="2:18" ht="15.75" x14ac:dyDescent="0.25">
      <c r="C26" s="19"/>
      <c r="D26" s="19"/>
      <c r="E26" s="32">
        <v>2017</v>
      </c>
      <c r="F26" s="21">
        <f t="shared" si="0"/>
        <v>27079</v>
      </c>
      <c r="G26" s="52">
        <v>2186</v>
      </c>
      <c r="H26" s="52">
        <v>2116</v>
      </c>
      <c r="I26" s="52">
        <v>2358</v>
      </c>
      <c r="J26" s="52">
        <v>2146</v>
      </c>
      <c r="K26" s="52">
        <v>2279</v>
      </c>
      <c r="L26" s="52">
        <v>2112</v>
      </c>
      <c r="M26" s="52">
        <v>2186</v>
      </c>
      <c r="N26" s="52">
        <v>2375</v>
      </c>
      <c r="O26" s="52">
        <v>2297</v>
      </c>
      <c r="P26" s="52">
        <v>2464</v>
      </c>
      <c r="Q26" s="29">
        <v>2281</v>
      </c>
      <c r="R26" s="29">
        <v>2279</v>
      </c>
    </row>
    <row r="27" spans="2:18" ht="15.75" x14ac:dyDescent="0.25">
      <c r="C27" s="19"/>
      <c r="D27" s="19"/>
      <c r="E27" s="32">
        <v>2018</v>
      </c>
      <c r="F27" s="21">
        <f>SUM(G27:R27)</f>
        <v>27328</v>
      </c>
      <c r="G27" s="29">
        <v>2441</v>
      </c>
      <c r="H27" s="29">
        <v>2217</v>
      </c>
      <c r="I27" s="29">
        <v>2984</v>
      </c>
      <c r="J27" s="29">
        <v>2107</v>
      </c>
      <c r="K27" s="29">
        <v>2307</v>
      </c>
      <c r="L27" s="29">
        <v>2170</v>
      </c>
      <c r="M27" s="29">
        <v>2234</v>
      </c>
      <c r="N27" s="29">
        <v>2185</v>
      </c>
      <c r="O27" s="29">
        <v>2023</v>
      </c>
      <c r="P27" s="29">
        <v>2382</v>
      </c>
      <c r="Q27" s="29">
        <v>2162</v>
      </c>
      <c r="R27" s="29">
        <v>2116</v>
      </c>
    </row>
    <row r="28" spans="2:18" ht="15.75" x14ac:dyDescent="0.25">
      <c r="C28" s="19"/>
      <c r="D28" s="19"/>
      <c r="E28" s="32">
        <v>2019</v>
      </c>
      <c r="F28" s="21">
        <f>SUM(G28:R28)</f>
        <v>24781</v>
      </c>
      <c r="G28" s="29">
        <v>2120</v>
      </c>
      <c r="H28" s="29">
        <v>1934</v>
      </c>
      <c r="I28" s="29">
        <v>2130</v>
      </c>
      <c r="J28" s="29">
        <v>2098</v>
      </c>
      <c r="K28" s="29">
        <v>2093</v>
      </c>
      <c r="L28" s="29">
        <v>1964</v>
      </c>
      <c r="M28" s="29">
        <v>2219</v>
      </c>
      <c r="N28" s="29">
        <v>2060</v>
      </c>
      <c r="O28" s="29">
        <v>2079</v>
      </c>
      <c r="P28" s="29">
        <v>2136</v>
      </c>
      <c r="Q28" s="29">
        <v>1950</v>
      </c>
      <c r="R28" s="29">
        <v>1998</v>
      </c>
    </row>
    <row r="29" spans="2:18" ht="15.75" x14ac:dyDescent="0.25">
      <c r="C29" s="19"/>
      <c r="D29" s="19"/>
      <c r="E29" s="32"/>
      <c r="F29" s="21"/>
      <c r="G29" s="21"/>
      <c r="H29" s="21"/>
      <c r="I29" s="21"/>
      <c r="J29" s="21"/>
      <c r="K29" s="21"/>
      <c r="L29" s="21"/>
      <c r="M29" s="21"/>
      <c r="N29" s="21"/>
      <c r="O29" s="21"/>
      <c r="P29" s="21"/>
      <c r="Q29" s="21"/>
      <c r="R29" s="21"/>
    </row>
    <row r="30" spans="2:18" ht="15.75" x14ac:dyDescent="0.25">
      <c r="C30" s="19" t="s">
        <v>104</v>
      </c>
      <c r="D30" s="19" t="s">
        <v>106</v>
      </c>
      <c r="E30" s="32">
        <v>2015</v>
      </c>
      <c r="F30" s="21">
        <f t="shared" ref="F30:F34" si="1">SUM(G30:R30)</f>
        <v>811</v>
      </c>
      <c r="G30" s="52">
        <v>53</v>
      </c>
      <c r="H30" s="52">
        <v>0</v>
      </c>
      <c r="I30" s="52">
        <v>157</v>
      </c>
      <c r="J30" s="52">
        <v>89</v>
      </c>
      <c r="K30" s="52">
        <v>91</v>
      </c>
      <c r="L30" s="52">
        <v>64</v>
      </c>
      <c r="M30" s="52">
        <v>47</v>
      </c>
      <c r="N30" s="52">
        <v>77</v>
      </c>
      <c r="O30" s="52">
        <v>71</v>
      </c>
      <c r="P30" s="52">
        <v>45</v>
      </c>
      <c r="Q30" s="52">
        <v>61</v>
      </c>
      <c r="R30" s="52">
        <v>56</v>
      </c>
    </row>
    <row r="31" spans="2:18" ht="15.75" x14ac:dyDescent="0.25">
      <c r="C31" s="19"/>
      <c r="D31" s="19"/>
      <c r="E31" s="32">
        <v>2016</v>
      </c>
      <c r="F31" s="21">
        <f t="shared" si="1"/>
        <v>641</v>
      </c>
      <c r="G31" s="52">
        <v>19</v>
      </c>
      <c r="H31" s="52">
        <v>83</v>
      </c>
      <c r="I31" s="52">
        <v>70</v>
      </c>
      <c r="J31" s="52">
        <v>72</v>
      </c>
      <c r="K31" s="52">
        <v>58</v>
      </c>
      <c r="L31" s="52">
        <v>63</v>
      </c>
      <c r="M31" s="52">
        <v>33</v>
      </c>
      <c r="N31" s="52">
        <v>60</v>
      </c>
      <c r="O31" s="52">
        <v>37</v>
      </c>
      <c r="P31" s="52">
        <v>64</v>
      </c>
      <c r="Q31" s="52">
        <v>50</v>
      </c>
      <c r="R31" s="52">
        <v>32</v>
      </c>
    </row>
    <row r="32" spans="2:18" ht="15.75" x14ac:dyDescent="0.25">
      <c r="C32" s="19"/>
      <c r="D32" s="19"/>
      <c r="E32" s="32">
        <v>2017</v>
      </c>
      <c r="F32" s="21">
        <f t="shared" si="1"/>
        <v>642</v>
      </c>
      <c r="G32" s="52">
        <v>0</v>
      </c>
      <c r="H32" s="52">
        <v>0</v>
      </c>
      <c r="I32" s="52">
        <v>55</v>
      </c>
      <c r="J32" s="52">
        <v>80</v>
      </c>
      <c r="K32" s="52">
        <v>89</v>
      </c>
      <c r="L32" s="52">
        <v>34</v>
      </c>
      <c r="M32" s="52">
        <v>41</v>
      </c>
      <c r="N32" s="52">
        <v>89</v>
      </c>
      <c r="O32" s="52">
        <v>67</v>
      </c>
      <c r="P32" s="52">
        <v>100</v>
      </c>
      <c r="Q32" s="52">
        <v>51</v>
      </c>
      <c r="R32" s="52">
        <v>36</v>
      </c>
    </row>
    <row r="33" spans="3:19" ht="15.75" x14ac:dyDescent="0.25">
      <c r="C33" s="19"/>
      <c r="D33" s="19"/>
      <c r="E33" s="32">
        <v>2018</v>
      </c>
      <c r="F33" s="21">
        <f t="shared" si="1"/>
        <v>934</v>
      </c>
      <c r="G33" s="52">
        <v>83</v>
      </c>
      <c r="H33" s="52">
        <v>61</v>
      </c>
      <c r="I33" s="52">
        <v>112</v>
      </c>
      <c r="J33" s="52">
        <v>100</v>
      </c>
      <c r="K33" s="52">
        <v>118</v>
      </c>
      <c r="L33" s="52">
        <v>45</v>
      </c>
      <c r="M33" s="52">
        <v>80</v>
      </c>
      <c r="N33" s="52">
        <v>67</v>
      </c>
      <c r="O33" s="52">
        <v>77</v>
      </c>
      <c r="P33" s="52">
        <v>106</v>
      </c>
      <c r="Q33" s="52">
        <v>43</v>
      </c>
      <c r="R33" s="52">
        <v>42</v>
      </c>
    </row>
    <row r="34" spans="3:19" ht="15.75" x14ac:dyDescent="0.25">
      <c r="C34" s="19"/>
      <c r="D34" s="19"/>
      <c r="E34" s="32">
        <v>2019</v>
      </c>
      <c r="F34" s="21">
        <f t="shared" si="1"/>
        <v>725</v>
      </c>
      <c r="G34" s="52">
        <v>48</v>
      </c>
      <c r="H34" s="52">
        <v>50</v>
      </c>
      <c r="I34" s="52">
        <v>67</v>
      </c>
      <c r="J34" s="52">
        <v>77</v>
      </c>
      <c r="K34" s="52">
        <v>94</v>
      </c>
      <c r="L34" s="52">
        <v>44</v>
      </c>
      <c r="M34" s="52">
        <v>79</v>
      </c>
      <c r="N34" s="52">
        <v>66</v>
      </c>
      <c r="O34" s="52">
        <v>69</v>
      </c>
      <c r="P34" s="52">
        <v>62</v>
      </c>
      <c r="Q34" s="52">
        <v>40</v>
      </c>
      <c r="R34" s="52">
        <v>29</v>
      </c>
    </row>
    <row r="35" spans="3:19" ht="15.75" x14ac:dyDescent="0.25">
      <c r="C35" s="19"/>
      <c r="D35" s="19"/>
      <c r="E35" s="32"/>
      <c r="F35" s="21"/>
      <c r="G35" s="21"/>
      <c r="H35" s="21"/>
      <c r="I35" s="21"/>
      <c r="J35" s="21"/>
      <c r="K35" s="21"/>
      <c r="L35" s="21"/>
      <c r="M35" s="21"/>
      <c r="N35" s="21"/>
      <c r="O35" s="21"/>
      <c r="P35" s="21"/>
      <c r="Q35" s="21"/>
      <c r="R35" s="21"/>
    </row>
    <row r="37" spans="3:19" ht="31.5" x14ac:dyDescent="0.25">
      <c r="C37" s="22" t="s">
        <v>105</v>
      </c>
      <c r="D37" s="23" t="s">
        <v>118</v>
      </c>
      <c r="E37" s="32">
        <v>2015</v>
      </c>
      <c r="F37" s="21">
        <f t="shared" ref="F37:F41" si="2">(+G37+R37)/2</f>
        <v>15260.5</v>
      </c>
      <c r="G37" s="21">
        <v>15203</v>
      </c>
      <c r="H37" s="21">
        <v>15205</v>
      </c>
      <c r="I37" s="21">
        <v>15215</v>
      </c>
      <c r="J37" s="21">
        <v>15228</v>
      </c>
      <c r="K37" s="21">
        <v>15295</v>
      </c>
      <c r="L37" s="21">
        <v>15342</v>
      </c>
      <c r="M37" s="21">
        <v>15349</v>
      </c>
      <c r="N37" s="21">
        <v>15839</v>
      </c>
      <c r="O37" s="21">
        <v>15398</v>
      </c>
      <c r="P37" s="21">
        <v>15308</v>
      </c>
      <c r="Q37" s="21">
        <v>15301</v>
      </c>
      <c r="R37" s="21">
        <v>15318</v>
      </c>
    </row>
    <row r="38" spans="3:19" ht="15.75" x14ac:dyDescent="0.25">
      <c r="C38" s="19"/>
      <c r="D38" s="19"/>
      <c r="E38" s="32">
        <v>2016</v>
      </c>
      <c r="F38" s="21">
        <f t="shared" si="2"/>
        <v>15385</v>
      </c>
      <c r="G38" s="21">
        <v>15325</v>
      </c>
      <c r="H38" s="21">
        <v>15320</v>
      </c>
      <c r="I38" s="21">
        <v>15301</v>
      </c>
      <c r="J38" s="21">
        <v>15368</v>
      </c>
      <c r="K38" s="21">
        <v>15390</v>
      </c>
      <c r="L38" s="21">
        <v>15451</v>
      </c>
      <c r="M38" s="21">
        <v>15440</v>
      </c>
      <c r="N38" s="21">
        <v>15459</v>
      </c>
      <c r="O38" s="21">
        <v>15469</v>
      </c>
      <c r="P38" s="21">
        <v>15417</v>
      </c>
      <c r="Q38" s="21">
        <v>15410</v>
      </c>
      <c r="R38" s="21">
        <v>15445</v>
      </c>
    </row>
    <row r="39" spans="3:19" ht="15.75" x14ac:dyDescent="0.25">
      <c r="C39" s="19"/>
      <c r="D39" s="19"/>
      <c r="E39" s="32">
        <v>2017</v>
      </c>
      <c r="F39" s="21">
        <f t="shared" si="2"/>
        <v>15551</v>
      </c>
      <c r="G39" s="21">
        <f>15370+80</f>
        <v>15450</v>
      </c>
      <c r="H39" s="21">
        <f>15379+84</f>
        <v>15463</v>
      </c>
      <c r="I39" s="21">
        <f>15380+87</f>
        <v>15467</v>
      </c>
      <c r="J39" s="21">
        <f>15380+127</f>
        <v>15507</v>
      </c>
      <c r="K39" s="21">
        <f>15424+183</f>
        <v>15607</v>
      </c>
      <c r="L39" s="21">
        <f>15435+192</f>
        <v>15627</v>
      </c>
      <c r="M39" s="21">
        <f>15454+199</f>
        <v>15653</v>
      </c>
      <c r="N39" s="21">
        <f>15458+202</f>
        <v>15660</v>
      </c>
      <c r="O39" s="21">
        <f>15491+198</f>
        <v>15689</v>
      </c>
      <c r="P39" s="21">
        <f>15514+136</f>
        <v>15650</v>
      </c>
      <c r="Q39" s="21">
        <f>15520+106</f>
        <v>15626</v>
      </c>
      <c r="R39" s="21">
        <f>15554+98</f>
        <v>15652</v>
      </c>
    </row>
    <row r="40" spans="3:19" ht="15.75" x14ac:dyDescent="0.25">
      <c r="C40" s="19"/>
      <c r="D40" s="19"/>
      <c r="E40" s="32">
        <v>2018</v>
      </c>
      <c r="F40" s="21">
        <f t="shared" si="2"/>
        <v>15827</v>
      </c>
      <c r="G40" s="21">
        <f>15554+96</f>
        <v>15650</v>
      </c>
      <c r="H40" s="21">
        <f>15587+97</f>
        <v>15684</v>
      </c>
      <c r="I40" s="21">
        <f>15597+94</f>
        <v>15691</v>
      </c>
      <c r="J40" s="21">
        <f>15612+116</f>
        <v>15728</v>
      </c>
      <c r="K40" s="21">
        <f>15699+197</f>
        <v>15896</v>
      </c>
      <c r="L40" s="21">
        <f>15710+200</f>
        <v>15910</v>
      </c>
      <c r="M40" s="21">
        <f>15706+205</f>
        <v>15911</v>
      </c>
      <c r="N40" s="21">
        <f>15776+205</f>
        <v>15981</v>
      </c>
      <c r="O40" s="21">
        <f>15782+178</f>
        <v>15960</v>
      </c>
      <c r="P40" s="21">
        <f>15825+126</f>
        <v>15951</v>
      </c>
      <c r="Q40" s="21">
        <f>15857+112</f>
        <v>15969</v>
      </c>
      <c r="R40" s="21">
        <f>15906+98</f>
        <v>16004</v>
      </c>
      <c r="S40" s="34"/>
    </row>
    <row r="41" spans="3:19" ht="15.75" x14ac:dyDescent="0.25">
      <c r="C41" s="19"/>
      <c r="D41" s="19"/>
      <c r="E41" s="32">
        <v>2019</v>
      </c>
      <c r="F41" s="21">
        <f t="shared" si="2"/>
        <v>16085.5</v>
      </c>
      <c r="G41" s="21">
        <f>15917+96</f>
        <v>16013</v>
      </c>
      <c r="H41" s="21">
        <f>15928+95</f>
        <v>16023</v>
      </c>
      <c r="I41" s="21">
        <f>15928+92</f>
        <v>16020</v>
      </c>
      <c r="J41" s="21">
        <f>15922+140</f>
        <v>16062</v>
      </c>
      <c r="K41" s="21">
        <f>15934+194</f>
        <v>16128</v>
      </c>
      <c r="L41" s="21">
        <f>15960+201</f>
        <v>16161</v>
      </c>
      <c r="M41" s="21">
        <f>15966+207</f>
        <v>16173</v>
      </c>
      <c r="N41" s="21">
        <f>15979+210</f>
        <v>16189</v>
      </c>
      <c r="O41" s="21">
        <f>15992+207</f>
        <v>16199</v>
      </c>
      <c r="P41" s="21">
        <f>16010+139</f>
        <v>16149</v>
      </c>
      <c r="Q41" s="21">
        <f>16014+114</f>
        <v>16128</v>
      </c>
      <c r="R41" s="21">
        <f>16057+101</f>
        <v>16158</v>
      </c>
    </row>
    <row r="42" spans="3:19" ht="15.75" x14ac:dyDescent="0.25">
      <c r="C42" s="19"/>
      <c r="D42" s="19"/>
      <c r="E42" s="32"/>
      <c r="F42" s="21"/>
      <c r="G42" s="21"/>
      <c r="H42" s="21"/>
      <c r="I42" s="21"/>
      <c r="J42" s="21"/>
      <c r="K42" s="21"/>
      <c r="L42" s="21"/>
      <c r="M42" s="21"/>
      <c r="N42" s="21"/>
      <c r="O42" s="21"/>
      <c r="P42" s="21"/>
      <c r="Q42" s="21"/>
      <c r="R42" s="21"/>
    </row>
    <row r="43" spans="3:19" ht="15.75" x14ac:dyDescent="0.25">
      <c r="C43" s="19"/>
      <c r="D43" s="19"/>
      <c r="E43" s="32"/>
      <c r="F43" s="21"/>
      <c r="G43" s="21"/>
      <c r="H43" s="21"/>
      <c r="I43" s="21"/>
      <c r="J43" s="21"/>
      <c r="K43" s="21"/>
      <c r="L43" s="21"/>
      <c r="M43" s="21"/>
      <c r="N43" s="21"/>
      <c r="O43" s="21"/>
      <c r="P43" s="21"/>
      <c r="Q43" s="21"/>
      <c r="R43" s="21"/>
    </row>
    <row r="44" spans="3:19" ht="15.75" x14ac:dyDescent="0.25">
      <c r="C44" s="19"/>
      <c r="D44" s="19"/>
      <c r="E44" s="32"/>
      <c r="F44" s="21"/>
      <c r="G44" s="21"/>
      <c r="H44" s="21"/>
      <c r="I44" s="21"/>
      <c r="J44" s="21"/>
      <c r="K44" s="21"/>
      <c r="L44" s="21"/>
      <c r="M44" s="21"/>
      <c r="N44" s="21"/>
      <c r="O44" s="21"/>
      <c r="P44" s="21"/>
      <c r="Q44" s="21"/>
      <c r="R44" s="21"/>
    </row>
    <row r="45" spans="3:19" ht="15.75" x14ac:dyDescent="0.25">
      <c r="C45" s="19"/>
      <c r="D45" s="19"/>
      <c r="E45" s="32"/>
      <c r="F45" s="21"/>
      <c r="G45" s="21"/>
      <c r="H45" s="21"/>
      <c r="I45" s="21"/>
      <c r="J45" s="21"/>
      <c r="K45" s="21"/>
      <c r="L45" s="21"/>
      <c r="M45" s="21"/>
      <c r="N45" s="21"/>
      <c r="O45" s="21"/>
      <c r="P45" s="21"/>
      <c r="Q45" s="21"/>
      <c r="R45" s="21"/>
    </row>
  </sheetData>
  <mergeCells count="5">
    <mergeCell ref="A5:R5"/>
    <mergeCell ref="A6:R6"/>
    <mergeCell ref="A7:R7"/>
    <mergeCell ref="C20:R20"/>
    <mergeCell ref="C21:R21"/>
  </mergeCells>
  <pageMargins left="0.25" right="0.25" top="0.75" bottom="0.75" header="0.3" footer="0.3"/>
  <pageSetup scale="6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31096-A63D-4693-9F67-4D58CC4D563D}">
  <sheetPr>
    <pageSetUpPr fitToPage="1"/>
  </sheetPr>
  <dimension ref="A1:I48"/>
  <sheetViews>
    <sheetView workbookViewId="0">
      <selection activeCell="C12" sqref="C12:H31"/>
    </sheetView>
  </sheetViews>
  <sheetFormatPr defaultRowHeight="15" x14ac:dyDescent="0.25"/>
  <cols>
    <col min="1" max="1" width="6.7109375" customWidth="1"/>
    <col min="2" max="2" width="10.140625" customWidth="1"/>
    <col min="3" max="3" width="11" customWidth="1"/>
    <col min="4" max="4" width="14.140625" customWidth="1"/>
    <col min="5" max="5" width="15.7109375" customWidth="1"/>
    <col min="6" max="6" width="13.28515625" customWidth="1"/>
    <col min="7" max="7" width="15.7109375" customWidth="1"/>
    <col min="8" max="8" width="11.85546875" customWidth="1"/>
    <col min="9" max="9" width="11.28515625" bestFit="1" customWidth="1"/>
  </cols>
  <sheetData>
    <row r="1" spans="1:8" x14ac:dyDescent="0.25">
      <c r="H1" s="2" t="s">
        <v>53</v>
      </c>
    </row>
    <row r="2" spans="1:8" x14ac:dyDescent="0.25">
      <c r="H2" s="2" t="s">
        <v>76</v>
      </c>
    </row>
    <row r="3" spans="1:8" x14ac:dyDescent="0.25">
      <c r="H3" s="2" t="s">
        <v>142</v>
      </c>
    </row>
    <row r="5" spans="1:8" x14ac:dyDescent="0.25">
      <c r="A5" s="56" t="s">
        <v>141</v>
      </c>
      <c r="B5" s="56"/>
      <c r="C5" s="56"/>
      <c r="D5" s="56"/>
      <c r="E5" s="56"/>
      <c r="F5" s="56"/>
      <c r="G5" s="56"/>
      <c r="H5" s="56"/>
    </row>
    <row r="6" spans="1:8" x14ac:dyDescent="0.25">
      <c r="A6" s="56" t="s">
        <v>1</v>
      </c>
      <c r="B6" s="56"/>
      <c r="C6" s="56"/>
      <c r="D6" s="56"/>
      <c r="E6" s="56"/>
      <c r="F6" s="56"/>
      <c r="G6" s="56"/>
      <c r="H6" s="56"/>
    </row>
    <row r="7" spans="1:8" x14ac:dyDescent="0.25">
      <c r="A7" s="56" t="s">
        <v>2</v>
      </c>
      <c r="B7" s="56"/>
      <c r="C7" s="56"/>
      <c r="D7" s="56"/>
      <c r="E7" s="56"/>
      <c r="F7" s="56"/>
      <c r="G7" s="56"/>
      <c r="H7" s="56"/>
    </row>
    <row r="9" spans="1:8" x14ac:dyDescent="0.25">
      <c r="B9" s="3" t="s">
        <v>53</v>
      </c>
      <c r="C9" t="s">
        <v>107</v>
      </c>
    </row>
    <row r="10" spans="1:8" x14ac:dyDescent="0.25">
      <c r="D10" t="s">
        <v>54</v>
      </c>
    </row>
    <row r="11" spans="1:8" x14ac:dyDescent="0.25">
      <c r="D11" t="s">
        <v>55</v>
      </c>
    </row>
    <row r="12" spans="1:8" x14ac:dyDescent="0.25">
      <c r="D12" t="s">
        <v>56</v>
      </c>
    </row>
    <row r="13" spans="1:8" x14ac:dyDescent="0.25">
      <c r="D13" t="s">
        <v>57</v>
      </c>
    </row>
    <row r="15" spans="1:8" x14ac:dyDescent="0.25">
      <c r="B15" s="4" t="s">
        <v>5</v>
      </c>
      <c r="C15" t="s">
        <v>171</v>
      </c>
    </row>
    <row r="17" spans="2:9" x14ac:dyDescent="0.25">
      <c r="B17" s="55" t="s">
        <v>136</v>
      </c>
      <c r="D17" s="3">
        <v>2017</v>
      </c>
      <c r="E17" s="3">
        <v>2018</v>
      </c>
      <c r="F17" s="3">
        <v>2019</v>
      </c>
      <c r="G17" s="3">
        <v>2020</v>
      </c>
    </row>
    <row r="18" spans="2:9" x14ac:dyDescent="0.25">
      <c r="C18" t="s">
        <v>78</v>
      </c>
      <c r="D18" s="10">
        <v>34906.51</v>
      </c>
      <c r="E18" s="10">
        <v>44431.67</v>
      </c>
      <c r="F18" s="10">
        <v>32835.83</v>
      </c>
      <c r="G18" s="10">
        <v>29831.16</v>
      </c>
      <c r="H18" s="12"/>
      <c r="I18" s="12"/>
    </row>
    <row r="19" spans="2:9" x14ac:dyDescent="0.25">
      <c r="C19" t="s">
        <v>79</v>
      </c>
      <c r="D19" s="6">
        <v>38110.47</v>
      </c>
      <c r="E19" s="6">
        <v>47983.88</v>
      </c>
      <c r="F19" s="6">
        <v>35202.449999999997</v>
      </c>
      <c r="G19" s="6">
        <v>29745.200000000001</v>
      </c>
      <c r="H19" s="12"/>
      <c r="I19" s="12"/>
    </row>
    <row r="20" spans="2:9" x14ac:dyDescent="0.25">
      <c r="C20" t="s">
        <v>80</v>
      </c>
      <c r="D20" s="6">
        <v>35131.78</v>
      </c>
      <c r="E20" s="6">
        <v>39672.949999999997</v>
      </c>
      <c r="F20" s="6">
        <v>38840.370000000003</v>
      </c>
      <c r="G20" s="6">
        <v>25456.37</v>
      </c>
      <c r="H20" s="12"/>
      <c r="I20" s="12"/>
    </row>
    <row r="21" spans="2:9" x14ac:dyDescent="0.25">
      <c r="C21" t="s">
        <v>81</v>
      </c>
      <c r="D21" s="6">
        <v>26943.360000000001</v>
      </c>
      <c r="E21" s="6">
        <v>35739.18</v>
      </c>
      <c r="F21" s="6">
        <v>33407.54</v>
      </c>
      <c r="G21" s="6">
        <v>0</v>
      </c>
      <c r="H21" s="12"/>
      <c r="I21" s="12"/>
    </row>
    <row r="22" spans="2:9" x14ac:dyDescent="0.25">
      <c r="C22" t="s">
        <v>82</v>
      </c>
      <c r="D22" s="6">
        <v>23546.59</v>
      </c>
      <c r="E22" s="6">
        <v>34311.910000000003</v>
      </c>
      <c r="F22" s="6">
        <v>23492.02</v>
      </c>
      <c r="G22" s="6">
        <v>0</v>
      </c>
      <c r="H22" s="12"/>
      <c r="I22" s="12"/>
    </row>
    <row r="23" spans="2:9" x14ac:dyDescent="0.25">
      <c r="C23" t="s">
        <v>83</v>
      </c>
      <c r="D23" s="6">
        <v>20994.799999999999</v>
      </c>
      <c r="E23" s="6">
        <v>25073.42</v>
      </c>
      <c r="F23" s="6">
        <v>18666.54</v>
      </c>
      <c r="G23" s="6">
        <v>0</v>
      </c>
    </row>
    <row r="24" spans="2:9" x14ac:dyDescent="0.25">
      <c r="C24" t="s">
        <v>84</v>
      </c>
      <c r="D24" s="6">
        <v>25553.9</v>
      </c>
      <c r="E24" s="6">
        <v>29673.47</v>
      </c>
      <c r="F24" s="6">
        <v>25454.92</v>
      </c>
      <c r="G24" s="6"/>
    </row>
    <row r="25" spans="2:9" x14ac:dyDescent="0.25">
      <c r="C25" t="s">
        <v>85</v>
      </c>
      <c r="D25" s="6">
        <v>30447.55</v>
      </c>
      <c r="E25" s="6">
        <v>31740.61</v>
      </c>
      <c r="F25" s="6">
        <v>30188.43</v>
      </c>
      <c r="G25" s="6"/>
    </row>
    <row r="26" spans="2:9" x14ac:dyDescent="0.25">
      <c r="C26" t="s">
        <v>86</v>
      </c>
      <c r="D26" s="6">
        <v>32246.16</v>
      </c>
      <c r="E26" s="6">
        <v>28276.880000000001</v>
      </c>
      <c r="F26" s="6">
        <v>31842.36</v>
      </c>
      <c r="G26" s="6"/>
    </row>
    <row r="27" spans="2:9" x14ac:dyDescent="0.25">
      <c r="C27" t="s">
        <v>87</v>
      </c>
      <c r="D27" s="6">
        <v>27027.71</v>
      </c>
      <c r="E27" s="6">
        <v>31736.85</v>
      </c>
      <c r="F27" s="6">
        <v>29157.06</v>
      </c>
      <c r="G27" s="6"/>
    </row>
    <row r="28" spans="2:9" x14ac:dyDescent="0.25">
      <c r="C28" t="s">
        <v>88</v>
      </c>
      <c r="D28" s="6">
        <v>23713.69</v>
      </c>
      <c r="E28" s="6">
        <v>25140.44</v>
      </c>
      <c r="F28" s="6">
        <v>22120.61</v>
      </c>
      <c r="G28" s="6"/>
    </row>
    <row r="29" spans="2:9" x14ac:dyDescent="0.25">
      <c r="C29" t="s">
        <v>89</v>
      </c>
      <c r="D29" s="6">
        <v>29148.92</v>
      </c>
      <c r="E29" s="6">
        <v>29729.16</v>
      </c>
      <c r="F29" s="6">
        <v>25776.47</v>
      </c>
      <c r="G29" s="6"/>
    </row>
    <row r="30" spans="2:9" x14ac:dyDescent="0.25">
      <c r="E30" s="5"/>
      <c r="F30" s="5"/>
    </row>
    <row r="31" spans="2:9" ht="15.75" thickBot="1" x14ac:dyDescent="0.3">
      <c r="C31" t="s">
        <v>22</v>
      </c>
      <c r="D31" s="16">
        <f>SUM(D18:D29)</f>
        <v>347771.43999999994</v>
      </c>
      <c r="E31" s="16">
        <f>SUM(E18:E29)</f>
        <v>403510.42</v>
      </c>
      <c r="F31" s="16">
        <f>SUM(F18:F29)</f>
        <v>346984.6</v>
      </c>
      <c r="G31" s="16">
        <f>SUM(G18:G29)</f>
        <v>85032.73</v>
      </c>
    </row>
    <row r="32" spans="2:9" ht="15.75" thickTop="1" x14ac:dyDescent="0.25"/>
    <row r="33" spans="2:9" x14ac:dyDescent="0.25">
      <c r="B33" s="55" t="s">
        <v>137</v>
      </c>
      <c r="D33" s="28">
        <v>2017</v>
      </c>
      <c r="E33" s="28">
        <v>2018</v>
      </c>
      <c r="F33" s="28">
        <v>2019</v>
      </c>
      <c r="G33" s="28">
        <v>2020</v>
      </c>
    </row>
    <row r="34" spans="2:9" x14ac:dyDescent="0.25">
      <c r="C34" t="s">
        <v>78</v>
      </c>
      <c r="D34" s="10">
        <v>1575</v>
      </c>
      <c r="E34" s="10">
        <v>2020</v>
      </c>
      <c r="F34" s="10">
        <v>1450</v>
      </c>
      <c r="G34" s="10">
        <v>2185</v>
      </c>
      <c r="H34" s="12"/>
      <c r="I34" s="12"/>
    </row>
    <row r="35" spans="2:9" x14ac:dyDescent="0.25">
      <c r="C35" t="s">
        <v>79</v>
      </c>
      <c r="D35" s="6">
        <v>1505</v>
      </c>
      <c r="E35" s="6">
        <v>2470</v>
      </c>
      <c r="F35" s="6">
        <v>1585</v>
      </c>
      <c r="G35" s="6">
        <v>1680</v>
      </c>
      <c r="H35" s="12"/>
      <c r="I35" s="12"/>
    </row>
    <row r="36" spans="2:9" x14ac:dyDescent="0.25">
      <c r="C36" t="s">
        <v>80</v>
      </c>
      <c r="D36" s="6">
        <v>1680</v>
      </c>
      <c r="E36" s="6">
        <v>4190</v>
      </c>
      <c r="F36" s="6">
        <v>1880</v>
      </c>
      <c r="G36" s="6">
        <v>2625</v>
      </c>
      <c r="H36" s="12"/>
      <c r="I36" s="12"/>
    </row>
    <row r="37" spans="2:9" x14ac:dyDescent="0.25">
      <c r="C37" t="s">
        <v>81</v>
      </c>
      <c r="D37" s="6">
        <v>2440</v>
      </c>
      <c r="E37" s="6">
        <v>3860</v>
      </c>
      <c r="F37" s="6">
        <v>2335</v>
      </c>
      <c r="G37" s="6">
        <v>-600</v>
      </c>
      <c r="H37" s="12"/>
      <c r="I37" s="12"/>
    </row>
    <row r="38" spans="2:9" x14ac:dyDescent="0.25">
      <c r="C38" t="s">
        <v>82</v>
      </c>
      <c r="D38" s="6">
        <v>2660</v>
      </c>
      <c r="E38" s="6">
        <v>4450</v>
      </c>
      <c r="F38" s="6">
        <v>3290</v>
      </c>
      <c r="G38" s="6">
        <v>0</v>
      </c>
      <c r="H38" s="12"/>
      <c r="I38" s="12"/>
    </row>
    <row r="39" spans="2:9" x14ac:dyDescent="0.25">
      <c r="C39" t="s">
        <v>83</v>
      </c>
      <c r="D39" s="6">
        <v>1155</v>
      </c>
      <c r="E39" s="6">
        <v>1825</v>
      </c>
      <c r="F39" s="6">
        <v>1390</v>
      </c>
      <c r="G39" s="6">
        <v>0</v>
      </c>
    </row>
    <row r="40" spans="2:9" x14ac:dyDescent="0.25">
      <c r="C40" t="s">
        <v>84</v>
      </c>
      <c r="D40" s="6">
        <v>1360</v>
      </c>
      <c r="E40" s="6">
        <v>2405</v>
      </c>
      <c r="F40" s="6">
        <v>2335</v>
      </c>
      <c r="G40" s="6"/>
    </row>
    <row r="41" spans="2:9" x14ac:dyDescent="0.25">
      <c r="C41" t="s">
        <v>85</v>
      </c>
      <c r="D41" s="6">
        <v>2880</v>
      </c>
      <c r="E41" s="6">
        <v>2365</v>
      </c>
      <c r="F41" s="6">
        <v>2530</v>
      </c>
      <c r="G41" s="6"/>
    </row>
    <row r="42" spans="2:9" x14ac:dyDescent="0.25">
      <c r="C42" t="s">
        <v>86</v>
      </c>
      <c r="D42" s="6">
        <v>2315</v>
      </c>
      <c r="E42" s="6">
        <v>2375</v>
      </c>
      <c r="F42" s="6">
        <v>2195</v>
      </c>
      <c r="G42" s="6"/>
    </row>
    <row r="43" spans="2:9" x14ac:dyDescent="0.25">
      <c r="C43" t="s">
        <v>87</v>
      </c>
      <c r="D43" s="6">
        <v>3255</v>
      </c>
      <c r="E43" s="6">
        <v>3225</v>
      </c>
      <c r="F43" s="6">
        <v>1935</v>
      </c>
      <c r="G43" s="6"/>
    </row>
    <row r="44" spans="2:9" x14ac:dyDescent="0.25">
      <c r="C44" t="s">
        <v>88</v>
      </c>
      <c r="D44" s="6">
        <v>1735</v>
      </c>
      <c r="E44" s="6">
        <v>1410</v>
      </c>
      <c r="F44" s="6">
        <v>1100</v>
      </c>
      <c r="G44" s="6"/>
    </row>
    <row r="45" spans="2:9" x14ac:dyDescent="0.25">
      <c r="C45" t="s">
        <v>89</v>
      </c>
      <c r="D45" s="6">
        <v>1260</v>
      </c>
      <c r="E45" s="6">
        <v>1245</v>
      </c>
      <c r="F45" s="6">
        <v>995</v>
      </c>
      <c r="G45" s="6"/>
    </row>
    <row r="46" spans="2:9" x14ac:dyDescent="0.25">
      <c r="E46" s="5"/>
      <c r="F46" s="5"/>
    </row>
    <row r="47" spans="2:9" ht="15.75" thickBot="1" x14ac:dyDescent="0.3">
      <c r="C47" t="s">
        <v>22</v>
      </c>
      <c r="D47" s="16">
        <f>SUM(D34:D45)</f>
        <v>23820</v>
      </c>
      <c r="E47" s="16">
        <f>SUM(E34:E45)</f>
        <v>31840</v>
      </c>
      <c r="F47" s="16">
        <f>SUM(F34:F45)</f>
        <v>23020</v>
      </c>
      <c r="G47" s="16">
        <f>SUM(G34:G45)</f>
        <v>5890</v>
      </c>
    </row>
    <row r="48" spans="2:9" ht="15.75" thickTop="1" x14ac:dyDescent="0.25"/>
  </sheetData>
  <mergeCells count="3">
    <mergeCell ref="A5:H5"/>
    <mergeCell ref="A6:H6"/>
    <mergeCell ref="A7:H7"/>
  </mergeCells>
  <pageMargins left="0.7" right="0.7" top="0.75" bottom="0.75" header="0.3" footer="0.3"/>
  <pageSetup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1C3A5-E465-4499-A45E-AF9D8E193FC8}">
  <sheetPr>
    <pageSetUpPr fitToPage="1"/>
  </sheetPr>
  <dimension ref="A1:H21"/>
  <sheetViews>
    <sheetView workbookViewId="0">
      <selection activeCell="C12" sqref="C12:H31"/>
    </sheetView>
  </sheetViews>
  <sheetFormatPr defaultRowHeight="15" x14ac:dyDescent="0.25"/>
  <cols>
    <col min="1" max="1" width="6.7109375" customWidth="1"/>
    <col min="2" max="2" width="10.140625" customWidth="1"/>
    <col min="3" max="3" width="7.42578125" customWidth="1"/>
    <col min="4" max="4" width="14.140625" customWidth="1"/>
    <col min="5" max="5" width="10.5703125" customWidth="1"/>
    <col min="6" max="6" width="11.42578125" customWidth="1"/>
    <col min="7" max="7" width="15.7109375" customWidth="1"/>
    <col min="8" max="8" width="20.140625" customWidth="1"/>
  </cols>
  <sheetData>
    <row r="1" spans="1:8" x14ac:dyDescent="0.25">
      <c r="H1" s="2" t="s">
        <v>58</v>
      </c>
    </row>
    <row r="2" spans="1:8" x14ac:dyDescent="0.25">
      <c r="H2" s="2" t="s">
        <v>76</v>
      </c>
    </row>
    <row r="3" spans="1:8" x14ac:dyDescent="0.25">
      <c r="H3" s="2" t="s">
        <v>142</v>
      </c>
    </row>
    <row r="5" spans="1:8" x14ac:dyDescent="0.25">
      <c r="A5" s="56" t="s">
        <v>141</v>
      </c>
      <c r="B5" s="56"/>
      <c r="C5" s="56"/>
      <c r="D5" s="56"/>
      <c r="E5" s="56"/>
      <c r="F5" s="56"/>
      <c r="G5" s="56"/>
      <c r="H5" s="56"/>
    </row>
    <row r="6" spans="1:8" x14ac:dyDescent="0.25">
      <c r="A6" s="56" t="s">
        <v>1</v>
      </c>
      <c r="B6" s="56"/>
      <c r="C6" s="56"/>
      <c r="D6" s="56"/>
      <c r="E6" s="56"/>
      <c r="F6" s="56"/>
      <c r="G6" s="56"/>
      <c r="H6" s="56"/>
    </row>
    <row r="7" spans="1:8" x14ac:dyDescent="0.25">
      <c r="A7" s="56" t="s">
        <v>2</v>
      </c>
      <c r="B7" s="56"/>
      <c r="C7" s="56"/>
      <c r="D7" s="56"/>
      <c r="E7" s="56"/>
      <c r="F7" s="56"/>
      <c r="G7" s="56"/>
      <c r="H7" s="56"/>
    </row>
    <row r="9" spans="1:8" x14ac:dyDescent="0.25">
      <c r="B9" s="3" t="s">
        <v>58</v>
      </c>
      <c r="C9" t="s">
        <v>121</v>
      </c>
    </row>
    <row r="10" spans="1:8" x14ac:dyDescent="0.25">
      <c r="C10" t="s">
        <v>91</v>
      </c>
    </row>
    <row r="12" spans="1:8" x14ac:dyDescent="0.25">
      <c r="B12" s="4" t="s">
        <v>5</v>
      </c>
      <c r="C12" t="s">
        <v>139</v>
      </c>
    </row>
    <row r="13" spans="1:8" x14ac:dyDescent="0.25">
      <c r="C13" t="s">
        <v>97</v>
      </c>
    </row>
    <row r="15" spans="1:8" x14ac:dyDescent="0.25">
      <c r="D15" s="3" t="s">
        <v>94</v>
      </c>
    </row>
    <row r="16" spans="1:8" x14ac:dyDescent="0.25">
      <c r="D16" t="s">
        <v>93</v>
      </c>
      <c r="F16" s="10">
        <f>6294-3045.5-300+33408</f>
        <v>36356.5</v>
      </c>
    </row>
    <row r="17" spans="4:6" x14ac:dyDescent="0.25">
      <c r="D17" t="s">
        <v>92</v>
      </c>
      <c r="F17" s="6">
        <f>13835-3145.5-175+23492</f>
        <v>34006.5</v>
      </c>
    </row>
    <row r="18" spans="4:6" x14ac:dyDescent="0.25">
      <c r="D18" t="s">
        <v>135</v>
      </c>
      <c r="F18" s="6">
        <f>18667+5485-3017.5-275</f>
        <v>20859.5</v>
      </c>
    </row>
    <row r="20" spans="4:6" ht="15.75" thickBot="1" x14ac:dyDescent="0.3">
      <c r="D20" t="s">
        <v>138</v>
      </c>
      <c r="F20" s="13">
        <f>SUM(F16:F19)</f>
        <v>91222.5</v>
      </c>
    </row>
    <row r="21" spans="4:6" ht="15.75" thickTop="1" x14ac:dyDescent="0.25"/>
  </sheetData>
  <mergeCells count="3">
    <mergeCell ref="A5:H5"/>
    <mergeCell ref="A6:H6"/>
    <mergeCell ref="A7:H7"/>
  </mergeCells>
  <pageMargins left="0.7" right="0.7" top="0.75" bottom="0.75" header="0.3" footer="0.3"/>
  <pageSetup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0C416-B773-4AA9-849C-5F3F5F659AB3}">
  <sheetPr>
    <pageSetUpPr fitToPage="1"/>
  </sheetPr>
  <dimension ref="A1:H31"/>
  <sheetViews>
    <sheetView workbookViewId="0">
      <selection activeCell="C12" sqref="C12:H31"/>
    </sheetView>
  </sheetViews>
  <sheetFormatPr defaultRowHeight="15" x14ac:dyDescent="0.25"/>
  <cols>
    <col min="1" max="1" width="6.7109375" customWidth="1"/>
    <col min="2" max="2" width="10.140625" customWidth="1"/>
    <col min="3" max="3" width="7.42578125" customWidth="1"/>
    <col min="4" max="4" width="14.140625" customWidth="1"/>
    <col min="5" max="5" width="10.5703125" customWidth="1"/>
    <col min="6" max="6" width="9.28515625" customWidth="1"/>
    <col min="7" max="7" width="15.7109375" customWidth="1"/>
    <col min="8" max="8" width="20.140625" customWidth="1"/>
  </cols>
  <sheetData>
    <row r="1" spans="1:8" x14ac:dyDescent="0.25">
      <c r="H1" s="2" t="s">
        <v>59</v>
      </c>
    </row>
    <row r="2" spans="1:8" x14ac:dyDescent="0.25">
      <c r="H2" s="2" t="s">
        <v>180</v>
      </c>
    </row>
    <row r="3" spans="1:8" x14ac:dyDescent="0.25">
      <c r="H3" s="2" t="s">
        <v>142</v>
      </c>
    </row>
    <row r="5" spans="1:8" x14ac:dyDescent="0.25">
      <c r="A5" s="56" t="s">
        <v>141</v>
      </c>
      <c r="B5" s="56"/>
      <c r="C5" s="56"/>
      <c r="D5" s="56"/>
      <c r="E5" s="56"/>
      <c r="F5" s="56"/>
      <c r="G5" s="56"/>
      <c r="H5" s="56"/>
    </row>
    <row r="6" spans="1:8" x14ac:dyDescent="0.25">
      <c r="A6" s="56" t="s">
        <v>1</v>
      </c>
      <c r="B6" s="56"/>
      <c r="C6" s="56"/>
      <c r="D6" s="56"/>
      <c r="E6" s="56"/>
      <c r="F6" s="56"/>
      <c r="G6" s="56"/>
      <c r="H6" s="56"/>
    </row>
    <row r="7" spans="1:8" x14ac:dyDescent="0.25">
      <c r="A7" s="56" t="s">
        <v>2</v>
      </c>
      <c r="B7" s="56"/>
      <c r="C7" s="56"/>
      <c r="D7" s="56"/>
      <c r="E7" s="56"/>
      <c r="F7" s="56"/>
      <c r="G7" s="56"/>
      <c r="H7" s="56"/>
    </row>
    <row r="9" spans="1:8" x14ac:dyDescent="0.25">
      <c r="B9" s="3" t="s">
        <v>59</v>
      </c>
      <c r="C9" t="s">
        <v>60</v>
      </c>
    </row>
    <row r="10" spans="1:8" x14ac:dyDescent="0.25">
      <c r="C10" t="s">
        <v>61</v>
      </c>
    </row>
    <row r="11" spans="1:8" x14ac:dyDescent="0.25">
      <c r="C11" t="s">
        <v>122</v>
      </c>
    </row>
    <row r="13" spans="1:8" ht="15" customHeight="1" x14ac:dyDescent="0.25">
      <c r="B13" s="4" t="s">
        <v>5</v>
      </c>
      <c r="C13" s="57" t="s">
        <v>172</v>
      </c>
      <c r="D13" s="57"/>
      <c r="E13" s="57"/>
      <c r="F13" s="57"/>
      <c r="G13" s="57"/>
      <c r="H13" s="57"/>
    </row>
    <row r="14" spans="1:8" x14ac:dyDescent="0.25">
      <c r="C14" s="57"/>
      <c r="D14" s="57"/>
      <c r="E14" s="57"/>
      <c r="F14" s="57"/>
      <c r="G14" s="57"/>
      <c r="H14" s="57"/>
    </row>
    <row r="15" spans="1:8" x14ac:dyDescent="0.25">
      <c r="C15" s="57"/>
      <c r="D15" s="57"/>
      <c r="E15" s="57"/>
      <c r="F15" s="57"/>
      <c r="G15" s="57"/>
      <c r="H15" s="57"/>
    </row>
    <row r="16" spans="1:8" x14ac:dyDescent="0.25">
      <c r="C16" s="53"/>
      <c r="D16" s="53"/>
      <c r="E16" s="53"/>
      <c r="F16" s="53"/>
      <c r="G16" s="53"/>
      <c r="H16" s="53"/>
    </row>
    <row r="17" spans="3:8" x14ac:dyDescent="0.25">
      <c r="C17" s="53"/>
      <c r="D17" s="53"/>
      <c r="E17" s="53"/>
      <c r="F17" s="53"/>
      <c r="G17" s="53"/>
      <c r="H17" s="53"/>
    </row>
    <row r="18" spans="3:8" x14ac:dyDescent="0.25">
      <c r="C18" s="53"/>
      <c r="D18" s="53"/>
      <c r="E18" s="53"/>
      <c r="F18" s="53"/>
      <c r="G18" s="53"/>
      <c r="H18" s="53"/>
    </row>
    <row r="19" spans="3:8" x14ac:dyDescent="0.25">
      <c r="C19" s="53"/>
      <c r="D19" s="53"/>
      <c r="E19" s="53"/>
      <c r="F19" s="53"/>
      <c r="G19" s="53"/>
      <c r="H19" s="53"/>
    </row>
    <row r="20" spans="3:8" x14ac:dyDescent="0.25">
      <c r="C20" s="53"/>
      <c r="D20" s="53"/>
      <c r="E20" s="53"/>
      <c r="F20" s="53"/>
      <c r="G20" s="53"/>
      <c r="H20" s="53"/>
    </row>
    <row r="21" spans="3:8" x14ac:dyDescent="0.25">
      <c r="C21" s="53"/>
      <c r="D21" s="53"/>
      <c r="E21" s="53"/>
      <c r="F21" s="53"/>
      <c r="G21" s="53"/>
      <c r="H21" s="53"/>
    </row>
    <row r="22" spans="3:8" x14ac:dyDescent="0.25">
      <c r="C22" s="53"/>
      <c r="D22" s="53"/>
      <c r="E22" s="53"/>
      <c r="F22" s="53"/>
      <c r="G22" s="53"/>
      <c r="H22" s="53"/>
    </row>
    <row r="23" spans="3:8" x14ac:dyDescent="0.25">
      <c r="C23" s="53"/>
      <c r="D23" s="53"/>
      <c r="E23" s="53"/>
      <c r="F23" s="53"/>
      <c r="G23" s="53"/>
      <c r="H23" s="53"/>
    </row>
    <row r="24" spans="3:8" x14ac:dyDescent="0.25">
      <c r="C24" s="53"/>
      <c r="D24" s="53"/>
      <c r="E24" s="53"/>
      <c r="F24" s="53"/>
      <c r="G24" s="53"/>
      <c r="H24" s="53"/>
    </row>
    <row r="25" spans="3:8" x14ac:dyDescent="0.25">
      <c r="C25" s="53"/>
      <c r="D25" s="53"/>
      <c r="E25" s="53"/>
      <c r="F25" s="53"/>
      <c r="G25" s="53"/>
      <c r="H25" s="53"/>
    </row>
    <row r="26" spans="3:8" x14ac:dyDescent="0.25">
      <c r="C26" s="53"/>
      <c r="D26" s="53"/>
      <c r="E26" s="53"/>
      <c r="F26" s="53"/>
      <c r="G26" s="53"/>
      <c r="H26" s="53"/>
    </row>
    <row r="27" spans="3:8" x14ac:dyDescent="0.25">
      <c r="C27" s="53"/>
      <c r="D27" s="53"/>
      <c r="E27" s="53"/>
      <c r="F27" s="53"/>
      <c r="G27" s="53"/>
      <c r="H27" s="53"/>
    </row>
    <row r="28" spans="3:8" x14ac:dyDescent="0.25">
      <c r="C28" s="53"/>
      <c r="D28" s="53"/>
      <c r="E28" s="53"/>
      <c r="F28" s="53"/>
      <c r="G28" s="53"/>
      <c r="H28" s="53"/>
    </row>
    <row r="29" spans="3:8" x14ac:dyDescent="0.25">
      <c r="C29" s="53"/>
      <c r="D29" s="53"/>
      <c r="E29" s="53"/>
      <c r="F29" s="53"/>
      <c r="G29" s="53"/>
      <c r="H29" s="53"/>
    </row>
    <row r="30" spans="3:8" x14ac:dyDescent="0.25">
      <c r="C30" s="53"/>
      <c r="D30" s="53"/>
      <c r="E30" s="53"/>
      <c r="F30" s="53"/>
      <c r="G30" s="53"/>
      <c r="H30" s="53"/>
    </row>
    <row r="31" spans="3:8" x14ac:dyDescent="0.25">
      <c r="C31" s="53"/>
      <c r="D31" s="53"/>
      <c r="E31" s="53"/>
      <c r="F31" s="53"/>
      <c r="G31" s="53"/>
      <c r="H31" s="53"/>
    </row>
  </sheetData>
  <mergeCells count="4">
    <mergeCell ref="A5:H5"/>
    <mergeCell ref="A6:H6"/>
    <mergeCell ref="A7:H7"/>
    <mergeCell ref="C13:H15"/>
  </mergeCells>
  <pageMargins left="0.7" right="0.7" top="0.75" bottom="0.75" header="0.3" footer="0.3"/>
  <pageSetup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275CD-0669-480B-AD55-4D627B0314AC}">
  <sheetPr>
    <pageSetUpPr fitToPage="1"/>
  </sheetPr>
  <dimension ref="A1:Q139"/>
  <sheetViews>
    <sheetView topLeftCell="A31" zoomScale="120" zoomScaleNormal="120" workbookViewId="0">
      <selection activeCell="C12" sqref="C12:I31"/>
    </sheetView>
  </sheetViews>
  <sheetFormatPr defaultRowHeight="15" x14ac:dyDescent="0.25"/>
  <cols>
    <col min="1" max="1" width="6.7109375" customWidth="1"/>
    <col min="2" max="3" width="10.140625" customWidth="1"/>
    <col min="4" max="4" width="14.140625" customWidth="1"/>
    <col min="5" max="6" width="12.85546875" bestFit="1" customWidth="1"/>
    <col min="7" max="7" width="13" customWidth="1"/>
    <col min="8" max="8" width="11.5703125" customWidth="1"/>
    <col min="9" max="9" width="12.5703125" customWidth="1"/>
  </cols>
  <sheetData>
    <row r="1" spans="1:9" x14ac:dyDescent="0.25">
      <c r="I1" s="2" t="s">
        <v>62</v>
      </c>
    </row>
    <row r="2" spans="1:9" x14ac:dyDescent="0.25">
      <c r="I2" s="2" t="s">
        <v>76</v>
      </c>
    </row>
    <row r="3" spans="1:9" x14ac:dyDescent="0.25">
      <c r="I3" s="2" t="s">
        <v>142</v>
      </c>
    </row>
    <row r="5" spans="1:9" x14ac:dyDescent="0.25">
      <c r="A5" s="56" t="s">
        <v>141</v>
      </c>
      <c r="B5" s="56"/>
      <c r="C5" s="56"/>
      <c r="D5" s="56"/>
      <c r="E5" s="56"/>
      <c r="F5" s="56"/>
      <c r="G5" s="56"/>
      <c r="H5" s="56"/>
      <c r="I5" s="56"/>
    </row>
    <row r="6" spans="1:9" x14ac:dyDescent="0.25">
      <c r="A6" s="56" t="s">
        <v>1</v>
      </c>
      <c r="B6" s="56"/>
      <c r="C6" s="56"/>
      <c r="D6" s="56"/>
      <c r="E6" s="56"/>
      <c r="F6" s="56"/>
      <c r="G6" s="56"/>
      <c r="H6" s="56"/>
      <c r="I6" s="56"/>
    </row>
    <row r="7" spans="1:9" x14ac:dyDescent="0.25">
      <c r="A7" s="56" t="s">
        <v>2</v>
      </c>
      <c r="B7" s="56"/>
      <c r="C7" s="56"/>
      <c r="D7" s="56"/>
      <c r="E7" s="56"/>
      <c r="F7" s="56"/>
      <c r="G7" s="56"/>
      <c r="H7" s="56"/>
      <c r="I7" s="56"/>
    </row>
    <row r="9" spans="1:9" x14ac:dyDescent="0.25">
      <c r="B9" s="3" t="s">
        <v>62</v>
      </c>
      <c r="C9" t="s">
        <v>63</v>
      </c>
    </row>
    <row r="10" spans="1:9" x14ac:dyDescent="0.25">
      <c r="C10" t="s">
        <v>65</v>
      </c>
    </row>
    <row r="11" spans="1:9" x14ac:dyDescent="0.25">
      <c r="C11" t="s">
        <v>64</v>
      </c>
    </row>
    <row r="13" spans="1:9" ht="15" customHeight="1" x14ac:dyDescent="0.25">
      <c r="B13" s="4" t="s">
        <v>5</v>
      </c>
      <c r="C13" s="57" t="s">
        <v>177</v>
      </c>
      <c r="D13" s="57"/>
      <c r="E13" s="57"/>
      <c r="F13" s="57"/>
      <c r="G13" s="57"/>
      <c r="H13" s="57"/>
      <c r="I13" s="57"/>
    </row>
    <row r="14" spans="1:9" x14ac:dyDescent="0.25">
      <c r="C14" s="57"/>
      <c r="D14" s="57"/>
      <c r="E14" s="57"/>
      <c r="F14" s="57"/>
      <c r="G14" s="57"/>
      <c r="H14" s="57"/>
      <c r="I14" s="57"/>
    </row>
    <row r="15" spans="1:9" x14ac:dyDescent="0.25">
      <c r="C15" s="57"/>
      <c r="D15" s="57"/>
      <c r="E15" s="57"/>
      <c r="F15" s="57"/>
      <c r="G15" s="57"/>
      <c r="H15" s="57"/>
      <c r="I15" s="57"/>
    </row>
    <row r="16" spans="1:9" x14ac:dyDescent="0.25">
      <c r="C16" s="57"/>
      <c r="D16" s="57"/>
      <c r="E16" s="57"/>
      <c r="F16" s="57"/>
      <c r="G16" s="57"/>
      <c r="H16" s="57"/>
      <c r="I16" s="57"/>
    </row>
    <row r="17" spans="3:17" x14ac:dyDescent="0.25">
      <c r="C17" s="57"/>
      <c r="D17" s="57"/>
      <c r="E17" s="57"/>
      <c r="F17" s="57"/>
      <c r="G17" s="57"/>
      <c r="H17" s="57"/>
      <c r="I17" s="57"/>
    </row>
    <row r="19" spans="3:17" x14ac:dyDescent="0.25">
      <c r="C19" s="4" t="s">
        <v>98</v>
      </c>
    </row>
    <row r="20" spans="3:17" x14ac:dyDescent="0.25">
      <c r="C20">
        <v>1</v>
      </c>
      <c r="D20" t="s">
        <v>144</v>
      </c>
      <c r="I20" s="10">
        <v>300</v>
      </c>
    </row>
    <row r="21" spans="3:17" x14ac:dyDescent="0.25">
      <c r="C21">
        <v>2</v>
      </c>
      <c r="D21" t="s">
        <v>153</v>
      </c>
      <c r="I21" s="6">
        <v>351.48</v>
      </c>
    </row>
    <row r="22" spans="3:17" x14ac:dyDescent="0.25">
      <c r="C22">
        <v>3</v>
      </c>
      <c r="D22" t="s">
        <v>155</v>
      </c>
      <c r="I22" s="6">
        <v>213.25</v>
      </c>
    </row>
    <row r="23" spans="3:17" x14ac:dyDescent="0.25">
      <c r="C23">
        <v>4</v>
      </c>
      <c r="D23" t="s">
        <v>156</v>
      </c>
      <c r="I23" s="6">
        <v>1314.1</v>
      </c>
    </row>
    <row r="24" spans="3:17" x14ac:dyDescent="0.25">
      <c r="C24">
        <v>5</v>
      </c>
      <c r="D24" t="s">
        <v>152</v>
      </c>
      <c r="I24" s="6">
        <v>158.88999999999999</v>
      </c>
    </row>
    <row r="25" spans="3:17" x14ac:dyDescent="0.25">
      <c r="C25">
        <v>6</v>
      </c>
      <c r="D25" t="s">
        <v>154</v>
      </c>
      <c r="I25" s="6">
        <v>106</v>
      </c>
    </row>
    <row r="26" spans="3:17" x14ac:dyDescent="0.25">
      <c r="C26">
        <v>7</v>
      </c>
      <c r="D26" t="s">
        <v>162</v>
      </c>
      <c r="I26" s="34">
        <v>300.8</v>
      </c>
    </row>
    <row r="27" spans="3:17" x14ac:dyDescent="0.25">
      <c r="C27">
        <v>8</v>
      </c>
      <c r="D27" t="s">
        <v>163</v>
      </c>
      <c r="I27" s="34">
        <v>230.76</v>
      </c>
    </row>
    <row r="28" spans="3:17" x14ac:dyDescent="0.25">
      <c r="C28">
        <v>9</v>
      </c>
      <c r="D28" t="s">
        <v>164</v>
      </c>
      <c r="I28" s="34">
        <v>159.96</v>
      </c>
    </row>
    <row r="29" spans="3:17" x14ac:dyDescent="0.25">
      <c r="C29">
        <v>10</v>
      </c>
      <c r="D29" t="s">
        <v>174</v>
      </c>
      <c r="I29" s="34">
        <v>79.5</v>
      </c>
    </row>
    <row r="30" spans="3:17" x14ac:dyDescent="0.25">
      <c r="C30">
        <v>11</v>
      </c>
      <c r="D30" t="s">
        <v>173</v>
      </c>
      <c r="I30" s="34">
        <f>265+381.6</f>
        <v>646.6</v>
      </c>
    </row>
    <row r="31" spans="3:17" x14ac:dyDescent="0.25">
      <c r="I31" s="6"/>
      <c r="N31" s="38"/>
      <c r="O31" s="38"/>
      <c r="P31" s="38"/>
      <c r="Q31" s="38"/>
    </row>
    <row r="32" spans="3:17" x14ac:dyDescent="0.25">
      <c r="C32" s="4" t="s">
        <v>151</v>
      </c>
      <c r="I32" s="6"/>
      <c r="N32" s="38"/>
      <c r="O32" s="38"/>
      <c r="P32" s="38"/>
      <c r="Q32" s="38"/>
    </row>
    <row r="33" spans="3:17" x14ac:dyDescent="0.25">
      <c r="C33">
        <v>1</v>
      </c>
      <c r="D33" t="s">
        <v>145</v>
      </c>
      <c r="I33" s="10">
        <v>91222.5</v>
      </c>
      <c r="N33" s="38"/>
      <c r="O33" s="38"/>
      <c r="P33" s="38"/>
      <c r="Q33" s="38"/>
    </row>
    <row r="34" spans="3:17" x14ac:dyDescent="0.25">
      <c r="C34">
        <v>2</v>
      </c>
      <c r="D34" t="s">
        <v>108</v>
      </c>
      <c r="I34" s="18" t="s">
        <v>99</v>
      </c>
      <c r="N34" s="38"/>
      <c r="O34" s="38"/>
      <c r="P34" s="38"/>
      <c r="Q34" s="38"/>
    </row>
    <row r="35" spans="3:17" x14ac:dyDescent="0.25">
      <c r="C35">
        <v>3</v>
      </c>
      <c r="D35" t="s">
        <v>159</v>
      </c>
      <c r="I35" s="6">
        <v>291853</v>
      </c>
    </row>
    <row r="36" spans="3:17" x14ac:dyDescent="0.25">
      <c r="C36" s="38"/>
      <c r="D36" s="38"/>
      <c r="E36" s="38"/>
      <c r="F36" s="38"/>
      <c r="G36" s="38"/>
      <c r="H36" s="37"/>
    </row>
    <row r="37" spans="3:17" ht="15" customHeight="1" x14ac:dyDescent="0.25">
      <c r="C37" s="57" t="s">
        <v>176</v>
      </c>
      <c r="D37" s="57"/>
      <c r="E37" s="57"/>
      <c r="F37" s="57"/>
      <c r="G37" s="57"/>
      <c r="H37" s="57"/>
    </row>
    <row r="38" spans="3:17" ht="14.45" customHeight="1" x14ac:dyDescent="0.25">
      <c r="C38" s="57"/>
      <c r="D38" s="57"/>
      <c r="E38" s="57"/>
      <c r="F38" s="57"/>
      <c r="G38" s="57"/>
      <c r="H38" s="57"/>
    </row>
    <row r="39" spans="3:17" x14ac:dyDescent="0.25">
      <c r="C39" s="57"/>
      <c r="D39" s="57"/>
      <c r="E39" s="57"/>
      <c r="F39" s="57"/>
      <c r="G39" s="57"/>
      <c r="H39" s="57"/>
    </row>
    <row r="40" spans="3:17" x14ac:dyDescent="0.25">
      <c r="C40" s="57"/>
      <c r="D40" s="57"/>
      <c r="E40" s="57"/>
      <c r="F40" s="57"/>
      <c r="G40" s="57"/>
      <c r="H40" s="57"/>
    </row>
    <row r="41" spans="3:17" x14ac:dyDescent="0.25">
      <c r="C41" s="57"/>
      <c r="D41" s="57"/>
      <c r="E41" s="57"/>
      <c r="F41" s="57"/>
      <c r="G41" s="57"/>
      <c r="H41" s="57"/>
    </row>
    <row r="42" spans="3:17" x14ac:dyDescent="0.25">
      <c r="C42" s="57"/>
      <c r="D42" s="57"/>
      <c r="E42" s="57"/>
      <c r="F42" s="57"/>
      <c r="G42" s="57"/>
      <c r="H42" s="57"/>
    </row>
    <row r="44" spans="3:17" ht="30" x14ac:dyDescent="0.25">
      <c r="C44" s="38" t="s">
        <v>158</v>
      </c>
      <c r="D44" s="44" t="s">
        <v>147</v>
      </c>
      <c r="E44" s="44" t="s">
        <v>146</v>
      </c>
      <c r="F44" s="44" t="s">
        <v>7</v>
      </c>
      <c r="G44" s="39"/>
    </row>
    <row r="45" spans="3:17" x14ac:dyDescent="0.25">
      <c r="C45" s="41">
        <v>2019</v>
      </c>
      <c r="D45" s="35">
        <v>82112675</v>
      </c>
      <c r="E45" s="35">
        <v>42745082</v>
      </c>
      <c r="F45" s="35">
        <f>120710208+254080</f>
        <v>120964288</v>
      </c>
      <c r="G45" s="36"/>
      <c r="H45" s="37"/>
    </row>
    <row r="46" spans="3:17" x14ac:dyDescent="0.25">
      <c r="C46" s="41">
        <v>2020</v>
      </c>
      <c r="D46" s="35">
        <v>73721357</v>
      </c>
      <c r="E46" s="35">
        <v>39820980</v>
      </c>
      <c r="F46" s="35">
        <f>119735235+272180</f>
        <v>120007415</v>
      </c>
      <c r="G46" s="36"/>
      <c r="H46" s="37"/>
    </row>
    <row r="47" spans="3:17" x14ac:dyDescent="0.25">
      <c r="C47" s="41" t="s">
        <v>148</v>
      </c>
      <c r="D47" s="35">
        <f>+D45-D46</f>
        <v>8391318</v>
      </c>
      <c r="E47" s="35">
        <f>+E45-E46</f>
        <v>2924102</v>
      </c>
      <c r="F47" s="35">
        <f>+F45-F46</f>
        <v>956873</v>
      </c>
      <c r="G47" s="36"/>
      <c r="H47" s="37"/>
    </row>
    <row r="48" spans="3:17" ht="30" x14ac:dyDescent="0.25">
      <c r="C48" s="42" t="s">
        <v>150</v>
      </c>
      <c r="D48" s="48">
        <v>6.3231399999999993E-2</v>
      </c>
      <c r="E48" s="48">
        <v>8.5046200000000002E-2</v>
      </c>
      <c r="F48" s="48">
        <v>0.1067924</v>
      </c>
      <c r="G48" s="38"/>
      <c r="H48" s="43" t="s">
        <v>157</v>
      </c>
    </row>
    <row r="49" spans="3:9" ht="30" x14ac:dyDescent="0.25">
      <c r="C49" s="42" t="s">
        <v>149</v>
      </c>
      <c r="D49" s="49">
        <f>+D47*D48</f>
        <v>530594.78498519992</v>
      </c>
      <c r="E49" s="49">
        <f>+E47*E48</f>
        <v>248683.76351240001</v>
      </c>
      <c r="F49" s="49">
        <f>+F47*F48</f>
        <v>102186.7641652</v>
      </c>
      <c r="G49" s="50">
        <f>SUM(D49:F49)</f>
        <v>881465.31266279984</v>
      </c>
      <c r="H49" s="40">
        <f>1-0.6689</f>
        <v>0.33109999999999995</v>
      </c>
      <c r="I49" s="51">
        <f>+G49*H49</f>
        <v>291853.165022653</v>
      </c>
    </row>
    <row r="52" spans="3:9" x14ac:dyDescent="0.25">
      <c r="H52" s="6"/>
    </row>
    <row r="53" spans="3:9" x14ac:dyDescent="0.25">
      <c r="H53" s="6"/>
    </row>
    <row r="54" spans="3:9" x14ac:dyDescent="0.25">
      <c r="H54" s="6"/>
    </row>
    <row r="55" spans="3:9" x14ac:dyDescent="0.25">
      <c r="H55" s="6"/>
    </row>
    <row r="56" spans="3:9" x14ac:dyDescent="0.25">
      <c r="H56" s="6"/>
    </row>
    <row r="57" spans="3:9" x14ac:dyDescent="0.25">
      <c r="H57" s="6"/>
    </row>
    <row r="58" spans="3:9" x14ac:dyDescent="0.25">
      <c r="H58" s="6"/>
    </row>
    <row r="59" spans="3:9" x14ac:dyDescent="0.25">
      <c r="H59" s="6"/>
    </row>
    <row r="60" spans="3:9" x14ac:dyDescent="0.25">
      <c r="H60" s="6"/>
    </row>
    <row r="61" spans="3:9" x14ac:dyDescent="0.25">
      <c r="H61" s="6"/>
    </row>
    <row r="62" spans="3:9" x14ac:dyDescent="0.25">
      <c r="H62" s="6"/>
    </row>
    <row r="63" spans="3:9" x14ac:dyDescent="0.25">
      <c r="H63" s="6"/>
    </row>
    <row r="64" spans="3:9" x14ac:dyDescent="0.25">
      <c r="H64" s="6"/>
    </row>
    <row r="65" spans="8:8" x14ac:dyDescent="0.25">
      <c r="H65" s="6"/>
    </row>
    <row r="66" spans="8:8" x14ac:dyDescent="0.25">
      <c r="H66" s="6"/>
    </row>
    <row r="67" spans="8:8" x14ac:dyDescent="0.25">
      <c r="H67" s="6"/>
    </row>
    <row r="68" spans="8:8" x14ac:dyDescent="0.25">
      <c r="H68" s="6"/>
    </row>
    <row r="69" spans="8:8" x14ac:dyDescent="0.25">
      <c r="H69" s="6"/>
    </row>
    <row r="70" spans="8:8" x14ac:dyDescent="0.25">
      <c r="H70" s="6"/>
    </row>
    <row r="71" spans="8:8" x14ac:dyDescent="0.25">
      <c r="H71" s="6"/>
    </row>
    <row r="72" spans="8:8" x14ac:dyDescent="0.25">
      <c r="H72" s="6"/>
    </row>
    <row r="73" spans="8:8" x14ac:dyDescent="0.25">
      <c r="H73" s="6"/>
    </row>
    <row r="74" spans="8:8" x14ac:dyDescent="0.25">
      <c r="H74" s="6"/>
    </row>
    <row r="75" spans="8:8" x14ac:dyDescent="0.25">
      <c r="H75" s="6"/>
    </row>
    <row r="76" spans="8:8" x14ac:dyDescent="0.25">
      <c r="H76" s="6"/>
    </row>
    <row r="77" spans="8:8" x14ac:dyDescent="0.25">
      <c r="H77" s="6"/>
    </row>
    <row r="78" spans="8:8" x14ac:dyDescent="0.25">
      <c r="H78" s="6"/>
    </row>
    <row r="79" spans="8:8" x14ac:dyDescent="0.25">
      <c r="H79" s="6"/>
    </row>
    <row r="80" spans="8:8" x14ac:dyDescent="0.25">
      <c r="H80" s="6"/>
    </row>
    <row r="81" spans="8:8" x14ac:dyDescent="0.25">
      <c r="H81" s="6"/>
    </row>
    <row r="82" spans="8:8" x14ac:dyDescent="0.25">
      <c r="H82" s="6"/>
    </row>
    <row r="83" spans="8:8" x14ac:dyDescent="0.25">
      <c r="H83" s="6"/>
    </row>
    <row r="84" spans="8:8" x14ac:dyDescent="0.25">
      <c r="H84" s="6"/>
    </row>
    <row r="85" spans="8:8" x14ac:dyDescent="0.25">
      <c r="H85" s="6"/>
    </row>
    <row r="86" spans="8:8" x14ac:dyDescent="0.25">
      <c r="H86" s="6"/>
    </row>
    <row r="87" spans="8:8" x14ac:dyDescent="0.25">
      <c r="H87" s="6"/>
    </row>
    <row r="88" spans="8:8" x14ac:dyDescent="0.25">
      <c r="H88" s="6"/>
    </row>
    <row r="89" spans="8:8" x14ac:dyDescent="0.25">
      <c r="H89" s="6"/>
    </row>
    <row r="90" spans="8:8" x14ac:dyDescent="0.25">
      <c r="H90" s="6"/>
    </row>
    <row r="91" spans="8:8" x14ac:dyDescent="0.25">
      <c r="H91" s="6"/>
    </row>
    <row r="92" spans="8:8" x14ac:dyDescent="0.25">
      <c r="H92" s="6"/>
    </row>
    <row r="93" spans="8:8" x14ac:dyDescent="0.25">
      <c r="H93" s="6"/>
    </row>
    <row r="94" spans="8:8" x14ac:dyDescent="0.25">
      <c r="H94" s="6"/>
    </row>
    <row r="95" spans="8:8" x14ac:dyDescent="0.25">
      <c r="H95" s="6"/>
    </row>
    <row r="96" spans="8:8" x14ac:dyDescent="0.25">
      <c r="H96" s="6"/>
    </row>
    <row r="97" spans="8:8" x14ac:dyDescent="0.25">
      <c r="H97" s="6"/>
    </row>
    <row r="98" spans="8:8" x14ac:dyDescent="0.25">
      <c r="H98" s="6"/>
    </row>
    <row r="99" spans="8:8" x14ac:dyDescent="0.25">
      <c r="H99" s="6"/>
    </row>
    <row r="100" spans="8:8" x14ac:dyDescent="0.25">
      <c r="H100" s="6"/>
    </row>
    <row r="101" spans="8:8" x14ac:dyDescent="0.25">
      <c r="H101" s="6"/>
    </row>
    <row r="102" spans="8:8" x14ac:dyDescent="0.25">
      <c r="H102" s="6"/>
    </row>
    <row r="103" spans="8:8" x14ac:dyDescent="0.25">
      <c r="H103" s="6"/>
    </row>
    <row r="104" spans="8:8" x14ac:dyDescent="0.25">
      <c r="H104" s="6"/>
    </row>
    <row r="105" spans="8:8" x14ac:dyDescent="0.25">
      <c r="H105" s="6"/>
    </row>
    <row r="106" spans="8:8" x14ac:dyDescent="0.25">
      <c r="H106" s="6"/>
    </row>
    <row r="107" spans="8:8" x14ac:dyDescent="0.25">
      <c r="H107" s="6"/>
    </row>
    <row r="108" spans="8:8" x14ac:dyDescent="0.25">
      <c r="H108" s="6"/>
    </row>
    <row r="109" spans="8:8" x14ac:dyDescent="0.25">
      <c r="H109" s="6"/>
    </row>
    <row r="110" spans="8:8" x14ac:dyDescent="0.25">
      <c r="H110" s="6"/>
    </row>
    <row r="111" spans="8:8" x14ac:dyDescent="0.25">
      <c r="H111" s="6"/>
    </row>
    <row r="112" spans="8:8" x14ac:dyDescent="0.25">
      <c r="H112" s="6"/>
    </row>
    <row r="113" spans="8:8" x14ac:dyDescent="0.25">
      <c r="H113" s="6"/>
    </row>
    <row r="114" spans="8:8" x14ac:dyDescent="0.25">
      <c r="H114" s="6"/>
    </row>
    <row r="115" spans="8:8" x14ac:dyDescent="0.25">
      <c r="H115" s="6"/>
    </row>
    <row r="116" spans="8:8" x14ac:dyDescent="0.25">
      <c r="H116" s="6"/>
    </row>
    <row r="117" spans="8:8" x14ac:dyDescent="0.25">
      <c r="H117" s="6"/>
    </row>
    <row r="118" spans="8:8" x14ac:dyDescent="0.25">
      <c r="H118" s="6"/>
    </row>
    <row r="119" spans="8:8" x14ac:dyDescent="0.25">
      <c r="H119" s="6"/>
    </row>
    <row r="120" spans="8:8" x14ac:dyDescent="0.25">
      <c r="H120" s="6"/>
    </row>
    <row r="121" spans="8:8" x14ac:dyDescent="0.25">
      <c r="H121" s="6"/>
    </row>
    <row r="122" spans="8:8" x14ac:dyDescent="0.25">
      <c r="H122" s="6"/>
    </row>
    <row r="123" spans="8:8" x14ac:dyDescent="0.25">
      <c r="H123" s="6"/>
    </row>
    <row r="124" spans="8:8" x14ac:dyDescent="0.25">
      <c r="H124" s="6"/>
    </row>
    <row r="125" spans="8:8" x14ac:dyDescent="0.25">
      <c r="H125" s="6"/>
    </row>
    <row r="126" spans="8:8" x14ac:dyDescent="0.25">
      <c r="H126" s="6"/>
    </row>
    <row r="127" spans="8:8" x14ac:dyDescent="0.25">
      <c r="H127" s="6"/>
    </row>
    <row r="128" spans="8:8" x14ac:dyDescent="0.25">
      <c r="H128" s="6"/>
    </row>
    <row r="129" spans="8:8" x14ac:dyDescent="0.25">
      <c r="H129" s="6"/>
    </row>
    <row r="130" spans="8:8" x14ac:dyDescent="0.25">
      <c r="H130" s="6"/>
    </row>
    <row r="131" spans="8:8" x14ac:dyDescent="0.25">
      <c r="H131" s="6"/>
    </row>
    <row r="132" spans="8:8" x14ac:dyDescent="0.25">
      <c r="H132" s="6"/>
    </row>
    <row r="133" spans="8:8" x14ac:dyDescent="0.25">
      <c r="H133" s="6"/>
    </row>
    <row r="134" spans="8:8" x14ac:dyDescent="0.25">
      <c r="H134" s="6"/>
    </row>
    <row r="135" spans="8:8" x14ac:dyDescent="0.25">
      <c r="H135" s="6"/>
    </row>
    <row r="136" spans="8:8" x14ac:dyDescent="0.25">
      <c r="H136" s="6"/>
    </row>
    <row r="137" spans="8:8" x14ac:dyDescent="0.25">
      <c r="H137" s="6"/>
    </row>
    <row r="138" spans="8:8" x14ac:dyDescent="0.25">
      <c r="H138" s="6"/>
    </row>
    <row r="139" spans="8:8" x14ac:dyDescent="0.25">
      <c r="H139" s="6"/>
    </row>
  </sheetData>
  <mergeCells count="5">
    <mergeCell ref="A5:I5"/>
    <mergeCell ref="A6:I6"/>
    <mergeCell ref="A7:I7"/>
    <mergeCell ref="C37:H42"/>
    <mergeCell ref="C13:I17"/>
  </mergeCells>
  <pageMargins left="0.7" right="0.7" top="0.75" bottom="0.75" header="0.3" footer="0.3"/>
  <pageSetup scale="8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32DA3-14B8-4C61-8005-F20FCDD2A5D5}">
  <sheetPr>
    <pageSetUpPr fitToPage="1"/>
  </sheetPr>
  <dimension ref="A1:H28"/>
  <sheetViews>
    <sheetView zoomScale="110" zoomScaleNormal="110" workbookViewId="0">
      <selection activeCell="C12" sqref="C12:H31"/>
    </sheetView>
  </sheetViews>
  <sheetFormatPr defaultRowHeight="15" x14ac:dyDescent="0.25"/>
  <cols>
    <col min="1" max="1" width="6.7109375" customWidth="1"/>
    <col min="2" max="2" width="10.140625" customWidth="1"/>
    <col min="3" max="3" width="7.42578125" customWidth="1"/>
    <col min="4" max="4" width="14.140625" customWidth="1"/>
    <col min="5" max="5" width="10.5703125" customWidth="1"/>
    <col min="6" max="6" width="9.28515625" customWidth="1"/>
    <col min="7" max="7" width="15.7109375" customWidth="1"/>
    <col min="8" max="8" width="20.140625" customWidth="1"/>
  </cols>
  <sheetData>
    <row r="1" spans="1:8" x14ac:dyDescent="0.25">
      <c r="H1" s="2" t="s">
        <v>66</v>
      </c>
    </row>
    <row r="2" spans="1:8" x14ac:dyDescent="0.25">
      <c r="H2" s="2" t="s">
        <v>76</v>
      </c>
    </row>
    <row r="3" spans="1:8" x14ac:dyDescent="0.25">
      <c r="H3" s="2" t="s">
        <v>179</v>
      </c>
    </row>
    <row r="5" spans="1:8" x14ac:dyDescent="0.25">
      <c r="A5" s="56" t="s">
        <v>141</v>
      </c>
      <c r="B5" s="56"/>
      <c r="C5" s="56"/>
      <c r="D5" s="56"/>
      <c r="E5" s="56"/>
      <c r="F5" s="56"/>
      <c r="G5" s="56"/>
      <c r="H5" s="56"/>
    </row>
    <row r="6" spans="1:8" x14ac:dyDescent="0.25">
      <c r="A6" s="56" t="s">
        <v>1</v>
      </c>
      <c r="B6" s="56"/>
      <c r="C6" s="56"/>
      <c r="D6" s="56"/>
      <c r="E6" s="56"/>
      <c r="F6" s="56"/>
      <c r="G6" s="56"/>
      <c r="H6" s="56"/>
    </row>
    <row r="7" spans="1:8" x14ac:dyDescent="0.25">
      <c r="A7" s="56" t="s">
        <v>2</v>
      </c>
      <c r="B7" s="56"/>
      <c r="C7" s="56"/>
      <c r="D7" s="56"/>
      <c r="E7" s="56"/>
      <c r="F7" s="56"/>
      <c r="G7" s="56"/>
      <c r="H7" s="56"/>
    </row>
    <row r="9" spans="1:8" x14ac:dyDescent="0.25">
      <c r="B9" s="3" t="s">
        <v>66</v>
      </c>
      <c r="C9" t="s">
        <v>67</v>
      </c>
    </row>
    <row r="10" spans="1:8" x14ac:dyDescent="0.25">
      <c r="C10" t="s">
        <v>68</v>
      </c>
    </row>
    <row r="11" spans="1:8" x14ac:dyDescent="0.25">
      <c r="C11" t="s">
        <v>69</v>
      </c>
    </row>
    <row r="13" spans="1:8" x14ac:dyDescent="0.25">
      <c r="B13" s="4" t="s">
        <v>5</v>
      </c>
      <c r="C13" s="57" t="s">
        <v>140</v>
      </c>
      <c r="D13" s="59"/>
      <c r="E13" s="59"/>
      <c r="F13" s="59"/>
      <c r="G13" s="59"/>
      <c r="H13" s="59"/>
    </row>
    <row r="14" spans="1:8" x14ac:dyDescent="0.25">
      <c r="C14" s="59"/>
      <c r="D14" s="59"/>
      <c r="E14" s="59"/>
      <c r="F14" s="59"/>
      <c r="G14" s="59"/>
      <c r="H14" s="59"/>
    </row>
    <row r="15" spans="1:8" x14ac:dyDescent="0.25">
      <c r="C15" s="59"/>
      <c r="D15" s="59"/>
      <c r="E15" s="59"/>
      <c r="F15" s="59"/>
      <c r="G15" s="59"/>
      <c r="H15" s="59"/>
    </row>
    <row r="16" spans="1:8" x14ac:dyDescent="0.25">
      <c r="C16" s="59"/>
      <c r="D16" s="59"/>
      <c r="E16" s="59"/>
      <c r="F16" s="59"/>
      <c r="G16" s="59"/>
      <c r="H16" s="59"/>
    </row>
    <row r="17" spans="3:8" x14ac:dyDescent="0.25">
      <c r="C17" s="59"/>
      <c r="D17" s="59"/>
      <c r="E17" s="59"/>
      <c r="F17" s="59"/>
      <c r="G17" s="59"/>
      <c r="H17" s="59"/>
    </row>
    <row r="18" spans="3:8" x14ac:dyDescent="0.25">
      <c r="C18" s="59"/>
      <c r="D18" s="59"/>
      <c r="E18" s="59"/>
      <c r="F18" s="59"/>
      <c r="G18" s="59"/>
      <c r="H18" s="59"/>
    </row>
    <row r="19" spans="3:8" x14ac:dyDescent="0.25">
      <c r="C19" s="59"/>
      <c r="D19" s="59"/>
      <c r="E19" s="59"/>
      <c r="F19" s="59"/>
      <c r="G19" s="59"/>
      <c r="H19" s="59"/>
    </row>
    <row r="20" spans="3:8" x14ac:dyDescent="0.25">
      <c r="C20" s="59"/>
      <c r="D20" s="59"/>
      <c r="E20" s="59"/>
      <c r="F20" s="59"/>
      <c r="G20" s="59"/>
      <c r="H20" s="59"/>
    </row>
    <row r="21" spans="3:8" x14ac:dyDescent="0.25">
      <c r="C21" s="59"/>
      <c r="D21" s="59"/>
      <c r="E21" s="59"/>
      <c r="F21" s="59"/>
      <c r="G21" s="59"/>
      <c r="H21" s="59"/>
    </row>
    <row r="22" spans="3:8" x14ac:dyDescent="0.25">
      <c r="C22" s="59"/>
      <c r="D22" s="59"/>
      <c r="E22" s="59"/>
      <c r="F22" s="59"/>
      <c r="G22" s="59"/>
      <c r="H22" s="59"/>
    </row>
    <row r="23" spans="3:8" x14ac:dyDescent="0.25">
      <c r="C23" s="59"/>
      <c r="D23" s="59"/>
      <c r="E23" s="59"/>
      <c r="F23" s="59"/>
      <c r="G23" s="59"/>
      <c r="H23" s="59"/>
    </row>
    <row r="24" spans="3:8" x14ac:dyDescent="0.25">
      <c r="C24" s="59"/>
      <c r="D24" s="59"/>
      <c r="E24" s="59"/>
      <c r="F24" s="59"/>
      <c r="G24" s="59"/>
      <c r="H24" s="59"/>
    </row>
    <row r="25" spans="3:8" x14ac:dyDescent="0.25">
      <c r="C25" s="59"/>
      <c r="D25" s="59"/>
      <c r="E25" s="59"/>
      <c r="F25" s="59"/>
      <c r="G25" s="59"/>
      <c r="H25" s="59"/>
    </row>
    <row r="26" spans="3:8" x14ac:dyDescent="0.25">
      <c r="C26" s="59"/>
      <c r="D26" s="59"/>
      <c r="E26" s="59"/>
      <c r="F26" s="59"/>
      <c r="G26" s="59"/>
      <c r="H26" s="59"/>
    </row>
    <row r="27" spans="3:8" x14ac:dyDescent="0.25">
      <c r="C27" s="59"/>
      <c r="D27" s="59"/>
      <c r="E27" s="59"/>
      <c r="F27" s="59"/>
      <c r="G27" s="59"/>
      <c r="H27" s="59"/>
    </row>
    <row r="28" spans="3:8" x14ac:dyDescent="0.25">
      <c r="C28" s="59"/>
      <c r="D28" s="59"/>
      <c r="E28" s="59"/>
      <c r="F28" s="59"/>
      <c r="G28" s="59"/>
      <c r="H28" s="59"/>
    </row>
  </sheetData>
  <mergeCells count="4">
    <mergeCell ref="C13:H28"/>
    <mergeCell ref="A5:H5"/>
    <mergeCell ref="A6:H6"/>
    <mergeCell ref="A7:H7"/>
  </mergeCells>
  <pageMargins left="0.7" right="0.7" top="0.75" bottom="0.75" header="0.3" footer="0.3"/>
  <pageSetup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B0C2F-45FF-4448-B4BA-1B0426F81370}">
  <sheetPr>
    <pageSetUpPr fitToPage="1"/>
  </sheetPr>
  <dimension ref="A1:H32"/>
  <sheetViews>
    <sheetView workbookViewId="0">
      <selection activeCell="C12" sqref="C12:H32"/>
    </sheetView>
  </sheetViews>
  <sheetFormatPr defaultRowHeight="15" x14ac:dyDescent="0.25"/>
  <cols>
    <col min="1" max="1" width="6.7109375" customWidth="1"/>
    <col min="2" max="2" width="10.140625" customWidth="1"/>
    <col min="3" max="3" width="7.42578125" customWidth="1"/>
    <col min="4" max="4" width="14.140625" customWidth="1"/>
    <col min="5" max="5" width="10.5703125" customWidth="1"/>
    <col min="6" max="6" width="9.28515625" customWidth="1"/>
    <col min="7" max="7" width="15.7109375" customWidth="1"/>
    <col min="8" max="8" width="20.140625" customWidth="1"/>
  </cols>
  <sheetData>
    <row r="1" spans="1:8" x14ac:dyDescent="0.25">
      <c r="H1" s="2" t="s">
        <v>70</v>
      </c>
    </row>
    <row r="2" spans="1:8" x14ac:dyDescent="0.25">
      <c r="H2" s="2" t="s">
        <v>76</v>
      </c>
    </row>
    <row r="3" spans="1:8" x14ac:dyDescent="0.25">
      <c r="H3" s="2" t="s">
        <v>178</v>
      </c>
    </row>
    <row r="5" spans="1:8" x14ac:dyDescent="0.25">
      <c r="A5" s="56" t="s">
        <v>141</v>
      </c>
      <c r="B5" s="56"/>
      <c r="C5" s="56"/>
      <c r="D5" s="56"/>
      <c r="E5" s="56"/>
      <c r="F5" s="56"/>
      <c r="G5" s="56"/>
      <c r="H5" s="56"/>
    </row>
    <row r="6" spans="1:8" x14ac:dyDescent="0.25">
      <c r="A6" s="56" t="s">
        <v>1</v>
      </c>
      <c r="B6" s="56"/>
      <c r="C6" s="56"/>
      <c r="D6" s="56"/>
      <c r="E6" s="56"/>
      <c r="F6" s="56"/>
      <c r="G6" s="56"/>
      <c r="H6" s="56"/>
    </row>
    <row r="7" spans="1:8" x14ac:dyDescent="0.25">
      <c r="A7" s="56" t="s">
        <v>2</v>
      </c>
      <c r="B7" s="56"/>
      <c r="C7" s="56"/>
      <c r="D7" s="56"/>
      <c r="E7" s="56"/>
      <c r="F7" s="56"/>
      <c r="G7" s="56"/>
      <c r="H7" s="56"/>
    </row>
    <row r="9" spans="1:8" x14ac:dyDescent="0.25">
      <c r="B9" s="3" t="s">
        <v>70</v>
      </c>
      <c r="C9" t="s">
        <v>71</v>
      </c>
    </row>
    <row r="10" spans="1:8" x14ac:dyDescent="0.25">
      <c r="C10" t="s">
        <v>72</v>
      </c>
    </row>
    <row r="12" spans="1:8" x14ac:dyDescent="0.25">
      <c r="B12" s="4" t="s">
        <v>5</v>
      </c>
      <c r="C12" s="57" t="s">
        <v>175</v>
      </c>
      <c r="D12" s="57"/>
      <c r="E12" s="57"/>
      <c r="F12" s="57"/>
      <c r="G12" s="57"/>
      <c r="H12" s="57"/>
    </row>
    <row r="13" spans="1:8" x14ac:dyDescent="0.25">
      <c r="C13" s="57"/>
      <c r="D13" s="57"/>
      <c r="E13" s="57"/>
      <c r="F13" s="57"/>
      <c r="G13" s="57"/>
      <c r="H13" s="57"/>
    </row>
    <row r="14" spans="1:8" x14ac:dyDescent="0.25">
      <c r="C14" s="57"/>
      <c r="D14" s="57"/>
      <c r="E14" s="57"/>
      <c r="F14" s="57"/>
      <c r="G14" s="57"/>
      <c r="H14" s="57"/>
    </row>
    <row r="15" spans="1:8" x14ac:dyDescent="0.25">
      <c r="C15" s="57"/>
      <c r="D15" s="57"/>
      <c r="E15" s="57"/>
      <c r="F15" s="57"/>
      <c r="G15" s="57"/>
      <c r="H15" s="57"/>
    </row>
    <row r="16" spans="1:8" x14ac:dyDescent="0.25">
      <c r="C16" s="57"/>
      <c r="D16" s="57"/>
      <c r="E16" s="57"/>
      <c r="F16" s="57"/>
      <c r="G16" s="57"/>
      <c r="H16" s="57"/>
    </row>
    <row r="17" spans="3:8" x14ac:dyDescent="0.25">
      <c r="C17" s="57"/>
      <c r="D17" s="57"/>
      <c r="E17" s="57"/>
      <c r="F17" s="57"/>
      <c r="G17" s="57"/>
      <c r="H17" s="57"/>
    </row>
    <row r="18" spans="3:8" x14ac:dyDescent="0.25">
      <c r="C18" s="57"/>
      <c r="D18" s="57"/>
      <c r="E18" s="57"/>
      <c r="F18" s="57"/>
      <c r="G18" s="57"/>
      <c r="H18" s="57"/>
    </row>
    <row r="19" spans="3:8" x14ac:dyDescent="0.25">
      <c r="C19" s="57"/>
      <c r="D19" s="57"/>
      <c r="E19" s="57"/>
      <c r="F19" s="57"/>
      <c r="G19" s="57"/>
      <c r="H19" s="57"/>
    </row>
    <row r="20" spans="3:8" x14ac:dyDescent="0.25">
      <c r="C20" s="57"/>
      <c r="D20" s="57"/>
      <c r="E20" s="57"/>
      <c r="F20" s="57"/>
      <c r="G20" s="57"/>
      <c r="H20" s="57"/>
    </row>
    <row r="21" spans="3:8" x14ac:dyDescent="0.25">
      <c r="C21" s="57"/>
      <c r="D21" s="57"/>
      <c r="E21" s="57"/>
      <c r="F21" s="57"/>
      <c r="G21" s="57"/>
      <c r="H21" s="57"/>
    </row>
    <row r="22" spans="3:8" x14ac:dyDescent="0.25">
      <c r="C22" s="57"/>
      <c r="D22" s="57"/>
      <c r="E22" s="57"/>
      <c r="F22" s="57"/>
      <c r="G22" s="57"/>
      <c r="H22" s="57"/>
    </row>
    <row r="23" spans="3:8" x14ac:dyDescent="0.25">
      <c r="C23" s="57"/>
      <c r="D23" s="57"/>
      <c r="E23" s="57"/>
      <c r="F23" s="57"/>
      <c r="G23" s="57"/>
      <c r="H23" s="57"/>
    </row>
    <row r="24" spans="3:8" x14ac:dyDescent="0.25">
      <c r="C24" s="57"/>
      <c r="D24" s="57"/>
      <c r="E24" s="57"/>
      <c r="F24" s="57"/>
      <c r="G24" s="57"/>
      <c r="H24" s="57"/>
    </row>
    <row r="25" spans="3:8" x14ac:dyDescent="0.25">
      <c r="C25" s="57"/>
      <c r="D25" s="57"/>
      <c r="E25" s="57"/>
      <c r="F25" s="57"/>
      <c r="G25" s="57"/>
      <c r="H25" s="57"/>
    </row>
    <row r="26" spans="3:8" x14ac:dyDescent="0.25">
      <c r="C26" s="57"/>
      <c r="D26" s="57"/>
      <c r="E26" s="57"/>
      <c r="F26" s="57"/>
      <c r="G26" s="57"/>
      <c r="H26" s="57"/>
    </row>
    <row r="27" spans="3:8" x14ac:dyDescent="0.25">
      <c r="C27" s="57"/>
      <c r="D27" s="57"/>
      <c r="E27" s="57"/>
      <c r="F27" s="57"/>
      <c r="G27" s="57"/>
      <c r="H27" s="57"/>
    </row>
    <row r="28" spans="3:8" x14ac:dyDescent="0.25">
      <c r="C28" s="57"/>
      <c r="D28" s="57"/>
      <c r="E28" s="57"/>
      <c r="F28" s="57"/>
      <c r="G28" s="57"/>
      <c r="H28" s="57"/>
    </row>
    <row r="29" spans="3:8" x14ac:dyDescent="0.25">
      <c r="C29" s="57"/>
      <c r="D29" s="57"/>
      <c r="E29" s="57"/>
      <c r="F29" s="57"/>
      <c r="G29" s="57"/>
      <c r="H29" s="57"/>
    </row>
    <row r="30" spans="3:8" x14ac:dyDescent="0.25">
      <c r="C30" s="57"/>
      <c r="D30" s="57"/>
      <c r="E30" s="57"/>
      <c r="F30" s="57"/>
      <c r="G30" s="57"/>
      <c r="H30" s="57"/>
    </row>
    <row r="31" spans="3:8" x14ac:dyDescent="0.25">
      <c r="C31" s="57"/>
      <c r="D31" s="57"/>
      <c r="E31" s="57"/>
      <c r="F31" s="57"/>
      <c r="G31" s="57"/>
      <c r="H31" s="57"/>
    </row>
    <row r="32" spans="3:8" x14ac:dyDescent="0.25">
      <c r="C32" s="57"/>
      <c r="D32" s="57"/>
      <c r="E32" s="57"/>
      <c r="F32" s="57"/>
      <c r="G32" s="57"/>
      <c r="H32" s="57"/>
    </row>
  </sheetData>
  <mergeCells count="4">
    <mergeCell ref="A5:H5"/>
    <mergeCell ref="A6:H6"/>
    <mergeCell ref="A7:H7"/>
    <mergeCell ref="C12:H32"/>
  </mergeCells>
  <pageMargins left="0.7" right="0.7" top="0.75" bottom="0.75" header="0.3" footer="0.3"/>
  <pageSetup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DF910-589F-4F85-A162-06A5752C8C12}">
  <sheetPr>
    <pageSetUpPr fitToPage="1"/>
  </sheetPr>
  <dimension ref="A1:H31"/>
  <sheetViews>
    <sheetView workbookViewId="0">
      <selection activeCell="N21" sqref="N21"/>
    </sheetView>
  </sheetViews>
  <sheetFormatPr defaultRowHeight="15" x14ac:dyDescent="0.25"/>
  <cols>
    <col min="1" max="1" width="6.7109375" customWidth="1"/>
    <col min="2" max="2" width="10.140625" customWidth="1"/>
    <col min="3" max="3" width="7.42578125" customWidth="1"/>
    <col min="4" max="4" width="14.140625" customWidth="1"/>
    <col min="5" max="5" width="10.5703125" customWidth="1"/>
    <col min="6" max="6" width="9.28515625" customWidth="1"/>
    <col min="7" max="7" width="15.7109375" customWidth="1"/>
    <col min="8" max="8" width="20.140625" customWidth="1"/>
  </cols>
  <sheetData>
    <row r="1" spans="1:8" x14ac:dyDescent="0.25">
      <c r="H1" s="2" t="s">
        <v>73</v>
      </c>
    </row>
    <row r="2" spans="1:8" x14ac:dyDescent="0.25">
      <c r="H2" s="2" t="s">
        <v>76</v>
      </c>
    </row>
    <row r="3" spans="1:8" x14ac:dyDescent="0.25">
      <c r="H3" s="2" t="s">
        <v>178</v>
      </c>
    </row>
    <row r="5" spans="1:8" x14ac:dyDescent="0.25">
      <c r="A5" s="56" t="s">
        <v>141</v>
      </c>
      <c r="B5" s="56"/>
      <c r="C5" s="56"/>
      <c r="D5" s="56"/>
      <c r="E5" s="56"/>
      <c r="F5" s="56"/>
      <c r="G5" s="56"/>
      <c r="H5" s="56"/>
    </row>
    <row r="6" spans="1:8" x14ac:dyDescent="0.25">
      <c r="A6" s="56" t="s">
        <v>1</v>
      </c>
      <c r="B6" s="56"/>
      <c r="C6" s="56"/>
      <c r="D6" s="56"/>
      <c r="E6" s="56"/>
      <c r="F6" s="56"/>
      <c r="G6" s="56"/>
      <c r="H6" s="56"/>
    </row>
    <row r="7" spans="1:8" x14ac:dyDescent="0.25">
      <c r="A7" s="56" t="s">
        <v>2</v>
      </c>
      <c r="B7" s="56"/>
      <c r="C7" s="56"/>
      <c r="D7" s="56"/>
      <c r="E7" s="56"/>
      <c r="F7" s="56"/>
      <c r="G7" s="56"/>
      <c r="H7" s="56"/>
    </row>
    <row r="9" spans="1:8" x14ac:dyDescent="0.25">
      <c r="B9" s="3" t="s">
        <v>73</v>
      </c>
      <c r="C9" t="s">
        <v>74</v>
      </c>
    </row>
    <row r="10" spans="1:8" x14ac:dyDescent="0.25">
      <c r="C10" t="s">
        <v>75</v>
      </c>
    </row>
    <row r="12" spans="1:8" x14ac:dyDescent="0.25">
      <c r="B12" s="4" t="s">
        <v>5</v>
      </c>
      <c r="C12" s="60" t="s">
        <v>143</v>
      </c>
      <c r="D12" s="61"/>
      <c r="E12" s="61"/>
      <c r="F12" s="61"/>
      <c r="G12" s="61"/>
      <c r="H12" s="61"/>
    </row>
    <row r="13" spans="1:8" x14ac:dyDescent="0.25">
      <c r="C13" s="61"/>
      <c r="D13" s="61"/>
      <c r="E13" s="61"/>
      <c r="F13" s="61"/>
      <c r="G13" s="61"/>
      <c r="H13" s="61"/>
    </row>
    <row r="14" spans="1:8" x14ac:dyDescent="0.25">
      <c r="C14" s="61"/>
      <c r="D14" s="61"/>
      <c r="E14" s="61"/>
      <c r="F14" s="61"/>
      <c r="G14" s="61"/>
      <c r="H14" s="61"/>
    </row>
    <row r="15" spans="1:8" x14ac:dyDescent="0.25">
      <c r="C15" s="61"/>
      <c r="D15" s="61"/>
      <c r="E15" s="61"/>
      <c r="F15" s="61"/>
      <c r="G15" s="61"/>
      <c r="H15" s="61"/>
    </row>
    <row r="16" spans="1:8" x14ac:dyDescent="0.25">
      <c r="C16" s="61"/>
      <c r="D16" s="61"/>
      <c r="E16" s="61"/>
      <c r="F16" s="61"/>
      <c r="G16" s="61"/>
      <c r="H16" s="61"/>
    </row>
    <row r="17" spans="3:8" x14ac:dyDescent="0.25">
      <c r="C17" s="61"/>
      <c r="D17" s="61"/>
      <c r="E17" s="61"/>
      <c r="F17" s="61"/>
      <c r="G17" s="61"/>
      <c r="H17" s="61"/>
    </row>
    <row r="18" spans="3:8" x14ac:dyDescent="0.25">
      <c r="C18" s="61"/>
      <c r="D18" s="61"/>
      <c r="E18" s="61"/>
      <c r="F18" s="61"/>
      <c r="G18" s="61"/>
      <c r="H18" s="61"/>
    </row>
    <row r="19" spans="3:8" x14ac:dyDescent="0.25">
      <c r="C19" s="61"/>
      <c r="D19" s="61"/>
      <c r="E19" s="61"/>
      <c r="F19" s="61"/>
      <c r="G19" s="61"/>
      <c r="H19" s="61"/>
    </row>
    <row r="20" spans="3:8" x14ac:dyDescent="0.25">
      <c r="C20" s="61"/>
      <c r="D20" s="61"/>
      <c r="E20" s="61"/>
      <c r="F20" s="61"/>
      <c r="G20" s="61"/>
      <c r="H20" s="61"/>
    </row>
    <row r="21" spans="3:8" x14ac:dyDescent="0.25">
      <c r="C21" s="61"/>
      <c r="D21" s="61"/>
      <c r="E21" s="61"/>
      <c r="F21" s="61"/>
      <c r="G21" s="61"/>
      <c r="H21" s="61"/>
    </row>
    <row r="22" spans="3:8" x14ac:dyDescent="0.25">
      <c r="C22" s="61"/>
      <c r="D22" s="61"/>
      <c r="E22" s="61"/>
      <c r="F22" s="61"/>
      <c r="G22" s="61"/>
      <c r="H22" s="61"/>
    </row>
    <row r="23" spans="3:8" x14ac:dyDescent="0.25">
      <c r="C23" s="61"/>
      <c r="D23" s="61"/>
      <c r="E23" s="61"/>
      <c r="F23" s="61"/>
      <c r="G23" s="61"/>
      <c r="H23" s="61"/>
    </row>
    <row r="24" spans="3:8" x14ac:dyDescent="0.25">
      <c r="C24" s="61"/>
      <c r="D24" s="61"/>
      <c r="E24" s="61"/>
      <c r="F24" s="61"/>
      <c r="G24" s="61"/>
      <c r="H24" s="61"/>
    </row>
    <row r="25" spans="3:8" x14ac:dyDescent="0.25">
      <c r="C25" s="61"/>
      <c r="D25" s="61"/>
      <c r="E25" s="61"/>
      <c r="F25" s="61"/>
      <c r="G25" s="61"/>
      <c r="H25" s="61"/>
    </row>
    <row r="26" spans="3:8" x14ac:dyDescent="0.25">
      <c r="C26" s="61"/>
      <c r="D26" s="61"/>
      <c r="E26" s="61"/>
      <c r="F26" s="61"/>
      <c r="G26" s="61"/>
      <c r="H26" s="61"/>
    </row>
    <row r="27" spans="3:8" x14ac:dyDescent="0.25">
      <c r="C27" s="61"/>
      <c r="D27" s="61"/>
      <c r="E27" s="61"/>
      <c r="F27" s="61"/>
      <c r="G27" s="61"/>
      <c r="H27" s="61"/>
    </row>
    <row r="28" spans="3:8" x14ac:dyDescent="0.25">
      <c r="C28" s="61"/>
      <c r="D28" s="61"/>
      <c r="E28" s="61"/>
      <c r="F28" s="61"/>
      <c r="G28" s="61"/>
      <c r="H28" s="61"/>
    </row>
    <row r="29" spans="3:8" x14ac:dyDescent="0.25">
      <c r="C29" s="61"/>
      <c r="D29" s="61"/>
      <c r="E29" s="61"/>
      <c r="F29" s="61"/>
      <c r="G29" s="61"/>
      <c r="H29" s="61"/>
    </row>
    <row r="30" spans="3:8" x14ac:dyDescent="0.25">
      <c r="C30" s="61"/>
      <c r="D30" s="61"/>
      <c r="E30" s="61"/>
      <c r="F30" s="61"/>
      <c r="G30" s="61"/>
      <c r="H30" s="61"/>
    </row>
    <row r="31" spans="3:8" x14ac:dyDescent="0.25">
      <c r="C31" s="61"/>
      <c r="D31" s="61"/>
      <c r="E31" s="61"/>
      <c r="F31" s="61"/>
      <c r="G31" s="61"/>
      <c r="H31" s="61"/>
    </row>
  </sheetData>
  <mergeCells count="4">
    <mergeCell ref="A5:H5"/>
    <mergeCell ref="A6:H6"/>
    <mergeCell ref="A7:H7"/>
    <mergeCell ref="C12:H31"/>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3031B-85D4-4A3B-A232-F7D9049DADDA}">
  <dimension ref="A1:H19"/>
  <sheetViews>
    <sheetView workbookViewId="0">
      <selection activeCell="C12" sqref="C12:H31"/>
    </sheetView>
  </sheetViews>
  <sheetFormatPr defaultRowHeight="15" x14ac:dyDescent="0.25"/>
  <cols>
    <col min="1" max="1" width="6.7109375" customWidth="1"/>
    <col min="2" max="2" width="10.140625" customWidth="1"/>
    <col min="3" max="3" width="7.140625" customWidth="1"/>
    <col min="4" max="4" width="13.28515625" customWidth="1"/>
    <col min="6" max="6" width="10.5703125" customWidth="1"/>
    <col min="7" max="7" width="10.5703125" bestFit="1" customWidth="1"/>
  </cols>
  <sheetData>
    <row r="1" spans="1:8" x14ac:dyDescent="0.25">
      <c r="H1" s="2" t="s">
        <v>10</v>
      </c>
    </row>
    <row r="2" spans="1:8" x14ac:dyDescent="0.25">
      <c r="H2" s="2" t="s">
        <v>76</v>
      </c>
    </row>
    <row r="3" spans="1:8" x14ac:dyDescent="0.25">
      <c r="H3" s="2" t="s">
        <v>142</v>
      </c>
    </row>
    <row r="5" spans="1:8" x14ac:dyDescent="0.25">
      <c r="A5" s="56" t="s">
        <v>141</v>
      </c>
      <c r="B5" s="56"/>
      <c r="C5" s="56"/>
      <c r="D5" s="56"/>
      <c r="E5" s="56"/>
      <c r="F5" s="56"/>
      <c r="G5" s="56"/>
      <c r="H5" s="56"/>
    </row>
    <row r="6" spans="1:8" x14ac:dyDescent="0.25">
      <c r="A6" s="56" t="s">
        <v>1</v>
      </c>
      <c r="B6" s="56"/>
      <c r="C6" s="56"/>
      <c r="D6" s="56"/>
      <c r="E6" s="56"/>
      <c r="F6" s="56"/>
      <c r="G6" s="56"/>
      <c r="H6" s="56"/>
    </row>
    <row r="7" spans="1:8" x14ac:dyDescent="0.25">
      <c r="A7" s="56" t="s">
        <v>2</v>
      </c>
      <c r="B7" s="56"/>
      <c r="C7" s="56"/>
      <c r="D7" s="56"/>
      <c r="E7" s="56"/>
      <c r="F7" s="56"/>
      <c r="G7" s="56"/>
      <c r="H7" s="56"/>
    </row>
    <row r="9" spans="1:8" x14ac:dyDescent="0.25">
      <c r="B9" s="3" t="s">
        <v>10</v>
      </c>
      <c r="C9" t="s">
        <v>125</v>
      </c>
    </row>
    <row r="10" spans="1:8" x14ac:dyDescent="0.25">
      <c r="C10" t="s">
        <v>126</v>
      </c>
    </row>
    <row r="12" spans="1:8" x14ac:dyDescent="0.25">
      <c r="B12" s="4" t="s">
        <v>5</v>
      </c>
      <c r="C12" t="s">
        <v>132</v>
      </c>
    </row>
    <row r="13" spans="1:8" x14ac:dyDescent="0.25">
      <c r="C13" t="s">
        <v>6</v>
      </c>
    </row>
    <row r="14" spans="1:8" x14ac:dyDescent="0.25">
      <c r="D14" t="s">
        <v>7</v>
      </c>
      <c r="G14" s="6">
        <f>16143+215</f>
        <v>16358</v>
      </c>
    </row>
    <row r="15" spans="1:8" x14ac:dyDescent="0.25">
      <c r="D15" t="s">
        <v>31</v>
      </c>
      <c r="G15" s="6">
        <v>556</v>
      </c>
    </row>
    <row r="16" spans="1:8" x14ac:dyDescent="0.25">
      <c r="D16" t="s">
        <v>32</v>
      </c>
      <c r="G16" s="6">
        <v>11</v>
      </c>
    </row>
    <row r="17" spans="4:7" x14ac:dyDescent="0.25">
      <c r="D17" t="s">
        <v>8</v>
      </c>
      <c r="G17" s="6">
        <v>33</v>
      </c>
    </row>
    <row r="18" spans="4:7" ht="15.75" thickBot="1" x14ac:dyDescent="0.3">
      <c r="D18" t="s">
        <v>9</v>
      </c>
      <c r="G18" s="7">
        <f>SUM(G14:G17)</f>
        <v>16958</v>
      </c>
    </row>
    <row r="19" spans="4:7" ht="15.75" thickTop="1" x14ac:dyDescent="0.25"/>
  </sheetData>
  <mergeCells count="3">
    <mergeCell ref="A5:H5"/>
    <mergeCell ref="A6:H6"/>
    <mergeCell ref="A7:H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EC3CD-E8E3-4BA3-980A-00F51280FCE9}">
  <sheetPr>
    <pageSetUpPr fitToPage="1"/>
  </sheetPr>
  <dimension ref="A1:H33"/>
  <sheetViews>
    <sheetView workbookViewId="0">
      <selection activeCell="E22" sqref="E22"/>
    </sheetView>
  </sheetViews>
  <sheetFormatPr defaultRowHeight="15" x14ac:dyDescent="0.25"/>
  <cols>
    <col min="1" max="1" width="6.7109375" customWidth="1"/>
    <col min="2" max="2" width="10.140625" customWidth="1"/>
    <col min="3" max="3" width="9.5703125" customWidth="1"/>
    <col min="4" max="4" width="14.140625" customWidth="1"/>
    <col min="5" max="5" width="15.28515625" bestFit="1" customWidth="1"/>
    <col min="6" max="6" width="9.28515625" customWidth="1"/>
    <col min="7" max="7" width="15.7109375" customWidth="1"/>
    <col min="8" max="8" width="19" customWidth="1"/>
  </cols>
  <sheetData>
    <row r="1" spans="1:8" x14ac:dyDescent="0.25">
      <c r="H1" s="2" t="s">
        <v>11</v>
      </c>
    </row>
    <row r="2" spans="1:8" x14ac:dyDescent="0.25">
      <c r="H2" s="2" t="s">
        <v>76</v>
      </c>
    </row>
    <row r="3" spans="1:8" x14ac:dyDescent="0.25">
      <c r="H3" s="2" t="s">
        <v>142</v>
      </c>
    </row>
    <row r="5" spans="1:8" x14ac:dyDescent="0.25">
      <c r="A5" s="56" t="s">
        <v>141</v>
      </c>
      <c r="B5" s="56"/>
      <c r="C5" s="56"/>
      <c r="D5" s="56"/>
      <c r="E5" s="56"/>
      <c r="F5" s="56"/>
      <c r="G5" s="56"/>
      <c r="H5" s="56"/>
    </row>
    <row r="6" spans="1:8" x14ac:dyDescent="0.25">
      <c r="A6" s="56" t="s">
        <v>1</v>
      </c>
      <c r="B6" s="56"/>
      <c r="C6" s="56"/>
      <c r="D6" s="56"/>
      <c r="E6" s="56"/>
      <c r="F6" s="56"/>
      <c r="G6" s="56"/>
      <c r="H6" s="56"/>
    </row>
    <row r="7" spans="1:8" x14ac:dyDescent="0.25">
      <c r="A7" s="56" t="s">
        <v>2</v>
      </c>
      <c r="B7" s="56"/>
      <c r="C7" s="56"/>
      <c r="D7" s="56"/>
      <c r="E7" s="56"/>
      <c r="F7" s="56"/>
      <c r="G7" s="56"/>
      <c r="H7" s="56"/>
    </row>
    <row r="9" spans="1:8" x14ac:dyDescent="0.25">
      <c r="B9" s="3" t="s">
        <v>11</v>
      </c>
      <c r="C9" t="s">
        <v>12</v>
      </c>
    </row>
    <row r="10" spans="1:8" x14ac:dyDescent="0.25">
      <c r="C10" t="s">
        <v>119</v>
      </c>
    </row>
    <row r="11" spans="1:8" x14ac:dyDescent="0.25">
      <c r="C11" t="s">
        <v>13</v>
      </c>
    </row>
    <row r="12" spans="1:8" x14ac:dyDescent="0.25">
      <c r="C12" t="s">
        <v>14</v>
      </c>
    </row>
    <row r="13" spans="1:8" x14ac:dyDescent="0.25">
      <c r="C13" t="s">
        <v>15</v>
      </c>
    </row>
    <row r="14" spans="1:8" x14ac:dyDescent="0.25">
      <c r="D14" t="s">
        <v>17</v>
      </c>
    </row>
    <row r="15" spans="1:8" x14ac:dyDescent="0.25">
      <c r="D15" t="s">
        <v>18</v>
      </c>
    </row>
    <row r="16" spans="1:8" x14ac:dyDescent="0.25">
      <c r="D16" t="s">
        <v>19</v>
      </c>
    </row>
    <row r="17" spans="2:8" x14ac:dyDescent="0.25">
      <c r="D17" t="s">
        <v>20</v>
      </c>
    </row>
    <row r="18" spans="2:8" x14ac:dyDescent="0.25">
      <c r="C18" t="s">
        <v>27</v>
      </c>
    </row>
    <row r="19" spans="2:8" x14ac:dyDescent="0.25">
      <c r="C19" t="s">
        <v>28</v>
      </c>
    </row>
    <row r="21" spans="2:8" x14ac:dyDescent="0.25">
      <c r="B21" s="4" t="s">
        <v>5</v>
      </c>
      <c r="C21" t="s">
        <v>133</v>
      </c>
    </row>
    <row r="23" spans="2:8" x14ac:dyDescent="0.25">
      <c r="B23" s="4"/>
      <c r="E23" s="3" t="s">
        <v>22</v>
      </c>
      <c r="F23" s="3" t="s">
        <v>22</v>
      </c>
      <c r="G23" s="3" t="s">
        <v>25</v>
      </c>
    </row>
    <row r="24" spans="2:8" x14ac:dyDescent="0.25">
      <c r="D24" s="3" t="s">
        <v>21</v>
      </c>
      <c r="E24" s="3" t="s">
        <v>23</v>
      </c>
      <c r="F24" s="3" t="s">
        <v>24</v>
      </c>
      <c r="G24" s="3" t="s">
        <v>26</v>
      </c>
    </row>
    <row r="25" spans="2:8" x14ac:dyDescent="0.25">
      <c r="D25" s="1">
        <v>2017</v>
      </c>
      <c r="E25" s="10">
        <f>41937762.37+1610012.25</f>
        <v>43547774.619999997</v>
      </c>
      <c r="F25" s="6">
        <v>178096</v>
      </c>
      <c r="G25" s="9">
        <f>+E25/F25</f>
        <v>244.51854404366182</v>
      </c>
      <c r="H25" s="5"/>
    </row>
    <row r="26" spans="2:8" x14ac:dyDescent="0.25">
      <c r="D26" s="1">
        <v>2018</v>
      </c>
      <c r="E26" s="6">
        <v>51816197.539999999</v>
      </c>
      <c r="F26" s="6">
        <v>197252</v>
      </c>
      <c r="G26" s="14">
        <f t="shared" ref="G26:G33" si="0">+E26/F26</f>
        <v>262.69035315231275</v>
      </c>
    </row>
    <row r="27" spans="2:8" x14ac:dyDescent="0.25">
      <c r="D27" s="1">
        <v>2019</v>
      </c>
      <c r="E27" s="6">
        <v>50068057.920000002</v>
      </c>
      <c r="F27" s="6">
        <v>200502</v>
      </c>
      <c r="G27" s="14">
        <f t="shared" si="0"/>
        <v>249.71350869318013</v>
      </c>
    </row>
    <row r="28" spans="2:8" x14ac:dyDescent="0.25">
      <c r="D28" s="8">
        <v>43850</v>
      </c>
      <c r="E28" s="6">
        <v>4524649.92</v>
      </c>
      <c r="F28" s="6">
        <v>16775</v>
      </c>
      <c r="G28" s="14">
        <f t="shared" si="0"/>
        <v>269.72577764530553</v>
      </c>
    </row>
    <row r="29" spans="2:8" x14ac:dyDescent="0.25">
      <c r="D29" s="8">
        <v>43881</v>
      </c>
      <c r="E29" s="6">
        <v>4674714.49</v>
      </c>
      <c r="F29" s="6">
        <v>16770</v>
      </c>
      <c r="G29" s="14">
        <f t="shared" si="0"/>
        <v>278.7545909361956</v>
      </c>
    </row>
    <row r="30" spans="2:8" x14ac:dyDescent="0.25">
      <c r="D30" s="8">
        <v>43910</v>
      </c>
      <c r="E30" s="6">
        <v>3846400.12</v>
      </c>
      <c r="F30" s="6">
        <v>16769</v>
      </c>
      <c r="G30" s="14">
        <f t="shared" si="0"/>
        <v>229.37564076569862</v>
      </c>
    </row>
    <row r="31" spans="2:8" x14ac:dyDescent="0.25">
      <c r="D31" s="8">
        <v>43941</v>
      </c>
      <c r="E31" s="6">
        <v>3345867.73</v>
      </c>
      <c r="F31" s="6">
        <v>16858</v>
      </c>
      <c r="G31" s="14">
        <f t="shared" si="0"/>
        <v>198.47358702099893</v>
      </c>
    </row>
    <row r="32" spans="2:8" x14ac:dyDescent="0.25">
      <c r="D32" s="8">
        <v>43971</v>
      </c>
      <c r="E32" s="6">
        <v>3254109.54</v>
      </c>
      <c r="F32" s="6">
        <v>16931</v>
      </c>
      <c r="G32" s="14">
        <f t="shared" si="0"/>
        <v>192.19830724706159</v>
      </c>
    </row>
    <row r="33" spans="4:7" x14ac:dyDescent="0.25">
      <c r="D33" s="8">
        <v>44002</v>
      </c>
      <c r="E33" s="6">
        <v>3891206.68</v>
      </c>
      <c r="F33" s="6">
        <v>16958</v>
      </c>
      <c r="G33" s="14">
        <f t="shared" si="0"/>
        <v>229.46141526123364</v>
      </c>
    </row>
  </sheetData>
  <mergeCells count="3">
    <mergeCell ref="A5:H5"/>
    <mergeCell ref="A6:H6"/>
    <mergeCell ref="A7:H7"/>
  </mergeCells>
  <pageMargins left="0.7" right="0.7" top="0.75" bottom="0.75" header="0.3" footer="0.3"/>
  <pageSetup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F051D-C851-4C44-B311-3A6565892D94}">
  <sheetPr>
    <pageSetUpPr fitToPage="1"/>
  </sheetPr>
  <dimension ref="A1:H98"/>
  <sheetViews>
    <sheetView zoomScaleNormal="100" workbookViewId="0">
      <selection activeCell="C12" sqref="C12:H31"/>
    </sheetView>
  </sheetViews>
  <sheetFormatPr defaultRowHeight="15" x14ac:dyDescent="0.25"/>
  <cols>
    <col min="1" max="1" width="6.7109375" customWidth="1"/>
    <col min="2" max="2" width="10.140625" customWidth="1"/>
    <col min="3" max="3" width="9.5703125" customWidth="1"/>
    <col min="4" max="4" width="14.140625" customWidth="1"/>
    <col min="5" max="5" width="16.28515625" bestFit="1" customWidth="1"/>
    <col min="6" max="6" width="9.28515625" customWidth="1"/>
    <col min="7" max="7" width="15.7109375" customWidth="1"/>
    <col min="8" max="8" width="19" customWidth="1"/>
  </cols>
  <sheetData>
    <row r="1" spans="1:8" x14ac:dyDescent="0.25">
      <c r="H1" s="2" t="s">
        <v>29</v>
      </c>
    </row>
    <row r="2" spans="1:8" x14ac:dyDescent="0.25">
      <c r="H2" s="2" t="s">
        <v>96</v>
      </c>
    </row>
    <row r="3" spans="1:8" x14ac:dyDescent="0.25">
      <c r="H3" s="2" t="s">
        <v>142</v>
      </c>
    </row>
    <row r="5" spans="1:8" x14ac:dyDescent="0.25">
      <c r="A5" s="56" t="s">
        <v>141</v>
      </c>
      <c r="B5" s="56"/>
      <c r="C5" s="56"/>
      <c r="D5" s="56"/>
      <c r="E5" s="56"/>
      <c r="F5" s="56"/>
      <c r="G5" s="56"/>
      <c r="H5" s="56"/>
    </row>
    <row r="6" spans="1:8" x14ac:dyDescent="0.25">
      <c r="A6" s="56" t="s">
        <v>1</v>
      </c>
      <c r="B6" s="56"/>
      <c r="C6" s="56"/>
      <c r="D6" s="56"/>
      <c r="E6" s="56"/>
      <c r="F6" s="56"/>
      <c r="G6" s="56"/>
      <c r="H6" s="56"/>
    </row>
    <row r="7" spans="1:8" x14ac:dyDescent="0.25">
      <c r="A7" s="56" t="s">
        <v>2</v>
      </c>
      <c r="B7" s="56"/>
      <c r="C7" s="56"/>
      <c r="D7" s="56"/>
      <c r="E7" s="56"/>
      <c r="F7" s="56"/>
      <c r="G7" s="56"/>
      <c r="H7" s="56"/>
    </row>
    <row r="9" spans="1:8" x14ac:dyDescent="0.25">
      <c r="B9" s="3" t="s">
        <v>29</v>
      </c>
      <c r="C9" t="s">
        <v>12</v>
      </c>
    </row>
    <row r="10" spans="1:8" x14ac:dyDescent="0.25">
      <c r="C10" t="s">
        <v>119</v>
      </c>
    </row>
    <row r="11" spans="1:8" x14ac:dyDescent="0.25">
      <c r="C11" t="s">
        <v>13</v>
      </c>
    </row>
    <row r="12" spans="1:8" x14ac:dyDescent="0.25">
      <c r="C12" t="s">
        <v>14</v>
      </c>
    </row>
    <row r="13" spans="1:8" x14ac:dyDescent="0.25">
      <c r="C13" t="s">
        <v>30</v>
      </c>
    </row>
    <row r="14" spans="1:8" x14ac:dyDescent="0.25">
      <c r="D14" t="s">
        <v>17</v>
      </c>
    </row>
    <row r="15" spans="1:8" x14ac:dyDescent="0.25">
      <c r="D15" t="s">
        <v>18</v>
      </c>
    </row>
    <row r="16" spans="1:8" x14ac:dyDescent="0.25">
      <c r="D16" t="s">
        <v>19</v>
      </c>
    </row>
    <row r="17" spans="2:7" x14ac:dyDescent="0.25">
      <c r="D17" t="s">
        <v>20</v>
      </c>
    </row>
    <row r="18" spans="2:7" x14ac:dyDescent="0.25">
      <c r="C18" t="s">
        <v>27</v>
      </c>
    </row>
    <row r="19" spans="2:7" x14ac:dyDescent="0.25">
      <c r="C19" t="s">
        <v>28</v>
      </c>
    </row>
    <row r="21" spans="2:7" x14ac:dyDescent="0.25">
      <c r="B21" s="4" t="s">
        <v>5</v>
      </c>
      <c r="C21" t="s">
        <v>133</v>
      </c>
    </row>
    <row r="23" spans="2:7" x14ac:dyDescent="0.25">
      <c r="D23" s="56" t="s">
        <v>7</v>
      </c>
      <c r="E23" s="56"/>
      <c r="F23" s="56"/>
      <c r="G23" s="56"/>
    </row>
    <row r="24" spans="2:7" x14ac:dyDescent="0.25">
      <c r="B24" s="4"/>
      <c r="E24" s="3" t="s">
        <v>22</v>
      </c>
      <c r="F24" s="15" t="s">
        <v>22</v>
      </c>
      <c r="G24" s="3" t="s">
        <v>25</v>
      </c>
    </row>
    <row r="25" spans="2:7" x14ac:dyDescent="0.25">
      <c r="D25" s="3" t="s">
        <v>21</v>
      </c>
      <c r="E25" s="3" t="s">
        <v>23</v>
      </c>
      <c r="F25" s="15" t="s">
        <v>24</v>
      </c>
      <c r="G25" s="3" t="s">
        <v>26</v>
      </c>
    </row>
    <row r="26" spans="2:7" x14ac:dyDescent="0.25">
      <c r="D26" s="1">
        <v>2017</v>
      </c>
      <c r="E26" s="10">
        <v>24380163.420000002</v>
      </c>
      <c r="F26" s="6">
        <v>172064</v>
      </c>
      <c r="G26" s="9">
        <f>E26/F26</f>
        <v>141.69241340431469</v>
      </c>
    </row>
    <row r="27" spans="2:7" x14ac:dyDescent="0.25">
      <c r="D27" s="1">
        <v>2018</v>
      </c>
      <c r="E27" s="6">
        <v>30589098.879999999</v>
      </c>
      <c r="F27" s="6">
        <v>190335</v>
      </c>
      <c r="G27" s="5">
        <f>E27/F27</f>
        <v>160.71189681351302</v>
      </c>
    </row>
    <row r="28" spans="2:7" x14ac:dyDescent="0.25">
      <c r="D28" s="1">
        <v>2019</v>
      </c>
      <c r="E28" s="6">
        <v>29205627.870000001</v>
      </c>
      <c r="F28" s="6">
        <v>193403</v>
      </c>
      <c r="G28" s="5">
        <f t="shared" ref="G28:G34" si="0">E28/F28</f>
        <v>151.0091770551646</v>
      </c>
    </row>
    <row r="29" spans="2:7" x14ac:dyDescent="0.25">
      <c r="D29" s="8">
        <v>43850</v>
      </c>
      <c r="E29" s="6">
        <v>2782156.79</v>
      </c>
      <c r="F29" s="6">
        <v>16180</v>
      </c>
      <c r="G29" s="5">
        <f t="shared" si="0"/>
        <v>171.95035784919654</v>
      </c>
    </row>
    <row r="30" spans="2:7" x14ac:dyDescent="0.25">
      <c r="D30" s="8">
        <v>43881</v>
      </c>
      <c r="E30" s="6">
        <v>2975647.91</v>
      </c>
      <c r="F30" s="6">
        <v>16174</v>
      </c>
      <c r="G30" s="5">
        <f t="shared" si="0"/>
        <v>183.97724186966738</v>
      </c>
    </row>
    <row r="31" spans="2:7" x14ac:dyDescent="0.25">
      <c r="D31" s="8">
        <v>43910</v>
      </c>
      <c r="E31" s="6">
        <v>2315922.64</v>
      </c>
      <c r="F31" s="6">
        <v>16172</v>
      </c>
      <c r="G31" s="5">
        <f t="shared" si="0"/>
        <v>143.20570368538216</v>
      </c>
    </row>
    <row r="32" spans="2:7" x14ac:dyDescent="0.25">
      <c r="D32" s="8">
        <v>43941</v>
      </c>
      <c r="E32" s="6">
        <v>2035266.75</v>
      </c>
      <c r="F32" s="6">
        <v>16260</v>
      </c>
      <c r="G32" s="5">
        <f t="shared" si="0"/>
        <v>125.17015682656826</v>
      </c>
    </row>
    <row r="33" spans="4:7" x14ac:dyDescent="0.25">
      <c r="D33" s="8">
        <v>43971</v>
      </c>
      <c r="E33" s="6">
        <v>1948988.93</v>
      </c>
      <c r="F33" s="6">
        <v>16334</v>
      </c>
      <c r="G33" s="5">
        <f t="shared" si="0"/>
        <v>119.32098261295457</v>
      </c>
    </row>
    <row r="34" spans="4:7" x14ac:dyDescent="0.25">
      <c r="D34" s="8">
        <v>44002</v>
      </c>
      <c r="E34" s="6">
        <v>2204891.7799999998</v>
      </c>
      <c r="F34" s="6">
        <v>16358</v>
      </c>
      <c r="G34" s="5">
        <f t="shared" si="0"/>
        <v>134.78981415821005</v>
      </c>
    </row>
    <row r="35" spans="4:7" x14ac:dyDescent="0.25">
      <c r="F35" s="6"/>
    </row>
    <row r="36" spans="4:7" x14ac:dyDescent="0.25">
      <c r="D36" s="56" t="s">
        <v>31</v>
      </c>
      <c r="E36" s="56"/>
      <c r="F36" s="56"/>
      <c r="G36" s="56"/>
    </row>
    <row r="37" spans="4:7" x14ac:dyDescent="0.25">
      <c r="E37" s="3" t="s">
        <v>22</v>
      </c>
      <c r="F37" s="15" t="s">
        <v>22</v>
      </c>
      <c r="G37" s="3" t="s">
        <v>25</v>
      </c>
    </row>
    <row r="38" spans="4:7" x14ac:dyDescent="0.25">
      <c r="D38" s="3" t="s">
        <v>21</v>
      </c>
      <c r="E38" s="3" t="s">
        <v>23</v>
      </c>
      <c r="F38" s="15" t="s">
        <v>24</v>
      </c>
      <c r="G38" s="3" t="s">
        <v>26</v>
      </c>
    </row>
    <row r="39" spans="4:7" x14ac:dyDescent="0.25">
      <c r="D39" s="1">
        <v>2017</v>
      </c>
      <c r="E39" s="10">
        <v>8038721.4699999997</v>
      </c>
      <c r="F39" s="6">
        <v>5580</v>
      </c>
      <c r="G39" s="9">
        <f>E39/F39</f>
        <v>1440.6310878136201</v>
      </c>
    </row>
    <row r="40" spans="4:7" x14ac:dyDescent="0.25">
      <c r="D40" s="1">
        <v>2018</v>
      </c>
      <c r="E40" s="6">
        <v>8996343.9600000009</v>
      </c>
      <c r="F40" s="6">
        <v>6401</v>
      </c>
      <c r="G40" s="5">
        <f>E40/F40</f>
        <v>1405.4591407592566</v>
      </c>
    </row>
    <row r="41" spans="4:7" x14ac:dyDescent="0.25">
      <c r="D41" s="1">
        <v>2019</v>
      </c>
      <c r="E41" s="6">
        <v>8781398.3900000006</v>
      </c>
      <c r="F41" s="6">
        <v>6582</v>
      </c>
      <c r="G41" s="5">
        <f t="shared" ref="G41:G47" si="1">E41/F41</f>
        <v>1334.1535080522638</v>
      </c>
    </row>
    <row r="42" spans="4:7" x14ac:dyDescent="0.25">
      <c r="D42" s="8">
        <v>43850</v>
      </c>
      <c r="E42" s="6">
        <v>705559.17</v>
      </c>
      <c r="F42" s="6">
        <v>551</v>
      </c>
      <c r="G42" s="5">
        <f t="shared" si="1"/>
        <v>1280.5066606170599</v>
      </c>
    </row>
    <row r="43" spans="4:7" x14ac:dyDescent="0.25">
      <c r="D43" s="8">
        <v>43881</v>
      </c>
      <c r="E43" s="6">
        <v>711835.5</v>
      </c>
      <c r="F43" s="6">
        <v>552</v>
      </c>
      <c r="G43" s="5">
        <f t="shared" si="1"/>
        <v>1289.5570652173913</v>
      </c>
    </row>
    <row r="44" spans="4:7" x14ac:dyDescent="0.25">
      <c r="D44" s="8">
        <v>43910</v>
      </c>
      <c r="E44" s="6">
        <v>644552.84</v>
      </c>
      <c r="F44" s="6">
        <v>553</v>
      </c>
      <c r="G44" s="5">
        <f t="shared" si="1"/>
        <v>1165.5566726943941</v>
      </c>
    </row>
    <row r="45" spans="4:7" x14ac:dyDescent="0.25">
      <c r="D45" s="8">
        <v>43941</v>
      </c>
      <c r="E45" s="6">
        <v>557007.13</v>
      </c>
      <c r="F45" s="6">
        <v>554</v>
      </c>
      <c r="G45" s="5">
        <f t="shared" si="1"/>
        <v>1005.4280324909747</v>
      </c>
    </row>
    <row r="46" spans="4:7" x14ac:dyDescent="0.25">
      <c r="D46" s="8">
        <v>43971</v>
      </c>
      <c r="E46" s="6">
        <v>558864.69999999995</v>
      </c>
      <c r="F46" s="6">
        <v>553</v>
      </c>
      <c r="G46" s="5">
        <f t="shared" si="1"/>
        <v>1010.6052441229656</v>
      </c>
    </row>
    <row r="47" spans="4:7" x14ac:dyDescent="0.25">
      <c r="D47" s="8">
        <v>44002</v>
      </c>
      <c r="E47" s="6">
        <v>686251.98</v>
      </c>
      <c r="F47" s="6">
        <v>556</v>
      </c>
      <c r="G47" s="5">
        <f t="shared" si="1"/>
        <v>1234.2661510791368</v>
      </c>
    </row>
    <row r="48" spans="4:7" x14ac:dyDescent="0.25">
      <c r="D48" s="8"/>
      <c r="E48" s="6"/>
      <c r="F48" s="6"/>
      <c r="G48" s="5"/>
    </row>
    <row r="49" spans="1:8" x14ac:dyDescent="0.25">
      <c r="D49" s="8"/>
      <c r="E49" s="6"/>
      <c r="F49" s="6"/>
      <c r="G49" s="5"/>
    </row>
    <row r="50" spans="1:8" x14ac:dyDescent="0.25">
      <c r="D50" s="8"/>
      <c r="E50" s="6"/>
      <c r="F50" s="6"/>
      <c r="G50" s="5"/>
    </row>
    <row r="51" spans="1:8" x14ac:dyDescent="0.25">
      <c r="D51" s="8"/>
      <c r="E51" s="6"/>
      <c r="F51" s="6"/>
      <c r="G51" s="5"/>
    </row>
    <row r="52" spans="1:8" x14ac:dyDescent="0.25">
      <c r="D52" s="8"/>
      <c r="E52" s="6"/>
      <c r="F52" s="6"/>
      <c r="G52" s="5"/>
    </row>
    <row r="53" spans="1:8" x14ac:dyDescent="0.25">
      <c r="H53" s="2" t="s">
        <v>29</v>
      </c>
    </row>
    <row r="54" spans="1:8" x14ac:dyDescent="0.25">
      <c r="H54" s="2" t="s">
        <v>95</v>
      </c>
    </row>
    <row r="55" spans="1:8" x14ac:dyDescent="0.25">
      <c r="H55" s="2" t="s">
        <v>142</v>
      </c>
    </row>
    <row r="57" spans="1:8" x14ac:dyDescent="0.25">
      <c r="A57" s="56" t="s">
        <v>141</v>
      </c>
      <c r="B57" s="56"/>
      <c r="C57" s="56"/>
      <c r="D57" s="56"/>
      <c r="E57" s="56"/>
      <c r="F57" s="56"/>
      <c r="G57" s="56"/>
      <c r="H57" s="56"/>
    </row>
    <row r="58" spans="1:8" x14ac:dyDescent="0.25">
      <c r="A58" s="56" t="s">
        <v>1</v>
      </c>
      <c r="B58" s="56"/>
      <c r="C58" s="56"/>
      <c r="D58" s="56"/>
      <c r="E58" s="56"/>
      <c r="F58" s="56"/>
      <c r="G58" s="56"/>
      <c r="H58" s="56"/>
    </row>
    <row r="59" spans="1:8" x14ac:dyDescent="0.25">
      <c r="A59" s="56" t="s">
        <v>2</v>
      </c>
      <c r="B59" s="56"/>
      <c r="C59" s="56"/>
      <c r="D59" s="56"/>
      <c r="E59" s="56"/>
      <c r="F59" s="56"/>
      <c r="G59" s="56"/>
      <c r="H59" s="56"/>
    </row>
    <row r="60" spans="1:8" x14ac:dyDescent="0.25">
      <c r="F60" s="6"/>
    </row>
    <row r="61" spans="1:8" x14ac:dyDescent="0.25">
      <c r="D61" s="56" t="s">
        <v>32</v>
      </c>
      <c r="E61" s="56"/>
      <c r="F61" s="56"/>
      <c r="G61" s="56"/>
    </row>
    <row r="62" spans="1:8" x14ac:dyDescent="0.25">
      <c r="E62" s="3" t="s">
        <v>22</v>
      </c>
      <c r="F62" s="15" t="s">
        <v>22</v>
      </c>
      <c r="G62" s="3" t="s">
        <v>25</v>
      </c>
    </row>
    <row r="63" spans="1:8" x14ac:dyDescent="0.25">
      <c r="D63" s="3" t="s">
        <v>21</v>
      </c>
      <c r="E63" s="3" t="s">
        <v>23</v>
      </c>
      <c r="F63" s="15" t="s">
        <v>24</v>
      </c>
      <c r="G63" s="3" t="s">
        <v>26</v>
      </c>
    </row>
    <row r="64" spans="1:8" x14ac:dyDescent="0.25">
      <c r="D64" s="1">
        <v>2017</v>
      </c>
      <c r="E64" s="10">
        <v>11078168.32</v>
      </c>
      <c r="F64" s="6">
        <v>99</v>
      </c>
      <c r="G64" s="9">
        <f>E64/F64</f>
        <v>111900.6901010101</v>
      </c>
    </row>
    <row r="65" spans="4:7" x14ac:dyDescent="0.25">
      <c r="D65" s="1">
        <v>2018</v>
      </c>
      <c r="E65" s="6">
        <v>12170702.529999999</v>
      </c>
      <c r="F65" s="6">
        <v>113</v>
      </c>
      <c r="G65" s="5">
        <f>E65/F65</f>
        <v>107705.33212389379</v>
      </c>
    </row>
    <row r="66" spans="4:7" x14ac:dyDescent="0.25">
      <c r="D66" s="1">
        <v>2019</v>
      </c>
      <c r="E66" s="6">
        <v>12021223.08</v>
      </c>
      <c r="F66" s="6">
        <v>121</v>
      </c>
      <c r="G66" s="5">
        <f t="shared" ref="G66:G72" si="2">E66/F66</f>
        <v>99348.951074380166</v>
      </c>
    </row>
    <row r="67" spans="4:7" x14ac:dyDescent="0.25">
      <c r="D67" s="8">
        <v>43850</v>
      </c>
      <c r="E67" s="6">
        <v>1031718.76</v>
      </c>
      <c r="F67" s="6">
        <v>11</v>
      </c>
      <c r="G67" s="5">
        <f t="shared" si="2"/>
        <v>93792.614545454548</v>
      </c>
    </row>
    <row r="68" spans="4:7" x14ac:dyDescent="0.25">
      <c r="D68" s="8">
        <v>43881</v>
      </c>
      <c r="E68" s="6">
        <v>982017.49</v>
      </c>
      <c r="F68" s="6">
        <v>11</v>
      </c>
      <c r="G68" s="5">
        <f t="shared" si="2"/>
        <v>89274.317272727276</v>
      </c>
    </row>
    <row r="69" spans="4:7" x14ac:dyDescent="0.25">
      <c r="D69" s="8">
        <v>43910</v>
      </c>
      <c r="E69" s="6">
        <v>880893.48</v>
      </c>
      <c r="F69" s="6">
        <v>11</v>
      </c>
      <c r="G69" s="5">
        <f t="shared" si="2"/>
        <v>80081.225454545449</v>
      </c>
    </row>
    <row r="70" spans="4:7" x14ac:dyDescent="0.25">
      <c r="D70" s="8">
        <v>43941</v>
      </c>
      <c r="E70" s="6">
        <v>748553.78</v>
      </c>
      <c r="F70" s="6">
        <v>11</v>
      </c>
      <c r="G70" s="5">
        <f t="shared" si="2"/>
        <v>68050.343636363643</v>
      </c>
    </row>
    <row r="71" spans="4:7" x14ac:dyDescent="0.25">
      <c r="D71" s="8">
        <v>43971</v>
      </c>
      <c r="E71" s="6">
        <v>741198.01</v>
      </c>
      <c r="F71" s="6">
        <v>11</v>
      </c>
      <c r="G71" s="5">
        <f t="shared" si="2"/>
        <v>67381.637272727268</v>
      </c>
    </row>
    <row r="72" spans="4:7" x14ac:dyDescent="0.25">
      <c r="D72" s="8">
        <v>44002</v>
      </c>
      <c r="E72" s="6">
        <v>994884.76</v>
      </c>
      <c r="F72" s="6">
        <v>11</v>
      </c>
      <c r="G72" s="5">
        <f t="shared" si="2"/>
        <v>90444.069090909092</v>
      </c>
    </row>
    <row r="73" spans="4:7" x14ac:dyDescent="0.25">
      <c r="F73" s="6"/>
    </row>
    <row r="74" spans="4:7" x14ac:dyDescent="0.25">
      <c r="D74" s="56" t="s">
        <v>8</v>
      </c>
      <c r="E74" s="56"/>
      <c r="F74" s="56"/>
      <c r="G74" s="56"/>
    </row>
    <row r="75" spans="4:7" x14ac:dyDescent="0.25">
      <c r="E75" s="3" t="s">
        <v>22</v>
      </c>
      <c r="F75" s="15" t="s">
        <v>22</v>
      </c>
      <c r="G75" s="3" t="s">
        <v>25</v>
      </c>
    </row>
    <row r="76" spans="4:7" x14ac:dyDescent="0.25">
      <c r="D76" s="3" t="s">
        <v>21</v>
      </c>
      <c r="E76" s="3" t="s">
        <v>23</v>
      </c>
      <c r="F76" s="15" t="s">
        <v>24</v>
      </c>
      <c r="G76" s="3" t="s">
        <v>26</v>
      </c>
    </row>
    <row r="77" spans="4:7" x14ac:dyDescent="0.25">
      <c r="D77" s="1">
        <v>2017</v>
      </c>
      <c r="E77" s="10">
        <v>50721.41</v>
      </c>
      <c r="F77" s="6">
        <v>352</v>
      </c>
      <c r="G77" s="9">
        <f>E77/F77</f>
        <v>144.09491477272729</v>
      </c>
    </row>
    <row r="78" spans="4:7" x14ac:dyDescent="0.25">
      <c r="D78" s="1">
        <v>2018</v>
      </c>
      <c r="E78" s="6">
        <v>60052.17</v>
      </c>
      <c r="F78" s="6">
        <v>403</v>
      </c>
      <c r="G78" s="5">
        <f>E78/F78</f>
        <v>149.01282878411911</v>
      </c>
    </row>
    <row r="79" spans="4:7" x14ac:dyDescent="0.25">
      <c r="D79" s="1">
        <v>2019</v>
      </c>
      <c r="E79" s="6">
        <v>59808.58</v>
      </c>
      <c r="F79" s="6">
        <v>396</v>
      </c>
      <c r="G79" s="5">
        <f t="shared" ref="G79:G85" si="3">E79/F79</f>
        <v>151.03176767676769</v>
      </c>
    </row>
    <row r="80" spans="4:7" x14ac:dyDescent="0.25">
      <c r="D80" s="8">
        <v>43850</v>
      </c>
      <c r="E80" s="6">
        <v>5215.2</v>
      </c>
      <c r="F80" s="6">
        <v>33</v>
      </c>
      <c r="G80" s="5">
        <f t="shared" si="3"/>
        <v>158.03636363636363</v>
      </c>
    </row>
    <row r="81" spans="4:7" x14ac:dyDescent="0.25">
      <c r="D81" s="8">
        <v>43881</v>
      </c>
      <c r="E81" s="6">
        <v>5213.59</v>
      </c>
      <c r="F81" s="6">
        <v>33</v>
      </c>
      <c r="G81" s="5">
        <f t="shared" si="3"/>
        <v>157.98757575757577</v>
      </c>
    </row>
    <row r="82" spans="4:7" x14ac:dyDescent="0.25">
      <c r="D82" s="8">
        <v>43910</v>
      </c>
      <c r="E82" s="6">
        <v>5031.16</v>
      </c>
      <c r="F82" s="6">
        <v>33</v>
      </c>
      <c r="G82" s="5">
        <f t="shared" si="3"/>
        <v>152.45939393939395</v>
      </c>
    </row>
    <row r="83" spans="4:7" x14ac:dyDescent="0.25">
      <c r="D83" s="8">
        <v>43941</v>
      </c>
      <c r="E83" s="6">
        <v>5040.07</v>
      </c>
      <c r="F83" s="6">
        <v>33</v>
      </c>
      <c r="G83" s="5">
        <f t="shared" si="3"/>
        <v>152.72939393939393</v>
      </c>
    </row>
    <row r="84" spans="4:7" x14ac:dyDescent="0.25">
      <c r="D84" s="8">
        <v>43971</v>
      </c>
      <c r="E84" s="6">
        <v>5057.8999999999996</v>
      </c>
      <c r="F84" s="6">
        <v>33</v>
      </c>
      <c r="G84" s="5">
        <f t="shared" si="3"/>
        <v>153.26969696969695</v>
      </c>
    </row>
    <row r="85" spans="4:7" x14ac:dyDescent="0.25">
      <c r="D85" s="8">
        <v>44002</v>
      </c>
      <c r="E85" s="6">
        <v>5178.16</v>
      </c>
      <c r="F85" s="6">
        <v>33</v>
      </c>
      <c r="G85" s="5">
        <f t="shared" si="3"/>
        <v>156.91393939393939</v>
      </c>
    </row>
    <row r="86" spans="4:7" x14ac:dyDescent="0.25">
      <c r="F86" s="6"/>
    </row>
    <row r="87" spans="4:7" x14ac:dyDescent="0.25">
      <c r="D87" s="56" t="s">
        <v>22</v>
      </c>
      <c r="E87" s="56"/>
      <c r="F87" s="56"/>
      <c r="G87" s="56"/>
    </row>
    <row r="88" spans="4:7" x14ac:dyDescent="0.25">
      <c r="E88" s="3" t="s">
        <v>22</v>
      </c>
      <c r="F88" s="15" t="s">
        <v>22</v>
      </c>
      <c r="G88" s="3" t="s">
        <v>25</v>
      </c>
    </row>
    <row r="89" spans="4:7" x14ac:dyDescent="0.25">
      <c r="D89" s="3" t="s">
        <v>21</v>
      </c>
      <c r="E89" s="3" t="s">
        <v>23</v>
      </c>
      <c r="F89" s="15" t="s">
        <v>24</v>
      </c>
      <c r="G89" s="3" t="s">
        <v>26</v>
      </c>
    </row>
    <row r="90" spans="4:7" x14ac:dyDescent="0.25">
      <c r="D90" s="1">
        <v>2017</v>
      </c>
      <c r="E90" s="10">
        <f t="shared" ref="E90:F98" si="4">+E26+E39+E64+E77</f>
        <v>43547774.619999997</v>
      </c>
      <c r="F90" s="6">
        <f t="shared" si="4"/>
        <v>178095</v>
      </c>
      <c r="G90" s="9">
        <f>+E90/F90</f>
        <v>244.51991701058424</v>
      </c>
    </row>
    <row r="91" spans="4:7" x14ac:dyDescent="0.25">
      <c r="D91" s="1">
        <v>2018</v>
      </c>
      <c r="E91" s="6">
        <f t="shared" si="4"/>
        <v>51816197.540000007</v>
      </c>
      <c r="F91" s="6">
        <f t="shared" si="4"/>
        <v>197252</v>
      </c>
      <c r="G91" s="5">
        <f>E91/F91</f>
        <v>262.69035315231281</v>
      </c>
    </row>
    <row r="92" spans="4:7" x14ac:dyDescent="0.25">
      <c r="D92" s="1">
        <v>2019</v>
      </c>
      <c r="E92" s="6">
        <f t="shared" si="4"/>
        <v>50068057.920000002</v>
      </c>
      <c r="F92" s="6">
        <f t="shared" si="4"/>
        <v>200502</v>
      </c>
      <c r="G92" s="5">
        <f t="shared" ref="G92:G97" si="5">E92/F92</f>
        <v>249.71350869318013</v>
      </c>
    </row>
    <row r="93" spans="4:7" x14ac:dyDescent="0.25">
      <c r="D93" s="8">
        <v>43850</v>
      </c>
      <c r="E93" s="6">
        <f t="shared" si="4"/>
        <v>4524649.92</v>
      </c>
      <c r="F93" s="6">
        <f t="shared" si="4"/>
        <v>16775</v>
      </c>
      <c r="G93" s="5">
        <f t="shared" si="5"/>
        <v>269.72577764530553</v>
      </c>
    </row>
    <row r="94" spans="4:7" x14ac:dyDescent="0.25">
      <c r="D94" s="8">
        <v>43881</v>
      </c>
      <c r="E94" s="6">
        <f t="shared" si="4"/>
        <v>4674714.49</v>
      </c>
      <c r="F94" s="6">
        <f t="shared" si="4"/>
        <v>16770</v>
      </c>
      <c r="G94" s="5">
        <f t="shared" si="5"/>
        <v>278.7545909361956</v>
      </c>
    </row>
    <row r="95" spans="4:7" x14ac:dyDescent="0.25">
      <c r="D95" s="8">
        <v>43910</v>
      </c>
      <c r="E95" s="6">
        <f t="shared" si="4"/>
        <v>3846400.12</v>
      </c>
      <c r="F95" s="6">
        <f t="shared" si="4"/>
        <v>16769</v>
      </c>
      <c r="G95" s="5">
        <f t="shared" si="5"/>
        <v>229.37564076569862</v>
      </c>
    </row>
    <row r="96" spans="4:7" x14ac:dyDescent="0.25">
      <c r="D96" s="8">
        <v>43941</v>
      </c>
      <c r="E96" s="6">
        <f t="shared" si="4"/>
        <v>3345867.73</v>
      </c>
      <c r="F96" s="6">
        <f t="shared" si="4"/>
        <v>16858</v>
      </c>
      <c r="G96" s="5">
        <f t="shared" si="5"/>
        <v>198.47358702099893</v>
      </c>
    </row>
    <row r="97" spans="4:7" x14ac:dyDescent="0.25">
      <c r="D97" s="8">
        <v>43971</v>
      </c>
      <c r="E97" s="6">
        <f t="shared" si="4"/>
        <v>3254109.5399999996</v>
      </c>
      <c r="F97" s="6">
        <f t="shared" si="4"/>
        <v>16931</v>
      </c>
      <c r="G97" s="5">
        <f t="shared" si="5"/>
        <v>192.19830724706156</v>
      </c>
    </row>
    <row r="98" spans="4:7" x14ac:dyDescent="0.25">
      <c r="D98" s="8">
        <v>44002</v>
      </c>
      <c r="E98" s="6">
        <f t="shared" si="4"/>
        <v>3891206.6799999997</v>
      </c>
      <c r="F98" s="6">
        <f t="shared" si="4"/>
        <v>16958</v>
      </c>
      <c r="G98" s="5">
        <f t="shared" ref="G98" si="6">E98/F98</f>
        <v>229.46141526123361</v>
      </c>
    </row>
  </sheetData>
  <mergeCells count="11">
    <mergeCell ref="A5:H5"/>
    <mergeCell ref="A6:H6"/>
    <mergeCell ref="A7:H7"/>
    <mergeCell ref="D23:G23"/>
    <mergeCell ref="D36:G36"/>
    <mergeCell ref="D74:G74"/>
    <mergeCell ref="D87:G87"/>
    <mergeCell ref="A57:H57"/>
    <mergeCell ref="A58:H58"/>
    <mergeCell ref="A59:H59"/>
    <mergeCell ref="D61:G61"/>
  </mergeCells>
  <pageMargins left="0.7" right="0.7" top="0.75" bottom="0.75" header="0.3" footer="0.3"/>
  <pageSetup scale="9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633B8-0F1B-4668-89E4-38028436C848}">
  <sheetPr>
    <pageSetUpPr fitToPage="1"/>
  </sheetPr>
  <dimension ref="A1:H31"/>
  <sheetViews>
    <sheetView workbookViewId="0">
      <selection activeCell="C12" sqref="C12:H31"/>
    </sheetView>
  </sheetViews>
  <sheetFormatPr defaultRowHeight="15" x14ac:dyDescent="0.25"/>
  <cols>
    <col min="1" max="1" width="6.7109375" customWidth="1"/>
    <col min="2" max="2" width="10.140625" customWidth="1"/>
    <col min="3" max="3" width="9.5703125" customWidth="1"/>
    <col min="4" max="4" width="14.140625" customWidth="1"/>
    <col min="5" max="5" width="15.28515625" bestFit="1" customWidth="1"/>
    <col min="6" max="6" width="9.28515625" customWidth="1"/>
    <col min="7" max="7" width="15.7109375" customWidth="1"/>
    <col min="8" max="8" width="20.28515625" customWidth="1"/>
  </cols>
  <sheetData>
    <row r="1" spans="1:8" x14ac:dyDescent="0.25">
      <c r="H1" s="2" t="s">
        <v>33</v>
      </c>
    </row>
    <row r="2" spans="1:8" x14ac:dyDescent="0.25">
      <c r="H2" s="2" t="s">
        <v>76</v>
      </c>
    </row>
    <row r="3" spans="1:8" x14ac:dyDescent="0.25">
      <c r="H3" s="2" t="s">
        <v>142</v>
      </c>
    </row>
    <row r="5" spans="1:8" x14ac:dyDescent="0.25">
      <c r="A5" s="56" t="s">
        <v>141</v>
      </c>
      <c r="B5" s="56"/>
      <c r="C5" s="56"/>
      <c r="D5" s="56"/>
      <c r="E5" s="56"/>
      <c r="F5" s="56"/>
      <c r="G5" s="56"/>
      <c r="H5" s="56"/>
    </row>
    <row r="6" spans="1:8" x14ac:dyDescent="0.25">
      <c r="A6" s="56" t="s">
        <v>1</v>
      </c>
      <c r="B6" s="56"/>
      <c r="C6" s="56"/>
      <c r="D6" s="56"/>
      <c r="E6" s="56"/>
      <c r="F6" s="56"/>
      <c r="G6" s="56"/>
      <c r="H6" s="56"/>
    </row>
    <row r="7" spans="1:8" x14ac:dyDescent="0.25">
      <c r="A7" s="56" t="s">
        <v>2</v>
      </c>
      <c r="B7" s="56"/>
      <c r="C7" s="56"/>
      <c r="D7" s="56"/>
      <c r="E7" s="56"/>
      <c r="F7" s="56"/>
      <c r="G7" s="56"/>
      <c r="H7" s="56"/>
    </row>
    <row r="9" spans="1:8" x14ac:dyDescent="0.25">
      <c r="B9" s="3" t="s">
        <v>100</v>
      </c>
      <c r="C9" t="s">
        <v>12</v>
      </c>
    </row>
    <row r="10" spans="1:8" x14ac:dyDescent="0.25">
      <c r="C10" t="s">
        <v>119</v>
      </c>
    </row>
    <row r="11" spans="1:8" x14ac:dyDescent="0.25">
      <c r="C11" t="s">
        <v>13</v>
      </c>
    </row>
    <row r="12" spans="1:8" x14ac:dyDescent="0.25">
      <c r="C12" t="s">
        <v>34</v>
      </c>
    </row>
    <row r="13" spans="1:8" x14ac:dyDescent="0.25">
      <c r="C13" t="s">
        <v>35</v>
      </c>
    </row>
    <row r="14" spans="1:8" x14ac:dyDescent="0.25">
      <c r="D14" t="s">
        <v>17</v>
      </c>
    </row>
    <row r="15" spans="1:8" x14ac:dyDescent="0.25">
      <c r="D15" t="s">
        <v>18</v>
      </c>
    </row>
    <row r="16" spans="1:8" x14ac:dyDescent="0.25">
      <c r="D16" t="s">
        <v>19</v>
      </c>
    </row>
    <row r="17" spans="2:7" x14ac:dyDescent="0.25">
      <c r="D17" t="s">
        <v>20</v>
      </c>
    </row>
    <row r="19" spans="2:7" x14ac:dyDescent="0.25">
      <c r="B19" s="4" t="s">
        <v>5</v>
      </c>
      <c r="C19" t="s">
        <v>133</v>
      </c>
    </row>
    <row r="21" spans="2:7" x14ac:dyDescent="0.25">
      <c r="B21" s="4"/>
      <c r="E21" s="3" t="s">
        <v>22</v>
      </c>
      <c r="F21" s="3" t="s">
        <v>22</v>
      </c>
      <c r="G21" s="3" t="s">
        <v>25</v>
      </c>
    </row>
    <row r="22" spans="2:7" x14ac:dyDescent="0.25">
      <c r="D22" s="3" t="s">
        <v>21</v>
      </c>
      <c r="E22" s="3" t="s">
        <v>23</v>
      </c>
      <c r="F22" s="3" t="s">
        <v>24</v>
      </c>
      <c r="G22" s="3" t="s">
        <v>26</v>
      </c>
    </row>
    <row r="23" spans="2:7" x14ac:dyDescent="0.25">
      <c r="D23" s="1">
        <v>2017</v>
      </c>
      <c r="E23" s="10">
        <v>41937762.369999997</v>
      </c>
      <c r="F23" s="6">
        <f>+'Q3'!F25</f>
        <v>178096</v>
      </c>
      <c r="G23" s="9">
        <f>+E23/F23</f>
        <v>235.47840698275087</v>
      </c>
    </row>
    <row r="24" spans="2:7" x14ac:dyDescent="0.25">
      <c r="D24" s="1">
        <v>2018</v>
      </c>
      <c r="E24" s="6">
        <v>48836446.490000002</v>
      </c>
      <c r="F24" s="6">
        <f>+'Q3'!F26</f>
        <v>197252</v>
      </c>
      <c r="G24" s="5">
        <f t="shared" ref="G24:G31" si="0">+E24/F24</f>
        <v>247.58403712002922</v>
      </c>
    </row>
    <row r="25" spans="2:7" x14ac:dyDescent="0.25">
      <c r="D25" s="1">
        <v>2019</v>
      </c>
      <c r="E25" s="6">
        <v>47800450.420000002</v>
      </c>
      <c r="F25" s="6">
        <f>+'Q3'!F27</f>
        <v>200502</v>
      </c>
      <c r="G25" s="5">
        <f t="shared" si="0"/>
        <v>238.40385841537741</v>
      </c>
    </row>
    <row r="26" spans="2:7" x14ac:dyDescent="0.25">
      <c r="D26" s="8">
        <v>43850</v>
      </c>
      <c r="E26" s="6">
        <v>4329287.33</v>
      </c>
      <c r="F26" s="6">
        <f>+'Q3'!F28</f>
        <v>16775</v>
      </c>
      <c r="G26" s="5">
        <f t="shared" si="0"/>
        <v>258.07972160953801</v>
      </c>
    </row>
    <row r="27" spans="2:7" x14ac:dyDescent="0.25">
      <c r="D27" s="8">
        <v>43881</v>
      </c>
      <c r="E27" s="6">
        <v>4523843.07</v>
      </c>
      <c r="F27" s="6">
        <f>+'Q3'!F29</f>
        <v>16770</v>
      </c>
      <c r="G27" s="5">
        <f t="shared" si="0"/>
        <v>269.75808407871199</v>
      </c>
    </row>
    <row r="28" spans="2:7" x14ac:dyDescent="0.25">
      <c r="D28" s="8">
        <v>43910</v>
      </c>
      <c r="E28" s="6">
        <v>3614620.03</v>
      </c>
      <c r="F28" s="6">
        <f>+'Q3'!F30</f>
        <v>16769</v>
      </c>
      <c r="G28" s="5">
        <f t="shared" si="0"/>
        <v>215.55370206929453</v>
      </c>
    </row>
    <row r="29" spans="2:7" x14ac:dyDescent="0.25">
      <c r="D29" s="8">
        <v>43941</v>
      </c>
      <c r="E29" s="6">
        <v>3146085.63</v>
      </c>
      <c r="F29" s="6">
        <f>+'Q3'!F31</f>
        <v>16858</v>
      </c>
      <c r="G29" s="5">
        <f t="shared" si="0"/>
        <v>186.6227090995373</v>
      </c>
    </row>
    <row r="30" spans="2:7" x14ac:dyDescent="0.25">
      <c r="D30" s="8">
        <v>43971</v>
      </c>
      <c r="E30" s="6">
        <v>3066310.94</v>
      </c>
      <c r="F30" s="6">
        <f>+'Q3'!F32</f>
        <v>16931</v>
      </c>
      <c r="G30" s="5">
        <f t="shared" si="0"/>
        <v>181.10631031835095</v>
      </c>
    </row>
    <row r="31" spans="2:7" x14ac:dyDescent="0.25">
      <c r="D31" s="8">
        <v>44002</v>
      </c>
      <c r="E31" s="6">
        <v>3470438.89</v>
      </c>
      <c r="F31" s="6">
        <f>+'Q3'!F33</f>
        <v>16958</v>
      </c>
      <c r="G31" s="5">
        <f t="shared" si="0"/>
        <v>204.64906769666234</v>
      </c>
    </row>
  </sheetData>
  <mergeCells count="3">
    <mergeCell ref="A5:H5"/>
    <mergeCell ref="A6:H6"/>
    <mergeCell ref="A7:H7"/>
  </mergeCells>
  <pageMargins left="0.7" right="0.7" top="0.75" bottom="0.75" header="0.3" footer="0.3"/>
  <pageSetup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28F48-5029-4AC5-B304-D05219C0326D}">
  <sheetPr>
    <pageSetUpPr fitToPage="1"/>
  </sheetPr>
  <dimension ref="A1:H97"/>
  <sheetViews>
    <sheetView zoomScaleNormal="100" workbookViewId="0">
      <selection activeCell="C12" sqref="C12:H31"/>
    </sheetView>
  </sheetViews>
  <sheetFormatPr defaultRowHeight="15" x14ac:dyDescent="0.25"/>
  <cols>
    <col min="1" max="1" width="6.7109375" customWidth="1"/>
    <col min="2" max="2" width="10.140625" customWidth="1"/>
    <col min="3" max="3" width="9.5703125" customWidth="1"/>
    <col min="4" max="4" width="14.140625" customWidth="1"/>
    <col min="5" max="5" width="16.28515625" bestFit="1" customWidth="1"/>
    <col min="6" max="6" width="9.28515625" customWidth="1"/>
    <col min="7" max="7" width="12.5703125" customWidth="1"/>
    <col min="8" max="8" width="19" customWidth="1"/>
  </cols>
  <sheetData>
    <row r="1" spans="1:8" x14ac:dyDescent="0.25">
      <c r="H1" s="2" t="s">
        <v>36</v>
      </c>
    </row>
    <row r="2" spans="1:8" x14ac:dyDescent="0.25">
      <c r="H2" s="2" t="s">
        <v>96</v>
      </c>
    </row>
    <row r="3" spans="1:8" x14ac:dyDescent="0.25">
      <c r="H3" s="2" t="s">
        <v>142</v>
      </c>
    </row>
    <row r="5" spans="1:8" x14ac:dyDescent="0.25">
      <c r="A5" s="56" t="s">
        <v>141</v>
      </c>
      <c r="B5" s="56"/>
      <c r="C5" s="56"/>
      <c r="D5" s="56"/>
      <c r="E5" s="56"/>
      <c r="F5" s="56"/>
      <c r="G5" s="56"/>
      <c r="H5" s="56"/>
    </row>
    <row r="6" spans="1:8" x14ac:dyDescent="0.25">
      <c r="A6" s="56" t="s">
        <v>1</v>
      </c>
      <c r="B6" s="56"/>
      <c r="C6" s="56"/>
      <c r="D6" s="56"/>
      <c r="E6" s="56"/>
      <c r="F6" s="56"/>
      <c r="G6" s="56"/>
      <c r="H6" s="56"/>
    </row>
    <row r="7" spans="1:8" x14ac:dyDescent="0.25">
      <c r="A7" s="56" t="s">
        <v>2</v>
      </c>
      <c r="B7" s="56"/>
      <c r="C7" s="56"/>
      <c r="D7" s="56"/>
      <c r="E7" s="56"/>
      <c r="F7" s="56"/>
      <c r="G7" s="56"/>
      <c r="H7" s="56"/>
    </row>
    <row r="9" spans="1:8" x14ac:dyDescent="0.25">
      <c r="B9" s="3">
        <v>6</v>
      </c>
      <c r="C9" t="s">
        <v>12</v>
      </c>
    </row>
    <row r="10" spans="1:8" x14ac:dyDescent="0.25">
      <c r="C10" t="s">
        <v>119</v>
      </c>
    </row>
    <row r="11" spans="1:8" x14ac:dyDescent="0.25">
      <c r="C11" t="s">
        <v>13</v>
      </c>
    </row>
    <row r="12" spans="1:8" x14ac:dyDescent="0.25">
      <c r="C12" t="s">
        <v>34</v>
      </c>
    </row>
    <row r="13" spans="1:8" x14ac:dyDescent="0.25">
      <c r="C13" t="s">
        <v>37</v>
      </c>
    </row>
    <row r="14" spans="1:8" x14ac:dyDescent="0.25">
      <c r="D14" t="s">
        <v>17</v>
      </c>
    </row>
    <row r="15" spans="1:8" x14ac:dyDescent="0.25">
      <c r="D15" t="s">
        <v>18</v>
      </c>
    </row>
    <row r="16" spans="1:8" x14ac:dyDescent="0.25">
      <c r="D16" t="s">
        <v>19</v>
      </c>
    </row>
    <row r="17" spans="2:7" x14ac:dyDescent="0.25">
      <c r="D17" t="s">
        <v>20</v>
      </c>
    </row>
    <row r="18" spans="2:7" x14ac:dyDescent="0.25">
      <c r="C18" t="s">
        <v>27</v>
      </c>
    </row>
    <row r="19" spans="2:7" x14ac:dyDescent="0.25">
      <c r="C19" t="s">
        <v>28</v>
      </c>
    </row>
    <row r="21" spans="2:7" x14ac:dyDescent="0.25">
      <c r="B21" s="4" t="s">
        <v>5</v>
      </c>
      <c r="C21" t="s">
        <v>133</v>
      </c>
    </row>
    <row r="23" spans="2:7" x14ac:dyDescent="0.25">
      <c r="D23" s="56" t="s">
        <v>7</v>
      </c>
      <c r="E23" s="56"/>
      <c r="F23" s="56"/>
      <c r="G23" s="56"/>
    </row>
    <row r="24" spans="2:7" x14ac:dyDescent="0.25">
      <c r="B24" s="4"/>
      <c r="E24" s="3" t="s">
        <v>22</v>
      </c>
      <c r="F24" s="3" t="s">
        <v>22</v>
      </c>
      <c r="G24" s="3" t="s">
        <v>25</v>
      </c>
    </row>
    <row r="25" spans="2:7" x14ac:dyDescent="0.25">
      <c r="D25" s="3" t="s">
        <v>21</v>
      </c>
      <c r="E25" s="3" t="s">
        <v>23</v>
      </c>
      <c r="F25" s="3" t="s">
        <v>24</v>
      </c>
      <c r="G25" s="3" t="s">
        <v>26</v>
      </c>
    </row>
    <row r="26" spans="2:7" x14ac:dyDescent="0.25">
      <c r="D26" s="1">
        <v>2017</v>
      </c>
      <c r="E26" s="10">
        <v>22887717.789999999</v>
      </c>
      <c r="F26" s="6">
        <v>172064</v>
      </c>
      <c r="G26" s="9">
        <f>E26/F26</f>
        <v>133.01863138134647</v>
      </c>
    </row>
    <row r="27" spans="2:7" x14ac:dyDescent="0.25">
      <c r="D27" s="1">
        <v>2018</v>
      </c>
      <c r="E27" s="6">
        <v>28095829.390000001</v>
      </c>
      <c r="F27" s="6">
        <v>190335</v>
      </c>
      <c r="G27" s="5">
        <f>E27/F27</f>
        <v>147.61252207949141</v>
      </c>
    </row>
    <row r="28" spans="2:7" x14ac:dyDescent="0.25">
      <c r="D28" s="1">
        <v>2019</v>
      </c>
      <c r="E28" s="6">
        <v>27522733.25</v>
      </c>
      <c r="F28" s="6">
        <v>193403</v>
      </c>
      <c r="G28" s="5">
        <f>E28/F28</f>
        <v>142.30768524790204</v>
      </c>
    </row>
    <row r="29" spans="2:7" x14ac:dyDescent="0.25">
      <c r="D29" s="8">
        <v>43850</v>
      </c>
      <c r="E29" s="6">
        <v>2657990.81</v>
      </c>
      <c r="F29" s="6">
        <v>16180</v>
      </c>
      <c r="G29" s="5">
        <f t="shared" ref="G29:G34" si="0">E29/F29</f>
        <v>164.27631705809642</v>
      </c>
    </row>
    <row r="30" spans="2:7" x14ac:dyDescent="0.25">
      <c r="D30" s="8">
        <v>43881</v>
      </c>
      <c r="E30" s="6">
        <v>2829875.66</v>
      </c>
      <c r="F30" s="6">
        <v>16174</v>
      </c>
      <c r="G30" s="5">
        <f t="shared" si="0"/>
        <v>174.96448992209721</v>
      </c>
    </row>
    <row r="31" spans="2:7" x14ac:dyDescent="0.25">
      <c r="D31" s="8">
        <v>43910</v>
      </c>
      <c r="E31" s="6">
        <v>2112894.8199999998</v>
      </c>
      <c r="F31" s="6">
        <v>16172</v>
      </c>
      <c r="G31" s="5">
        <f t="shared" si="0"/>
        <v>130.65142344793469</v>
      </c>
    </row>
    <row r="32" spans="2:7" x14ac:dyDescent="0.25">
      <c r="D32" s="8">
        <v>43941</v>
      </c>
      <c r="E32" s="6">
        <v>1854647.6</v>
      </c>
      <c r="F32" s="6">
        <v>16260</v>
      </c>
      <c r="G32" s="5">
        <f t="shared" si="0"/>
        <v>114.06196801968021</v>
      </c>
    </row>
    <row r="33" spans="4:7" x14ac:dyDescent="0.25">
      <c r="D33" s="8">
        <v>43971</v>
      </c>
      <c r="E33" s="6">
        <v>1780975.66</v>
      </c>
      <c r="F33" s="6">
        <v>16334</v>
      </c>
      <c r="G33" s="5">
        <f t="shared" si="0"/>
        <v>109.03487571935838</v>
      </c>
    </row>
    <row r="34" spans="4:7" x14ac:dyDescent="0.25">
      <c r="D34" s="8">
        <v>44002</v>
      </c>
      <c r="E34" s="6">
        <v>2062106.38</v>
      </c>
      <c r="F34" s="6">
        <v>16358</v>
      </c>
      <c r="G34" s="5">
        <f t="shared" si="0"/>
        <v>126.06103313363491</v>
      </c>
    </row>
    <row r="35" spans="4:7" x14ac:dyDescent="0.25">
      <c r="G35" s="9"/>
    </row>
    <row r="36" spans="4:7" x14ac:dyDescent="0.25">
      <c r="D36" s="56" t="s">
        <v>31</v>
      </c>
      <c r="E36" s="56"/>
      <c r="F36" s="56"/>
      <c r="G36" s="56"/>
    </row>
    <row r="37" spans="4:7" x14ac:dyDescent="0.25">
      <c r="E37" s="3" t="s">
        <v>22</v>
      </c>
      <c r="F37" s="3" t="s">
        <v>22</v>
      </c>
      <c r="G37" s="3" t="s">
        <v>25</v>
      </c>
    </row>
    <row r="38" spans="4:7" x14ac:dyDescent="0.25">
      <c r="D38" s="3" t="s">
        <v>21</v>
      </c>
      <c r="E38" s="3" t="s">
        <v>23</v>
      </c>
      <c r="F38" s="3" t="s">
        <v>24</v>
      </c>
      <c r="G38" s="3" t="s">
        <v>26</v>
      </c>
    </row>
    <row r="39" spans="4:7" x14ac:dyDescent="0.25">
      <c r="D39" s="1">
        <v>2017</v>
      </c>
      <c r="E39" s="10">
        <v>7921308.7000000002</v>
      </c>
      <c r="F39" s="6">
        <v>5580</v>
      </c>
      <c r="G39" s="9">
        <f>E39/F39</f>
        <v>1419.5893727598566</v>
      </c>
    </row>
    <row r="40" spans="4:7" x14ac:dyDescent="0.25">
      <c r="D40" s="1">
        <v>2018</v>
      </c>
      <c r="E40" s="6">
        <v>8711924.6699999999</v>
      </c>
      <c r="F40" s="6">
        <v>6401</v>
      </c>
      <c r="G40" s="5">
        <f>E40/F40</f>
        <v>1361.0255694422747</v>
      </c>
    </row>
    <row r="41" spans="4:7" x14ac:dyDescent="0.25">
      <c r="D41" s="1">
        <v>2019</v>
      </c>
      <c r="E41" s="6">
        <v>8547985.6099999994</v>
      </c>
      <c r="F41" s="6">
        <v>6582</v>
      </c>
      <c r="G41" s="5">
        <f>E41/F41</f>
        <v>1298.6912199939227</v>
      </c>
    </row>
    <row r="42" spans="4:7" x14ac:dyDescent="0.25">
      <c r="D42" s="8">
        <v>43850</v>
      </c>
      <c r="E42" s="6">
        <v>692306.39</v>
      </c>
      <c r="F42" s="6">
        <v>551</v>
      </c>
      <c r="G42" s="5">
        <f t="shared" ref="G42:G47" si="1">E42/F42</f>
        <v>1256.4544283121597</v>
      </c>
    </row>
    <row r="43" spans="4:7" x14ac:dyDescent="0.25">
      <c r="D43" s="8">
        <v>43881</v>
      </c>
      <c r="E43" s="6">
        <v>706755.77</v>
      </c>
      <c r="F43" s="6">
        <v>552</v>
      </c>
      <c r="G43" s="5">
        <f t="shared" si="1"/>
        <v>1280.3546557971015</v>
      </c>
    </row>
    <row r="44" spans="4:7" x14ac:dyDescent="0.25">
      <c r="D44" s="8">
        <v>43910</v>
      </c>
      <c r="E44" s="6">
        <v>615800.56999999995</v>
      </c>
      <c r="F44" s="6">
        <v>553</v>
      </c>
      <c r="G44" s="5">
        <f t="shared" si="1"/>
        <v>1113.5634177215188</v>
      </c>
    </row>
    <row r="45" spans="4:7" x14ac:dyDescent="0.25">
      <c r="D45" s="8">
        <v>43941</v>
      </c>
      <c r="E45" s="6">
        <v>537844.18000000005</v>
      </c>
      <c r="F45" s="6">
        <v>554</v>
      </c>
      <c r="G45" s="5">
        <f t="shared" si="1"/>
        <v>970.83787003610121</v>
      </c>
    </row>
    <row r="46" spans="4:7" x14ac:dyDescent="0.25">
      <c r="D46" s="8">
        <v>43971</v>
      </c>
      <c r="E46" s="6">
        <v>539079.37</v>
      </c>
      <c r="F46" s="6">
        <v>553</v>
      </c>
      <c r="G46" s="5">
        <f t="shared" si="1"/>
        <v>974.82707052441231</v>
      </c>
    </row>
    <row r="47" spans="4:7" x14ac:dyDescent="0.25">
      <c r="D47" s="8">
        <v>44002</v>
      </c>
      <c r="E47" s="6">
        <v>613221.64</v>
      </c>
      <c r="F47" s="6">
        <v>556</v>
      </c>
      <c r="G47" s="5">
        <f t="shared" si="1"/>
        <v>1102.9166187050359</v>
      </c>
    </row>
    <row r="48" spans="4:7" x14ac:dyDescent="0.25">
      <c r="F48" s="5"/>
    </row>
    <row r="49" spans="1:8" x14ac:dyDescent="0.25">
      <c r="F49" s="5"/>
    </row>
    <row r="50" spans="1:8" x14ac:dyDescent="0.25">
      <c r="F50" s="5"/>
    </row>
    <row r="51" spans="1:8" x14ac:dyDescent="0.25">
      <c r="F51" s="5"/>
    </row>
    <row r="52" spans="1:8" x14ac:dyDescent="0.25">
      <c r="H52" s="2" t="s">
        <v>36</v>
      </c>
    </row>
    <row r="53" spans="1:8" x14ac:dyDescent="0.25">
      <c r="H53" s="2" t="s">
        <v>95</v>
      </c>
    </row>
    <row r="54" spans="1:8" x14ac:dyDescent="0.25">
      <c r="H54" s="2" t="s">
        <v>142</v>
      </c>
    </row>
    <row r="56" spans="1:8" x14ac:dyDescent="0.25">
      <c r="A56" s="56" t="s">
        <v>141</v>
      </c>
      <c r="B56" s="56"/>
      <c r="C56" s="56"/>
      <c r="D56" s="56"/>
      <c r="E56" s="56"/>
      <c r="F56" s="56"/>
      <c r="G56" s="56"/>
      <c r="H56" s="56"/>
    </row>
    <row r="57" spans="1:8" x14ac:dyDescent="0.25">
      <c r="A57" s="56" t="s">
        <v>1</v>
      </c>
      <c r="B57" s="56"/>
      <c r="C57" s="56"/>
      <c r="D57" s="56"/>
      <c r="E57" s="56"/>
      <c r="F57" s="56"/>
      <c r="G57" s="56"/>
      <c r="H57" s="56"/>
    </row>
    <row r="58" spans="1:8" x14ac:dyDescent="0.25">
      <c r="A58" s="56" t="s">
        <v>2</v>
      </c>
      <c r="B58" s="56"/>
      <c r="C58" s="56"/>
      <c r="D58" s="56"/>
      <c r="E58" s="56"/>
      <c r="F58" s="56"/>
      <c r="G58" s="56"/>
      <c r="H58" s="56"/>
    </row>
    <row r="59" spans="1:8" x14ac:dyDescent="0.25">
      <c r="F59" s="5"/>
    </row>
    <row r="60" spans="1:8" x14ac:dyDescent="0.25">
      <c r="D60" s="56" t="s">
        <v>32</v>
      </c>
      <c r="E60" s="56"/>
      <c r="F60" s="56"/>
      <c r="G60" s="56"/>
    </row>
    <row r="61" spans="1:8" x14ac:dyDescent="0.25">
      <c r="E61" s="3" t="s">
        <v>22</v>
      </c>
      <c r="F61" s="3" t="s">
        <v>22</v>
      </c>
      <c r="G61" s="3" t="s">
        <v>25</v>
      </c>
    </row>
    <row r="62" spans="1:8" x14ac:dyDescent="0.25">
      <c r="D62" s="3" t="s">
        <v>21</v>
      </c>
      <c r="E62" s="3" t="s">
        <v>23</v>
      </c>
      <c r="F62" s="3" t="s">
        <v>24</v>
      </c>
      <c r="G62" s="3" t="s">
        <v>26</v>
      </c>
    </row>
    <row r="63" spans="1:8" x14ac:dyDescent="0.25">
      <c r="D63" s="1">
        <v>2017</v>
      </c>
      <c r="E63" s="10">
        <v>11078168.32</v>
      </c>
      <c r="F63" s="6">
        <v>99</v>
      </c>
      <c r="G63" s="9">
        <f>E63/F63</f>
        <v>111900.6901010101</v>
      </c>
    </row>
    <row r="64" spans="1:8" x14ac:dyDescent="0.25">
      <c r="D64" s="1">
        <v>2018</v>
      </c>
      <c r="E64" s="6">
        <v>11968993.82</v>
      </c>
      <c r="F64" s="6">
        <v>113</v>
      </c>
      <c r="G64" s="5">
        <f>E64/F64</f>
        <v>105920.2992920354</v>
      </c>
    </row>
    <row r="65" spans="4:7" x14ac:dyDescent="0.25">
      <c r="D65" s="1">
        <v>2019</v>
      </c>
      <c r="E65" s="6">
        <v>11669986.41</v>
      </c>
      <c r="F65" s="6">
        <v>121</v>
      </c>
      <c r="G65" s="5">
        <f>E65/F65</f>
        <v>96446.168677685957</v>
      </c>
    </row>
    <row r="66" spans="4:7" x14ac:dyDescent="0.25">
      <c r="D66" s="8">
        <v>43850</v>
      </c>
      <c r="E66" s="6">
        <v>973774.93</v>
      </c>
      <c r="F66" s="6">
        <v>11</v>
      </c>
      <c r="G66" s="5">
        <f t="shared" ref="G66:G71" si="2">E66/F66</f>
        <v>88524.993636363637</v>
      </c>
    </row>
    <row r="67" spans="4:7" x14ac:dyDescent="0.25">
      <c r="D67" s="8">
        <v>43881</v>
      </c>
      <c r="E67" s="6">
        <v>982017.49</v>
      </c>
      <c r="F67" s="6">
        <v>11</v>
      </c>
      <c r="G67" s="5">
        <f t="shared" si="2"/>
        <v>89274.317272727276</v>
      </c>
    </row>
    <row r="68" spans="4:7" x14ac:dyDescent="0.25">
      <c r="D68" s="8">
        <v>43910</v>
      </c>
      <c r="E68" s="6">
        <v>880893.48</v>
      </c>
      <c r="F68" s="6">
        <v>11</v>
      </c>
      <c r="G68" s="5">
        <f t="shared" si="2"/>
        <v>80081.225454545449</v>
      </c>
    </row>
    <row r="69" spans="4:7" x14ac:dyDescent="0.25">
      <c r="D69" s="8">
        <v>43941</v>
      </c>
      <c r="E69" s="6">
        <v>748553.78</v>
      </c>
      <c r="F69" s="6">
        <v>11</v>
      </c>
      <c r="G69" s="5">
        <f t="shared" si="2"/>
        <v>68050.343636363643</v>
      </c>
    </row>
    <row r="70" spans="4:7" x14ac:dyDescent="0.25">
      <c r="D70" s="8">
        <v>43971</v>
      </c>
      <c r="E70" s="6">
        <v>741198.01</v>
      </c>
      <c r="F70" s="6">
        <v>11</v>
      </c>
      <c r="G70" s="5">
        <f t="shared" si="2"/>
        <v>67381.637272727268</v>
      </c>
    </row>
    <row r="71" spans="4:7" x14ac:dyDescent="0.25">
      <c r="D71" s="8">
        <v>44002</v>
      </c>
      <c r="E71" s="6">
        <v>790002.21</v>
      </c>
      <c r="F71" s="6">
        <v>11</v>
      </c>
      <c r="G71" s="5">
        <f t="shared" si="2"/>
        <v>71818.382727272721</v>
      </c>
    </row>
    <row r="73" spans="4:7" x14ac:dyDescent="0.25">
      <c r="D73" s="56" t="s">
        <v>8</v>
      </c>
      <c r="E73" s="56"/>
      <c r="F73" s="56"/>
      <c r="G73" s="56"/>
    </row>
    <row r="74" spans="4:7" x14ac:dyDescent="0.25">
      <c r="E74" s="3" t="s">
        <v>22</v>
      </c>
      <c r="F74" s="3" t="s">
        <v>22</v>
      </c>
      <c r="G74" s="3" t="s">
        <v>25</v>
      </c>
    </row>
    <row r="75" spans="4:7" x14ac:dyDescent="0.25">
      <c r="D75" s="3" t="s">
        <v>21</v>
      </c>
      <c r="E75" s="3" t="s">
        <v>23</v>
      </c>
      <c r="F75" s="3" t="s">
        <v>24</v>
      </c>
      <c r="G75" s="3" t="s">
        <v>26</v>
      </c>
    </row>
    <row r="76" spans="4:7" x14ac:dyDescent="0.25">
      <c r="D76" s="1">
        <v>2017</v>
      </c>
      <c r="E76" s="10">
        <v>50567.56</v>
      </c>
      <c r="F76" s="6">
        <v>352</v>
      </c>
      <c r="G76" s="9">
        <f>E76/F76</f>
        <v>143.65784090909091</v>
      </c>
    </row>
    <row r="77" spans="4:7" x14ac:dyDescent="0.25">
      <c r="D77" s="1">
        <v>2018</v>
      </c>
      <c r="E77" s="6">
        <v>59698.61</v>
      </c>
      <c r="F77" s="6">
        <v>403</v>
      </c>
      <c r="G77" s="5">
        <f>E77/F77</f>
        <v>148.13550868486354</v>
      </c>
    </row>
    <row r="78" spans="4:7" x14ac:dyDescent="0.25">
      <c r="D78" s="1">
        <v>2019</v>
      </c>
      <c r="E78" s="6">
        <v>59745.15</v>
      </c>
      <c r="F78" s="6">
        <v>396</v>
      </c>
      <c r="G78" s="5">
        <f>E78/F78</f>
        <v>150.87159090909091</v>
      </c>
    </row>
    <row r="79" spans="4:7" x14ac:dyDescent="0.25">
      <c r="D79" s="8">
        <v>43850</v>
      </c>
      <c r="E79" s="6">
        <v>5215.2</v>
      </c>
      <c r="F79" s="6">
        <v>33</v>
      </c>
      <c r="G79" s="5">
        <f t="shared" ref="G79:G84" si="3">E79/F79</f>
        <v>158.03636363636363</v>
      </c>
    </row>
    <row r="80" spans="4:7" x14ac:dyDescent="0.25">
      <c r="D80" s="8">
        <v>43881</v>
      </c>
      <c r="E80" s="6">
        <v>5194.1499999999996</v>
      </c>
      <c r="F80" s="6">
        <v>33</v>
      </c>
      <c r="G80" s="5">
        <f t="shared" si="3"/>
        <v>157.39848484848483</v>
      </c>
    </row>
    <row r="81" spans="4:7" x14ac:dyDescent="0.25">
      <c r="D81" s="8">
        <v>43910</v>
      </c>
      <c r="E81" s="6">
        <v>5031.16</v>
      </c>
      <c r="F81" s="6">
        <v>33</v>
      </c>
      <c r="G81" s="5">
        <f t="shared" si="3"/>
        <v>152.45939393939395</v>
      </c>
    </row>
    <row r="82" spans="4:7" x14ac:dyDescent="0.25">
      <c r="D82" s="8">
        <v>43941</v>
      </c>
      <c r="E82" s="6">
        <v>5040.07</v>
      </c>
      <c r="F82" s="6">
        <v>33</v>
      </c>
      <c r="G82" s="5">
        <f t="shared" si="3"/>
        <v>152.72939393939393</v>
      </c>
    </row>
    <row r="83" spans="4:7" x14ac:dyDescent="0.25">
      <c r="D83" s="8">
        <v>43971</v>
      </c>
      <c r="E83" s="6">
        <v>5057.8999999999996</v>
      </c>
      <c r="F83" s="6">
        <v>33</v>
      </c>
      <c r="G83" s="5">
        <f t="shared" si="3"/>
        <v>153.26969696969695</v>
      </c>
    </row>
    <row r="84" spans="4:7" x14ac:dyDescent="0.25">
      <c r="D84" s="8">
        <v>44002</v>
      </c>
      <c r="E84" s="6">
        <v>5108.66</v>
      </c>
      <c r="F84" s="6">
        <v>33</v>
      </c>
      <c r="G84" s="5">
        <f t="shared" si="3"/>
        <v>154.80787878787879</v>
      </c>
    </row>
    <row r="86" spans="4:7" x14ac:dyDescent="0.25">
      <c r="D86" s="56" t="s">
        <v>22</v>
      </c>
      <c r="E86" s="56"/>
      <c r="F86" s="56"/>
      <c r="G86" s="56"/>
    </row>
    <row r="87" spans="4:7" x14ac:dyDescent="0.25">
      <c r="E87" s="3" t="s">
        <v>22</v>
      </c>
      <c r="F87" s="3" t="s">
        <v>22</v>
      </c>
      <c r="G87" s="3" t="s">
        <v>25</v>
      </c>
    </row>
    <row r="88" spans="4:7" x14ac:dyDescent="0.25">
      <c r="D88" s="3" t="s">
        <v>21</v>
      </c>
      <c r="E88" s="3" t="s">
        <v>23</v>
      </c>
      <c r="F88" s="3" t="s">
        <v>24</v>
      </c>
      <c r="G88" s="3" t="s">
        <v>26</v>
      </c>
    </row>
    <row r="89" spans="4:7" x14ac:dyDescent="0.25">
      <c r="D89" s="1">
        <v>2017</v>
      </c>
      <c r="E89" s="10">
        <f t="shared" ref="E89:F97" si="4">+E26+E39+E63+E76</f>
        <v>41937762.370000005</v>
      </c>
      <c r="F89" s="6">
        <f t="shared" si="4"/>
        <v>178095</v>
      </c>
      <c r="G89" s="9">
        <f>+E89/F89</f>
        <v>235.47972918947755</v>
      </c>
    </row>
    <row r="90" spans="4:7" x14ac:dyDescent="0.25">
      <c r="D90" s="1">
        <v>2018</v>
      </c>
      <c r="E90" s="6">
        <f t="shared" si="4"/>
        <v>48836446.490000002</v>
      </c>
      <c r="F90" s="6">
        <f t="shared" si="4"/>
        <v>197252</v>
      </c>
      <c r="G90" s="5">
        <f>+E90/F90</f>
        <v>247.58403712002922</v>
      </c>
    </row>
    <row r="91" spans="4:7" x14ac:dyDescent="0.25">
      <c r="D91" s="1">
        <v>2019</v>
      </c>
      <c r="E91" s="6">
        <f t="shared" si="4"/>
        <v>47800450.419999994</v>
      </c>
      <c r="F91" s="6">
        <f t="shared" si="4"/>
        <v>200502</v>
      </c>
      <c r="G91" s="5">
        <f>+E91/F91</f>
        <v>238.40385841537739</v>
      </c>
    </row>
    <row r="92" spans="4:7" x14ac:dyDescent="0.25">
      <c r="D92" s="8">
        <v>43850</v>
      </c>
      <c r="E92" s="6">
        <f t="shared" si="4"/>
        <v>4329287.33</v>
      </c>
      <c r="F92" s="6">
        <f t="shared" si="4"/>
        <v>16775</v>
      </c>
      <c r="G92" s="5">
        <f t="shared" ref="G92:G96" si="5">+E92/F92</f>
        <v>258.07972160953801</v>
      </c>
    </row>
    <row r="93" spans="4:7" x14ac:dyDescent="0.25">
      <c r="D93" s="8">
        <v>43881</v>
      </c>
      <c r="E93" s="6">
        <f t="shared" si="4"/>
        <v>4523843.07</v>
      </c>
      <c r="F93" s="6">
        <f t="shared" si="4"/>
        <v>16770</v>
      </c>
      <c r="G93" s="5">
        <f t="shared" si="5"/>
        <v>269.75808407871199</v>
      </c>
    </row>
    <row r="94" spans="4:7" x14ac:dyDescent="0.25">
      <c r="D94" s="8">
        <v>43910</v>
      </c>
      <c r="E94" s="6">
        <f t="shared" si="4"/>
        <v>3614620.03</v>
      </c>
      <c r="F94" s="6">
        <f t="shared" si="4"/>
        <v>16769</v>
      </c>
      <c r="G94" s="5">
        <f t="shared" si="5"/>
        <v>215.55370206929453</v>
      </c>
    </row>
    <row r="95" spans="4:7" x14ac:dyDescent="0.25">
      <c r="D95" s="8">
        <v>43941</v>
      </c>
      <c r="E95" s="6">
        <f t="shared" si="4"/>
        <v>3146085.6300000004</v>
      </c>
      <c r="F95" s="6">
        <f t="shared" si="4"/>
        <v>16858</v>
      </c>
      <c r="G95" s="5">
        <f t="shared" si="5"/>
        <v>186.62270909953733</v>
      </c>
    </row>
    <row r="96" spans="4:7" x14ac:dyDescent="0.25">
      <c r="D96" s="8">
        <v>43971</v>
      </c>
      <c r="E96" s="6">
        <f t="shared" si="4"/>
        <v>3066310.94</v>
      </c>
      <c r="F96" s="6">
        <f t="shared" si="4"/>
        <v>16931</v>
      </c>
      <c r="G96" s="5">
        <f t="shared" si="5"/>
        <v>181.10631031835095</v>
      </c>
    </row>
    <row r="97" spans="4:7" x14ac:dyDescent="0.25">
      <c r="D97" s="8">
        <v>44002</v>
      </c>
      <c r="E97" s="6">
        <f t="shared" si="4"/>
        <v>3470438.89</v>
      </c>
      <c r="F97" s="6">
        <f t="shared" si="4"/>
        <v>16958</v>
      </c>
      <c r="G97" s="5">
        <f t="shared" ref="G97" si="6">+E97/F97</f>
        <v>204.64906769666234</v>
      </c>
    </row>
  </sheetData>
  <mergeCells count="11">
    <mergeCell ref="A5:H5"/>
    <mergeCell ref="A6:H6"/>
    <mergeCell ref="A7:H7"/>
    <mergeCell ref="D23:G23"/>
    <mergeCell ref="D36:G36"/>
    <mergeCell ref="D73:G73"/>
    <mergeCell ref="D86:G86"/>
    <mergeCell ref="A56:H56"/>
    <mergeCell ref="A57:H57"/>
    <mergeCell ref="A58:H58"/>
    <mergeCell ref="D60:G60"/>
  </mergeCells>
  <pageMargins left="0.7" right="0.7" top="0.75" bottom="0.75" header="0.3" footer="0.3"/>
  <pageSetup scale="9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0306E-40FB-4F7E-9166-90947A149B0E}">
  <sheetPr>
    <pageSetUpPr fitToPage="1"/>
  </sheetPr>
  <dimension ref="A1:L45"/>
  <sheetViews>
    <sheetView topLeftCell="A10" zoomScale="110" zoomScaleNormal="110" workbookViewId="0">
      <selection activeCell="C12" sqref="C12:I31"/>
    </sheetView>
  </sheetViews>
  <sheetFormatPr defaultRowHeight="15" x14ac:dyDescent="0.25"/>
  <cols>
    <col min="1" max="1" width="6.7109375" customWidth="1"/>
    <col min="2" max="2" width="10.140625" customWidth="1"/>
    <col min="3" max="3" width="7.42578125" customWidth="1"/>
    <col min="4" max="4" width="8.28515625" customWidth="1"/>
    <col min="5" max="5" width="11.42578125" customWidth="1"/>
    <col min="6" max="6" width="12.5703125" customWidth="1"/>
    <col min="7" max="7" width="12" customWidth="1"/>
    <col min="8" max="8" width="11.42578125" customWidth="1"/>
    <col min="9" max="9" width="27" customWidth="1"/>
  </cols>
  <sheetData>
    <row r="1" spans="1:9" x14ac:dyDescent="0.25">
      <c r="I1" s="2" t="s">
        <v>38</v>
      </c>
    </row>
    <row r="2" spans="1:9" x14ac:dyDescent="0.25">
      <c r="I2" s="2" t="s">
        <v>76</v>
      </c>
    </row>
    <row r="3" spans="1:9" x14ac:dyDescent="0.25">
      <c r="I3" s="2" t="s">
        <v>142</v>
      </c>
    </row>
    <row r="5" spans="1:9" x14ac:dyDescent="0.25">
      <c r="A5" s="56" t="s">
        <v>141</v>
      </c>
      <c r="B5" s="56"/>
      <c r="C5" s="56"/>
      <c r="D5" s="56"/>
      <c r="E5" s="56"/>
      <c r="F5" s="56"/>
      <c r="G5" s="56"/>
      <c r="H5" s="56"/>
      <c r="I5" s="56"/>
    </row>
    <row r="6" spans="1:9" x14ac:dyDescent="0.25">
      <c r="A6" s="56" t="s">
        <v>1</v>
      </c>
      <c r="B6" s="56"/>
      <c r="C6" s="56"/>
      <c r="D6" s="56"/>
      <c r="E6" s="56"/>
      <c r="F6" s="56"/>
      <c r="G6" s="56"/>
      <c r="H6" s="56"/>
      <c r="I6" s="56"/>
    </row>
    <row r="7" spans="1:9" x14ac:dyDescent="0.25">
      <c r="A7" s="56" t="s">
        <v>2</v>
      </c>
      <c r="B7" s="56"/>
      <c r="C7" s="56"/>
      <c r="D7" s="56"/>
      <c r="E7" s="56"/>
      <c r="F7" s="56"/>
      <c r="G7" s="56"/>
      <c r="H7" s="56"/>
      <c r="I7" s="56"/>
    </row>
    <row r="9" spans="1:9" x14ac:dyDescent="0.25">
      <c r="B9" s="3" t="s">
        <v>38</v>
      </c>
      <c r="C9" t="s">
        <v>39</v>
      </c>
    </row>
    <row r="10" spans="1:9" x14ac:dyDescent="0.25">
      <c r="D10" t="s">
        <v>40</v>
      </c>
    </row>
    <row r="11" spans="1:9" x14ac:dyDescent="0.25">
      <c r="D11" t="s">
        <v>41</v>
      </c>
    </row>
    <row r="12" spans="1:9" x14ac:dyDescent="0.25">
      <c r="D12" t="s">
        <v>42</v>
      </c>
    </row>
    <row r="13" spans="1:9" x14ac:dyDescent="0.25">
      <c r="D13" t="s">
        <v>43</v>
      </c>
    </row>
    <row r="14" spans="1:9" x14ac:dyDescent="0.25">
      <c r="D14" t="s">
        <v>44</v>
      </c>
    </row>
    <row r="15" spans="1:9" x14ac:dyDescent="0.25">
      <c r="D15" t="s">
        <v>45</v>
      </c>
    </row>
    <row r="17" spans="2:12" ht="15" customHeight="1" x14ac:dyDescent="0.25">
      <c r="B17" s="4" t="s">
        <v>5</v>
      </c>
      <c r="D17" s="57" t="s">
        <v>166</v>
      </c>
      <c r="E17" s="57"/>
      <c r="F17" s="57"/>
      <c r="G17" s="57"/>
      <c r="H17" s="57"/>
      <c r="I17" s="57"/>
      <c r="L17" s="27"/>
    </row>
    <row r="18" spans="2:12" x14ac:dyDescent="0.25">
      <c r="B18" s="4"/>
      <c r="D18" s="57"/>
      <c r="E18" s="57"/>
      <c r="F18" s="57"/>
      <c r="G18" s="57"/>
      <c r="H18" s="57"/>
      <c r="I18" s="57"/>
      <c r="L18" s="27"/>
    </row>
    <row r="19" spans="2:12" x14ac:dyDescent="0.25">
      <c r="B19" s="4"/>
      <c r="D19" s="57"/>
      <c r="E19" s="57"/>
      <c r="F19" s="57"/>
      <c r="G19" s="57"/>
      <c r="H19" s="57"/>
      <c r="I19" s="57"/>
      <c r="L19" s="27"/>
    </row>
    <row r="20" spans="2:12" x14ac:dyDescent="0.25">
      <c r="B20" s="4"/>
      <c r="D20" s="57"/>
      <c r="E20" s="57"/>
      <c r="F20" s="57"/>
      <c r="G20" s="57"/>
      <c r="H20" s="57"/>
      <c r="I20" s="57"/>
      <c r="L20" s="27"/>
    </row>
    <row r="21" spans="2:12" x14ac:dyDescent="0.25">
      <c r="B21" s="4"/>
      <c r="D21" s="57"/>
      <c r="E21" s="57"/>
      <c r="F21" s="57"/>
      <c r="G21" s="57"/>
      <c r="H21" s="57"/>
      <c r="I21" s="57"/>
      <c r="L21" s="27"/>
    </row>
    <row r="22" spans="2:12" x14ac:dyDescent="0.25">
      <c r="B22" s="4"/>
      <c r="D22" s="57"/>
      <c r="E22" s="57"/>
      <c r="F22" s="57"/>
      <c r="G22" s="57"/>
      <c r="H22" s="57"/>
      <c r="I22" s="57"/>
      <c r="L22" s="27"/>
    </row>
    <row r="23" spans="2:12" x14ac:dyDescent="0.25">
      <c r="B23" s="4"/>
      <c r="D23" s="53"/>
      <c r="E23" s="53"/>
      <c r="F23" s="53"/>
      <c r="G23" s="53"/>
      <c r="H23" s="53"/>
      <c r="I23" s="53"/>
      <c r="L23" s="27"/>
    </row>
    <row r="24" spans="2:12" x14ac:dyDescent="0.25">
      <c r="B24" s="4"/>
      <c r="D24" s="53"/>
      <c r="E24" s="53"/>
      <c r="F24" s="53"/>
      <c r="G24" s="53"/>
      <c r="H24" s="53"/>
      <c r="I24" s="53"/>
      <c r="L24" s="27"/>
    </row>
    <row r="25" spans="2:12" x14ac:dyDescent="0.25">
      <c r="B25" s="4"/>
    </row>
    <row r="26" spans="2:12" x14ac:dyDescent="0.25">
      <c r="D26" t="s">
        <v>77</v>
      </c>
    </row>
    <row r="28" spans="2:12" x14ac:dyDescent="0.25">
      <c r="F28" s="3">
        <v>2018</v>
      </c>
      <c r="G28" s="3">
        <v>2019</v>
      </c>
      <c r="H28" s="3">
        <v>2020</v>
      </c>
    </row>
    <row r="29" spans="2:12" x14ac:dyDescent="0.25">
      <c r="E29" t="s">
        <v>78</v>
      </c>
      <c r="F29" s="10">
        <v>2701.41</v>
      </c>
      <c r="G29" s="10">
        <v>2023.59</v>
      </c>
      <c r="H29" s="10">
        <v>2682.44</v>
      </c>
    </row>
    <row r="30" spans="2:12" x14ac:dyDescent="0.25">
      <c r="E30" t="s">
        <v>79</v>
      </c>
      <c r="F30" s="6">
        <v>3129.9</v>
      </c>
      <c r="G30" s="6">
        <v>1916.81</v>
      </c>
      <c r="H30" s="6">
        <v>3511.11</v>
      </c>
    </row>
    <row r="31" spans="2:12" x14ac:dyDescent="0.25">
      <c r="E31" t="s">
        <v>80</v>
      </c>
      <c r="F31" s="6">
        <v>2872.07</v>
      </c>
      <c r="G31" s="6">
        <v>2491.11</v>
      </c>
      <c r="H31" s="6">
        <v>1815.46</v>
      </c>
    </row>
    <row r="32" spans="2:12" x14ac:dyDescent="0.25">
      <c r="E32" t="s">
        <v>81</v>
      </c>
      <c r="F32" s="6">
        <v>4902.6099999999997</v>
      </c>
      <c r="G32" s="6">
        <v>2475.34</v>
      </c>
      <c r="H32" s="6">
        <v>1881.38</v>
      </c>
    </row>
    <row r="33" spans="4:9" x14ac:dyDescent="0.25">
      <c r="E33" t="s">
        <v>82</v>
      </c>
      <c r="F33" s="6">
        <v>5429.66</v>
      </c>
      <c r="G33" s="6">
        <v>2438.7800000000002</v>
      </c>
      <c r="H33" s="6">
        <v>2282.5300000000002</v>
      </c>
    </row>
    <row r="34" spans="4:9" x14ac:dyDescent="0.25">
      <c r="E34" t="s">
        <v>83</v>
      </c>
      <c r="F34" s="6">
        <v>4673.0600000000004</v>
      </c>
      <c r="G34" s="6">
        <v>7803.92</v>
      </c>
      <c r="H34" s="11">
        <v>2030.05</v>
      </c>
    </row>
    <row r="35" spans="4:9" x14ac:dyDescent="0.25">
      <c r="E35" t="s">
        <v>84</v>
      </c>
      <c r="F35" s="6">
        <v>4906.4799999999996</v>
      </c>
      <c r="G35" s="6">
        <v>4843.43</v>
      </c>
      <c r="H35" s="11"/>
    </row>
    <row r="36" spans="4:9" x14ac:dyDescent="0.25">
      <c r="E36" t="s">
        <v>85</v>
      </c>
      <c r="F36" s="6">
        <v>2377.48</v>
      </c>
      <c r="G36" s="6">
        <v>3776.4</v>
      </c>
      <c r="H36" s="11"/>
    </row>
    <row r="37" spans="4:9" x14ac:dyDescent="0.25">
      <c r="E37" t="s">
        <v>86</v>
      </c>
      <c r="F37" s="6">
        <v>3742.91</v>
      </c>
      <c r="G37" s="6">
        <v>865.03</v>
      </c>
      <c r="H37" s="11"/>
    </row>
    <row r="38" spans="4:9" x14ac:dyDescent="0.25">
      <c r="E38" t="s">
        <v>87</v>
      </c>
      <c r="F38" s="6">
        <v>1849.3</v>
      </c>
      <c r="G38" s="6">
        <v>2647.3</v>
      </c>
      <c r="H38" s="11"/>
    </row>
    <row r="39" spans="4:9" x14ac:dyDescent="0.25">
      <c r="E39" t="s">
        <v>88</v>
      </c>
      <c r="F39" s="6">
        <v>2280.88</v>
      </c>
      <c r="G39" s="6">
        <v>2374.5100000000002</v>
      </c>
      <c r="H39" s="11"/>
    </row>
    <row r="40" spans="4:9" x14ac:dyDescent="0.25">
      <c r="E40" t="s">
        <v>89</v>
      </c>
      <c r="F40" s="6">
        <v>1671.06</v>
      </c>
      <c r="G40" s="6">
        <v>1143.9000000000001</v>
      </c>
      <c r="H40" s="11"/>
    </row>
    <row r="41" spans="4:9" x14ac:dyDescent="0.25">
      <c r="F41" s="5"/>
      <c r="G41" s="5"/>
    </row>
    <row r="42" spans="4:9" x14ac:dyDescent="0.25">
      <c r="E42" t="s">
        <v>22</v>
      </c>
      <c r="F42" s="10">
        <f>SUM(F29:F40)</f>
        <v>40536.82</v>
      </c>
      <c r="G42" s="10">
        <f>SUM(G29:G40)</f>
        <v>34800.120000000003</v>
      </c>
      <c r="H42" s="10">
        <f>SUM(H29:H40)</f>
        <v>14202.97</v>
      </c>
    </row>
    <row r="44" spans="4:9" x14ac:dyDescent="0.25">
      <c r="D44" s="27" t="s">
        <v>134</v>
      </c>
      <c r="E44" s="27"/>
      <c r="F44" s="27"/>
      <c r="G44" s="27"/>
      <c r="H44" s="27"/>
      <c r="I44" s="27"/>
    </row>
    <row r="45" spans="4:9" x14ac:dyDescent="0.25">
      <c r="D45" s="27" t="s">
        <v>90</v>
      </c>
      <c r="E45" s="27"/>
      <c r="F45" s="27"/>
      <c r="G45" s="27"/>
      <c r="H45" s="27"/>
      <c r="I45" s="27"/>
    </row>
  </sheetData>
  <mergeCells count="4">
    <mergeCell ref="A5:I5"/>
    <mergeCell ref="A6:I6"/>
    <mergeCell ref="A7:I7"/>
    <mergeCell ref="D17:I22"/>
  </mergeCells>
  <pageMargins left="0.25" right="0.25" top="0.75" bottom="0.75" header="0.3" footer="0.3"/>
  <pageSetup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41D9D-CE9C-4010-ACFF-EBC238829A7F}">
  <sheetPr>
    <pageSetUpPr fitToPage="1"/>
  </sheetPr>
  <dimension ref="A1:Q47"/>
  <sheetViews>
    <sheetView zoomScale="120" zoomScaleNormal="120" workbookViewId="0">
      <selection activeCell="C12" sqref="C12:I31"/>
    </sheetView>
  </sheetViews>
  <sheetFormatPr defaultRowHeight="15" x14ac:dyDescent="0.25"/>
  <cols>
    <col min="1" max="1" width="6.7109375" customWidth="1"/>
    <col min="2" max="2" width="10.28515625" customWidth="1"/>
    <col min="3" max="3" width="7.42578125" customWidth="1"/>
    <col min="4" max="4" width="17" bestFit="1" customWidth="1"/>
    <col min="5" max="6" width="11.140625" customWidth="1"/>
    <col min="7" max="7" width="11.140625" style="6" customWidth="1"/>
    <col min="8" max="8" width="11.140625" customWidth="1"/>
  </cols>
  <sheetData>
    <row r="1" spans="1:9" x14ac:dyDescent="0.25">
      <c r="I1" s="2" t="s">
        <v>46</v>
      </c>
    </row>
    <row r="2" spans="1:9" x14ac:dyDescent="0.25">
      <c r="I2" s="2" t="s">
        <v>76</v>
      </c>
    </row>
    <row r="3" spans="1:9" x14ac:dyDescent="0.25">
      <c r="I3" s="2" t="s">
        <v>142</v>
      </c>
    </row>
    <row r="5" spans="1:9" x14ac:dyDescent="0.25">
      <c r="A5" s="56" t="s">
        <v>141</v>
      </c>
      <c r="B5" s="56"/>
      <c r="C5" s="56"/>
      <c r="D5" s="56"/>
      <c r="E5" s="56"/>
      <c r="F5" s="56"/>
      <c r="G5" s="56"/>
      <c r="H5" s="56"/>
      <c r="I5" s="56"/>
    </row>
    <row r="6" spans="1:9" x14ac:dyDescent="0.25">
      <c r="A6" s="56" t="s">
        <v>1</v>
      </c>
      <c r="B6" s="56"/>
      <c r="C6" s="56"/>
      <c r="D6" s="56"/>
      <c r="E6" s="56"/>
      <c r="F6" s="56"/>
      <c r="G6" s="56"/>
      <c r="H6" s="56"/>
      <c r="I6" s="56"/>
    </row>
    <row r="7" spans="1:9" x14ac:dyDescent="0.25">
      <c r="A7" s="56" t="s">
        <v>2</v>
      </c>
      <c r="B7" s="56"/>
      <c r="C7" s="56"/>
      <c r="D7" s="56"/>
      <c r="E7" s="56"/>
      <c r="F7" s="56"/>
      <c r="G7" s="56"/>
      <c r="H7" s="56"/>
      <c r="I7" s="56"/>
    </row>
    <row r="9" spans="1:9" x14ac:dyDescent="0.25">
      <c r="B9" s="3" t="s">
        <v>46</v>
      </c>
      <c r="C9" t="s">
        <v>128</v>
      </c>
    </row>
    <row r="10" spans="1:9" x14ac:dyDescent="0.25">
      <c r="C10" t="s">
        <v>129</v>
      </c>
    </row>
    <row r="11" spans="1:9" x14ac:dyDescent="0.25">
      <c r="C11" t="s">
        <v>130</v>
      </c>
    </row>
    <row r="13" spans="1:9" x14ac:dyDescent="0.25">
      <c r="B13" s="4" t="s">
        <v>5</v>
      </c>
      <c r="C13" s="57" t="s">
        <v>167</v>
      </c>
      <c r="D13" s="57"/>
      <c r="E13" s="57"/>
      <c r="F13" s="57"/>
      <c r="G13" s="57"/>
      <c r="H13" s="57"/>
      <c r="I13" s="57"/>
    </row>
    <row r="14" spans="1:9" x14ac:dyDescent="0.25">
      <c r="B14" s="4"/>
      <c r="C14" s="57"/>
      <c r="D14" s="57"/>
      <c r="E14" s="57"/>
      <c r="F14" s="57"/>
      <c r="G14" s="57"/>
      <c r="H14" s="57"/>
      <c r="I14" s="57"/>
    </row>
    <row r="15" spans="1:9" x14ac:dyDescent="0.25">
      <c r="B15" s="4"/>
    </row>
    <row r="17" spans="3:17" x14ac:dyDescent="0.25">
      <c r="E17" s="26">
        <v>43891</v>
      </c>
      <c r="F17" s="26">
        <v>43922</v>
      </c>
      <c r="G17" s="26">
        <v>43952</v>
      </c>
      <c r="H17" s="26">
        <v>43983</v>
      </c>
    </row>
    <row r="18" spans="3:17" x14ac:dyDescent="0.25">
      <c r="D18" t="s">
        <v>161</v>
      </c>
      <c r="E18" s="34">
        <f>147</f>
        <v>147</v>
      </c>
      <c r="F18" s="34">
        <f>202</f>
        <v>202</v>
      </c>
      <c r="G18" s="34">
        <f>265</f>
        <v>265</v>
      </c>
      <c r="H18" s="27">
        <v>287</v>
      </c>
    </row>
    <row r="19" spans="3:17" x14ac:dyDescent="0.25">
      <c r="D19" t="s">
        <v>168</v>
      </c>
      <c r="E19">
        <v>133</v>
      </c>
      <c r="F19">
        <v>160</v>
      </c>
      <c r="G19">
        <v>134</v>
      </c>
      <c r="H19">
        <v>185</v>
      </c>
    </row>
    <row r="20" spans="3:17" ht="15.75" thickBot="1" x14ac:dyDescent="0.3">
      <c r="D20" s="4" t="s">
        <v>22</v>
      </c>
      <c r="E20" s="54">
        <f t="shared" ref="E20:H20" si="0">SUM(E18:E19)</f>
        <v>280</v>
      </c>
      <c r="F20" s="54">
        <f t="shared" si="0"/>
        <v>362</v>
      </c>
      <c r="G20" s="54">
        <f t="shared" si="0"/>
        <v>399</v>
      </c>
      <c r="H20" s="54">
        <f t="shared" si="0"/>
        <v>472</v>
      </c>
    </row>
    <row r="21" spans="3:17" ht="15.75" thickTop="1" x14ac:dyDescent="0.25">
      <c r="G21"/>
    </row>
    <row r="22" spans="3:17" x14ac:dyDescent="0.25">
      <c r="G22"/>
    </row>
    <row r="23" spans="3:17" x14ac:dyDescent="0.25">
      <c r="G23"/>
    </row>
    <row r="24" spans="3:17" x14ac:dyDescent="0.25">
      <c r="C24" s="27"/>
      <c r="D24" s="27"/>
      <c r="E24" s="27"/>
      <c r="F24" s="27"/>
      <c r="G24" s="27"/>
      <c r="H24" s="27"/>
      <c r="I24" s="27"/>
      <c r="J24" s="27"/>
      <c r="K24" s="27"/>
      <c r="L24" s="27"/>
      <c r="M24" s="27"/>
      <c r="N24" s="27"/>
      <c r="O24" s="27"/>
      <c r="P24" s="27"/>
      <c r="Q24" s="27"/>
    </row>
    <row r="25" spans="3:17" x14ac:dyDescent="0.25">
      <c r="G25"/>
    </row>
    <row r="26" spans="3:17" x14ac:dyDescent="0.25">
      <c r="G26"/>
    </row>
    <row r="27" spans="3:17" x14ac:dyDescent="0.25">
      <c r="G27"/>
    </row>
    <row r="28" spans="3:17" x14ac:dyDescent="0.25">
      <c r="G28"/>
    </row>
    <row r="29" spans="3:17" x14ac:dyDescent="0.25">
      <c r="G29"/>
    </row>
    <row r="30" spans="3:17" x14ac:dyDescent="0.25">
      <c r="G30"/>
    </row>
    <row r="31" spans="3:17" x14ac:dyDescent="0.25">
      <c r="G31"/>
    </row>
    <row r="32" spans="3:17" x14ac:dyDescent="0.25">
      <c r="G32"/>
    </row>
    <row r="33" spans="7:7" x14ac:dyDescent="0.25">
      <c r="G33"/>
    </row>
    <row r="34" spans="7:7" x14ac:dyDescent="0.25">
      <c r="G34"/>
    </row>
    <row r="35" spans="7:7" x14ac:dyDescent="0.25">
      <c r="G35"/>
    </row>
    <row r="36" spans="7:7" x14ac:dyDescent="0.25">
      <c r="G36"/>
    </row>
    <row r="37" spans="7:7" x14ac:dyDescent="0.25">
      <c r="G37"/>
    </row>
    <row r="38" spans="7:7" x14ac:dyDescent="0.25">
      <c r="G38"/>
    </row>
    <row r="39" spans="7:7" x14ac:dyDescent="0.25">
      <c r="G39"/>
    </row>
    <row r="40" spans="7:7" x14ac:dyDescent="0.25">
      <c r="G40"/>
    </row>
    <row r="41" spans="7:7" x14ac:dyDescent="0.25">
      <c r="G41"/>
    </row>
    <row r="42" spans="7:7" x14ac:dyDescent="0.25">
      <c r="G42"/>
    </row>
    <row r="43" spans="7:7" x14ac:dyDescent="0.25">
      <c r="G43"/>
    </row>
    <row r="44" spans="7:7" x14ac:dyDescent="0.25">
      <c r="G44"/>
    </row>
    <row r="45" spans="7:7" x14ac:dyDescent="0.25">
      <c r="G45"/>
    </row>
    <row r="46" spans="7:7" x14ac:dyDescent="0.25">
      <c r="G46"/>
    </row>
    <row r="47" spans="7:7" x14ac:dyDescent="0.25">
      <c r="G47"/>
    </row>
  </sheetData>
  <mergeCells count="4">
    <mergeCell ref="A5:I5"/>
    <mergeCell ref="A6:I6"/>
    <mergeCell ref="A7:I7"/>
    <mergeCell ref="C13:I14"/>
  </mergeCells>
  <pageMargins left="0.7" right="0.7" top="0.75" bottom="0.75" header="0.3" footer="0.3"/>
  <pageSetup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1296D-C6A3-4A89-9CEF-33BFBA391645}">
  <sheetPr>
    <pageSetUpPr fitToPage="1"/>
  </sheetPr>
  <dimension ref="A1:AB94"/>
  <sheetViews>
    <sheetView zoomScaleNormal="100" workbookViewId="0">
      <selection activeCell="C12" sqref="C12:J31"/>
    </sheetView>
  </sheetViews>
  <sheetFormatPr defaultRowHeight="15" x14ac:dyDescent="0.25"/>
  <cols>
    <col min="1" max="1" width="2.85546875" customWidth="1"/>
    <col min="2" max="2" width="10.140625" customWidth="1"/>
    <col min="3" max="3" width="9.7109375" customWidth="1"/>
    <col min="4" max="4" width="12.140625" customWidth="1"/>
    <col min="5" max="6" width="10.5703125" bestFit="1" customWidth="1"/>
    <col min="7" max="7" width="7" bestFit="1" customWidth="1"/>
    <col min="8" max="8" width="10.5703125" bestFit="1" customWidth="1"/>
    <col min="9" max="9" width="12.7109375" customWidth="1"/>
    <col min="10" max="10" width="13.5703125" style="6" bestFit="1" customWidth="1"/>
    <col min="11" max="11" width="14.85546875" style="6" customWidth="1"/>
    <col min="12" max="12" width="11.7109375" style="6" customWidth="1"/>
    <col min="13" max="13" width="10.28515625" customWidth="1"/>
    <col min="14" max="14" width="8" customWidth="1"/>
    <col min="15" max="15" width="9.42578125" customWidth="1"/>
    <col min="16" max="16" width="11.140625" customWidth="1"/>
    <col min="17" max="17" width="11.5703125" customWidth="1"/>
    <col min="18" max="18" width="9.140625" customWidth="1"/>
    <col min="19" max="19" width="13.28515625" customWidth="1"/>
  </cols>
  <sheetData>
    <row r="1" spans="1:19" x14ac:dyDescent="0.25">
      <c r="J1" s="2" t="s">
        <v>47</v>
      </c>
    </row>
    <row r="2" spans="1:19" x14ac:dyDescent="0.25">
      <c r="J2" s="2" t="s">
        <v>76</v>
      </c>
    </row>
    <row r="3" spans="1:19" x14ac:dyDescent="0.25">
      <c r="J3" s="2" t="s">
        <v>142</v>
      </c>
    </row>
    <row r="5" spans="1:19" x14ac:dyDescent="0.25">
      <c r="A5" s="56" t="s">
        <v>141</v>
      </c>
      <c r="B5" s="56"/>
      <c r="C5" s="56"/>
      <c r="D5" s="56"/>
      <c r="E5" s="56"/>
      <c r="F5" s="56"/>
      <c r="G5" s="56"/>
      <c r="H5" s="56"/>
      <c r="I5" s="56"/>
      <c r="J5" s="56"/>
      <c r="K5" s="56"/>
      <c r="L5" s="45"/>
      <c r="M5" s="45"/>
      <c r="N5" s="45"/>
      <c r="O5" s="45"/>
      <c r="P5" s="45"/>
      <c r="Q5" s="45"/>
      <c r="R5" s="45"/>
      <c r="S5" s="45"/>
    </row>
    <row r="6" spans="1:19" x14ac:dyDescent="0.25">
      <c r="A6" s="56" t="s">
        <v>1</v>
      </c>
      <c r="B6" s="56"/>
      <c r="C6" s="56"/>
      <c r="D6" s="56"/>
      <c r="E6" s="56"/>
      <c r="F6" s="56"/>
      <c r="G6" s="56"/>
      <c r="H6" s="56"/>
      <c r="I6" s="56"/>
      <c r="J6" s="56"/>
      <c r="K6" s="56"/>
      <c r="L6" s="45"/>
      <c r="M6" s="45"/>
      <c r="N6" s="45"/>
      <c r="O6" s="45"/>
      <c r="P6" s="45"/>
      <c r="Q6" s="45"/>
      <c r="R6" s="45"/>
      <c r="S6" s="45"/>
    </row>
    <row r="7" spans="1:19" x14ac:dyDescent="0.25">
      <c r="A7" s="56" t="s">
        <v>2</v>
      </c>
      <c r="B7" s="56"/>
      <c r="C7" s="56"/>
      <c r="D7" s="56"/>
      <c r="E7" s="56"/>
      <c r="F7" s="56"/>
      <c r="G7" s="56"/>
      <c r="H7" s="56"/>
      <c r="I7" s="56"/>
      <c r="J7" s="56"/>
      <c r="K7" s="56"/>
      <c r="L7" s="45"/>
      <c r="M7" s="45"/>
      <c r="N7" s="45"/>
      <c r="O7" s="45"/>
      <c r="P7" s="45"/>
      <c r="Q7" s="45"/>
      <c r="R7" s="45"/>
      <c r="S7" s="45"/>
    </row>
    <row r="9" spans="1:19" x14ac:dyDescent="0.25">
      <c r="B9" s="24" t="s">
        <v>47</v>
      </c>
      <c r="C9" t="s">
        <v>48</v>
      </c>
    </row>
    <row r="10" spans="1:19" x14ac:dyDescent="0.25">
      <c r="D10" t="s">
        <v>49</v>
      </c>
    </row>
    <row r="11" spans="1:19" x14ac:dyDescent="0.25">
      <c r="D11" t="s">
        <v>16</v>
      </c>
    </row>
    <row r="12" spans="1:19" x14ac:dyDescent="0.25">
      <c r="D12" t="s">
        <v>50</v>
      </c>
    </row>
    <row r="13" spans="1:19" x14ac:dyDescent="0.25">
      <c r="D13" t="s">
        <v>51</v>
      </c>
    </row>
    <row r="15" spans="1:19" x14ac:dyDescent="0.25">
      <c r="B15" s="4" t="s">
        <v>5</v>
      </c>
      <c r="C15" s="57" t="s">
        <v>169</v>
      </c>
      <c r="D15" s="57"/>
      <c r="E15" s="57"/>
      <c r="F15" s="57"/>
      <c r="G15" s="57"/>
      <c r="H15" s="57"/>
      <c r="I15" s="57"/>
      <c r="J15" s="57"/>
    </row>
    <row r="16" spans="1:19" x14ac:dyDescent="0.25">
      <c r="C16" s="57"/>
      <c r="D16" s="57"/>
      <c r="E16" s="57"/>
      <c r="F16" s="57"/>
      <c r="G16" s="57"/>
      <c r="H16" s="57"/>
      <c r="I16" s="57"/>
      <c r="J16" s="57"/>
    </row>
    <row r="18" spans="3:15" x14ac:dyDescent="0.25">
      <c r="L18" s="45"/>
      <c r="M18" s="45"/>
      <c r="N18" s="45"/>
      <c r="O18" s="45"/>
    </row>
    <row r="19" spans="3:15" ht="30" x14ac:dyDescent="0.25">
      <c r="C19" s="30" t="s">
        <v>21</v>
      </c>
      <c r="D19" s="30" t="s">
        <v>7</v>
      </c>
      <c r="E19" s="25" t="s">
        <v>146</v>
      </c>
      <c r="F19" s="25" t="s">
        <v>147</v>
      </c>
      <c r="G19" s="25" t="s">
        <v>123</v>
      </c>
      <c r="H19" s="30" t="s">
        <v>22</v>
      </c>
      <c r="I19" s="25" t="s">
        <v>160</v>
      </c>
      <c r="J19" s="46" t="s">
        <v>124</v>
      </c>
      <c r="K19" s="27"/>
      <c r="L19"/>
    </row>
    <row r="20" spans="3:15" x14ac:dyDescent="0.25">
      <c r="C20" s="30">
        <v>2017</v>
      </c>
      <c r="D20" s="6">
        <v>15551</v>
      </c>
      <c r="E20" s="6">
        <v>508</v>
      </c>
      <c r="F20" s="6">
        <v>9</v>
      </c>
      <c r="G20" s="6">
        <v>32</v>
      </c>
      <c r="H20" s="47">
        <f>SUM(D20:G20)</f>
        <v>16100</v>
      </c>
      <c r="I20" s="6">
        <v>2257</v>
      </c>
      <c r="J20" s="17">
        <f>1-+I20/H20</f>
        <v>0.85981366459627329</v>
      </c>
      <c r="L20"/>
    </row>
    <row r="21" spans="3:15" x14ac:dyDescent="0.25">
      <c r="C21" s="30">
        <v>2018</v>
      </c>
      <c r="D21" s="6">
        <v>15827</v>
      </c>
      <c r="E21" s="6">
        <v>532</v>
      </c>
      <c r="F21" s="6">
        <v>10</v>
      </c>
      <c r="G21" s="6">
        <v>33</v>
      </c>
      <c r="H21" s="47">
        <f t="shared" ref="H21:H22" si="0">SUM(D21:G21)</f>
        <v>16402</v>
      </c>
      <c r="I21" s="6">
        <v>2277</v>
      </c>
      <c r="J21" s="17">
        <f t="shared" ref="J21:J22" si="1">1-+I21/H21</f>
        <v>0.86117546640653575</v>
      </c>
      <c r="L21"/>
    </row>
    <row r="22" spans="3:15" x14ac:dyDescent="0.25">
      <c r="C22" s="30">
        <v>2019</v>
      </c>
      <c r="D22" s="6">
        <v>16086</v>
      </c>
      <c r="E22" s="6">
        <v>550</v>
      </c>
      <c r="F22" s="6">
        <v>11</v>
      </c>
      <c r="G22" s="6">
        <v>33</v>
      </c>
      <c r="H22" s="47">
        <f t="shared" si="0"/>
        <v>16680</v>
      </c>
      <c r="I22" s="6">
        <v>2065</v>
      </c>
      <c r="J22" s="17">
        <f t="shared" si="1"/>
        <v>0.87619904076738608</v>
      </c>
      <c r="L22"/>
    </row>
    <row r="23" spans="3:15" ht="5.25" customHeight="1" x14ac:dyDescent="0.25">
      <c r="L23"/>
    </row>
    <row r="24" spans="3:15" x14ac:dyDescent="0.25">
      <c r="C24" s="26">
        <v>43831</v>
      </c>
      <c r="D24" s="6">
        <v>16180</v>
      </c>
      <c r="E24" s="6">
        <v>551</v>
      </c>
      <c r="F24" s="6">
        <v>11</v>
      </c>
      <c r="G24" s="6">
        <v>33</v>
      </c>
      <c r="H24" s="47">
        <f t="shared" ref="H24:H29" si="2">SUM(D24:G24)</f>
        <v>16775</v>
      </c>
      <c r="I24" s="6">
        <v>2441</v>
      </c>
      <c r="J24" s="17">
        <f t="shared" ref="J24:J29" si="3">1-+I24/H24</f>
        <v>0.85448584202682565</v>
      </c>
      <c r="L24"/>
    </row>
    <row r="25" spans="3:15" x14ac:dyDescent="0.25">
      <c r="C25" s="26">
        <v>43862</v>
      </c>
      <c r="D25" s="6">
        <v>16174</v>
      </c>
      <c r="E25" s="6">
        <v>552</v>
      </c>
      <c r="F25" s="6">
        <v>11</v>
      </c>
      <c r="G25" s="6">
        <v>33</v>
      </c>
      <c r="H25" s="47">
        <f t="shared" si="2"/>
        <v>16770</v>
      </c>
      <c r="I25" s="6">
        <v>2217</v>
      </c>
      <c r="J25" s="17">
        <f t="shared" si="3"/>
        <v>0.8677996422182469</v>
      </c>
      <c r="L25"/>
    </row>
    <row r="26" spans="3:15" x14ac:dyDescent="0.25">
      <c r="C26" s="26">
        <v>43891</v>
      </c>
      <c r="D26" s="6">
        <v>16172</v>
      </c>
      <c r="E26" s="6">
        <v>553</v>
      </c>
      <c r="F26" s="6">
        <v>11</v>
      </c>
      <c r="G26" s="6">
        <v>33</v>
      </c>
      <c r="H26" s="47">
        <f t="shared" si="2"/>
        <v>16769</v>
      </c>
      <c r="I26" s="6">
        <v>2984</v>
      </c>
      <c r="J26" s="17">
        <f t="shared" si="3"/>
        <v>0.82205259705408795</v>
      </c>
      <c r="L26"/>
    </row>
    <row r="27" spans="3:15" x14ac:dyDescent="0.25">
      <c r="C27" s="26">
        <v>43922</v>
      </c>
      <c r="D27" s="6">
        <v>16260</v>
      </c>
      <c r="E27" s="6">
        <v>554</v>
      </c>
      <c r="F27" s="6">
        <v>11</v>
      </c>
      <c r="G27" s="6">
        <v>33</v>
      </c>
      <c r="H27" s="47">
        <f t="shared" si="2"/>
        <v>16858</v>
      </c>
      <c r="I27" s="6">
        <v>2107</v>
      </c>
      <c r="J27" s="17">
        <f t="shared" si="3"/>
        <v>0.87501482975441924</v>
      </c>
      <c r="L27"/>
    </row>
    <row r="28" spans="3:15" x14ac:dyDescent="0.25">
      <c r="C28" s="26">
        <v>43952</v>
      </c>
      <c r="D28" s="6">
        <v>16334</v>
      </c>
      <c r="E28" s="6">
        <v>553</v>
      </c>
      <c r="F28" s="6">
        <v>11</v>
      </c>
      <c r="G28" s="6">
        <v>33</v>
      </c>
      <c r="H28" s="47">
        <f t="shared" si="2"/>
        <v>16931</v>
      </c>
      <c r="I28" s="6">
        <v>2307</v>
      </c>
      <c r="J28" s="17">
        <f t="shared" si="3"/>
        <v>0.8637410666824169</v>
      </c>
      <c r="L28"/>
    </row>
    <row r="29" spans="3:15" x14ac:dyDescent="0.25">
      <c r="C29" s="26">
        <v>43983</v>
      </c>
      <c r="D29" s="6">
        <v>16358</v>
      </c>
      <c r="E29" s="6">
        <v>556</v>
      </c>
      <c r="F29" s="6">
        <v>11</v>
      </c>
      <c r="G29" s="6">
        <v>33</v>
      </c>
      <c r="H29" s="47">
        <f t="shared" si="2"/>
        <v>16958</v>
      </c>
      <c r="I29" s="6">
        <v>2170</v>
      </c>
      <c r="J29" s="17">
        <f t="shared" si="3"/>
        <v>0.87203679679207458</v>
      </c>
      <c r="L29"/>
    </row>
    <row r="30" spans="3:15" x14ac:dyDescent="0.25">
      <c r="L30"/>
    </row>
    <row r="31" spans="3:15" x14ac:dyDescent="0.25">
      <c r="L31"/>
    </row>
    <row r="32" spans="3:15" x14ac:dyDescent="0.25">
      <c r="L32"/>
    </row>
    <row r="33" spans="12:19" x14ac:dyDescent="0.25">
      <c r="L33"/>
    </row>
    <row r="34" spans="12:19" x14ac:dyDescent="0.25">
      <c r="L34"/>
    </row>
    <row r="35" spans="12:19" x14ac:dyDescent="0.25">
      <c r="L35"/>
    </row>
    <row r="36" spans="12:19" x14ac:dyDescent="0.25">
      <c r="L36"/>
    </row>
    <row r="37" spans="12:19" x14ac:dyDescent="0.25">
      <c r="L37"/>
    </row>
    <row r="38" spans="12:19" x14ac:dyDescent="0.25">
      <c r="L38"/>
    </row>
    <row r="39" spans="12:19" x14ac:dyDescent="0.25">
      <c r="L39"/>
    </row>
    <row r="40" spans="12:19" x14ac:dyDescent="0.25">
      <c r="L40"/>
    </row>
    <row r="41" spans="12:19" x14ac:dyDescent="0.25">
      <c r="L41"/>
    </row>
    <row r="42" spans="12:19" x14ac:dyDescent="0.25">
      <c r="L42"/>
    </row>
    <row r="43" spans="12:19" x14ac:dyDescent="0.25">
      <c r="L43"/>
    </row>
    <row r="44" spans="12:19" x14ac:dyDescent="0.25">
      <c r="L44"/>
    </row>
    <row r="45" spans="12:19" x14ac:dyDescent="0.25">
      <c r="L45"/>
    </row>
    <row r="46" spans="12:19" x14ac:dyDescent="0.25">
      <c r="L46"/>
    </row>
    <row r="47" spans="12:19" x14ac:dyDescent="0.25">
      <c r="M47" s="11"/>
      <c r="N47" s="6"/>
      <c r="O47" s="17"/>
      <c r="P47" s="17"/>
      <c r="Q47" s="17"/>
      <c r="R47" s="17"/>
      <c r="S47" s="17"/>
    </row>
    <row r="48" spans="12:19" x14ac:dyDescent="0.25">
      <c r="M48" s="11"/>
      <c r="N48" s="6"/>
      <c r="O48" s="17"/>
      <c r="P48" s="17"/>
      <c r="Q48" s="17"/>
      <c r="R48" s="17"/>
      <c r="S48" s="17"/>
    </row>
    <row r="49" spans="12:19" x14ac:dyDescent="0.25">
      <c r="M49" s="11"/>
      <c r="N49" s="6"/>
      <c r="O49" s="17"/>
      <c r="P49" s="17"/>
      <c r="Q49" s="17"/>
      <c r="R49" s="17"/>
      <c r="S49" s="17"/>
    </row>
    <row r="50" spans="12:19" x14ac:dyDescent="0.25">
      <c r="M50" s="11"/>
      <c r="N50" s="6"/>
      <c r="O50" s="17"/>
      <c r="P50" s="17"/>
      <c r="Q50" s="17"/>
      <c r="R50" s="17"/>
      <c r="S50" s="17"/>
    </row>
    <row r="51" spans="12:19" x14ac:dyDescent="0.25">
      <c r="M51" s="11"/>
      <c r="N51" s="6"/>
      <c r="O51" s="17"/>
      <c r="P51" s="17"/>
      <c r="Q51" s="17"/>
      <c r="R51" s="17"/>
      <c r="S51" s="17"/>
    </row>
    <row r="52" spans="12:19" x14ac:dyDescent="0.25">
      <c r="M52" s="11"/>
      <c r="N52" s="6"/>
      <c r="O52" s="17"/>
      <c r="P52" s="17"/>
      <c r="Q52" s="17"/>
      <c r="R52" s="17"/>
      <c r="S52" s="17"/>
    </row>
    <row r="59" spans="12:19" x14ac:dyDescent="0.25">
      <c r="L59" s="45"/>
    </row>
    <row r="60" spans="12:19" x14ac:dyDescent="0.25">
      <c r="L60" s="45"/>
    </row>
    <row r="61" spans="12:19" x14ac:dyDescent="0.25">
      <c r="L61" s="45"/>
    </row>
    <row r="63" spans="12:19" x14ac:dyDescent="0.25">
      <c r="L63"/>
    </row>
    <row r="64" spans="12:19" x14ac:dyDescent="0.25">
      <c r="L64"/>
    </row>
    <row r="65" spans="12:12" x14ac:dyDescent="0.25">
      <c r="L65"/>
    </row>
    <row r="66" spans="12:12" x14ac:dyDescent="0.25">
      <c r="L66"/>
    </row>
    <row r="67" spans="12:12" x14ac:dyDescent="0.25">
      <c r="L67"/>
    </row>
    <row r="68" spans="12:12" x14ac:dyDescent="0.25">
      <c r="L68"/>
    </row>
    <row r="69" spans="12:12" x14ac:dyDescent="0.25">
      <c r="L69"/>
    </row>
    <row r="70" spans="12:12" x14ac:dyDescent="0.25">
      <c r="L70"/>
    </row>
    <row r="71" spans="12:12" x14ac:dyDescent="0.25">
      <c r="L71"/>
    </row>
    <row r="72" spans="12:12" x14ac:dyDescent="0.25">
      <c r="L72"/>
    </row>
    <row r="73" spans="12:12" x14ac:dyDescent="0.25">
      <c r="L73"/>
    </row>
    <row r="74" spans="12:12" x14ac:dyDescent="0.25">
      <c r="L74"/>
    </row>
    <row r="75" spans="12:12" x14ac:dyDescent="0.25">
      <c r="L75"/>
    </row>
    <row r="76" spans="12:12" x14ac:dyDescent="0.25">
      <c r="L76"/>
    </row>
    <row r="77" spans="12:12" x14ac:dyDescent="0.25">
      <c r="L77"/>
    </row>
    <row r="78" spans="12:12" x14ac:dyDescent="0.25">
      <c r="L78"/>
    </row>
    <row r="79" spans="12:12" x14ac:dyDescent="0.25">
      <c r="L79"/>
    </row>
    <row r="80" spans="12:12" x14ac:dyDescent="0.25">
      <c r="L80"/>
    </row>
    <row r="81" spans="12:28" x14ac:dyDescent="0.25">
      <c r="L81"/>
    </row>
    <row r="82" spans="12:28" x14ac:dyDescent="0.25">
      <c r="L82"/>
    </row>
    <row r="83" spans="12:28" x14ac:dyDescent="0.25">
      <c r="L83"/>
    </row>
    <row r="84" spans="12:28" x14ac:dyDescent="0.25">
      <c r="L84"/>
    </row>
    <row r="85" spans="12:28" x14ac:dyDescent="0.25">
      <c r="L85"/>
    </row>
    <row r="86" spans="12:28" x14ac:dyDescent="0.25">
      <c r="L86"/>
    </row>
    <row r="87" spans="12:28" x14ac:dyDescent="0.25">
      <c r="L87"/>
    </row>
    <row r="88" spans="12:28" x14ac:dyDescent="0.25">
      <c r="L88"/>
    </row>
    <row r="89" spans="12:28" x14ac:dyDescent="0.25">
      <c r="L89"/>
    </row>
    <row r="90" spans="12:28" x14ac:dyDescent="0.25">
      <c r="L90"/>
    </row>
    <row r="91" spans="12:28" x14ac:dyDescent="0.25">
      <c r="L91"/>
    </row>
    <row r="92" spans="12:28" x14ac:dyDescent="0.25">
      <c r="O92" s="17"/>
      <c r="P92" s="17"/>
      <c r="Q92" s="17"/>
      <c r="R92" s="17"/>
      <c r="S92" s="17"/>
    </row>
    <row r="93" spans="12:28" x14ac:dyDescent="0.25">
      <c r="O93" s="17"/>
      <c r="P93" s="17"/>
      <c r="Q93" s="17"/>
      <c r="R93" s="17"/>
      <c r="S93" s="17"/>
    </row>
    <row r="94" spans="12:28" x14ac:dyDescent="0.25">
      <c r="L94" s="27"/>
      <c r="M94" s="27"/>
      <c r="N94" s="27"/>
      <c r="O94" s="27"/>
      <c r="P94" s="27"/>
      <c r="Q94" s="27"/>
      <c r="R94" s="27"/>
      <c r="S94" s="27"/>
      <c r="T94" s="27"/>
      <c r="U94" s="27"/>
      <c r="V94" s="27"/>
      <c r="W94" s="27"/>
      <c r="X94" s="27"/>
      <c r="Y94" s="27"/>
      <c r="Z94" s="27"/>
      <c r="AA94" s="27"/>
      <c r="AB94" s="27"/>
    </row>
  </sheetData>
  <mergeCells count="4">
    <mergeCell ref="A5:K5"/>
    <mergeCell ref="A6:K6"/>
    <mergeCell ref="A7:K7"/>
    <mergeCell ref="C15:J16"/>
  </mergeCells>
  <pageMargins left="0.7" right="0.7" top="0.75" bottom="0.75" header="0.3" footer="0.3"/>
  <pageSetup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Q1</vt:lpstr>
      <vt:lpstr>Q2</vt:lpstr>
      <vt:lpstr>Q3</vt:lpstr>
      <vt:lpstr>Q4</vt:lpstr>
      <vt:lpstr>Q5</vt:lpstr>
      <vt:lpstr>Q6</vt:lpstr>
      <vt:lpstr>Q7</vt:lpstr>
      <vt:lpstr>Q8</vt:lpstr>
      <vt:lpstr>Q9</vt:lpstr>
      <vt:lpstr>Q10</vt:lpstr>
      <vt:lpstr>Q11</vt:lpstr>
      <vt:lpstr>Q12</vt:lpstr>
      <vt:lpstr>Q13</vt:lpstr>
      <vt:lpstr>Q14</vt:lpstr>
      <vt:lpstr>Q15</vt:lpstr>
      <vt:lpstr>Q16</vt:lpstr>
      <vt:lpstr>Q17</vt:lpstr>
      <vt:lpstr>'Q1'!Print_Area</vt:lpstr>
      <vt:lpstr>'Q10'!Print_Area</vt:lpstr>
      <vt:lpstr>'Q11'!Print_Area</vt:lpstr>
      <vt:lpstr>'Q14'!Print_Area</vt:lpstr>
      <vt:lpstr>'Q15'!Print_Area</vt:lpstr>
      <vt:lpstr>'Q16'!Print_Area</vt:lpstr>
      <vt:lpstr>'Q17'!Print_Area</vt:lpstr>
      <vt:lpstr>'Q2'!Print_Area</vt:lpstr>
      <vt:lpstr>'Q3'!Print_Area</vt:lpstr>
      <vt:lpstr>'Q4'!Print_Area</vt:lpstr>
      <vt:lpstr>'Q5'!Print_Area</vt:lpstr>
      <vt:lpstr>'Q6'!Print_Area</vt:lpstr>
      <vt:lpstr>'Q7'!Print_Area</vt:lpstr>
      <vt:lpstr>'Q8'!Print_Area</vt:lpstr>
      <vt:lpstr>'Q9'!Print_Area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Chuck Williamson</dc:creator>
  <cp:lastModifiedBy>Sergio Cole</cp:lastModifiedBy>
  <cp:lastPrinted>2020-07-21T21:37:38Z</cp:lastPrinted>
  <dcterms:created xsi:type="dcterms:W3CDTF">2020-06-24T17:05:13Z</dcterms:created>
  <dcterms:modified xsi:type="dcterms:W3CDTF">2020-07-21T21:48:50Z</dcterms:modified>
</cp:coreProperties>
</file>