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kcannon\Desktop\"/>
    </mc:Choice>
  </mc:AlternateContent>
  <xr:revisionPtr revIDLastSave="0" documentId="8_{7D2C70AD-C737-42F4-A6DC-CBE24CA47236}" xr6:coauthVersionLast="45" xr6:coauthVersionMax="45" xr10:uidLastSave="{00000000-0000-0000-0000-000000000000}"/>
  <bookViews>
    <workbookView xWindow="28680" yWindow="-120" windowWidth="29040" windowHeight="15840" xr2:uid="{4636B1F2-87E1-406E-A065-7F87671F5CC8}"/>
  </bookViews>
  <sheets>
    <sheet name="Q3-4" sheetId="2" r:id="rId1"/>
    <sheet name="Q5-6" sheetId="1" r:id="rId2"/>
    <sheet name="Q7" sheetId="3" r:id="rId3"/>
    <sheet name="Q9" sheetId="4" r:id="rId4"/>
    <sheet name="Q10" sheetId="5" r:id="rId5"/>
    <sheet name="Q11" sheetId="6" r:id="rId6"/>
    <sheet name="Q12" sheetId="7" r:id="rId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 i="7" l="1"/>
  <c r="D9" i="7"/>
  <c r="D7" i="7"/>
  <c r="D8" i="7"/>
  <c r="D6" i="7"/>
  <c r="F15" i="5" l="1"/>
  <c r="F19" i="4"/>
  <c r="F20" i="4" s="1"/>
  <c r="F22" i="4" s="1"/>
  <c r="F23" i="4" s="1"/>
  <c r="E85" i="4"/>
  <c r="E86" i="4" s="1"/>
  <c r="D85" i="4"/>
  <c r="D86" i="4" s="1"/>
  <c r="B85" i="4"/>
  <c r="B86" i="4" s="1"/>
  <c r="C85" i="4"/>
  <c r="C86" i="4" s="1"/>
  <c r="S19" i="1"/>
  <c r="R19" i="1"/>
  <c r="T19" i="1" s="1"/>
  <c r="G46" i="2"/>
  <c r="G56" i="2"/>
  <c r="G66" i="2"/>
  <c r="G86" i="2"/>
  <c r="G76" i="2"/>
  <c r="G96" i="2"/>
  <c r="T18" i="1"/>
  <c r="T17" i="1"/>
  <c r="T16" i="1"/>
  <c r="T15" i="1"/>
  <c r="C96" i="2"/>
  <c r="D95" i="2"/>
  <c r="H95" i="2" s="1"/>
  <c r="I95" i="2" s="1"/>
  <c r="F94" i="2"/>
  <c r="E94" i="2"/>
  <c r="D94" i="2"/>
  <c r="F93" i="2"/>
  <c r="E93" i="2"/>
  <c r="D93" i="2"/>
  <c r="F92" i="2"/>
  <c r="E92" i="2"/>
  <c r="D92" i="2"/>
  <c r="F10" i="5"/>
  <c r="F8" i="5"/>
  <c r="F9" i="5"/>
  <c r="F12" i="5"/>
  <c r="F13" i="5"/>
  <c r="F14" i="5"/>
  <c r="E19" i="6"/>
  <c r="D19" i="6"/>
  <c r="C19" i="6"/>
  <c r="B19" i="6"/>
  <c r="H94" i="2" l="1"/>
  <c r="I94" i="2" s="1"/>
  <c r="F96" i="2"/>
  <c r="E96" i="2"/>
  <c r="H93" i="2"/>
  <c r="I93" i="2" s="1"/>
  <c r="H92" i="2"/>
  <c r="I92" i="2" s="1"/>
  <c r="D96" i="2"/>
  <c r="D57" i="4"/>
  <c r="D58" i="4" s="1"/>
  <c r="D50" i="4"/>
  <c r="D51" i="4" s="1"/>
  <c r="E78" i="4"/>
  <c r="E79" i="4" s="1"/>
  <c r="D78" i="4"/>
  <c r="D79" i="4" s="1"/>
  <c r="C78" i="4"/>
  <c r="C79" i="4" s="1"/>
  <c r="B78" i="4"/>
  <c r="B79" i="4" s="1"/>
  <c r="E71" i="4"/>
  <c r="E72" i="4" s="1"/>
  <c r="D71" i="4"/>
  <c r="D72" i="4" s="1"/>
  <c r="C71" i="4"/>
  <c r="C72" i="4" s="1"/>
  <c r="B71" i="4"/>
  <c r="B72" i="4" s="1"/>
  <c r="E64" i="4"/>
  <c r="E65" i="4" s="1"/>
  <c r="D64" i="4"/>
  <c r="D65" i="4" s="1"/>
  <c r="C64" i="4"/>
  <c r="C65" i="4" s="1"/>
  <c r="B64" i="4"/>
  <c r="B65" i="4" s="1"/>
  <c r="E57" i="4"/>
  <c r="E58" i="4" s="1"/>
  <c r="C57" i="4"/>
  <c r="C58" i="4" s="1"/>
  <c r="B57" i="4"/>
  <c r="B58" i="4" s="1"/>
  <c r="E50" i="4"/>
  <c r="E51" i="4" s="1"/>
  <c r="C50" i="4"/>
  <c r="C51" i="4" s="1"/>
  <c r="B50" i="4"/>
  <c r="B51" i="4" s="1"/>
  <c r="E19" i="4"/>
  <c r="E20" i="4" s="1"/>
  <c r="D29" i="4"/>
  <c r="D30" i="4" s="1"/>
  <c r="B29" i="4"/>
  <c r="B30" i="4" s="1"/>
  <c r="C19" i="4"/>
  <c r="C20" i="4" s="1"/>
  <c r="C22" i="4" s="1"/>
  <c r="C23" i="4" s="1"/>
  <c r="E43" i="4"/>
  <c r="E44" i="4" s="1"/>
  <c r="D43" i="4"/>
  <c r="D44" i="4" s="1"/>
  <c r="C43" i="4"/>
  <c r="C44" i="4" s="1"/>
  <c r="E36" i="4"/>
  <c r="E37" i="4" s="1"/>
  <c r="D36" i="4"/>
  <c r="D37" i="4" s="1"/>
  <c r="C36" i="4"/>
  <c r="C37" i="4" s="1"/>
  <c r="B36" i="4"/>
  <c r="B37" i="4" s="1"/>
  <c r="D19" i="4"/>
  <c r="D20" i="4" s="1"/>
  <c r="D22" i="4" s="1"/>
  <c r="D23" i="4" s="1"/>
  <c r="C29" i="4"/>
  <c r="C30" i="4" s="1"/>
  <c r="E29" i="4"/>
  <c r="E30" i="4" s="1"/>
  <c r="I7" i="2"/>
  <c r="I8" i="2"/>
  <c r="I9" i="2"/>
  <c r="I10" i="2"/>
  <c r="I6" i="2"/>
  <c r="I34" i="2"/>
  <c r="I33" i="2"/>
  <c r="I32" i="2"/>
  <c r="I31" i="2"/>
  <c r="I30" i="2"/>
  <c r="I22" i="2"/>
  <c r="I21" i="2"/>
  <c r="I20" i="2"/>
  <c r="I19" i="2"/>
  <c r="I18" i="2"/>
  <c r="D19" i="3"/>
  <c r="C19" i="3"/>
  <c r="B19" i="3"/>
  <c r="F82" i="2"/>
  <c r="E82" i="2"/>
  <c r="F83" i="2"/>
  <c r="F84" i="2"/>
  <c r="E83" i="2"/>
  <c r="E84" i="2"/>
  <c r="D83" i="2"/>
  <c r="D84" i="2"/>
  <c r="D86" i="2" s="1"/>
  <c r="D85" i="2"/>
  <c r="D82" i="2"/>
  <c r="F72" i="2"/>
  <c r="E72" i="2"/>
  <c r="F62" i="2"/>
  <c r="D62" i="2"/>
  <c r="E62" i="2"/>
  <c r="F73" i="2"/>
  <c r="F74" i="2"/>
  <c r="F76" i="2"/>
  <c r="E73" i="2"/>
  <c r="E74" i="2"/>
  <c r="D73" i="2"/>
  <c r="D74" i="2"/>
  <c r="D75" i="2"/>
  <c r="D72" i="2"/>
  <c r="F63" i="2"/>
  <c r="F64" i="2"/>
  <c r="E63" i="2"/>
  <c r="E64" i="2"/>
  <c r="D63" i="2"/>
  <c r="D64" i="2"/>
  <c r="D66" i="2"/>
  <c r="F52" i="2"/>
  <c r="E52" i="2"/>
  <c r="D52" i="2"/>
  <c r="F53" i="2"/>
  <c r="F54" i="2"/>
  <c r="E54" i="2"/>
  <c r="E53" i="2"/>
  <c r="D54" i="2"/>
  <c r="D53" i="2"/>
  <c r="H63" i="2"/>
  <c r="I63" i="2" s="1"/>
  <c r="H45" i="2"/>
  <c r="I45" i="2" s="1"/>
  <c r="P19" i="1"/>
  <c r="O19" i="1"/>
  <c r="M19" i="1"/>
  <c r="L19" i="1"/>
  <c r="N19" i="1" s="1"/>
  <c r="J19" i="1"/>
  <c r="I19" i="1"/>
  <c r="G19" i="1"/>
  <c r="F19" i="1"/>
  <c r="H19" i="1" s="1"/>
  <c r="D19" i="1"/>
  <c r="C19" i="1"/>
  <c r="E19" i="1" s="1"/>
  <c r="Q18" i="1"/>
  <c r="N18" i="1"/>
  <c r="K18" i="1"/>
  <c r="H18" i="1"/>
  <c r="E18" i="1"/>
  <c r="Q17" i="1"/>
  <c r="N17" i="1"/>
  <c r="K17" i="1"/>
  <c r="H17" i="1"/>
  <c r="E17" i="1"/>
  <c r="Q16" i="1"/>
  <c r="N16" i="1"/>
  <c r="K16" i="1"/>
  <c r="H16" i="1"/>
  <c r="E16" i="1"/>
  <c r="Q15" i="1"/>
  <c r="N15" i="1"/>
  <c r="K15" i="1"/>
  <c r="H15" i="1"/>
  <c r="E15" i="1"/>
  <c r="H96" i="2" l="1"/>
  <c r="I96" i="2" s="1"/>
  <c r="B41" i="4"/>
  <c r="B43" i="4" s="1"/>
  <c r="B44" i="4" s="1"/>
  <c r="E22" i="4"/>
  <c r="E23" i="4" s="1"/>
  <c r="H84" i="2"/>
  <c r="I84" i="2" s="1"/>
  <c r="H54" i="2"/>
  <c r="I54" i="2" s="1"/>
  <c r="H74" i="2"/>
  <c r="I74" i="2" s="1"/>
  <c r="H85" i="2"/>
  <c r="I85" i="2" s="1"/>
  <c r="H72" i="2"/>
  <c r="I72" i="2" s="1"/>
  <c r="F66" i="2"/>
  <c r="H55" i="2"/>
  <c r="I55" i="2" s="1"/>
  <c r="H53" i="2"/>
  <c r="I53" i="2" s="1"/>
  <c r="H82" i="2"/>
  <c r="I82" i="2" s="1"/>
  <c r="F86" i="2"/>
  <c r="H83" i="2"/>
  <c r="I83" i="2" s="1"/>
  <c r="H73" i="2"/>
  <c r="I73" i="2" s="1"/>
  <c r="D76" i="2"/>
  <c r="H75" i="2"/>
  <c r="I75" i="2" s="1"/>
  <c r="H64" i="2"/>
  <c r="I64" i="2" s="1"/>
  <c r="H65" i="2"/>
  <c r="I65" i="2" s="1"/>
  <c r="H62" i="2"/>
  <c r="I62" i="2" s="1"/>
  <c r="E86" i="2"/>
  <c r="H86" i="2" s="1"/>
  <c r="I86" i="2" s="1"/>
  <c r="E76" i="2"/>
  <c r="E66" i="2"/>
  <c r="H52" i="2"/>
  <c r="I52" i="2" s="1"/>
  <c r="D56" i="2"/>
  <c r="E56" i="2"/>
  <c r="F56" i="2"/>
  <c r="K19" i="1"/>
  <c r="Q19" i="1"/>
  <c r="H56" i="2" l="1"/>
  <c r="I56" i="2" s="1"/>
  <c r="H76" i="2"/>
  <c r="I76" i="2" s="1"/>
  <c r="H66" i="2"/>
  <c r="I66" i="2" s="1"/>
  <c r="C46" i="2" l="1"/>
  <c r="C10" i="2"/>
  <c r="F18" i="2" s="1"/>
  <c r="K34" i="2"/>
  <c r="C34" i="2"/>
  <c r="C22" i="2"/>
  <c r="K22" i="2"/>
  <c r="E30" i="2" l="1"/>
  <c r="E6" i="2"/>
  <c r="D18" i="2"/>
  <c r="D30" i="2"/>
  <c r="D6" i="2"/>
  <c r="E18" i="2"/>
  <c r="F30" i="2"/>
  <c r="F42" i="2"/>
  <c r="E42" i="2"/>
  <c r="D42" i="2"/>
  <c r="F6" i="2"/>
  <c r="F44" i="2"/>
  <c r="F43" i="2"/>
  <c r="E44" i="2"/>
  <c r="D43" i="2"/>
  <c r="E43" i="2"/>
  <c r="D44" i="2"/>
  <c r="E32" i="2"/>
  <c r="E31" i="2"/>
  <c r="D32" i="2"/>
  <c r="D31" i="2"/>
  <c r="F32" i="2"/>
  <c r="F19" i="2"/>
  <c r="E8" i="2"/>
  <c r="F8" i="2"/>
  <c r="D7" i="2"/>
  <c r="E7" i="2"/>
  <c r="K10" i="2"/>
  <c r="M8" i="1"/>
  <c r="M9" i="1"/>
  <c r="M10" i="1"/>
  <c r="M7" i="1"/>
  <c r="L11" i="1"/>
  <c r="K11" i="1"/>
  <c r="I8" i="1"/>
  <c r="I9" i="1"/>
  <c r="I10" i="1"/>
  <c r="I7" i="1"/>
  <c r="H11" i="1"/>
  <c r="G11" i="1"/>
  <c r="E8" i="1"/>
  <c r="E9" i="1"/>
  <c r="E10" i="1"/>
  <c r="E7" i="1"/>
  <c r="D11" i="1"/>
  <c r="C11" i="1"/>
  <c r="H43" i="2" l="1"/>
  <c r="I43" i="2" s="1"/>
  <c r="H42" i="2"/>
  <c r="I42" i="2" s="1"/>
  <c r="H44" i="2"/>
  <c r="I44" i="2" s="1"/>
  <c r="E46" i="2"/>
  <c r="F46" i="2"/>
  <c r="D46" i="2"/>
  <c r="F20" i="2"/>
  <c r="G30" i="2"/>
  <c r="H30" i="2" s="1"/>
  <c r="D20" i="2"/>
  <c r="F31" i="2"/>
  <c r="G31" i="2" s="1"/>
  <c r="H31" i="2" s="1"/>
  <c r="E20" i="2"/>
  <c r="E19" i="2"/>
  <c r="D19" i="2"/>
  <c r="G32" i="2"/>
  <c r="H32" i="2" s="1"/>
  <c r="E34" i="2"/>
  <c r="G33" i="2"/>
  <c r="H33" i="2" s="1"/>
  <c r="F7" i="2"/>
  <c r="G7" i="2" s="1"/>
  <c r="H7" i="2" s="1"/>
  <c r="D8" i="2"/>
  <c r="G8" i="2" s="1"/>
  <c r="H8" i="2" s="1"/>
  <c r="D34" i="2"/>
  <c r="E10" i="2"/>
  <c r="I11" i="1"/>
  <c r="M11" i="1"/>
  <c r="E11" i="1"/>
  <c r="H46" i="2" l="1"/>
  <c r="I46" i="2" s="1"/>
  <c r="G9" i="2"/>
  <c r="H9" i="2" s="1"/>
  <c r="D22" i="2"/>
  <c r="G21" i="2"/>
  <c r="H21" i="2" s="1"/>
  <c r="E22" i="2"/>
  <c r="G18" i="2"/>
  <c r="H18" i="2" s="1"/>
  <c r="F10" i="2"/>
  <c r="F22" i="2"/>
  <c r="F34" i="2"/>
  <c r="G19" i="2"/>
  <c r="H19" i="2" s="1"/>
  <c r="G20" i="2"/>
  <c r="H20" i="2" s="1"/>
  <c r="D10" i="2"/>
  <c r="G6" i="2"/>
  <c r="H6" i="2" s="1"/>
  <c r="G34" i="2"/>
  <c r="H34" i="2" s="1"/>
  <c r="G22" i="2" l="1"/>
  <c r="H22" i="2" s="1"/>
  <c r="G10" i="2"/>
  <c r="H10" i="2" s="1"/>
</calcChain>
</file>

<file path=xl/sharedStrings.xml><?xml version="1.0" encoding="utf-8"?>
<sst xmlns="http://schemas.openxmlformats.org/spreadsheetml/2006/main" count="360" uniqueCount="60">
  <si>
    <t>Residential</t>
  </si>
  <si>
    <t>Commercial</t>
  </si>
  <si>
    <t>Ag</t>
  </si>
  <si>
    <t>Resale</t>
  </si>
  <si>
    <t>Sales</t>
  </si>
  <si>
    <t>Customers</t>
  </si>
  <si>
    <t>Average</t>
  </si>
  <si>
    <t>Total</t>
  </si>
  <si>
    <t>January</t>
  </si>
  <si>
    <t>February</t>
  </si>
  <si>
    <t>March</t>
  </si>
  <si>
    <t>April</t>
  </si>
  <si>
    <t>May</t>
  </si>
  <si>
    <t>June</t>
  </si>
  <si>
    <t>July</t>
  </si>
  <si>
    <t>August</t>
  </si>
  <si>
    <t>September</t>
  </si>
  <si>
    <t>October</t>
  </si>
  <si>
    <t>November</t>
  </si>
  <si>
    <t>December</t>
  </si>
  <si>
    <t>Customers Billed</t>
  </si>
  <si>
    <t>Agricultural</t>
  </si>
  <si>
    <t>Arrears</t>
  </si>
  <si>
    <t>Forfeited Discounts</t>
  </si>
  <si>
    <t>Forfeited Disc</t>
  </si>
  <si>
    <t>Misc Service Rev</t>
  </si>
  <si>
    <t>Adj Total</t>
  </si>
  <si>
    <t>Yearly Average</t>
  </si>
  <si>
    <t>Misc Serv Rev</t>
  </si>
  <si>
    <t>Misc Ser Rev</t>
  </si>
  <si>
    <t>Monthly Write-offs</t>
  </si>
  <si>
    <t>% Pd on Time</t>
  </si>
  <si>
    <t>Avg/Customer</t>
  </si>
  <si>
    <t>Avg/Delinquent</t>
  </si>
  <si>
    <t>% Delinquent</t>
  </si>
  <si>
    <t>% On-time</t>
  </si>
  <si>
    <t>Avg/ Custs Delinquent</t>
  </si>
  <si>
    <t>Avg/Customers Total</t>
  </si>
  <si>
    <t>Delinquent</t>
  </si>
  <si>
    <t>Total service termination notices issued.</t>
  </si>
  <si>
    <t>Year</t>
  </si>
  <si>
    <t>Total service terminations.</t>
  </si>
  <si>
    <t>Annual Total</t>
  </si>
  <si>
    <t>a</t>
  </si>
  <si>
    <t>b</t>
  </si>
  <si>
    <t>c</t>
  </si>
  <si>
    <t>d</t>
  </si>
  <si>
    <t xml:space="preserve">*  In October of 2017 the District changed billing and work management software due to a separation from Warren RECC.  Access to our previous software and the data it contains is not readily available. Due to this we have only included information from October 2017 to present. </t>
  </si>
  <si>
    <t>Total customers/month.</t>
  </si>
  <si>
    <t>Forfeited Discounts Charged</t>
  </si>
  <si>
    <t>Total Forfeited Discounts Not Charged</t>
  </si>
  <si>
    <t>Grayson County Water District</t>
  </si>
  <si>
    <t>Case No. 2020-00085</t>
  </si>
  <si>
    <t>Supporting Data for Questions 3 &amp; 4</t>
  </si>
  <si>
    <t>Supporting Data for Questions 5 &amp; 6</t>
  </si>
  <si>
    <t>Supporing Data for Question 7</t>
  </si>
  <si>
    <t>Supporting Data for Question 9</t>
  </si>
  <si>
    <t>Supporting Data for Question 10</t>
  </si>
  <si>
    <t>Supporting Data for Question 11</t>
  </si>
  <si>
    <t>Supporting Data for Question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</si>
</sst>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b/>
      <u/>
      <sz val="11"/>
      <color theme="1"/>
      <name val="Calibri"/>
      <family val="2"/>
      <scheme val="minor"/>
    </font>
  </fonts>
  <fills count="2">
    <fill>
      <patternFill patternType="none"/>
    </fill>
    <fill>
      <patternFill patternType="gray125"/>
    </fill>
  </fills>
  <borders count="3">
    <border>
      <left/>
      <right/>
      <top/>
      <bottom/>
      <diagonal/>
    </border>
    <border>
      <left/>
      <right style="thin">
        <color auto="1"/>
      </right>
      <top/>
      <bottom/>
      <diagonal/>
    </border>
    <border>
      <left style="thin">
        <color auto="1"/>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0">
    <xf numFmtId="0" fontId="0" fillId="0" borderId="0" xfId="0"/>
    <xf numFmtId="44" fontId="0" fillId="0" borderId="0" xfId="1" applyFont="1"/>
    <xf numFmtId="44" fontId="0" fillId="0" borderId="0" xfId="0" applyNumberFormat="1"/>
    <xf numFmtId="0" fontId="0" fillId="0" borderId="0" xfId="1" applyNumberFormat="1" applyFont="1"/>
    <xf numFmtId="0" fontId="0" fillId="0" borderId="0" xfId="0" applyNumberFormat="1"/>
    <xf numFmtId="0" fontId="2" fillId="0" borderId="0" xfId="0" applyFont="1"/>
    <xf numFmtId="0" fontId="2" fillId="0" borderId="0" xfId="0" applyFont="1" applyAlignment="1">
      <alignment horizontal="center"/>
    </xf>
    <xf numFmtId="43" fontId="0" fillId="0" borderId="0" xfId="0" applyNumberFormat="1"/>
    <xf numFmtId="10" fontId="0" fillId="0" borderId="0" xfId="2" applyNumberFormat="1" applyFont="1"/>
    <xf numFmtId="1" fontId="0" fillId="0" borderId="0" xfId="0" applyNumberFormat="1"/>
    <xf numFmtId="10" fontId="0" fillId="0" borderId="0" xfId="0" applyNumberFormat="1"/>
    <xf numFmtId="0" fontId="4" fillId="0" borderId="0" xfId="0" applyFont="1" applyAlignment="1">
      <alignment horizontal="center"/>
    </xf>
    <xf numFmtId="3" fontId="0" fillId="0" borderId="0" xfId="0" applyNumberFormat="1"/>
    <xf numFmtId="0" fontId="2" fillId="0" borderId="0" xfId="0" applyFont="1" applyAlignment="1">
      <alignment horizontal="center" wrapText="1"/>
    </xf>
    <xf numFmtId="0" fontId="2" fillId="0" borderId="1" xfId="0" applyFont="1" applyBorder="1" applyAlignment="1">
      <alignment horizontal="center"/>
    </xf>
    <xf numFmtId="0" fontId="2" fillId="0" borderId="2" xfId="0" applyFont="1" applyBorder="1" applyAlignment="1">
      <alignment horizontal="center"/>
    </xf>
    <xf numFmtId="43" fontId="0" fillId="0" borderId="1" xfId="0" applyNumberFormat="1" applyBorder="1"/>
    <xf numFmtId="43" fontId="0" fillId="0" borderId="2" xfId="0" applyNumberFormat="1" applyBorder="1"/>
    <xf numFmtId="0" fontId="2" fillId="0" borderId="0" xfId="0" applyFont="1" applyAlignment="1">
      <alignment horizontal="center"/>
    </xf>
    <xf numFmtId="17" fontId="2" fillId="0" borderId="0" xfId="0" applyNumberFormat="1" applyFont="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44375-252F-4C5A-8AA8-C435CB291104}">
  <dimension ref="A1:AI99"/>
  <sheetViews>
    <sheetView tabSelected="1" workbookViewId="0">
      <selection activeCell="A2" sqref="A2:K2"/>
    </sheetView>
  </sheetViews>
  <sheetFormatPr defaultRowHeight="15" x14ac:dyDescent="0.25"/>
  <cols>
    <col min="2" max="2" width="18.5703125" bestFit="1" customWidth="1"/>
    <col min="3" max="3" width="16.42578125" bestFit="1" customWidth="1"/>
    <col min="4" max="4" width="13.42578125" bestFit="1" customWidth="1"/>
    <col min="5" max="5" width="15.85546875" bestFit="1" customWidth="1"/>
    <col min="6" max="6" width="12.5703125" customWidth="1"/>
    <col min="7" max="7" width="14.5703125" customWidth="1"/>
    <col min="8" max="8" width="14.42578125" bestFit="1" customWidth="1"/>
    <col min="9" max="14" width="12.5703125" customWidth="1"/>
    <col min="15" max="15" width="13.28515625" bestFit="1" customWidth="1"/>
    <col min="16" max="16" width="13.42578125" bestFit="1" customWidth="1"/>
    <col min="17" max="17" width="15.85546875" bestFit="1" customWidth="1"/>
    <col min="18" max="18" width="11.5703125" bestFit="1" customWidth="1"/>
    <col min="19" max="19" width="13.28515625" customWidth="1"/>
    <col min="20" max="20" width="14.42578125" bestFit="1" customWidth="1"/>
    <col min="21" max="21" width="13.28515625" customWidth="1"/>
    <col min="22" max="22" width="16.140625" bestFit="1" customWidth="1"/>
  </cols>
  <sheetData>
    <row r="1" spans="1:11" x14ac:dyDescent="0.25">
      <c r="A1" s="18" t="s">
        <v>51</v>
      </c>
      <c r="B1" s="18"/>
      <c r="C1" s="18"/>
      <c r="D1" s="18"/>
      <c r="E1" s="18"/>
      <c r="F1" s="18"/>
      <c r="G1" s="18"/>
      <c r="H1" s="18"/>
      <c r="I1" s="18"/>
      <c r="J1" s="18"/>
      <c r="K1" s="18"/>
    </row>
    <row r="2" spans="1:11" x14ac:dyDescent="0.25">
      <c r="A2" s="18" t="s">
        <v>52</v>
      </c>
      <c r="B2" s="18"/>
      <c r="C2" s="18"/>
      <c r="D2" s="18"/>
      <c r="E2" s="18"/>
      <c r="F2" s="18"/>
      <c r="G2" s="18"/>
      <c r="H2" s="18"/>
      <c r="I2" s="18"/>
      <c r="J2" s="18"/>
      <c r="K2" s="18"/>
    </row>
    <row r="3" spans="1:11" x14ac:dyDescent="0.25">
      <c r="A3" s="18" t="s">
        <v>53</v>
      </c>
      <c r="B3" s="18"/>
      <c r="C3" s="18"/>
      <c r="D3" s="18"/>
      <c r="E3" s="18"/>
      <c r="F3" s="18"/>
      <c r="G3" s="18"/>
      <c r="H3" s="18"/>
      <c r="I3" s="18"/>
      <c r="J3" s="18"/>
      <c r="K3" s="18"/>
    </row>
    <row r="4" spans="1:11" x14ac:dyDescent="0.25">
      <c r="J4" s="6"/>
    </row>
    <row r="5" spans="1:11" x14ac:dyDescent="0.25">
      <c r="C5" s="6" t="s">
        <v>7</v>
      </c>
      <c r="D5" s="6" t="s">
        <v>24</v>
      </c>
      <c r="E5" s="6" t="s">
        <v>25</v>
      </c>
      <c r="F5" s="6" t="s">
        <v>22</v>
      </c>
      <c r="G5" s="6" t="s">
        <v>26</v>
      </c>
      <c r="H5" s="6" t="s">
        <v>27</v>
      </c>
      <c r="I5" s="6" t="s">
        <v>31</v>
      </c>
      <c r="J5" s="18" t="s">
        <v>20</v>
      </c>
      <c r="K5" s="18"/>
    </row>
    <row r="6" spans="1:11" x14ac:dyDescent="0.25">
      <c r="A6" s="5">
        <v>2017</v>
      </c>
      <c r="B6" s="5" t="s">
        <v>0</v>
      </c>
      <c r="C6" s="7">
        <v>2781437</v>
      </c>
      <c r="D6" s="7">
        <f>($C$6/$C$10)*C11+1622.93</f>
        <v>48128.652743484687</v>
      </c>
      <c r="E6" s="7">
        <f>($C$6/$C$10)*C12+1274.85</f>
        <v>37806.122530903252</v>
      </c>
      <c r="F6" s="7">
        <f>($C$6/$C$10)*C13+3406.22</f>
        <v>100766.70339026165</v>
      </c>
      <c r="G6" s="7">
        <f>C6+D6+E6+F6</f>
        <v>2968138.4786646497</v>
      </c>
      <c r="H6" s="7">
        <f>G6/K6</f>
        <v>470.53558634506174</v>
      </c>
      <c r="I6" s="8">
        <f>1-(D6+F6)/C6</f>
        <v>0.94646819031538509</v>
      </c>
      <c r="J6" s="5" t="s">
        <v>0</v>
      </c>
      <c r="K6">
        <v>6308</v>
      </c>
    </row>
    <row r="7" spans="1:11" x14ac:dyDescent="0.25">
      <c r="B7" s="5" t="s">
        <v>1</v>
      </c>
      <c r="C7" s="7">
        <v>496674</v>
      </c>
      <c r="D7" s="7">
        <f>($C$7/$C$10)*C11</f>
        <v>8304.4064409503117</v>
      </c>
      <c r="E7" s="7">
        <f>($C$7/$C$10)*C12</f>
        <v>6523.294704504845</v>
      </c>
      <c r="F7" s="7">
        <f>($C$7/$C$10)*C13</f>
        <v>17385.409314456814</v>
      </c>
      <c r="G7" s="7">
        <f t="shared" ref="G7:G9" si="0">C7+D7+E7+F7</f>
        <v>528887.11045991199</v>
      </c>
      <c r="H7" s="7">
        <f t="shared" ref="H7:H10" si="1">G7/K7</f>
        <v>1652.772220187225</v>
      </c>
      <c r="I7" s="8">
        <f t="shared" ref="I7:I10" si="2">1-(D7+F7)/C7</f>
        <v>0.94827630245310379</v>
      </c>
      <c r="J7" s="5" t="s">
        <v>1</v>
      </c>
      <c r="K7">
        <v>320</v>
      </c>
    </row>
    <row r="8" spans="1:11" x14ac:dyDescent="0.25">
      <c r="B8" s="5" t="s">
        <v>21</v>
      </c>
      <c r="C8" s="7">
        <v>70092</v>
      </c>
      <c r="D8" s="7">
        <f>($C$8/$C$10)*C11</f>
        <v>1171.9406618004755</v>
      </c>
      <c r="E8" s="7">
        <f>($C$8/$C$10)*C12</f>
        <v>920.58527812640409</v>
      </c>
      <c r="F8" s="7">
        <f>($C$8/$C$10)*C13</f>
        <v>2453.4767466565736</v>
      </c>
      <c r="G8" s="7">
        <f t="shared" si="0"/>
        <v>74638.002686583452</v>
      </c>
      <c r="H8" s="7">
        <f t="shared" si="1"/>
        <v>1408.2642016336499</v>
      </c>
      <c r="I8" s="8">
        <f t="shared" si="2"/>
        <v>0.94827630245310379</v>
      </c>
      <c r="J8" s="5" t="s">
        <v>21</v>
      </c>
      <c r="K8">
        <v>53</v>
      </c>
    </row>
    <row r="9" spans="1:11" x14ac:dyDescent="0.25">
      <c r="B9" s="5" t="s">
        <v>3</v>
      </c>
      <c r="C9" s="7">
        <v>97065</v>
      </c>
      <c r="D9" s="7">
        <v>0</v>
      </c>
      <c r="E9" s="7">
        <v>0</v>
      </c>
      <c r="F9" s="7">
        <v>0</v>
      </c>
      <c r="G9" s="7">
        <f t="shared" si="0"/>
        <v>97065</v>
      </c>
      <c r="H9" s="7">
        <f t="shared" si="1"/>
        <v>32355</v>
      </c>
      <c r="I9" s="8">
        <f t="shared" si="2"/>
        <v>1</v>
      </c>
      <c r="J9" s="5" t="s">
        <v>3</v>
      </c>
      <c r="K9">
        <v>3</v>
      </c>
    </row>
    <row r="10" spans="1:11" x14ac:dyDescent="0.25">
      <c r="B10" s="5" t="s">
        <v>7</v>
      </c>
      <c r="C10" s="7">
        <f>SUM(C6:C9)</f>
        <v>3445268</v>
      </c>
      <c r="D10" s="7">
        <f>SUM(D6:D9)</f>
        <v>57604.999846235471</v>
      </c>
      <c r="E10" s="7">
        <f t="shared" ref="E10:G10" si="3">SUM(E6:E9)</f>
        <v>45250.002513534499</v>
      </c>
      <c r="F10" s="7">
        <f t="shared" si="3"/>
        <v>120605.58945137504</v>
      </c>
      <c r="G10" s="7">
        <f t="shared" si="3"/>
        <v>3668728.5918111452</v>
      </c>
      <c r="H10" s="7">
        <f t="shared" si="1"/>
        <v>548.88219506450412</v>
      </c>
      <c r="I10" s="8">
        <f t="shared" si="2"/>
        <v>0.94827380938214079</v>
      </c>
      <c r="J10" s="5" t="s">
        <v>7</v>
      </c>
      <c r="K10">
        <f>SUM(K6:K9)</f>
        <v>6684</v>
      </c>
    </row>
    <row r="11" spans="1:11" x14ac:dyDescent="0.25">
      <c r="B11" s="5" t="s">
        <v>23</v>
      </c>
      <c r="C11" s="7">
        <v>57605</v>
      </c>
    </row>
    <row r="12" spans="1:11" x14ac:dyDescent="0.25">
      <c r="B12" s="5" t="s">
        <v>25</v>
      </c>
      <c r="C12" s="7">
        <v>45250</v>
      </c>
    </row>
    <row r="13" spans="1:11" x14ac:dyDescent="0.25">
      <c r="B13" s="5" t="s">
        <v>22</v>
      </c>
      <c r="C13" s="7">
        <v>120597</v>
      </c>
    </row>
    <row r="16" spans="1:11" x14ac:dyDescent="0.25">
      <c r="J16" s="6"/>
    </row>
    <row r="17" spans="1:11" x14ac:dyDescent="0.25">
      <c r="C17" s="6" t="s">
        <v>7</v>
      </c>
      <c r="D17" s="6" t="s">
        <v>24</v>
      </c>
      <c r="E17" s="6" t="s">
        <v>25</v>
      </c>
      <c r="F17" s="6" t="s">
        <v>22</v>
      </c>
      <c r="G17" s="6" t="s">
        <v>26</v>
      </c>
      <c r="H17" s="6" t="s">
        <v>27</v>
      </c>
      <c r="I17" s="6" t="s">
        <v>31</v>
      </c>
      <c r="J17" s="18" t="s">
        <v>20</v>
      </c>
      <c r="K17" s="18"/>
    </row>
    <row r="18" spans="1:11" x14ac:dyDescent="0.25">
      <c r="A18" s="5">
        <v>2018</v>
      </c>
      <c r="B18" s="5" t="s">
        <v>0</v>
      </c>
      <c r="C18" s="7">
        <v>2716347</v>
      </c>
      <c r="D18" s="7">
        <f>($C$6/$C$10)*C23+1514.07</f>
        <v>44900.304631674517</v>
      </c>
      <c r="E18" s="7">
        <f>($C$6/$C$10)*C24+1002.75</f>
        <v>29736.91689325765</v>
      </c>
      <c r="F18" s="7">
        <f>($C$6/$C$10)*C25+4775.51</f>
        <v>110794.51047079066</v>
      </c>
      <c r="G18" s="7">
        <f>C18+D18+E18+F18</f>
        <v>2901778.7319957232</v>
      </c>
      <c r="H18" s="7">
        <f>G18/K18</f>
        <v>455.46676063345205</v>
      </c>
      <c r="I18" s="8">
        <f>1-(D18/C18)</f>
        <v>0.98347033547934981</v>
      </c>
      <c r="J18" s="5" t="s">
        <v>0</v>
      </c>
      <c r="K18">
        <v>6371</v>
      </c>
    </row>
    <row r="19" spans="1:11" x14ac:dyDescent="0.25">
      <c r="B19" s="5" t="s">
        <v>1</v>
      </c>
      <c r="C19" s="7">
        <v>475799</v>
      </c>
      <c r="D19" s="7">
        <f>($C$7/$C$10)*C23</f>
        <v>7747.3675296087267</v>
      </c>
      <c r="E19" s="7">
        <f>($C$7/$C$10)*C24</f>
        <v>5130.9857485687617</v>
      </c>
      <c r="F19" s="7">
        <f>($C$7/$C$10)*C25</f>
        <v>18931.538280331166</v>
      </c>
      <c r="G19" s="7">
        <f t="shared" ref="G19:G21" si="4">C19+D19+E19+F19</f>
        <v>507608.89155850868</v>
      </c>
      <c r="H19" s="7">
        <f t="shared" ref="H19:H22" si="5">G19/K19</f>
        <v>1591.2504437570806</v>
      </c>
      <c r="I19" s="8">
        <f t="shared" ref="I19:I22" si="6">1-(D19/C19)</f>
        <v>0.98371714205030125</v>
      </c>
      <c r="J19" s="5" t="s">
        <v>1</v>
      </c>
      <c r="K19">
        <v>319</v>
      </c>
    </row>
    <row r="20" spans="1:11" x14ac:dyDescent="0.25">
      <c r="B20" s="5" t="s">
        <v>21</v>
      </c>
      <c r="C20" s="7">
        <v>74406</v>
      </c>
      <c r="D20" s="7">
        <f>($C$8/$C$10)*C23</f>
        <v>1093.3297995975931</v>
      </c>
      <c r="E20" s="7">
        <f>($C$8/$C$10)*C24</f>
        <v>724.09881147127021</v>
      </c>
      <c r="F20" s="7">
        <f>($C$8/$C$10)*C25</f>
        <v>2671.6707158920585</v>
      </c>
      <c r="G20" s="7">
        <f t="shared" si="4"/>
        <v>78895.099326960917</v>
      </c>
      <c r="H20" s="7">
        <f t="shared" si="5"/>
        <v>1360.2603332234642</v>
      </c>
      <c r="I20" s="8">
        <f t="shared" si="6"/>
        <v>0.98530589200336538</v>
      </c>
      <c r="J20" s="5" t="s">
        <v>21</v>
      </c>
      <c r="K20">
        <v>58</v>
      </c>
    </row>
    <row r="21" spans="1:11" x14ac:dyDescent="0.25">
      <c r="B21" s="5" t="s">
        <v>3</v>
      </c>
      <c r="C21" s="7">
        <v>125522</v>
      </c>
      <c r="D21" s="7">
        <v>0</v>
      </c>
      <c r="E21" s="7">
        <v>0</v>
      </c>
      <c r="F21" s="7">
        <v>0</v>
      </c>
      <c r="G21" s="7">
        <f t="shared" si="4"/>
        <v>125522</v>
      </c>
      <c r="H21" s="7">
        <f t="shared" si="5"/>
        <v>41840.666666666664</v>
      </c>
      <c r="I21" s="8">
        <f t="shared" si="6"/>
        <v>1</v>
      </c>
      <c r="J21" s="5" t="s">
        <v>3</v>
      </c>
      <c r="K21">
        <v>3</v>
      </c>
    </row>
    <row r="22" spans="1:11" x14ac:dyDescent="0.25">
      <c r="B22" s="5" t="s">
        <v>7</v>
      </c>
      <c r="C22" s="7">
        <f>SUM(C18:C21)</f>
        <v>3392074</v>
      </c>
      <c r="D22" s="7">
        <f>SUM(D18:D21)</f>
        <v>53741.001960880836</v>
      </c>
      <c r="E22" s="7">
        <f t="shared" ref="E22" si="7">SUM(E18:E21)</f>
        <v>35592.001453297678</v>
      </c>
      <c r="F22" s="7">
        <f t="shared" ref="F22" si="8">SUM(F18:F21)</f>
        <v>132397.71946701387</v>
      </c>
      <c r="G22" s="7">
        <f t="shared" ref="G22" si="9">SUM(G18:G21)</f>
        <v>3613804.7228811928</v>
      </c>
      <c r="H22" s="7">
        <f t="shared" si="5"/>
        <v>535.29917388256445</v>
      </c>
      <c r="I22" s="8">
        <f t="shared" si="6"/>
        <v>0.98415688986711936</v>
      </c>
      <c r="J22" s="5" t="s">
        <v>7</v>
      </c>
      <c r="K22">
        <f>SUM(K18:K21)</f>
        <v>6751</v>
      </c>
    </row>
    <row r="23" spans="1:11" x14ac:dyDescent="0.25">
      <c r="B23" s="5" t="s">
        <v>23</v>
      </c>
      <c r="C23" s="7">
        <v>53741</v>
      </c>
      <c r="I23" s="8"/>
    </row>
    <row r="24" spans="1:11" x14ac:dyDescent="0.25">
      <c r="B24" s="5" t="s">
        <v>25</v>
      </c>
      <c r="C24" s="7">
        <v>35592</v>
      </c>
      <c r="I24" s="8"/>
    </row>
    <row r="25" spans="1:11" x14ac:dyDescent="0.25">
      <c r="B25" s="5" t="s">
        <v>22</v>
      </c>
      <c r="C25" s="7">
        <v>131322</v>
      </c>
      <c r="I25" s="8"/>
    </row>
    <row r="26" spans="1:11" x14ac:dyDescent="0.25">
      <c r="C26" s="7"/>
      <c r="D26" s="7"/>
      <c r="E26" s="7"/>
      <c r="I26" s="8"/>
    </row>
    <row r="27" spans="1:11" x14ac:dyDescent="0.25">
      <c r="C27" s="7"/>
      <c r="D27" s="7"/>
      <c r="E27" s="7"/>
      <c r="I27" s="8"/>
    </row>
    <row r="28" spans="1:11" x14ac:dyDescent="0.25">
      <c r="I28" s="8"/>
      <c r="J28" s="6"/>
    </row>
    <row r="29" spans="1:11" x14ac:dyDescent="0.25">
      <c r="C29" s="6" t="s">
        <v>7</v>
      </c>
      <c r="D29" s="6" t="s">
        <v>24</v>
      </c>
      <c r="E29" s="6" t="s">
        <v>28</v>
      </c>
      <c r="F29" s="6" t="s">
        <v>22</v>
      </c>
      <c r="G29" s="6" t="s">
        <v>26</v>
      </c>
      <c r="H29" s="6" t="s">
        <v>27</v>
      </c>
      <c r="I29" s="6" t="s">
        <v>31</v>
      </c>
      <c r="J29" s="18" t="s">
        <v>20</v>
      </c>
      <c r="K29" s="18"/>
    </row>
    <row r="30" spans="1:11" x14ac:dyDescent="0.25">
      <c r="A30" s="5">
        <v>2019</v>
      </c>
      <c r="B30" s="5" t="s">
        <v>0</v>
      </c>
      <c r="C30" s="7">
        <v>2713370</v>
      </c>
      <c r="D30" s="7">
        <f>($C$6/$C$10)*C35+1380.78</f>
        <v>40947.579264962842</v>
      </c>
      <c r="E30" s="7">
        <f>($C$6/$C$10)*C36+1653.1</f>
        <v>49023.463470127717</v>
      </c>
      <c r="F30" s="7">
        <f>($C$6/$C$10)*C37+3153.25</f>
        <v>93511.03155748696</v>
      </c>
      <c r="G30" s="7">
        <f>C30+D30+E30+F30</f>
        <v>2896852.0742925778</v>
      </c>
      <c r="H30" s="7">
        <f>G30/K30</f>
        <v>450.87191817783309</v>
      </c>
      <c r="I30" s="8">
        <f>1-(D30/C30)</f>
        <v>0.98490895850364568</v>
      </c>
      <c r="J30" s="5" t="s">
        <v>0</v>
      </c>
      <c r="K30">
        <v>6425</v>
      </c>
    </row>
    <row r="31" spans="1:11" x14ac:dyDescent="0.25">
      <c r="B31" s="5" t="s">
        <v>1</v>
      </c>
      <c r="C31" s="7">
        <v>484933</v>
      </c>
      <c r="D31" s="7">
        <f>($C$7/$C$10)*C35</f>
        <v>7065.3408501167396</v>
      </c>
      <c r="E31" s="7">
        <f>($C$7/$C$10)*C36</f>
        <v>8458.8030957243373</v>
      </c>
      <c r="F31" s="7">
        <f>($C$7/$C$10)*C37</f>
        <v>16134.954988117033</v>
      </c>
      <c r="G31" s="7">
        <f t="shared" ref="G31:G33" si="10">C31+D31+E31+F31</f>
        <v>516592.0989339581</v>
      </c>
      <c r="H31" s="7">
        <f t="shared" ref="H31:H34" si="11">G31/K31</f>
        <v>1614.3503091686191</v>
      </c>
      <c r="I31" s="8">
        <f t="shared" ref="I31:I34" si="12">1-(D31/C31)</f>
        <v>0.98543027418196583</v>
      </c>
      <c r="J31" s="5" t="s">
        <v>1</v>
      </c>
      <c r="K31">
        <v>320</v>
      </c>
    </row>
    <row r="32" spans="1:11" x14ac:dyDescent="0.25">
      <c r="B32" s="5" t="s">
        <v>21</v>
      </c>
      <c r="C32" s="7">
        <v>80580</v>
      </c>
      <c r="D32" s="7">
        <f>($C$8/$C$10)*C35</f>
        <v>997.08032002154846</v>
      </c>
      <c r="E32" s="7">
        <f>($C$8/$C$10)*C36</f>
        <v>1193.72954208497</v>
      </c>
      <c r="F32" s="7">
        <f>($C$8/$C$10)*C37</f>
        <v>2277.0091952208072</v>
      </c>
      <c r="G32" s="7">
        <f t="shared" si="10"/>
        <v>85047.819057327317</v>
      </c>
      <c r="H32" s="7">
        <f t="shared" si="11"/>
        <v>1466.3417078849538</v>
      </c>
      <c r="I32" s="8">
        <f t="shared" si="12"/>
        <v>0.98762620600618578</v>
      </c>
      <c r="J32" s="5" t="s">
        <v>21</v>
      </c>
      <c r="K32">
        <v>58</v>
      </c>
    </row>
    <row r="33" spans="1:35" x14ac:dyDescent="0.25">
      <c r="B33" s="5" t="s">
        <v>3</v>
      </c>
      <c r="C33" s="7">
        <v>127683</v>
      </c>
      <c r="D33" s="7">
        <v>0</v>
      </c>
      <c r="E33" s="7">
        <v>0</v>
      </c>
      <c r="F33" s="7">
        <v>0</v>
      </c>
      <c r="G33" s="7">
        <f t="shared" si="10"/>
        <v>127683</v>
      </c>
      <c r="H33" s="7">
        <f t="shared" si="11"/>
        <v>42561</v>
      </c>
      <c r="I33" s="8">
        <f t="shared" si="12"/>
        <v>1</v>
      </c>
      <c r="J33" s="5" t="s">
        <v>3</v>
      </c>
      <c r="K33">
        <v>3</v>
      </c>
    </row>
    <row r="34" spans="1:35" x14ac:dyDescent="0.25">
      <c r="B34" s="5" t="s">
        <v>7</v>
      </c>
      <c r="C34" s="7">
        <f>SUM(C30:C33)</f>
        <v>3406566</v>
      </c>
      <c r="D34" s="7">
        <f>SUM(D30:D33)</f>
        <v>49010.00043510113</v>
      </c>
      <c r="E34" s="7">
        <f t="shared" ref="E34" si="13">SUM(E30:E33)</f>
        <v>58675.996107937026</v>
      </c>
      <c r="F34" s="7">
        <f t="shared" ref="F34" si="14">SUM(F30:F33)</f>
        <v>111922.9957408248</v>
      </c>
      <c r="G34" s="7">
        <f t="shared" ref="G34" si="15">SUM(G30:G33)</f>
        <v>3626174.992283863</v>
      </c>
      <c r="H34" s="7">
        <f t="shared" si="11"/>
        <v>532.79091864294196</v>
      </c>
      <c r="I34" s="8">
        <f t="shared" si="12"/>
        <v>0.98561307767555328</v>
      </c>
      <c r="J34" s="5" t="s">
        <v>7</v>
      </c>
      <c r="K34">
        <f>SUM(K30:K33)</f>
        <v>6806</v>
      </c>
    </row>
    <row r="35" spans="1:35" x14ac:dyDescent="0.25">
      <c r="B35" s="5" t="s">
        <v>23</v>
      </c>
      <c r="C35" s="7">
        <v>49010</v>
      </c>
    </row>
    <row r="36" spans="1:35" x14ac:dyDescent="0.25">
      <c r="B36" s="5" t="s">
        <v>25</v>
      </c>
      <c r="C36" s="7">
        <v>58676</v>
      </c>
    </row>
    <row r="37" spans="1:35" x14ac:dyDescent="0.25">
      <c r="B37" s="5" t="s">
        <v>22</v>
      </c>
      <c r="C37" s="7">
        <v>111923</v>
      </c>
    </row>
    <row r="40" spans="1:35" x14ac:dyDescent="0.25">
      <c r="C40" s="18"/>
      <c r="D40" s="18"/>
      <c r="E40" s="18"/>
      <c r="F40" s="18"/>
      <c r="G40" s="18"/>
      <c r="H40" s="18"/>
      <c r="I40" s="18"/>
      <c r="J40" s="18"/>
      <c r="K40" s="18"/>
      <c r="L40" s="18"/>
      <c r="M40" s="18"/>
      <c r="N40" s="18"/>
      <c r="O40" s="18"/>
      <c r="P40" s="18"/>
      <c r="Q40" s="18"/>
    </row>
    <row r="41" spans="1:35" x14ac:dyDescent="0.25">
      <c r="A41" s="6" t="s">
        <v>8</v>
      </c>
      <c r="C41" s="6" t="s">
        <v>4</v>
      </c>
      <c r="D41" s="6" t="s">
        <v>24</v>
      </c>
      <c r="E41" s="6" t="s">
        <v>29</v>
      </c>
      <c r="F41" s="6" t="s">
        <v>22</v>
      </c>
      <c r="G41" s="6" t="s">
        <v>5</v>
      </c>
      <c r="H41" s="6" t="s">
        <v>26</v>
      </c>
      <c r="I41" s="6" t="s">
        <v>6</v>
      </c>
      <c r="J41" s="6"/>
      <c r="K41" s="6"/>
      <c r="L41" s="6"/>
      <c r="M41" s="6"/>
      <c r="N41" s="6"/>
      <c r="O41" s="6"/>
      <c r="P41" s="6"/>
      <c r="Q41" s="6"/>
      <c r="R41" s="6"/>
      <c r="S41" s="6"/>
      <c r="T41" s="6"/>
      <c r="U41" s="6"/>
      <c r="V41" s="6"/>
      <c r="W41" s="6"/>
      <c r="X41" s="6"/>
      <c r="Y41" s="6"/>
      <c r="Z41" s="6"/>
      <c r="AA41" s="6"/>
      <c r="AB41" s="6"/>
      <c r="AC41" s="6"/>
      <c r="AD41" s="6"/>
      <c r="AE41" s="6"/>
      <c r="AF41" s="6"/>
      <c r="AG41" s="6"/>
      <c r="AH41" s="18"/>
      <c r="AI41" s="18"/>
    </row>
    <row r="42" spans="1:35" x14ac:dyDescent="0.25">
      <c r="A42" s="6">
        <v>2020</v>
      </c>
      <c r="B42" s="5" t="s">
        <v>0</v>
      </c>
      <c r="C42" s="7">
        <v>215208</v>
      </c>
      <c r="D42" s="7">
        <f>(C42/$C$46)*$C$47+154.64</f>
        <v>3216.5737872244122</v>
      </c>
      <c r="E42" s="7">
        <f>(C42/$C$46)*$C$48+243.73</f>
        <v>5069.6039037776054</v>
      </c>
      <c r="F42" s="7">
        <f>(C42/$C$46)*$C$49+351.47</f>
        <v>7310.6318127982204</v>
      </c>
      <c r="G42" s="7">
        <v>6421</v>
      </c>
      <c r="H42" s="7">
        <f>C42+D42+E42+F42</f>
        <v>230804.80950380024</v>
      </c>
      <c r="I42" s="7">
        <f>H42/G42</f>
        <v>35.945305949820934</v>
      </c>
      <c r="J42" s="7"/>
      <c r="K42" s="7"/>
      <c r="L42" s="7"/>
      <c r="M42" s="7"/>
      <c r="N42" s="7"/>
      <c r="O42" s="7"/>
      <c r="P42" s="7"/>
      <c r="Q42" s="7"/>
      <c r="R42" s="7"/>
      <c r="S42" s="7"/>
      <c r="T42" s="7"/>
      <c r="U42" s="7"/>
      <c r="V42" s="7"/>
      <c r="W42" s="7"/>
      <c r="X42" s="7"/>
      <c r="Y42" s="7"/>
      <c r="Z42" s="7"/>
      <c r="AA42" s="7"/>
      <c r="AB42" s="7"/>
      <c r="AC42" s="7"/>
      <c r="AD42" s="7"/>
      <c r="AE42" s="7"/>
      <c r="AF42" s="7"/>
      <c r="AG42" s="7"/>
      <c r="AH42" s="5"/>
    </row>
    <row r="43" spans="1:35" x14ac:dyDescent="0.25">
      <c r="B43" s="5" t="s">
        <v>1</v>
      </c>
      <c r="C43" s="7">
        <v>33689</v>
      </c>
      <c r="D43" s="7">
        <f t="shared" ref="D43:D44" si="16">(C43/$C$46)*$C$47</f>
        <v>479.31994794711727</v>
      </c>
      <c r="E43" s="7">
        <f>(C43/$C$46)*$C$48</f>
        <v>755.44991796013051</v>
      </c>
      <c r="F43" s="7">
        <f>(C43/$C$46)*$C$49</f>
        <v>1089.3981743771569</v>
      </c>
      <c r="G43" s="7">
        <v>318</v>
      </c>
      <c r="H43" s="7">
        <f t="shared" ref="H43:H46" si="17">C43+D43+E43+F43</f>
        <v>36013.168040284407</v>
      </c>
      <c r="I43" s="7">
        <f t="shared" ref="I43:I46" si="18">H43/G43</f>
        <v>113.24895610152329</v>
      </c>
      <c r="J43" s="7"/>
      <c r="K43" s="7"/>
      <c r="L43" s="7"/>
      <c r="M43" s="7"/>
      <c r="N43" s="7"/>
      <c r="O43" s="7"/>
      <c r="P43" s="7"/>
      <c r="Q43" s="7"/>
      <c r="R43" s="7"/>
      <c r="S43" s="7"/>
      <c r="T43" s="7"/>
      <c r="U43" s="7"/>
      <c r="V43" s="7"/>
      <c r="W43" s="7"/>
      <c r="X43" s="7"/>
      <c r="Y43" s="7"/>
      <c r="Z43" s="7"/>
      <c r="AA43" s="7"/>
      <c r="AB43" s="7"/>
      <c r="AC43" s="7"/>
      <c r="AD43" s="7"/>
      <c r="AE43" s="7"/>
      <c r="AF43" s="7"/>
      <c r="AG43" s="7"/>
      <c r="AH43" s="5"/>
    </row>
    <row r="44" spans="1:35" x14ac:dyDescent="0.25">
      <c r="B44" s="5" t="s">
        <v>21</v>
      </c>
      <c r="C44" s="7">
        <v>5349</v>
      </c>
      <c r="D44" s="7">
        <f t="shared" si="16"/>
        <v>76.104437696848535</v>
      </c>
      <c r="E44" s="7">
        <f>(C44/$C$46)*$C$48</f>
        <v>119.94721158742432</v>
      </c>
      <c r="F44" s="7">
        <f>(C44/$C$46)*$C$49</f>
        <v>172.97013371555738</v>
      </c>
      <c r="G44" s="7">
        <v>58</v>
      </c>
      <c r="H44" s="7">
        <f t="shared" si="17"/>
        <v>5718.0217829998301</v>
      </c>
      <c r="I44" s="7">
        <f t="shared" si="18"/>
        <v>98.586582465514311</v>
      </c>
      <c r="J44" s="7"/>
      <c r="K44" s="7"/>
      <c r="L44" s="7"/>
      <c r="M44" s="7"/>
      <c r="N44" s="7"/>
      <c r="O44" s="7"/>
      <c r="P44" s="7"/>
      <c r="Q44" s="7"/>
      <c r="R44" s="7"/>
      <c r="S44" s="7"/>
      <c r="T44" s="7"/>
      <c r="U44" s="7"/>
      <c r="V44" s="7"/>
      <c r="W44" s="7"/>
      <c r="X44" s="7"/>
      <c r="Y44" s="7"/>
      <c r="Z44" s="7"/>
      <c r="AA44" s="7"/>
      <c r="AB44" s="7"/>
      <c r="AC44" s="7"/>
      <c r="AD44" s="7"/>
      <c r="AE44" s="7"/>
      <c r="AF44" s="7"/>
      <c r="AG44" s="7"/>
      <c r="AH44" s="5"/>
    </row>
    <row r="45" spans="1:35" x14ac:dyDescent="0.25">
      <c r="B45" s="5" t="s">
        <v>3</v>
      </c>
      <c r="C45" s="7">
        <v>10869</v>
      </c>
      <c r="D45" s="7">
        <v>0</v>
      </c>
      <c r="E45" s="7">
        <v>0</v>
      </c>
      <c r="F45" s="7">
        <v>0</v>
      </c>
      <c r="G45" s="7">
        <v>3</v>
      </c>
      <c r="H45" s="7">
        <f t="shared" si="17"/>
        <v>10869</v>
      </c>
      <c r="I45" s="7">
        <f t="shared" si="18"/>
        <v>3623</v>
      </c>
      <c r="J45" s="7"/>
      <c r="K45" s="7"/>
      <c r="L45" s="7"/>
      <c r="M45" s="7"/>
      <c r="N45" s="7"/>
      <c r="O45" s="7"/>
      <c r="P45" s="7"/>
      <c r="Q45" s="7"/>
      <c r="R45" s="7"/>
      <c r="S45" s="7"/>
      <c r="T45" s="7"/>
      <c r="U45" s="7"/>
      <c r="V45" s="7"/>
      <c r="W45" s="7"/>
      <c r="X45" s="7"/>
      <c r="Y45" s="7"/>
      <c r="Z45" s="7"/>
      <c r="AA45" s="7"/>
      <c r="AB45" s="7"/>
      <c r="AC45" s="7"/>
      <c r="AD45" s="7"/>
      <c r="AE45" s="7"/>
      <c r="AF45" s="7"/>
      <c r="AG45" s="7"/>
      <c r="AH45" s="5"/>
    </row>
    <row r="46" spans="1:35" x14ac:dyDescent="0.25">
      <c r="B46" s="5" t="s">
        <v>7</v>
      </c>
      <c r="C46" s="7">
        <f>SUM(C42:C45)</f>
        <v>265115</v>
      </c>
      <c r="D46" s="7">
        <f>SUM(D42:D45)</f>
        <v>3771.9981728683779</v>
      </c>
      <c r="E46" s="7">
        <f t="shared" ref="E46:F46" si="19">SUM(E42:E45)</f>
        <v>5945.0010333251603</v>
      </c>
      <c r="F46" s="7">
        <f t="shared" si="19"/>
        <v>8573.0001208909343</v>
      </c>
      <c r="G46" s="7">
        <f>SUM(G42:G45)</f>
        <v>6800</v>
      </c>
      <c r="H46" s="7">
        <f t="shared" si="17"/>
        <v>283404.99932708446</v>
      </c>
      <c r="I46" s="7">
        <f t="shared" si="18"/>
        <v>41.677205783394776</v>
      </c>
      <c r="J46" s="7"/>
      <c r="K46" s="7"/>
      <c r="L46" s="7"/>
      <c r="M46" s="7"/>
      <c r="N46" s="7"/>
      <c r="O46" s="7"/>
      <c r="P46" s="7"/>
      <c r="Q46" s="7"/>
      <c r="R46" s="7"/>
      <c r="S46" s="7"/>
      <c r="T46" s="7"/>
      <c r="U46" s="7"/>
      <c r="V46" s="7"/>
      <c r="W46" s="7"/>
      <c r="X46" s="7"/>
      <c r="Y46" s="7"/>
      <c r="Z46" s="7"/>
      <c r="AA46" s="7"/>
      <c r="AB46" s="7"/>
      <c r="AC46" s="7"/>
      <c r="AD46" s="7"/>
      <c r="AE46" s="7"/>
      <c r="AF46" s="7"/>
      <c r="AG46" s="7"/>
      <c r="AH46" s="5"/>
    </row>
    <row r="47" spans="1:35" x14ac:dyDescent="0.25">
      <c r="B47" s="5" t="s">
        <v>23</v>
      </c>
      <c r="C47" s="7">
        <v>3772</v>
      </c>
      <c r="D47" s="7"/>
      <c r="E47" s="7"/>
      <c r="F47" s="7"/>
      <c r="G47" s="7"/>
      <c r="H47" s="7"/>
      <c r="I47" s="7"/>
      <c r="J47" s="7"/>
      <c r="K47" s="7"/>
      <c r="L47" s="7"/>
      <c r="M47" s="7"/>
      <c r="N47" s="7"/>
      <c r="O47" s="7"/>
      <c r="P47" s="7"/>
      <c r="Q47" s="7"/>
      <c r="R47" s="7"/>
      <c r="S47" s="7"/>
      <c r="T47" s="7"/>
      <c r="U47" s="7"/>
      <c r="V47" s="7"/>
      <c r="W47" s="7"/>
      <c r="X47" s="7"/>
      <c r="Y47" s="7"/>
      <c r="Z47" s="7"/>
      <c r="AA47" s="7"/>
    </row>
    <row r="48" spans="1:35" x14ac:dyDescent="0.25">
      <c r="B48" s="5" t="s">
        <v>25</v>
      </c>
      <c r="C48" s="7">
        <v>5945</v>
      </c>
      <c r="D48" s="7"/>
      <c r="E48" s="7"/>
      <c r="F48" s="7"/>
      <c r="G48" s="7"/>
      <c r="H48" s="7"/>
      <c r="I48" s="7"/>
      <c r="J48" s="7"/>
      <c r="K48" s="7"/>
      <c r="L48" s="7"/>
      <c r="M48" s="7"/>
      <c r="N48" s="7"/>
      <c r="O48" s="7"/>
      <c r="P48" s="7"/>
      <c r="Q48" s="7"/>
      <c r="R48" s="7"/>
      <c r="S48" s="7"/>
      <c r="T48" s="7"/>
      <c r="U48" s="7"/>
      <c r="V48" s="7"/>
      <c r="W48" s="7"/>
      <c r="X48" s="7"/>
      <c r="Y48" s="7"/>
      <c r="Z48" s="7"/>
      <c r="AA48" s="7"/>
    </row>
    <row r="49" spans="1:27" x14ac:dyDescent="0.25">
      <c r="B49" s="5" t="s">
        <v>22</v>
      </c>
      <c r="C49" s="7">
        <v>8573</v>
      </c>
      <c r="D49" s="7"/>
      <c r="E49" s="7"/>
      <c r="F49" s="7"/>
      <c r="G49" s="7"/>
      <c r="H49" s="7"/>
      <c r="I49" s="7"/>
      <c r="J49" s="7"/>
      <c r="K49" s="7"/>
      <c r="L49" s="7"/>
      <c r="M49" s="7"/>
      <c r="N49" s="7"/>
      <c r="O49" s="7"/>
      <c r="P49" s="7"/>
      <c r="Q49" s="7"/>
      <c r="R49" s="7"/>
      <c r="S49" s="7"/>
      <c r="T49" s="7"/>
      <c r="U49" s="7"/>
      <c r="V49" s="7"/>
      <c r="W49" s="7"/>
      <c r="X49" s="7"/>
      <c r="Y49" s="7"/>
      <c r="Z49" s="7"/>
      <c r="AA49" s="7"/>
    </row>
    <row r="51" spans="1:27" x14ac:dyDescent="0.25">
      <c r="A51" s="6" t="s">
        <v>9</v>
      </c>
      <c r="C51" s="6" t="s">
        <v>4</v>
      </c>
      <c r="D51" s="6" t="s">
        <v>24</v>
      </c>
      <c r="E51" s="6" t="s">
        <v>29</v>
      </c>
      <c r="F51" s="6" t="s">
        <v>22</v>
      </c>
      <c r="G51" s="6" t="s">
        <v>5</v>
      </c>
      <c r="H51" s="6" t="s">
        <v>26</v>
      </c>
      <c r="I51" s="6" t="s">
        <v>6</v>
      </c>
    </row>
    <row r="52" spans="1:27" x14ac:dyDescent="0.25">
      <c r="A52" s="6">
        <v>2020</v>
      </c>
      <c r="B52" s="5" t="s">
        <v>0</v>
      </c>
      <c r="C52" s="7">
        <v>209046</v>
      </c>
      <c r="D52" s="7">
        <f>(C52/$C$56)*$C$57+148.63</f>
        <v>2977.507047577792</v>
      </c>
      <c r="E52" s="7">
        <f>(C52/$C$56)*$C$58+240.62</f>
        <v>4820.5158433164534</v>
      </c>
      <c r="F52" s="7">
        <f>(C52/$C$56)*$C$59+350.18</f>
        <v>7015.2707662052389</v>
      </c>
      <c r="G52" s="7">
        <v>6426</v>
      </c>
      <c r="H52" s="7">
        <f>C52+D52+E52+F52</f>
        <v>223859.29365709948</v>
      </c>
      <c r="I52" s="7">
        <f>H52/G52</f>
        <v>34.836491387659429</v>
      </c>
    </row>
    <row r="53" spans="1:27" x14ac:dyDescent="0.25">
      <c r="B53" s="5" t="s">
        <v>1</v>
      </c>
      <c r="C53" s="7">
        <v>35042</v>
      </c>
      <c r="D53" s="7">
        <f>(C53/$C$56)*$C$57</f>
        <v>474.19950394277322</v>
      </c>
      <c r="E53" s="7">
        <f>(C53/$C$56)*$C$58</f>
        <v>767.71959349375322</v>
      </c>
      <c r="F53" s="7">
        <f t="shared" ref="F53:F54" si="20">(C53/$C$56)*$C$59</f>
        <v>1117.2570182130439</v>
      </c>
      <c r="G53" s="7">
        <v>314</v>
      </c>
      <c r="H53" s="7">
        <f t="shared" ref="H53:H56" si="21">C53+D53+E53+F53</f>
        <v>37401.17611564957</v>
      </c>
      <c r="I53" s="7">
        <f t="shared" ref="I53:I56" si="22">H53/G53</f>
        <v>119.11202584601774</v>
      </c>
    </row>
    <row r="54" spans="1:27" x14ac:dyDescent="0.25">
      <c r="B54" s="5" t="s">
        <v>21</v>
      </c>
      <c r="C54" s="7">
        <v>5786</v>
      </c>
      <c r="D54" s="7">
        <f>(C54/$C$56)*$C$57</f>
        <v>78.29799468674409</v>
      </c>
      <c r="E54" s="7">
        <f>(C54/$C$56)*$C$58</f>
        <v>126.76290074638595</v>
      </c>
      <c r="F54" s="7">
        <f t="shared" si="20"/>
        <v>184.47717331718147</v>
      </c>
      <c r="G54" s="7">
        <v>58</v>
      </c>
      <c r="H54" s="7">
        <f t="shared" si="21"/>
        <v>6175.5380687503111</v>
      </c>
      <c r="I54" s="7">
        <f t="shared" si="22"/>
        <v>106.47479428879846</v>
      </c>
    </row>
    <row r="55" spans="1:27" x14ac:dyDescent="0.25">
      <c r="B55" s="5" t="s">
        <v>3</v>
      </c>
      <c r="C55" s="7">
        <v>10983</v>
      </c>
      <c r="D55" s="7">
        <v>0</v>
      </c>
      <c r="E55" s="7">
        <v>0</v>
      </c>
      <c r="F55" s="7">
        <v>0</v>
      </c>
      <c r="G55" s="7">
        <v>3</v>
      </c>
      <c r="H55" s="7">
        <f t="shared" si="21"/>
        <v>10983</v>
      </c>
      <c r="I55" s="7">
        <f t="shared" si="22"/>
        <v>3661</v>
      </c>
    </row>
    <row r="56" spans="1:27" x14ac:dyDescent="0.25">
      <c r="B56" s="5" t="s">
        <v>7</v>
      </c>
      <c r="C56" s="7">
        <v>260857</v>
      </c>
      <c r="D56" s="7">
        <f>SUM(D52:D55)</f>
        <v>3530.0045462073094</v>
      </c>
      <c r="E56" s="7">
        <f t="shared" ref="E56" si="23">SUM(E52:E55)</f>
        <v>5714.9983375565926</v>
      </c>
      <c r="F56" s="7">
        <f t="shared" ref="F56" si="24">SUM(F52:F55)</f>
        <v>8317.0049577354639</v>
      </c>
      <c r="G56" s="7">
        <f>SUM(G52:G55)</f>
        <v>6801</v>
      </c>
      <c r="H56" s="7">
        <f t="shared" si="21"/>
        <v>278419.00784149941</v>
      </c>
      <c r="I56" s="7">
        <f t="shared" si="22"/>
        <v>40.937951454418382</v>
      </c>
    </row>
    <row r="57" spans="1:27" x14ac:dyDescent="0.25">
      <c r="B57" s="5" t="s">
        <v>23</v>
      </c>
      <c r="C57" s="7">
        <v>3530</v>
      </c>
      <c r="D57" s="7"/>
      <c r="E57" s="7"/>
      <c r="F57" s="7"/>
      <c r="G57" s="7"/>
      <c r="H57" s="7"/>
      <c r="I57" s="7"/>
    </row>
    <row r="58" spans="1:27" x14ac:dyDescent="0.25">
      <c r="B58" s="5" t="s">
        <v>25</v>
      </c>
      <c r="C58" s="7">
        <v>5715</v>
      </c>
      <c r="D58" s="7"/>
      <c r="E58" s="7"/>
      <c r="F58" s="7"/>
      <c r="G58" s="7"/>
      <c r="H58" s="7"/>
      <c r="I58" s="7"/>
    </row>
    <row r="59" spans="1:27" x14ac:dyDescent="0.25">
      <c r="B59" s="5" t="s">
        <v>22</v>
      </c>
      <c r="C59" s="7">
        <v>8317</v>
      </c>
      <c r="D59" s="7"/>
      <c r="E59" s="7"/>
      <c r="F59" s="7"/>
      <c r="G59" s="7"/>
      <c r="H59" s="7"/>
      <c r="I59" s="7"/>
    </row>
    <row r="61" spans="1:27" x14ac:dyDescent="0.25">
      <c r="A61" s="6" t="s">
        <v>10</v>
      </c>
      <c r="C61" s="6" t="s">
        <v>4</v>
      </c>
      <c r="D61" s="6" t="s">
        <v>24</v>
      </c>
      <c r="E61" s="6" t="s">
        <v>29</v>
      </c>
      <c r="F61" s="6" t="s">
        <v>22</v>
      </c>
      <c r="G61" s="6" t="s">
        <v>5</v>
      </c>
      <c r="H61" s="6" t="s">
        <v>26</v>
      </c>
      <c r="I61" s="6" t="s">
        <v>6</v>
      </c>
    </row>
    <row r="62" spans="1:27" x14ac:dyDescent="0.25">
      <c r="A62" s="6">
        <v>2020</v>
      </c>
      <c r="B62" s="5" t="s">
        <v>0</v>
      </c>
      <c r="C62" s="7">
        <v>201164</v>
      </c>
      <c r="D62" s="7">
        <f>(C62/$C$66)*$C$67+54.52</f>
        <v>1252.7317263449299</v>
      </c>
      <c r="E62" s="7">
        <f>(C62/$C$66)*$C$68+167.14</f>
        <v>3840.5194456035288</v>
      </c>
      <c r="F62" s="7">
        <f>(C62/$C$66)*$C$69+361.46</f>
        <v>8305.7011612543938</v>
      </c>
      <c r="G62" s="7">
        <v>6442</v>
      </c>
      <c r="H62" s="7">
        <f>C62+D62+E62+F62</f>
        <v>214562.95233320288</v>
      </c>
      <c r="I62" s="7">
        <f>H62/G62</f>
        <v>33.306884870102898</v>
      </c>
    </row>
    <row r="63" spans="1:27" x14ac:dyDescent="0.25">
      <c r="B63" s="5" t="s">
        <v>1</v>
      </c>
      <c r="C63" s="7">
        <v>33369</v>
      </c>
      <c r="D63" s="7">
        <f t="shared" ref="D63:D64" si="25">(C63/$C$66)*$C$67</f>
        <v>198.7588589230875</v>
      </c>
      <c r="E63" s="7">
        <f t="shared" ref="E63:E64" si="26">(C63/$C$66)*$C$68</f>
        <v>609.33864270119977</v>
      </c>
      <c r="F63" s="7">
        <f t="shared" ref="F63:F64" si="27">(C63/$C$66)*$C$69</f>
        <v>1317.7873939168931</v>
      </c>
      <c r="G63" s="7">
        <v>314</v>
      </c>
      <c r="H63" s="7">
        <f t="shared" ref="H63:H66" si="28">C63+D63+E63+F63</f>
        <v>35494.884895541181</v>
      </c>
      <c r="I63" s="7">
        <f t="shared" ref="I63:I66" si="29">H63/G63</f>
        <v>113.04103469917574</v>
      </c>
    </row>
    <row r="64" spans="1:27" x14ac:dyDescent="0.25">
      <c r="B64" s="5" t="s">
        <v>21</v>
      </c>
      <c r="C64" s="7">
        <v>4115</v>
      </c>
      <c r="D64" s="7">
        <f t="shared" si="25"/>
        <v>24.510554840375949</v>
      </c>
      <c r="E64" s="7">
        <f t="shared" si="26"/>
        <v>75.142453016735203</v>
      </c>
      <c r="F64" s="7">
        <f t="shared" si="27"/>
        <v>162.50697131972834</v>
      </c>
      <c r="G64" s="7">
        <v>58</v>
      </c>
      <c r="H64" s="7">
        <f t="shared" si="28"/>
        <v>4377.1599791768394</v>
      </c>
      <c r="I64" s="7">
        <f t="shared" si="29"/>
        <v>75.468275503048957</v>
      </c>
    </row>
    <row r="65" spans="1:12" x14ac:dyDescent="0.25">
      <c r="B65" s="5" t="s">
        <v>3</v>
      </c>
      <c r="C65" s="7">
        <v>9153</v>
      </c>
      <c r="D65" s="7">
        <v>0</v>
      </c>
      <c r="E65" s="7">
        <v>0</v>
      </c>
      <c r="F65" s="7">
        <v>0</v>
      </c>
      <c r="G65" s="7">
        <v>3</v>
      </c>
      <c r="H65" s="7">
        <f t="shared" si="28"/>
        <v>9153</v>
      </c>
      <c r="I65" s="7">
        <f t="shared" si="29"/>
        <v>3051</v>
      </c>
    </row>
    <row r="66" spans="1:12" x14ac:dyDescent="0.25">
      <c r="B66" s="5" t="s">
        <v>7</v>
      </c>
      <c r="C66" s="7">
        <v>247801</v>
      </c>
      <c r="D66" s="7">
        <f>SUM(D62:D65)</f>
        <v>1476.0011401083934</v>
      </c>
      <c r="E66" s="7">
        <f t="shared" ref="E66" si="30">SUM(E62:E65)</f>
        <v>4525.000541321464</v>
      </c>
      <c r="F66" s="7">
        <f t="shared" ref="F66" si="31">SUM(F62:F65)</f>
        <v>9785.995526491015</v>
      </c>
      <c r="G66" s="7">
        <f>SUM(G62:G65)</f>
        <v>6817</v>
      </c>
      <c r="H66" s="7">
        <f t="shared" si="28"/>
        <v>263587.99720792088</v>
      </c>
      <c r="I66" s="7">
        <f t="shared" si="29"/>
        <v>38.666275078175282</v>
      </c>
    </row>
    <row r="67" spans="1:12" x14ac:dyDescent="0.25">
      <c r="B67" s="5" t="s">
        <v>23</v>
      </c>
      <c r="C67" s="7">
        <v>1476</v>
      </c>
      <c r="D67" s="7"/>
      <c r="E67" s="7"/>
      <c r="F67" s="7"/>
      <c r="G67" s="7"/>
      <c r="H67" s="7"/>
      <c r="I67" s="7"/>
    </row>
    <row r="68" spans="1:12" x14ac:dyDescent="0.25">
      <c r="B68" s="5" t="s">
        <v>25</v>
      </c>
      <c r="C68" s="7">
        <v>4525</v>
      </c>
      <c r="D68" s="7"/>
      <c r="E68" s="7"/>
      <c r="F68" s="7"/>
      <c r="G68" s="7"/>
      <c r="H68" s="7"/>
      <c r="I68" s="7"/>
    </row>
    <row r="69" spans="1:12" x14ac:dyDescent="0.25">
      <c r="B69" s="5" t="s">
        <v>22</v>
      </c>
      <c r="C69" s="7">
        <v>9786</v>
      </c>
      <c r="D69" s="7"/>
      <c r="E69" s="7"/>
      <c r="F69" s="7"/>
      <c r="G69" s="7"/>
      <c r="H69" s="7"/>
      <c r="I69" s="7"/>
      <c r="L69" s="7"/>
    </row>
    <row r="71" spans="1:12" x14ac:dyDescent="0.25">
      <c r="A71" s="6" t="s">
        <v>11</v>
      </c>
      <c r="C71" s="6" t="s">
        <v>4</v>
      </c>
      <c r="D71" s="6" t="s">
        <v>24</v>
      </c>
      <c r="E71" s="6" t="s">
        <v>29</v>
      </c>
      <c r="F71" s="6" t="s">
        <v>22</v>
      </c>
      <c r="G71" s="6" t="s">
        <v>5</v>
      </c>
      <c r="H71" s="6" t="s">
        <v>26</v>
      </c>
      <c r="I71" s="6" t="s">
        <v>6</v>
      </c>
    </row>
    <row r="72" spans="1:12" x14ac:dyDescent="0.25">
      <c r="A72" s="6">
        <v>2020</v>
      </c>
      <c r="B72" s="5" t="s">
        <v>0</v>
      </c>
      <c r="C72" s="7">
        <v>228205</v>
      </c>
      <c r="D72" s="7">
        <f>(C72/$C$76)*$C$77</f>
        <v>0</v>
      </c>
      <c r="E72" s="7">
        <f>(C72/$C$76)*$C$78+172.51</f>
        <v>4194.9152476055706</v>
      </c>
      <c r="F72" s="7">
        <f>(C72/$C$76)*$C$79+515.42</f>
        <v>12533.83001685992</v>
      </c>
      <c r="G72" s="7">
        <v>6469</v>
      </c>
      <c r="H72" s="7">
        <f>C72+D72+E72+F72</f>
        <v>244933.74526446548</v>
      </c>
      <c r="I72" s="7">
        <f>H72/G72</f>
        <v>37.862690564919689</v>
      </c>
    </row>
    <row r="73" spans="1:12" x14ac:dyDescent="0.25">
      <c r="B73" s="5" t="s">
        <v>1</v>
      </c>
      <c r="C73" s="7">
        <v>36221</v>
      </c>
      <c r="D73" s="7">
        <f t="shared" ref="D73:D75" si="32">(C73/$C$76)*$C$77</f>
        <v>0</v>
      </c>
      <c r="E73" s="7">
        <f t="shared" ref="E73:E74" si="33">(C73/$C$76)*$C$78</f>
        <v>638.44149108705494</v>
      </c>
      <c r="F73" s="7">
        <f t="shared" ref="F73:F76" si="34">(C73/$C$76)*$C$79</f>
        <v>1907.5779637636476</v>
      </c>
      <c r="G73" s="7">
        <v>314</v>
      </c>
      <c r="H73" s="7">
        <f t="shared" ref="H73:H76" si="35">C73+D73+E73+F73</f>
        <v>38767.019454850699</v>
      </c>
      <c r="I73" s="7">
        <f t="shared" ref="I73:I76" si="36">H73/G73</f>
        <v>123.46184539761369</v>
      </c>
    </row>
    <row r="74" spans="1:12" x14ac:dyDescent="0.25">
      <c r="B74" s="5" t="s">
        <v>21</v>
      </c>
      <c r="C74" s="7">
        <v>6334</v>
      </c>
      <c r="D74" s="7">
        <f t="shared" si="32"/>
        <v>0</v>
      </c>
      <c r="E74" s="7">
        <f t="shared" si="33"/>
        <v>111.64485808082068</v>
      </c>
      <c r="F74" s="7">
        <f t="shared" si="34"/>
        <v>333.57993491286669</v>
      </c>
      <c r="G74" s="7">
        <v>58</v>
      </c>
      <c r="H74" s="7">
        <f t="shared" si="35"/>
        <v>6779.2247929936875</v>
      </c>
      <c r="I74" s="7">
        <f t="shared" si="36"/>
        <v>116.88318608609806</v>
      </c>
    </row>
    <row r="75" spans="1:12" x14ac:dyDescent="0.25">
      <c r="B75" s="5" t="s">
        <v>3</v>
      </c>
      <c r="C75" s="7">
        <v>9787</v>
      </c>
      <c r="D75" s="7">
        <f t="shared" si="32"/>
        <v>0</v>
      </c>
      <c r="E75" s="7">
        <v>0</v>
      </c>
      <c r="F75" s="7">
        <v>0</v>
      </c>
      <c r="G75" s="7">
        <v>3</v>
      </c>
      <c r="H75" s="7">
        <f t="shared" si="35"/>
        <v>9787</v>
      </c>
      <c r="I75" s="7">
        <f t="shared" si="36"/>
        <v>3262.3333333333335</v>
      </c>
    </row>
    <row r="76" spans="1:12" x14ac:dyDescent="0.25">
      <c r="B76" s="5" t="s">
        <v>7</v>
      </c>
      <c r="C76" s="7">
        <v>280547</v>
      </c>
      <c r="D76" s="7">
        <f>SUM(D72:D75)</f>
        <v>0</v>
      </c>
      <c r="E76" s="7">
        <f t="shared" ref="E76" si="37">SUM(E72:E75)</f>
        <v>4945.0015967734462</v>
      </c>
      <c r="F76" s="7">
        <f t="shared" si="34"/>
        <v>14775</v>
      </c>
      <c r="G76" s="7">
        <f>SUM(G72:G75)</f>
        <v>6844</v>
      </c>
      <c r="H76" s="7">
        <f t="shared" si="35"/>
        <v>300267.00159677345</v>
      </c>
      <c r="I76" s="7">
        <f t="shared" si="36"/>
        <v>43.87302770262616</v>
      </c>
    </row>
    <row r="77" spans="1:12" x14ac:dyDescent="0.25">
      <c r="B77" s="5" t="s">
        <v>23</v>
      </c>
      <c r="C77" s="7">
        <v>0</v>
      </c>
      <c r="D77" s="7"/>
      <c r="E77" s="7"/>
      <c r="F77" s="7"/>
      <c r="G77" s="7"/>
      <c r="H77" s="7"/>
      <c r="I77" s="7"/>
    </row>
    <row r="78" spans="1:12" x14ac:dyDescent="0.25">
      <c r="B78" s="5" t="s">
        <v>25</v>
      </c>
      <c r="C78" s="7">
        <v>4945</v>
      </c>
      <c r="D78" s="7"/>
      <c r="E78" s="7"/>
      <c r="F78" s="7"/>
      <c r="G78" s="7"/>
      <c r="H78" s="7"/>
      <c r="I78" s="7"/>
    </row>
    <row r="79" spans="1:12" x14ac:dyDescent="0.25">
      <c r="B79" s="5" t="s">
        <v>22</v>
      </c>
      <c r="C79" s="7">
        <v>14775</v>
      </c>
      <c r="D79" s="7"/>
      <c r="E79" s="7"/>
      <c r="F79" s="7"/>
      <c r="G79" s="7"/>
      <c r="H79" s="7"/>
      <c r="I79" s="7"/>
    </row>
    <row r="81" spans="1:9" x14ac:dyDescent="0.25">
      <c r="A81" s="6" t="s">
        <v>12</v>
      </c>
      <c r="C81" s="6" t="s">
        <v>4</v>
      </c>
      <c r="D81" s="6" t="s">
        <v>24</v>
      </c>
      <c r="E81" s="6" t="s">
        <v>29</v>
      </c>
      <c r="F81" s="6" t="s">
        <v>22</v>
      </c>
      <c r="G81" s="6" t="s">
        <v>5</v>
      </c>
      <c r="H81" s="6" t="s">
        <v>26</v>
      </c>
      <c r="I81" s="6" t="s">
        <v>6</v>
      </c>
    </row>
    <row r="82" spans="1:9" x14ac:dyDescent="0.25">
      <c r="A82" s="6">
        <v>2020</v>
      </c>
      <c r="B82" s="5" t="s">
        <v>0</v>
      </c>
      <c r="C82" s="7">
        <v>251355</v>
      </c>
      <c r="D82" s="7">
        <f>(C82/$C$86)*$C$87</f>
        <v>0</v>
      </c>
      <c r="E82" s="7">
        <f>(C82/$C$86)*$C$88+188.73</f>
        <v>4530.1150699290311</v>
      </c>
      <c r="F82" s="7">
        <f>(C82/$C$86)*$C$89+609.6</f>
        <v>14632.232310874879</v>
      </c>
      <c r="G82" s="7">
        <v>6508</v>
      </c>
      <c r="H82" s="7">
        <f>C82+D82+E82+F82</f>
        <v>270517.3473808039</v>
      </c>
      <c r="I82" s="7">
        <f>H82/G82</f>
        <v>41.566894188814366</v>
      </c>
    </row>
    <row r="83" spans="1:9" x14ac:dyDescent="0.25">
      <c r="B83" s="5" t="s">
        <v>1</v>
      </c>
      <c r="C83" s="7">
        <v>36203</v>
      </c>
      <c r="D83" s="7">
        <f t="shared" ref="D83:D85" si="38">(C83/$C$86)*$C$87</f>
        <v>0</v>
      </c>
      <c r="E83" s="7">
        <f t="shared" ref="E83:E84" si="39">(C83/$C$86)*$C$88</f>
        <v>625.29555285011531</v>
      </c>
      <c r="F83" s="7">
        <f t="shared" ref="F83:F84" si="40">(C83/$C$86)*$C$89</f>
        <v>2019.6986634465329</v>
      </c>
      <c r="G83" s="7">
        <v>316</v>
      </c>
      <c r="H83" s="7">
        <f t="shared" ref="H83:H86" si="41">C83+D83+E83+F83</f>
        <v>38847.994216296654</v>
      </c>
      <c r="I83" s="7">
        <f t="shared" ref="I83:I86" si="42">H83/G83</f>
        <v>122.9366905579008</v>
      </c>
    </row>
    <row r="84" spans="1:9" x14ac:dyDescent="0.25">
      <c r="B84" s="5" t="s">
        <v>21</v>
      </c>
      <c r="C84" s="7">
        <v>4608</v>
      </c>
      <c r="D84" s="7">
        <f t="shared" si="38"/>
        <v>0</v>
      </c>
      <c r="E84" s="7">
        <f t="shared" si="39"/>
        <v>79.589037028238849</v>
      </c>
      <c r="F84" s="7">
        <f t="shared" si="40"/>
        <v>257.07182943848915</v>
      </c>
      <c r="G84" s="7">
        <v>58</v>
      </c>
      <c r="H84" s="7">
        <f t="shared" si="41"/>
        <v>4944.6608664667274</v>
      </c>
      <c r="I84" s="7">
        <f t="shared" si="42"/>
        <v>85.252773559771157</v>
      </c>
    </row>
    <row r="85" spans="1:9" x14ac:dyDescent="0.25">
      <c r="B85" s="5" t="s">
        <v>3</v>
      </c>
      <c r="C85" s="7">
        <v>10927</v>
      </c>
      <c r="D85" s="7">
        <f t="shared" si="38"/>
        <v>0</v>
      </c>
      <c r="E85" s="7">
        <v>0</v>
      </c>
      <c r="F85" s="7">
        <v>0</v>
      </c>
      <c r="G85" s="7">
        <v>3</v>
      </c>
      <c r="H85" s="7">
        <f t="shared" si="41"/>
        <v>10927</v>
      </c>
      <c r="I85" s="7">
        <f t="shared" si="42"/>
        <v>3642.3333333333335</v>
      </c>
    </row>
    <row r="86" spans="1:9" x14ac:dyDescent="0.25">
      <c r="B86" s="5" t="s">
        <v>7</v>
      </c>
      <c r="C86" s="7">
        <v>303093</v>
      </c>
      <c r="D86" s="7">
        <f>SUM(D82:D85)</f>
        <v>0</v>
      </c>
      <c r="E86" s="7">
        <f t="shared" ref="E86" si="43">SUM(E82:E85)</f>
        <v>5234.9996598073849</v>
      </c>
      <c r="F86" s="7">
        <f t="shared" ref="F86" si="44">SUM(F82:F85)</f>
        <v>16909.0028037599</v>
      </c>
      <c r="G86" s="7">
        <f>SUM(G82:G85)</f>
        <v>6885</v>
      </c>
      <c r="H86" s="7">
        <f t="shared" si="41"/>
        <v>325237.00246356725</v>
      </c>
      <c r="I86" s="7">
        <f t="shared" si="42"/>
        <v>47.238489827678613</v>
      </c>
    </row>
    <row r="87" spans="1:9" x14ac:dyDescent="0.25">
      <c r="B87" s="5" t="s">
        <v>23</v>
      </c>
      <c r="C87" s="7">
        <v>0</v>
      </c>
      <c r="D87" s="7"/>
      <c r="E87" s="7"/>
      <c r="F87" s="7"/>
      <c r="G87" s="7"/>
      <c r="H87" s="7"/>
      <c r="I87" s="7"/>
    </row>
    <row r="88" spans="1:9" x14ac:dyDescent="0.25">
      <c r="B88" s="5" t="s">
        <v>25</v>
      </c>
      <c r="C88" s="7">
        <v>5235</v>
      </c>
      <c r="D88" s="7"/>
      <c r="E88" s="7"/>
      <c r="F88" s="7"/>
      <c r="G88" s="7"/>
      <c r="H88" s="7"/>
      <c r="I88" s="7"/>
    </row>
    <row r="89" spans="1:9" x14ac:dyDescent="0.25">
      <c r="B89" s="5" t="s">
        <v>22</v>
      </c>
      <c r="C89" s="7">
        <v>16909</v>
      </c>
      <c r="D89" s="7"/>
      <c r="E89" s="7"/>
      <c r="F89" s="7"/>
      <c r="G89" s="7"/>
      <c r="H89" s="7"/>
      <c r="I89" s="7"/>
    </row>
    <row r="91" spans="1:9" x14ac:dyDescent="0.25">
      <c r="A91" s="6" t="s">
        <v>13</v>
      </c>
      <c r="C91" s="6" t="s">
        <v>4</v>
      </c>
      <c r="D91" s="6" t="s">
        <v>24</v>
      </c>
      <c r="E91" s="6" t="s">
        <v>29</v>
      </c>
      <c r="F91" s="6" t="s">
        <v>22</v>
      </c>
      <c r="G91" s="6" t="s">
        <v>5</v>
      </c>
      <c r="H91" s="6" t="s">
        <v>26</v>
      </c>
      <c r="I91" s="6" t="s">
        <v>6</v>
      </c>
    </row>
    <row r="92" spans="1:9" x14ac:dyDescent="0.25">
      <c r="A92" s="6">
        <v>2020</v>
      </c>
      <c r="B92" s="5" t="s">
        <v>0</v>
      </c>
      <c r="C92" s="7">
        <v>253602</v>
      </c>
      <c r="D92" s="7">
        <f>(C92/$C$86)*$C$87</f>
        <v>0</v>
      </c>
      <c r="E92" s="7">
        <f>(C92/$C$86)*$C$88+188.73</f>
        <v>4568.9250886361606</v>
      </c>
      <c r="F92" s="7">
        <f>(C92/$C$86)*$C$89+609.6</f>
        <v>14757.588300620602</v>
      </c>
      <c r="G92" s="7">
        <v>6547</v>
      </c>
      <c r="H92" s="7">
        <f>C92+D92+E92+F92</f>
        <v>272928.51338925678</v>
      </c>
      <c r="I92" s="7">
        <f>H92/G92</f>
        <v>41.687568869597797</v>
      </c>
    </row>
    <row r="93" spans="1:9" x14ac:dyDescent="0.25">
      <c r="B93" s="5" t="s">
        <v>1</v>
      </c>
      <c r="C93" s="7">
        <v>37183</v>
      </c>
      <c r="D93" s="7">
        <f t="shared" ref="D93:D95" si="45">(C93/$C$86)*$C$87</f>
        <v>0</v>
      </c>
      <c r="E93" s="7">
        <f t="shared" ref="E93:E94" si="46">(C93/$C$86)*$C$88</f>
        <v>642.22204075976674</v>
      </c>
      <c r="F93" s="7">
        <f t="shared" ref="F93:F94" si="47">(C93/$C$86)*$C$89</f>
        <v>2074.3710577281558</v>
      </c>
      <c r="G93" s="7">
        <v>320</v>
      </c>
      <c r="H93" s="7">
        <f t="shared" ref="H93:H96" si="48">C93+D93+E93+F93</f>
        <v>39899.593098487916</v>
      </c>
      <c r="I93" s="7">
        <f t="shared" ref="I93:I96" si="49">H93/G93</f>
        <v>124.68622843277474</v>
      </c>
    </row>
    <row r="94" spans="1:9" x14ac:dyDescent="0.25">
      <c r="B94" s="5" t="s">
        <v>21</v>
      </c>
      <c r="C94" s="7">
        <v>6258</v>
      </c>
      <c r="D94" s="7">
        <f t="shared" si="45"/>
        <v>0</v>
      </c>
      <c r="E94" s="7">
        <f t="shared" si="46"/>
        <v>108.08771565163167</v>
      </c>
      <c r="F94" s="7">
        <f t="shared" si="47"/>
        <v>349.12228919836485</v>
      </c>
      <c r="G94" s="7">
        <v>59</v>
      </c>
      <c r="H94" s="7">
        <f t="shared" si="48"/>
        <v>6715.2100048499969</v>
      </c>
      <c r="I94" s="7">
        <f t="shared" si="49"/>
        <v>113.81711872627113</v>
      </c>
    </row>
    <row r="95" spans="1:9" x14ac:dyDescent="0.25">
      <c r="B95" s="5" t="s">
        <v>3</v>
      </c>
      <c r="C95" s="7">
        <v>11420</v>
      </c>
      <c r="D95" s="7">
        <f t="shared" si="45"/>
        <v>0</v>
      </c>
      <c r="E95" s="7">
        <v>0</v>
      </c>
      <c r="F95" s="7">
        <v>0</v>
      </c>
      <c r="G95" s="7">
        <v>3</v>
      </c>
      <c r="H95" s="7">
        <f t="shared" si="48"/>
        <v>11420</v>
      </c>
      <c r="I95" s="7">
        <f t="shared" si="49"/>
        <v>3806.6666666666665</v>
      </c>
    </row>
    <row r="96" spans="1:9" x14ac:dyDescent="0.25">
      <c r="B96" s="5" t="s">
        <v>7</v>
      </c>
      <c r="C96" s="7">
        <f>SUM(C92:C95)</f>
        <v>308463</v>
      </c>
      <c r="D96" s="7">
        <f>SUM(D92:D95)</f>
        <v>0</v>
      </c>
      <c r="E96" s="7">
        <f t="shared" ref="E96" si="50">SUM(E92:E95)</f>
        <v>5319.2348450475592</v>
      </c>
      <c r="F96" s="7">
        <f t="shared" ref="F96" si="51">SUM(F92:F95)</f>
        <v>17181.081647547122</v>
      </c>
      <c r="G96" s="7">
        <f>SUM(G92:G95)</f>
        <v>6929</v>
      </c>
      <c r="H96" s="7">
        <f t="shared" si="48"/>
        <v>330963.31649259472</v>
      </c>
      <c r="I96" s="7">
        <f t="shared" si="49"/>
        <v>47.764946816653875</v>
      </c>
    </row>
    <row r="97" spans="2:9" x14ac:dyDescent="0.25">
      <c r="B97" s="5" t="s">
        <v>23</v>
      </c>
      <c r="C97" s="7">
        <v>0</v>
      </c>
      <c r="D97" s="7"/>
      <c r="E97" s="7"/>
      <c r="F97" s="7"/>
      <c r="G97" s="7"/>
      <c r="H97" s="7"/>
      <c r="I97" s="7"/>
    </row>
    <row r="98" spans="2:9" x14ac:dyDescent="0.25">
      <c r="B98" s="5" t="s">
        <v>25</v>
      </c>
      <c r="C98" s="7">
        <v>3915</v>
      </c>
      <c r="D98" s="7"/>
      <c r="E98" s="7"/>
      <c r="F98" s="7"/>
      <c r="G98" s="7"/>
      <c r="H98" s="7"/>
      <c r="I98" s="7"/>
    </row>
    <row r="99" spans="2:9" x14ac:dyDescent="0.25">
      <c r="B99" s="5" t="s">
        <v>22</v>
      </c>
      <c r="C99" s="7">
        <v>19707.36</v>
      </c>
      <c r="D99" s="7"/>
      <c r="E99" s="7"/>
      <c r="F99" s="7"/>
      <c r="G99" s="7"/>
      <c r="H99" s="7"/>
      <c r="I99" s="7"/>
    </row>
  </sheetData>
  <mergeCells count="12">
    <mergeCell ref="J29:K29"/>
    <mergeCell ref="AH41:AI41"/>
    <mergeCell ref="C40:E40"/>
    <mergeCell ref="F40:H40"/>
    <mergeCell ref="I40:K40"/>
    <mergeCell ref="L40:N40"/>
    <mergeCell ref="O40:Q40"/>
    <mergeCell ref="A1:K1"/>
    <mergeCell ref="A2:K2"/>
    <mergeCell ref="A3:K3"/>
    <mergeCell ref="J5:K5"/>
    <mergeCell ref="J17:K17"/>
  </mergeCells>
  <phoneticPr fontId="3"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D7756-BE33-471F-997F-4CBAD3FA7CED}">
  <dimension ref="A1:T19"/>
  <sheetViews>
    <sheetView workbookViewId="0">
      <selection activeCell="I31" sqref="I31"/>
    </sheetView>
  </sheetViews>
  <sheetFormatPr defaultRowHeight="15" x14ac:dyDescent="0.25"/>
  <cols>
    <col min="1" max="2" width="11.5703125" bestFit="1" customWidth="1"/>
    <col min="3" max="3" width="14.28515625" bestFit="1" customWidth="1"/>
    <col min="4" max="4" width="12.7109375" customWidth="1"/>
    <col min="5" max="5" width="12.28515625" customWidth="1"/>
    <col min="6" max="6" width="11.5703125" bestFit="1" customWidth="1"/>
    <col min="7" max="7" width="14.28515625" bestFit="1" customWidth="1"/>
    <col min="8" max="8" width="12.7109375" customWidth="1"/>
    <col min="9" max="9" width="13.42578125" customWidth="1"/>
    <col min="10" max="10" width="10.42578125" bestFit="1" customWidth="1"/>
    <col min="11" max="11" width="14.28515625" bestFit="1" customWidth="1"/>
    <col min="12" max="12" width="12.7109375" customWidth="1"/>
    <col min="13" max="13" width="12" customWidth="1"/>
    <col min="14" max="15" width="11.5703125" bestFit="1" customWidth="1"/>
    <col min="16" max="16" width="11" customWidth="1"/>
    <col min="17" max="17" width="9.5703125" bestFit="1" customWidth="1"/>
    <col min="18" max="18" width="11.5703125" bestFit="1" customWidth="1"/>
    <col min="19" max="19" width="10.42578125" bestFit="1" customWidth="1"/>
    <col min="20" max="20" width="9.5703125" bestFit="1" customWidth="1"/>
  </cols>
  <sheetData>
    <row r="1" spans="1:20" x14ac:dyDescent="0.25">
      <c r="A1" s="18" t="s">
        <v>51</v>
      </c>
      <c r="B1" s="18"/>
      <c r="C1" s="18"/>
      <c r="D1" s="18"/>
      <c r="E1" s="18"/>
      <c r="F1" s="18"/>
      <c r="G1" s="18"/>
      <c r="H1" s="18"/>
      <c r="I1" s="18"/>
      <c r="J1" s="18"/>
      <c r="K1" s="18"/>
      <c r="L1" s="18"/>
      <c r="M1" s="18"/>
      <c r="N1" s="18"/>
      <c r="O1" s="18"/>
      <c r="P1" s="18"/>
      <c r="Q1" s="18"/>
      <c r="R1" s="18"/>
      <c r="S1" s="18"/>
      <c r="T1" s="18"/>
    </row>
    <row r="2" spans="1:20" x14ac:dyDescent="0.25">
      <c r="A2" s="18" t="s">
        <v>52</v>
      </c>
      <c r="B2" s="18"/>
      <c r="C2" s="18"/>
      <c r="D2" s="18"/>
      <c r="E2" s="18"/>
      <c r="F2" s="18"/>
      <c r="G2" s="18"/>
      <c r="H2" s="18"/>
      <c r="I2" s="18"/>
      <c r="J2" s="18"/>
      <c r="K2" s="18"/>
      <c r="L2" s="18"/>
      <c r="M2" s="18"/>
      <c r="N2" s="18"/>
      <c r="O2" s="18"/>
      <c r="P2" s="18"/>
      <c r="Q2" s="18"/>
      <c r="R2" s="18"/>
      <c r="S2" s="18"/>
      <c r="T2" s="18"/>
    </row>
    <row r="3" spans="1:20" x14ac:dyDescent="0.25">
      <c r="A3" s="18" t="s">
        <v>54</v>
      </c>
      <c r="B3" s="18"/>
      <c r="C3" s="18"/>
      <c r="D3" s="18"/>
      <c r="E3" s="18"/>
      <c r="F3" s="18"/>
      <c r="G3" s="18"/>
      <c r="H3" s="18"/>
      <c r="I3" s="18"/>
      <c r="J3" s="18"/>
      <c r="K3" s="18"/>
      <c r="L3" s="18"/>
      <c r="M3" s="18"/>
      <c r="N3" s="18"/>
      <c r="O3" s="18"/>
      <c r="P3" s="18"/>
      <c r="Q3" s="18"/>
      <c r="R3" s="18"/>
      <c r="S3" s="18"/>
      <c r="T3" s="18"/>
    </row>
    <row r="5" spans="1:20" x14ac:dyDescent="0.25">
      <c r="C5" s="18">
        <v>2017</v>
      </c>
      <c r="D5" s="18"/>
      <c r="E5" s="18"/>
      <c r="F5" s="6"/>
      <c r="G5" s="18">
        <v>2018</v>
      </c>
      <c r="H5" s="18"/>
      <c r="I5" s="18"/>
      <c r="J5" s="6"/>
      <c r="K5" s="18">
        <v>2019</v>
      </c>
      <c r="L5" s="18"/>
      <c r="M5" s="18"/>
    </row>
    <row r="6" spans="1:20" x14ac:dyDescent="0.25">
      <c r="C6" s="6" t="s">
        <v>4</v>
      </c>
      <c r="D6" s="6" t="s">
        <v>5</v>
      </c>
      <c r="E6" s="6" t="s">
        <v>6</v>
      </c>
      <c r="F6" s="6"/>
      <c r="G6" s="6" t="s">
        <v>4</v>
      </c>
      <c r="H6" s="6" t="s">
        <v>5</v>
      </c>
      <c r="I6" s="6" t="s">
        <v>6</v>
      </c>
      <c r="J6" s="6"/>
      <c r="K6" s="6" t="s">
        <v>4</v>
      </c>
      <c r="L6" s="6" t="s">
        <v>5</v>
      </c>
      <c r="M6" s="6" t="s">
        <v>6</v>
      </c>
    </row>
    <row r="7" spans="1:20" x14ac:dyDescent="0.25">
      <c r="B7" s="5" t="s">
        <v>0</v>
      </c>
      <c r="C7" s="1">
        <v>2781437</v>
      </c>
      <c r="D7">
        <v>6308</v>
      </c>
      <c r="E7" s="2">
        <f>C7/D7</f>
        <v>440.93801521876981</v>
      </c>
      <c r="F7" s="2"/>
      <c r="G7" s="1">
        <v>2716347</v>
      </c>
      <c r="H7" s="3">
        <v>6371</v>
      </c>
      <c r="I7" s="2">
        <f>G7/H7</f>
        <v>426.36116779155549</v>
      </c>
      <c r="J7" s="2"/>
      <c r="K7" s="1">
        <v>2713370</v>
      </c>
      <c r="L7" s="3">
        <v>6425</v>
      </c>
      <c r="M7" s="2">
        <f>K7/L7</f>
        <v>422.31439688715955</v>
      </c>
    </row>
    <row r="8" spans="1:20" x14ac:dyDescent="0.25">
      <c r="B8" s="5" t="s">
        <v>1</v>
      </c>
      <c r="C8" s="1">
        <v>496674</v>
      </c>
      <c r="D8">
        <v>320</v>
      </c>
      <c r="E8" s="2">
        <f t="shared" ref="E8:E11" si="0">C8/D8</f>
        <v>1552.10625</v>
      </c>
      <c r="F8" s="2"/>
      <c r="G8" s="1">
        <v>475799</v>
      </c>
      <c r="H8" s="3">
        <v>319</v>
      </c>
      <c r="I8" s="2">
        <f t="shared" ref="I8:I11" si="1">G8/H8</f>
        <v>1491.5329153605016</v>
      </c>
      <c r="J8" s="2"/>
      <c r="K8" s="1">
        <v>484933</v>
      </c>
      <c r="L8" s="3">
        <v>320</v>
      </c>
      <c r="M8" s="2">
        <f t="shared" ref="M8:M11" si="2">K8/L8</f>
        <v>1515.4156250000001</v>
      </c>
    </row>
    <row r="9" spans="1:20" x14ac:dyDescent="0.25">
      <c r="B9" s="5" t="s">
        <v>2</v>
      </c>
      <c r="C9" s="1">
        <v>70092</v>
      </c>
      <c r="D9">
        <v>53</v>
      </c>
      <c r="E9" s="2">
        <f t="shared" si="0"/>
        <v>1322.4905660377358</v>
      </c>
      <c r="F9" s="2"/>
      <c r="G9" s="1">
        <v>74406</v>
      </c>
      <c r="H9" s="3">
        <v>58</v>
      </c>
      <c r="I9" s="2">
        <f t="shared" si="1"/>
        <v>1282.8620689655172</v>
      </c>
      <c r="J9" s="2"/>
      <c r="K9" s="1">
        <v>80580</v>
      </c>
      <c r="L9" s="3">
        <v>58</v>
      </c>
      <c r="M9" s="2">
        <f t="shared" si="2"/>
        <v>1389.3103448275863</v>
      </c>
    </row>
    <row r="10" spans="1:20" x14ac:dyDescent="0.25">
      <c r="B10" s="5" t="s">
        <v>3</v>
      </c>
      <c r="C10" s="1">
        <v>97065</v>
      </c>
      <c r="D10">
        <v>3</v>
      </c>
      <c r="E10" s="2">
        <f t="shared" si="0"/>
        <v>32355</v>
      </c>
      <c r="F10" s="2"/>
      <c r="G10" s="1">
        <v>125522</v>
      </c>
      <c r="H10" s="3">
        <v>3</v>
      </c>
      <c r="I10" s="2">
        <f t="shared" si="1"/>
        <v>41840.666666666664</v>
      </c>
      <c r="J10" s="2"/>
      <c r="K10" s="1">
        <v>127683</v>
      </c>
      <c r="L10" s="3">
        <v>3</v>
      </c>
      <c r="M10" s="2">
        <f t="shared" si="2"/>
        <v>42561</v>
      </c>
    </row>
    <row r="11" spans="1:20" x14ac:dyDescent="0.25">
      <c r="B11" s="5" t="s">
        <v>7</v>
      </c>
      <c r="C11" s="2">
        <f>SUM(C7:C10)</f>
        <v>3445268</v>
      </c>
      <c r="D11">
        <f>SUM(D7:D10)</f>
        <v>6684</v>
      </c>
      <c r="E11" s="2">
        <f t="shared" si="0"/>
        <v>515.45002992220225</v>
      </c>
      <c r="F11" s="2"/>
      <c r="G11" s="2">
        <f>SUM(G7:G10)</f>
        <v>3392074</v>
      </c>
      <c r="H11" s="4">
        <f>SUM(H7:H10)</f>
        <v>6751</v>
      </c>
      <c r="I11" s="2">
        <f t="shared" si="1"/>
        <v>502.45504369723005</v>
      </c>
      <c r="J11" s="2"/>
      <c r="K11" s="1">
        <f>SUM(K7:K10)</f>
        <v>3406566</v>
      </c>
      <c r="L11" s="4">
        <f>SUM(L7:L10)</f>
        <v>6806</v>
      </c>
      <c r="M11" s="2">
        <f t="shared" si="2"/>
        <v>500.52394945636206</v>
      </c>
    </row>
    <row r="12" spans="1:20" x14ac:dyDescent="0.25">
      <c r="K12" s="1"/>
    </row>
    <row r="13" spans="1:20" x14ac:dyDescent="0.25">
      <c r="C13" s="19">
        <v>43831</v>
      </c>
      <c r="D13" s="18"/>
      <c r="E13" s="18"/>
      <c r="F13" s="19">
        <v>43862</v>
      </c>
      <c r="G13" s="18"/>
      <c r="H13" s="18"/>
      <c r="I13" s="19">
        <v>43891</v>
      </c>
      <c r="J13" s="18"/>
      <c r="K13" s="18"/>
      <c r="L13" s="19">
        <v>43922</v>
      </c>
      <c r="M13" s="18"/>
      <c r="N13" s="18"/>
      <c r="O13" s="19">
        <v>43952</v>
      </c>
      <c r="P13" s="18"/>
      <c r="Q13" s="18"/>
      <c r="R13" s="19">
        <v>43983</v>
      </c>
      <c r="S13" s="18"/>
      <c r="T13" s="18"/>
    </row>
    <row r="14" spans="1:20" x14ac:dyDescent="0.25">
      <c r="C14" s="6" t="s">
        <v>4</v>
      </c>
      <c r="D14" s="6" t="s">
        <v>5</v>
      </c>
      <c r="E14" s="14" t="s">
        <v>6</v>
      </c>
      <c r="F14" s="15" t="s">
        <v>4</v>
      </c>
      <c r="G14" s="6" t="s">
        <v>5</v>
      </c>
      <c r="H14" s="14" t="s">
        <v>6</v>
      </c>
      <c r="I14" s="15" t="s">
        <v>4</v>
      </c>
      <c r="J14" s="6" t="s">
        <v>5</v>
      </c>
      <c r="K14" s="14" t="s">
        <v>6</v>
      </c>
      <c r="L14" s="15" t="s">
        <v>4</v>
      </c>
      <c r="M14" s="6" t="s">
        <v>5</v>
      </c>
      <c r="N14" s="14" t="s">
        <v>6</v>
      </c>
      <c r="O14" s="15" t="s">
        <v>4</v>
      </c>
      <c r="P14" s="6" t="s">
        <v>5</v>
      </c>
      <c r="Q14" s="14" t="s">
        <v>6</v>
      </c>
      <c r="R14" s="15" t="s">
        <v>4</v>
      </c>
      <c r="S14" s="6" t="s">
        <v>5</v>
      </c>
      <c r="T14" s="6" t="s">
        <v>6</v>
      </c>
    </row>
    <row r="15" spans="1:20" x14ac:dyDescent="0.25">
      <c r="A15" s="5">
        <v>2020</v>
      </c>
      <c r="B15" s="5" t="s">
        <v>0</v>
      </c>
      <c r="C15" s="7">
        <v>215208</v>
      </c>
      <c r="D15" s="7">
        <v>6421</v>
      </c>
      <c r="E15" s="16">
        <f>C15/D15</f>
        <v>33.516274723563306</v>
      </c>
      <c r="F15" s="17">
        <v>209046</v>
      </c>
      <c r="G15" s="7">
        <v>6426</v>
      </c>
      <c r="H15" s="16">
        <f>F15/G15</f>
        <v>32.531279178338004</v>
      </c>
      <c r="I15" s="17">
        <v>201164</v>
      </c>
      <c r="J15" s="7">
        <v>6442</v>
      </c>
      <c r="K15" s="16">
        <f>I15/J15</f>
        <v>31.226948152747593</v>
      </c>
      <c r="L15" s="17">
        <v>228205</v>
      </c>
      <c r="M15" s="7">
        <v>6469</v>
      </c>
      <c r="N15" s="16">
        <f>L15/M15</f>
        <v>35.276704281960114</v>
      </c>
      <c r="O15" s="17">
        <v>251355</v>
      </c>
      <c r="P15" s="7">
        <v>6508</v>
      </c>
      <c r="Q15" s="16">
        <f>O15/P15</f>
        <v>38.622464658881377</v>
      </c>
      <c r="R15" s="17">
        <v>253602</v>
      </c>
      <c r="S15" s="7">
        <v>6547</v>
      </c>
      <c r="T15" s="7">
        <f>R15/S15</f>
        <v>38.735604093477932</v>
      </c>
    </row>
    <row r="16" spans="1:20" x14ac:dyDescent="0.25">
      <c r="B16" s="5" t="s">
        <v>1</v>
      </c>
      <c r="C16" s="7">
        <v>33689</v>
      </c>
      <c r="D16" s="7">
        <v>318</v>
      </c>
      <c r="E16" s="16">
        <f t="shared" ref="E16:E19" si="3">C16/D16</f>
        <v>105.94025157232704</v>
      </c>
      <c r="F16" s="17">
        <v>35042</v>
      </c>
      <c r="G16" s="7">
        <v>314</v>
      </c>
      <c r="H16" s="16">
        <f t="shared" ref="H16:H19" si="4">F16/G16</f>
        <v>111.59872611464968</v>
      </c>
      <c r="I16" s="17">
        <v>33369</v>
      </c>
      <c r="J16" s="7">
        <v>314</v>
      </c>
      <c r="K16" s="16">
        <f t="shared" ref="K16:K19" si="5">I16/J16</f>
        <v>106.27070063694268</v>
      </c>
      <c r="L16" s="17">
        <v>36221</v>
      </c>
      <c r="M16" s="7">
        <v>314</v>
      </c>
      <c r="N16" s="16">
        <f t="shared" ref="N16:N19" si="6">L16/M16</f>
        <v>115.35350318471338</v>
      </c>
      <c r="O16" s="17">
        <v>36203</v>
      </c>
      <c r="P16" s="7">
        <v>316</v>
      </c>
      <c r="Q16" s="16">
        <f t="shared" ref="Q16:Q19" si="7">O16/P16</f>
        <v>114.56645569620254</v>
      </c>
      <c r="R16" s="17">
        <v>37183</v>
      </c>
      <c r="S16" s="7">
        <v>320</v>
      </c>
      <c r="T16" s="7">
        <f t="shared" ref="T16:T19" si="8">R16/S16</f>
        <v>116.19687500000001</v>
      </c>
    </row>
    <row r="17" spans="2:20" x14ac:dyDescent="0.25">
      <c r="B17" s="5" t="s">
        <v>21</v>
      </c>
      <c r="C17" s="7">
        <v>5349</v>
      </c>
      <c r="D17" s="7">
        <v>58</v>
      </c>
      <c r="E17" s="16">
        <f t="shared" si="3"/>
        <v>92.224137931034477</v>
      </c>
      <c r="F17" s="17">
        <v>5786</v>
      </c>
      <c r="G17" s="7">
        <v>58</v>
      </c>
      <c r="H17" s="16">
        <f t="shared" si="4"/>
        <v>99.758620689655174</v>
      </c>
      <c r="I17" s="17">
        <v>4115</v>
      </c>
      <c r="J17" s="7">
        <v>58</v>
      </c>
      <c r="K17" s="16">
        <f t="shared" si="5"/>
        <v>70.948275862068968</v>
      </c>
      <c r="L17" s="17">
        <v>6334</v>
      </c>
      <c r="M17" s="7">
        <v>58</v>
      </c>
      <c r="N17" s="16">
        <f t="shared" si="6"/>
        <v>109.20689655172414</v>
      </c>
      <c r="O17" s="17">
        <v>4608</v>
      </c>
      <c r="P17" s="7">
        <v>58</v>
      </c>
      <c r="Q17" s="16">
        <f t="shared" si="7"/>
        <v>79.448275862068968</v>
      </c>
      <c r="R17" s="17">
        <v>6258</v>
      </c>
      <c r="S17" s="7">
        <v>59</v>
      </c>
      <c r="T17" s="7">
        <f t="shared" si="8"/>
        <v>106.06779661016949</v>
      </c>
    </row>
    <row r="18" spans="2:20" x14ac:dyDescent="0.25">
      <c r="B18" s="5" t="s">
        <v>3</v>
      </c>
      <c r="C18" s="7">
        <v>10869</v>
      </c>
      <c r="D18" s="7">
        <v>3</v>
      </c>
      <c r="E18" s="16">
        <f t="shared" si="3"/>
        <v>3623</v>
      </c>
      <c r="F18" s="17">
        <v>10983</v>
      </c>
      <c r="G18" s="7">
        <v>3</v>
      </c>
      <c r="H18" s="16">
        <f t="shared" si="4"/>
        <v>3661</v>
      </c>
      <c r="I18" s="17">
        <v>9153</v>
      </c>
      <c r="J18" s="7">
        <v>3</v>
      </c>
      <c r="K18" s="16">
        <f t="shared" si="5"/>
        <v>3051</v>
      </c>
      <c r="L18" s="17">
        <v>9787</v>
      </c>
      <c r="M18" s="7">
        <v>3</v>
      </c>
      <c r="N18" s="16">
        <f t="shared" si="6"/>
        <v>3262.3333333333335</v>
      </c>
      <c r="O18" s="17">
        <v>10927</v>
      </c>
      <c r="P18" s="7">
        <v>3</v>
      </c>
      <c r="Q18" s="16">
        <f t="shared" si="7"/>
        <v>3642.3333333333335</v>
      </c>
      <c r="R18" s="17">
        <v>11420</v>
      </c>
      <c r="S18" s="7">
        <v>3</v>
      </c>
      <c r="T18" s="7">
        <f t="shared" si="8"/>
        <v>3806.6666666666665</v>
      </c>
    </row>
    <row r="19" spans="2:20" x14ac:dyDescent="0.25">
      <c r="B19" s="5" t="s">
        <v>7</v>
      </c>
      <c r="C19" s="7">
        <f>SUM(C15:C18)</f>
        <v>265115</v>
      </c>
      <c r="D19" s="7">
        <f>SUM(D15:D18)</f>
        <v>6800</v>
      </c>
      <c r="E19" s="16">
        <f t="shared" si="3"/>
        <v>38.987499999999997</v>
      </c>
      <c r="F19" s="17">
        <f t="shared" ref="F19" si="9">SUM(F15:F18)</f>
        <v>260857</v>
      </c>
      <c r="G19" s="7">
        <f t="shared" ref="G19" si="10">SUM(G15:G18)</f>
        <v>6801</v>
      </c>
      <c r="H19" s="16">
        <f t="shared" si="4"/>
        <v>38.355682987795909</v>
      </c>
      <c r="I19" s="17">
        <f t="shared" ref="I19" si="11">SUM(I15:I18)</f>
        <v>247801</v>
      </c>
      <c r="J19" s="7">
        <f t="shared" ref="J19" si="12">SUM(J15:J18)</f>
        <v>6817</v>
      </c>
      <c r="K19" s="16">
        <f t="shared" si="5"/>
        <v>36.350447410884556</v>
      </c>
      <c r="L19" s="17">
        <f t="shared" ref="L19" si="13">SUM(L15:L18)</f>
        <v>280547</v>
      </c>
      <c r="M19" s="7">
        <f t="shared" ref="M19" si="14">SUM(M15:M18)</f>
        <v>6844</v>
      </c>
      <c r="N19" s="16">
        <f t="shared" si="6"/>
        <v>40.991671537112801</v>
      </c>
      <c r="O19" s="17">
        <f t="shared" ref="O19" si="15">SUM(O15:O18)</f>
        <v>303093</v>
      </c>
      <c r="P19" s="7">
        <f t="shared" ref="P19" si="16">SUM(P15:P18)</f>
        <v>6885</v>
      </c>
      <c r="Q19" s="16">
        <f t="shared" si="7"/>
        <v>44.022222222222226</v>
      </c>
      <c r="R19" s="17">
        <f>SUM(R15:R18)</f>
        <v>308463</v>
      </c>
      <c r="S19" s="7">
        <f>SUM(S15:S18)</f>
        <v>6929</v>
      </c>
      <c r="T19" s="7">
        <f t="shared" si="8"/>
        <v>44.517679318805023</v>
      </c>
    </row>
  </sheetData>
  <mergeCells count="12">
    <mergeCell ref="A1:T1"/>
    <mergeCell ref="A2:T2"/>
    <mergeCell ref="A3:T3"/>
    <mergeCell ref="C13:E13"/>
    <mergeCell ref="F13:H13"/>
    <mergeCell ref="I13:K13"/>
    <mergeCell ref="L13:N13"/>
    <mergeCell ref="O13:Q13"/>
    <mergeCell ref="R13:T13"/>
    <mergeCell ref="C5:E5"/>
    <mergeCell ref="G5:I5"/>
    <mergeCell ref="K5:M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169C8-A236-4BBF-88C9-8046E3D07181}">
  <dimension ref="A1:D19"/>
  <sheetViews>
    <sheetView workbookViewId="0">
      <selection activeCell="H13" sqref="H13"/>
    </sheetView>
  </sheetViews>
  <sheetFormatPr defaultRowHeight="15" x14ac:dyDescent="0.25"/>
  <cols>
    <col min="1" max="1" width="12.140625" customWidth="1"/>
    <col min="2" max="2" width="10.5703125" bestFit="1" customWidth="1"/>
    <col min="3" max="3" width="10.7109375" bestFit="1" customWidth="1"/>
    <col min="4" max="4" width="9.5703125" bestFit="1" customWidth="1"/>
  </cols>
  <sheetData>
    <row r="1" spans="1:4" x14ac:dyDescent="0.25">
      <c r="A1" s="18" t="s">
        <v>51</v>
      </c>
      <c r="B1" s="18"/>
      <c r="C1" s="18"/>
      <c r="D1" s="18"/>
    </row>
    <row r="2" spans="1:4" x14ac:dyDescent="0.25">
      <c r="A2" s="18" t="s">
        <v>52</v>
      </c>
      <c r="B2" s="18"/>
      <c r="C2" s="18"/>
      <c r="D2" s="18"/>
    </row>
    <row r="3" spans="1:4" x14ac:dyDescent="0.25">
      <c r="A3" s="18" t="s">
        <v>55</v>
      </c>
      <c r="B3" s="18"/>
      <c r="C3" s="18"/>
      <c r="D3" s="18"/>
    </row>
    <row r="5" spans="1:4" x14ac:dyDescent="0.25">
      <c r="A5" s="18" t="s">
        <v>30</v>
      </c>
      <c r="B5" s="18"/>
      <c r="C5" s="18"/>
      <c r="D5" s="18"/>
    </row>
    <row r="6" spans="1:4" x14ac:dyDescent="0.25">
      <c r="A6" s="6"/>
      <c r="B6" s="6">
        <v>2018</v>
      </c>
      <c r="C6" s="6">
        <v>2019</v>
      </c>
      <c r="D6" s="6">
        <v>2020</v>
      </c>
    </row>
    <row r="7" spans="1:4" x14ac:dyDescent="0.25">
      <c r="A7" s="5" t="s">
        <v>8</v>
      </c>
      <c r="B7" s="7">
        <v>1503.81</v>
      </c>
      <c r="C7" s="7">
        <v>1894.94</v>
      </c>
      <c r="D7" s="7">
        <v>1514.59</v>
      </c>
    </row>
    <row r="8" spans="1:4" x14ac:dyDescent="0.25">
      <c r="A8" s="5" t="s">
        <v>9</v>
      </c>
      <c r="B8" s="7">
        <v>1201.6199999999999</v>
      </c>
      <c r="C8" s="7">
        <v>2400.27</v>
      </c>
      <c r="D8" s="7">
        <v>1612</v>
      </c>
    </row>
    <row r="9" spans="1:4" x14ac:dyDescent="0.25">
      <c r="A9" s="5" t="s">
        <v>10</v>
      </c>
      <c r="B9" s="7">
        <v>1981.71</v>
      </c>
      <c r="C9" s="7">
        <v>2200.84</v>
      </c>
      <c r="D9" s="7">
        <v>1243.43</v>
      </c>
    </row>
    <row r="10" spans="1:4" x14ac:dyDescent="0.25">
      <c r="A10" s="5" t="s">
        <v>11</v>
      </c>
      <c r="B10" s="7">
        <v>1440.07</v>
      </c>
      <c r="C10" s="7">
        <v>1597.64</v>
      </c>
      <c r="D10" s="7">
        <v>1840.01</v>
      </c>
    </row>
    <row r="11" spans="1:4" x14ac:dyDescent="0.25">
      <c r="A11" s="5" t="s">
        <v>12</v>
      </c>
      <c r="B11" s="7">
        <v>1020.65</v>
      </c>
      <c r="C11" s="7">
        <v>1196.74</v>
      </c>
      <c r="D11" s="7">
        <v>1279.29</v>
      </c>
    </row>
    <row r="12" spans="1:4" x14ac:dyDescent="0.25">
      <c r="A12" s="5" t="s">
        <v>13</v>
      </c>
      <c r="B12" s="7">
        <v>3860.76</v>
      </c>
      <c r="C12" s="7">
        <v>1924.33</v>
      </c>
      <c r="D12" s="7"/>
    </row>
    <row r="13" spans="1:4" x14ac:dyDescent="0.25">
      <c r="A13" s="5" t="s">
        <v>14</v>
      </c>
      <c r="B13" s="7">
        <v>2456.86</v>
      </c>
      <c r="C13" s="7">
        <v>1856.46</v>
      </c>
      <c r="D13" s="7"/>
    </row>
    <row r="14" spans="1:4" x14ac:dyDescent="0.25">
      <c r="A14" s="5" t="s">
        <v>15</v>
      </c>
      <c r="B14" s="7">
        <v>1286.95</v>
      </c>
      <c r="C14" s="7">
        <v>622.6</v>
      </c>
      <c r="D14" s="7"/>
    </row>
    <row r="15" spans="1:4" x14ac:dyDescent="0.25">
      <c r="A15" s="5" t="s">
        <v>16</v>
      </c>
      <c r="B15" s="7">
        <v>1394.32</v>
      </c>
      <c r="C15" s="7">
        <v>3234.82</v>
      </c>
      <c r="D15" s="7"/>
    </row>
    <row r="16" spans="1:4" x14ac:dyDescent="0.25">
      <c r="A16" s="5" t="s">
        <v>17</v>
      </c>
      <c r="B16" s="7">
        <v>583.03</v>
      </c>
      <c r="C16" s="7">
        <v>1372.71</v>
      </c>
      <c r="D16" s="7"/>
    </row>
    <row r="17" spans="1:4" x14ac:dyDescent="0.25">
      <c r="A17" s="5" t="s">
        <v>18</v>
      </c>
      <c r="B17" s="7">
        <v>2011.24</v>
      </c>
      <c r="C17" s="7">
        <v>1594</v>
      </c>
      <c r="D17" s="7"/>
    </row>
    <row r="18" spans="1:4" x14ac:dyDescent="0.25">
      <c r="A18" s="5" t="s">
        <v>19</v>
      </c>
      <c r="B18" s="7">
        <v>3926.51</v>
      </c>
      <c r="C18" s="7">
        <v>2143.35</v>
      </c>
      <c r="D18" s="7"/>
    </row>
    <row r="19" spans="1:4" x14ac:dyDescent="0.25">
      <c r="B19" s="7">
        <f>SUM(B6:B18)</f>
        <v>24685.53</v>
      </c>
      <c r="C19" s="7">
        <f>SUM(C6:C18)</f>
        <v>24057.699999999997</v>
      </c>
      <c r="D19" s="7">
        <f>SUM(D7:D18)</f>
        <v>7489.3200000000006</v>
      </c>
    </row>
  </sheetData>
  <mergeCells count="4">
    <mergeCell ref="A5:D5"/>
    <mergeCell ref="A1:D1"/>
    <mergeCell ref="A2:D2"/>
    <mergeCell ref="A3:D3"/>
  </mergeCells>
  <phoneticPr fontId="3"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58505-B13B-4F22-8930-D3DB7B96B38D}">
  <dimension ref="A1:L87"/>
  <sheetViews>
    <sheetView workbookViewId="0">
      <selection activeCell="J23" sqref="J23"/>
    </sheetView>
  </sheetViews>
  <sheetFormatPr defaultRowHeight="15" x14ac:dyDescent="0.25"/>
  <cols>
    <col min="1" max="1" width="15.28515625" bestFit="1" customWidth="1"/>
    <col min="2" max="2" width="21" bestFit="1" customWidth="1"/>
    <col min="3" max="3" width="14.28515625" customWidth="1"/>
    <col min="4" max="4" width="13.7109375" customWidth="1"/>
    <col min="5" max="5" width="12.7109375" customWidth="1"/>
    <col min="9" max="9" width="12" customWidth="1"/>
    <col min="12" max="12" width="9.140625" customWidth="1"/>
  </cols>
  <sheetData>
    <row r="1" spans="1:12" x14ac:dyDescent="0.25">
      <c r="A1" s="18" t="s">
        <v>51</v>
      </c>
      <c r="B1" s="18"/>
      <c r="C1" s="18"/>
      <c r="D1" s="18"/>
      <c r="E1" s="18"/>
      <c r="F1" s="18"/>
    </row>
    <row r="2" spans="1:12" x14ac:dyDescent="0.25">
      <c r="A2" s="18" t="s">
        <v>52</v>
      </c>
      <c r="B2" s="18"/>
      <c r="C2" s="18"/>
      <c r="D2" s="18"/>
      <c r="E2" s="18"/>
      <c r="F2" s="18"/>
    </row>
    <row r="3" spans="1:12" x14ac:dyDescent="0.25">
      <c r="A3" s="18" t="s">
        <v>56</v>
      </c>
      <c r="B3" s="18"/>
      <c r="C3" s="18"/>
      <c r="D3" s="18"/>
      <c r="E3" s="18"/>
      <c r="F3" s="18"/>
    </row>
    <row r="6" spans="1:12" x14ac:dyDescent="0.25">
      <c r="C6" s="6">
        <v>2017</v>
      </c>
      <c r="D6" s="6">
        <v>2018</v>
      </c>
      <c r="E6" s="6">
        <v>2019</v>
      </c>
      <c r="F6" s="6">
        <v>2020</v>
      </c>
    </row>
    <row r="7" spans="1:12" hidden="1" x14ac:dyDescent="0.25">
      <c r="B7" t="s">
        <v>8</v>
      </c>
      <c r="D7">
        <v>542</v>
      </c>
      <c r="E7">
        <v>402</v>
      </c>
      <c r="F7">
        <v>474</v>
      </c>
    </row>
    <row r="8" spans="1:12" hidden="1" x14ac:dyDescent="0.25">
      <c r="B8" t="s">
        <v>9</v>
      </c>
      <c r="D8">
        <v>544</v>
      </c>
      <c r="E8">
        <v>394</v>
      </c>
      <c r="F8">
        <v>481</v>
      </c>
      <c r="I8">
        <v>0.5098099325567137</v>
      </c>
      <c r="L8">
        <v>0.98161764705882348</v>
      </c>
    </row>
    <row r="9" spans="1:12" hidden="1" x14ac:dyDescent="0.25">
      <c r="B9" t="s">
        <v>10</v>
      </c>
      <c r="D9">
        <v>474</v>
      </c>
      <c r="E9">
        <v>422</v>
      </c>
      <c r="F9">
        <v>438</v>
      </c>
      <c r="I9">
        <v>0.14443316412859561</v>
      </c>
      <c r="L9">
        <v>1.4705882352941176E-2</v>
      </c>
    </row>
    <row r="10" spans="1:12" hidden="1" x14ac:dyDescent="0.25">
      <c r="B10" t="s">
        <v>11</v>
      </c>
      <c r="D10">
        <v>426</v>
      </c>
      <c r="E10">
        <v>372</v>
      </c>
      <c r="F10">
        <v>661</v>
      </c>
      <c r="I10">
        <v>0.16547400792477379</v>
      </c>
      <c r="L10">
        <v>3.6764705882352941E-3</v>
      </c>
    </row>
    <row r="11" spans="1:12" hidden="1" x14ac:dyDescent="0.25">
      <c r="B11" t="s">
        <v>12</v>
      </c>
      <c r="D11">
        <v>450</v>
      </c>
      <c r="E11">
        <v>497</v>
      </c>
      <c r="F11">
        <v>756</v>
      </c>
      <c r="L11">
        <v>0</v>
      </c>
    </row>
    <row r="12" spans="1:12" hidden="1" x14ac:dyDescent="0.25">
      <c r="B12" t="s">
        <v>13</v>
      </c>
      <c r="D12">
        <v>558</v>
      </c>
      <c r="E12">
        <v>531</v>
      </c>
      <c r="F12">
        <v>881</v>
      </c>
    </row>
    <row r="13" spans="1:12" hidden="1" x14ac:dyDescent="0.25">
      <c r="B13" t="s">
        <v>14</v>
      </c>
      <c r="D13">
        <v>490</v>
      </c>
      <c r="E13">
        <v>541</v>
      </c>
    </row>
    <row r="14" spans="1:12" hidden="1" x14ac:dyDescent="0.25">
      <c r="B14" t="s">
        <v>15</v>
      </c>
      <c r="D14">
        <v>430</v>
      </c>
      <c r="E14">
        <v>538</v>
      </c>
    </row>
    <row r="15" spans="1:12" hidden="1" x14ac:dyDescent="0.25">
      <c r="B15" t="s">
        <v>16</v>
      </c>
      <c r="D15">
        <v>448</v>
      </c>
      <c r="E15">
        <v>536</v>
      </c>
    </row>
    <row r="16" spans="1:12" hidden="1" x14ac:dyDescent="0.25">
      <c r="B16" t="s">
        <v>17</v>
      </c>
      <c r="C16">
        <v>450</v>
      </c>
      <c r="D16">
        <v>447</v>
      </c>
      <c r="E16">
        <v>554</v>
      </c>
    </row>
    <row r="17" spans="1:6" hidden="1" x14ac:dyDescent="0.25">
      <c r="B17" t="s">
        <v>18</v>
      </c>
      <c r="C17">
        <v>516</v>
      </c>
      <c r="D17">
        <v>462</v>
      </c>
      <c r="E17">
        <v>478</v>
      </c>
    </row>
    <row r="18" spans="1:6" hidden="1" x14ac:dyDescent="0.25">
      <c r="B18" t="s">
        <v>19</v>
      </c>
      <c r="C18">
        <v>470</v>
      </c>
      <c r="D18">
        <v>409</v>
      </c>
      <c r="E18">
        <v>498</v>
      </c>
    </row>
    <row r="19" spans="1:6" hidden="1" x14ac:dyDescent="0.25">
      <c r="C19">
        <f>SUM(C16:C18)</f>
        <v>1436</v>
      </c>
      <c r="D19">
        <f>SUM(D7:D18)</f>
        <v>5680</v>
      </c>
      <c r="E19">
        <f>SUM(E7:E18)</f>
        <v>5763</v>
      </c>
      <c r="F19">
        <f>SUM(F7:F18)</f>
        <v>3691</v>
      </c>
    </row>
    <row r="20" spans="1:6" x14ac:dyDescent="0.25">
      <c r="B20" t="s">
        <v>36</v>
      </c>
      <c r="C20" s="9">
        <f>C19/3</f>
        <v>478.66666666666669</v>
      </c>
      <c r="D20" s="9">
        <f>D19/12</f>
        <v>473.33333333333331</v>
      </c>
      <c r="E20" s="9">
        <f>E19/12</f>
        <v>480.25</v>
      </c>
      <c r="F20" s="9">
        <f>F19/6</f>
        <v>615.16666666666663</v>
      </c>
    </row>
    <row r="21" spans="1:6" x14ac:dyDescent="0.25">
      <c r="B21" t="s">
        <v>37</v>
      </c>
      <c r="C21">
        <v>6684</v>
      </c>
      <c r="D21">
        <v>6751</v>
      </c>
      <c r="E21">
        <v>6806</v>
      </c>
      <c r="F21" s="9">
        <v>6846</v>
      </c>
    </row>
    <row r="22" spans="1:6" x14ac:dyDescent="0.25">
      <c r="B22" t="s">
        <v>34</v>
      </c>
      <c r="C22" s="8">
        <f>C20/C21</f>
        <v>7.1613804109315782E-2</v>
      </c>
      <c r="D22" s="8">
        <f>D20/D21</f>
        <v>7.0113069668691061E-2</v>
      </c>
      <c r="E22" s="8">
        <f>E20/E21</f>
        <v>7.0562738759917726E-2</v>
      </c>
      <c r="F22" s="8">
        <f>F20/F21</f>
        <v>8.9857824520401197E-2</v>
      </c>
    </row>
    <row r="23" spans="1:6" x14ac:dyDescent="0.25">
      <c r="B23" t="s">
        <v>35</v>
      </c>
      <c r="C23" s="10">
        <f>1-C22</f>
        <v>0.92838619589068427</v>
      </c>
      <c r="D23" s="10">
        <f>1-D22</f>
        <v>0.92988693033130898</v>
      </c>
      <c r="E23" s="10">
        <f>1-E22</f>
        <v>0.9294372612400823</v>
      </c>
      <c r="F23" s="10">
        <f>1-F22</f>
        <v>0.91014217547959886</v>
      </c>
    </row>
    <row r="25" spans="1:6" x14ac:dyDescent="0.25">
      <c r="B25" s="18">
        <v>2017</v>
      </c>
      <c r="C25" s="18"/>
      <c r="D25" s="18"/>
      <c r="E25" s="18"/>
    </row>
    <row r="26" spans="1:6" x14ac:dyDescent="0.25">
      <c r="B26" s="6" t="s">
        <v>0</v>
      </c>
      <c r="C26" s="6" t="s">
        <v>1</v>
      </c>
      <c r="D26" s="6" t="s">
        <v>21</v>
      </c>
      <c r="E26" s="6" t="s">
        <v>3</v>
      </c>
    </row>
    <row r="27" spans="1:6" x14ac:dyDescent="0.25">
      <c r="A27" t="s">
        <v>33</v>
      </c>
      <c r="B27" s="9">
        <v>470</v>
      </c>
      <c r="C27" s="9">
        <v>7</v>
      </c>
      <c r="D27">
        <v>2</v>
      </c>
      <c r="E27">
        <v>0</v>
      </c>
    </row>
    <row r="28" spans="1:6" x14ac:dyDescent="0.25">
      <c r="A28" t="s">
        <v>32</v>
      </c>
      <c r="B28">
        <v>6308</v>
      </c>
      <c r="C28">
        <v>320</v>
      </c>
      <c r="D28">
        <v>53</v>
      </c>
      <c r="E28">
        <v>3</v>
      </c>
    </row>
    <row r="29" spans="1:6" x14ac:dyDescent="0.25">
      <c r="A29" t="s">
        <v>34</v>
      </c>
      <c r="B29" s="8">
        <f>B27/B28</f>
        <v>7.4508560558021561E-2</v>
      </c>
      <c r="C29" s="8">
        <f t="shared" ref="C29:E29" si="0">C27/C28</f>
        <v>2.1874999999999999E-2</v>
      </c>
      <c r="D29" s="8">
        <f t="shared" si="0"/>
        <v>3.7735849056603772E-2</v>
      </c>
      <c r="E29" s="8">
        <f t="shared" si="0"/>
        <v>0</v>
      </c>
    </row>
    <row r="30" spans="1:6" x14ac:dyDescent="0.25">
      <c r="A30" t="s">
        <v>35</v>
      </c>
      <c r="B30" s="10">
        <f>1-B29</f>
        <v>0.92549143944197843</v>
      </c>
      <c r="C30" s="10">
        <f t="shared" ref="C30:E30" si="1">1-C29</f>
        <v>0.97812500000000002</v>
      </c>
      <c r="D30" s="10">
        <f t="shared" si="1"/>
        <v>0.96226415094339623</v>
      </c>
      <c r="E30" s="10">
        <f t="shared" si="1"/>
        <v>1</v>
      </c>
    </row>
    <row r="32" spans="1:6" x14ac:dyDescent="0.25">
      <c r="B32" s="18">
        <v>2018</v>
      </c>
      <c r="C32" s="18"/>
      <c r="D32" s="18"/>
      <c r="E32" s="18"/>
    </row>
    <row r="33" spans="1:5" x14ac:dyDescent="0.25">
      <c r="B33" s="6" t="s">
        <v>0</v>
      </c>
      <c r="C33" s="6" t="s">
        <v>1</v>
      </c>
      <c r="D33" s="6" t="s">
        <v>21</v>
      </c>
      <c r="E33" s="6" t="s">
        <v>3</v>
      </c>
    </row>
    <row r="34" spans="1:5" x14ac:dyDescent="0.25">
      <c r="A34" t="s">
        <v>33</v>
      </c>
      <c r="B34" s="9">
        <v>465</v>
      </c>
      <c r="C34" s="9">
        <v>6</v>
      </c>
      <c r="D34">
        <v>2</v>
      </c>
      <c r="E34">
        <v>0</v>
      </c>
    </row>
    <row r="35" spans="1:5" x14ac:dyDescent="0.25">
      <c r="A35" t="s">
        <v>32</v>
      </c>
      <c r="B35">
        <v>6371</v>
      </c>
      <c r="C35">
        <v>319</v>
      </c>
      <c r="D35">
        <v>58</v>
      </c>
      <c r="E35">
        <v>3</v>
      </c>
    </row>
    <row r="36" spans="1:5" x14ac:dyDescent="0.25">
      <c r="A36" t="s">
        <v>34</v>
      </c>
      <c r="B36" s="8">
        <f>B34/B35</f>
        <v>7.2986972217862184E-2</v>
      </c>
      <c r="C36" s="8">
        <f t="shared" ref="C36" si="2">C34/C35</f>
        <v>1.8808777429467086E-2</v>
      </c>
      <c r="D36" s="8">
        <f t="shared" ref="D36" si="3">D34/D35</f>
        <v>3.4482758620689655E-2</v>
      </c>
      <c r="E36" s="8">
        <f t="shared" ref="E36" si="4">E34/E35</f>
        <v>0</v>
      </c>
    </row>
    <row r="37" spans="1:5" x14ac:dyDescent="0.25">
      <c r="A37" t="s">
        <v>35</v>
      </c>
      <c r="B37" s="10">
        <f>1-B36</f>
        <v>0.92701302778213779</v>
      </c>
      <c r="C37" s="10">
        <f t="shared" ref="C37" si="5">1-C36</f>
        <v>0.98119122257053293</v>
      </c>
      <c r="D37" s="10">
        <f t="shared" ref="D37" si="6">1-D36</f>
        <v>0.96551724137931039</v>
      </c>
      <c r="E37" s="10">
        <f t="shared" ref="E37" si="7">1-E36</f>
        <v>1</v>
      </c>
    </row>
    <row r="39" spans="1:5" x14ac:dyDescent="0.25">
      <c r="B39" s="18">
        <v>2019</v>
      </c>
      <c r="C39" s="18"/>
      <c r="D39" s="18"/>
      <c r="E39" s="18"/>
    </row>
    <row r="40" spans="1:5" x14ac:dyDescent="0.25">
      <c r="B40" s="6" t="s">
        <v>0</v>
      </c>
      <c r="C40" s="6" t="s">
        <v>1</v>
      </c>
      <c r="D40" s="6" t="s">
        <v>21</v>
      </c>
      <c r="E40" s="6" t="s">
        <v>3</v>
      </c>
    </row>
    <row r="41" spans="1:5" x14ac:dyDescent="0.25">
      <c r="A41" t="s">
        <v>33</v>
      </c>
      <c r="B41" s="9">
        <f>E20*L8</f>
        <v>471.421875</v>
      </c>
      <c r="C41" s="9">
        <v>7</v>
      </c>
      <c r="D41">
        <v>2</v>
      </c>
      <c r="E41">
        <v>0</v>
      </c>
    </row>
    <row r="42" spans="1:5" x14ac:dyDescent="0.25">
      <c r="A42" t="s">
        <v>32</v>
      </c>
      <c r="B42">
        <v>6425</v>
      </c>
      <c r="C42">
        <v>320</v>
      </c>
      <c r="D42">
        <v>58</v>
      </c>
      <c r="E42">
        <v>3</v>
      </c>
    </row>
    <row r="43" spans="1:5" x14ac:dyDescent="0.25">
      <c r="A43" t="s">
        <v>34</v>
      </c>
      <c r="B43" s="8">
        <f>B41/B42</f>
        <v>7.3373054474708169E-2</v>
      </c>
      <c r="C43" s="8">
        <f t="shared" ref="C43" si="8">C41/C42</f>
        <v>2.1874999999999999E-2</v>
      </c>
      <c r="D43" s="8">
        <f t="shared" ref="D43" si="9">D41/D42</f>
        <v>3.4482758620689655E-2</v>
      </c>
      <c r="E43" s="8">
        <f t="shared" ref="E43" si="10">E41/E42</f>
        <v>0</v>
      </c>
    </row>
    <row r="44" spans="1:5" x14ac:dyDescent="0.25">
      <c r="A44" t="s">
        <v>35</v>
      </c>
      <c r="B44" s="10">
        <f>1-B43</f>
        <v>0.92662694552529179</v>
      </c>
      <c r="C44" s="10">
        <f t="shared" ref="C44" si="11">1-C43</f>
        <v>0.97812500000000002</v>
      </c>
      <c r="D44" s="10">
        <f t="shared" ref="D44" si="12">1-D43</f>
        <v>0.96551724137931039</v>
      </c>
      <c r="E44" s="10">
        <f t="shared" ref="E44" si="13">1-E43</f>
        <v>1</v>
      </c>
    </row>
    <row r="46" spans="1:5" x14ac:dyDescent="0.25">
      <c r="B46" s="19">
        <v>43831</v>
      </c>
      <c r="C46" s="18"/>
      <c r="D46" s="18"/>
      <c r="E46" s="18"/>
    </row>
    <row r="47" spans="1:5" x14ac:dyDescent="0.25">
      <c r="B47" s="6" t="s">
        <v>0</v>
      </c>
      <c r="C47" s="6" t="s">
        <v>1</v>
      </c>
      <c r="D47" s="6" t="s">
        <v>21</v>
      </c>
      <c r="E47" s="6" t="s">
        <v>3</v>
      </c>
    </row>
    <row r="48" spans="1:5" x14ac:dyDescent="0.25">
      <c r="A48" t="s">
        <v>38</v>
      </c>
      <c r="B48" s="9">
        <v>465</v>
      </c>
      <c r="C48" s="9">
        <v>7</v>
      </c>
      <c r="D48">
        <v>2</v>
      </c>
      <c r="E48">
        <v>0</v>
      </c>
    </row>
    <row r="49" spans="1:5" x14ac:dyDescent="0.25">
      <c r="A49" t="s">
        <v>5</v>
      </c>
      <c r="B49">
        <v>6421</v>
      </c>
      <c r="C49">
        <v>318</v>
      </c>
      <c r="D49">
        <v>58</v>
      </c>
      <c r="E49">
        <v>3</v>
      </c>
    </row>
    <row r="50" spans="1:5" x14ac:dyDescent="0.25">
      <c r="A50" t="s">
        <v>34</v>
      </c>
      <c r="B50" s="8">
        <f>B48/B49</f>
        <v>7.2418626382183465E-2</v>
      </c>
      <c r="C50" s="8">
        <f t="shared" ref="C50" si="14">C48/C49</f>
        <v>2.20125786163522E-2</v>
      </c>
      <c r="D50" s="8">
        <f t="shared" ref="D50" si="15">D48/D49</f>
        <v>3.4482758620689655E-2</v>
      </c>
      <c r="E50" s="8">
        <f t="shared" ref="E50" si="16">E48/E49</f>
        <v>0</v>
      </c>
    </row>
    <row r="51" spans="1:5" x14ac:dyDescent="0.25">
      <c r="A51" t="s">
        <v>35</v>
      </c>
      <c r="B51" s="10">
        <f>1-B50</f>
        <v>0.92758137361781656</v>
      </c>
      <c r="C51" s="10">
        <f t="shared" ref="C51" si="17">1-C50</f>
        <v>0.9779874213836478</v>
      </c>
      <c r="D51" s="10">
        <f t="shared" ref="D51" si="18">1-D50</f>
        <v>0.96551724137931039</v>
      </c>
      <c r="E51" s="10">
        <f t="shared" ref="E51" si="19">1-E50</f>
        <v>1</v>
      </c>
    </row>
    <row r="53" spans="1:5" x14ac:dyDescent="0.25">
      <c r="B53" s="19">
        <v>43862</v>
      </c>
      <c r="C53" s="18"/>
      <c r="D53" s="18"/>
      <c r="E53" s="18"/>
    </row>
    <row r="54" spans="1:5" x14ac:dyDescent="0.25">
      <c r="B54" s="6" t="s">
        <v>0</v>
      </c>
      <c r="C54" s="6" t="s">
        <v>1</v>
      </c>
      <c r="D54" s="6" t="s">
        <v>21</v>
      </c>
      <c r="E54" s="6" t="s">
        <v>3</v>
      </c>
    </row>
    <row r="55" spans="1:5" x14ac:dyDescent="0.25">
      <c r="A55" t="s">
        <v>38</v>
      </c>
      <c r="B55" s="9">
        <v>472</v>
      </c>
      <c r="C55" s="9">
        <v>7</v>
      </c>
      <c r="D55">
        <v>2</v>
      </c>
      <c r="E55">
        <v>0</v>
      </c>
    </row>
    <row r="56" spans="1:5" x14ac:dyDescent="0.25">
      <c r="A56" t="s">
        <v>5</v>
      </c>
      <c r="B56">
        <v>6426</v>
      </c>
      <c r="C56">
        <v>314</v>
      </c>
      <c r="D56">
        <v>58</v>
      </c>
      <c r="E56">
        <v>3</v>
      </c>
    </row>
    <row r="57" spans="1:5" x14ac:dyDescent="0.25">
      <c r="A57" t="s">
        <v>34</v>
      </c>
      <c r="B57" s="8">
        <f>B55/B56</f>
        <v>7.3451602863367563E-2</v>
      </c>
      <c r="C57" s="8">
        <f t="shared" ref="C57" si="20">C55/C56</f>
        <v>2.2292993630573247E-2</v>
      </c>
      <c r="D57" s="8">
        <f t="shared" ref="D57" si="21">D55/D56</f>
        <v>3.4482758620689655E-2</v>
      </c>
      <c r="E57" s="8">
        <f t="shared" ref="E57" si="22">E55/E56</f>
        <v>0</v>
      </c>
    </row>
    <row r="58" spans="1:5" x14ac:dyDescent="0.25">
      <c r="A58" t="s">
        <v>35</v>
      </c>
      <c r="B58" s="10">
        <f>1-B57</f>
        <v>0.9265483971366324</v>
      </c>
      <c r="C58" s="10">
        <f t="shared" ref="C58" si="23">1-C57</f>
        <v>0.97770700636942676</v>
      </c>
      <c r="D58" s="10">
        <f t="shared" ref="D58" si="24">1-D57</f>
        <v>0.96551724137931039</v>
      </c>
      <c r="E58" s="10">
        <f t="shared" ref="E58" si="25">1-E57</f>
        <v>1</v>
      </c>
    </row>
    <row r="60" spans="1:5" x14ac:dyDescent="0.25">
      <c r="B60" s="19">
        <v>43891</v>
      </c>
      <c r="C60" s="18"/>
      <c r="D60" s="18"/>
      <c r="E60" s="18"/>
    </row>
    <row r="61" spans="1:5" x14ac:dyDescent="0.25">
      <c r="B61" s="6" t="s">
        <v>0</v>
      </c>
      <c r="C61" s="6" t="s">
        <v>1</v>
      </c>
      <c r="D61" s="6" t="s">
        <v>21</v>
      </c>
      <c r="E61" s="6" t="s">
        <v>3</v>
      </c>
    </row>
    <row r="62" spans="1:5" x14ac:dyDescent="0.25">
      <c r="A62" t="s">
        <v>38</v>
      </c>
      <c r="B62" s="9">
        <v>430</v>
      </c>
      <c r="C62" s="9">
        <v>6</v>
      </c>
      <c r="D62">
        <v>2</v>
      </c>
      <c r="E62">
        <v>0</v>
      </c>
    </row>
    <row r="63" spans="1:5" x14ac:dyDescent="0.25">
      <c r="A63" t="s">
        <v>5</v>
      </c>
      <c r="B63">
        <v>6442</v>
      </c>
      <c r="C63">
        <v>314</v>
      </c>
      <c r="D63">
        <v>58</v>
      </c>
      <c r="E63">
        <v>3</v>
      </c>
    </row>
    <row r="64" spans="1:5" x14ac:dyDescent="0.25">
      <c r="A64" t="s">
        <v>34</v>
      </c>
      <c r="B64" s="8">
        <f>B62/B63</f>
        <v>6.6749456690468792E-2</v>
      </c>
      <c r="C64" s="8">
        <f t="shared" ref="C64" si="26">C62/C63</f>
        <v>1.9108280254777069E-2</v>
      </c>
      <c r="D64" s="8">
        <f t="shared" ref="D64" si="27">D62/D63</f>
        <v>3.4482758620689655E-2</v>
      </c>
      <c r="E64" s="8">
        <f t="shared" ref="E64" si="28">E62/E63</f>
        <v>0</v>
      </c>
    </row>
    <row r="65" spans="1:5" x14ac:dyDescent="0.25">
      <c r="A65" t="s">
        <v>35</v>
      </c>
      <c r="B65" s="10">
        <f>1-B64</f>
        <v>0.93325054330953117</v>
      </c>
      <c r="C65" s="10">
        <f t="shared" ref="C65" si="29">1-C64</f>
        <v>0.98089171974522293</v>
      </c>
      <c r="D65" s="10">
        <f t="shared" ref="D65" si="30">1-D64</f>
        <v>0.96551724137931039</v>
      </c>
      <c r="E65" s="10">
        <f t="shared" ref="E65" si="31">1-E64</f>
        <v>1</v>
      </c>
    </row>
    <row r="67" spans="1:5" x14ac:dyDescent="0.25">
      <c r="B67" s="19">
        <v>43922</v>
      </c>
      <c r="C67" s="18"/>
      <c r="D67" s="18"/>
      <c r="E67" s="18"/>
    </row>
    <row r="68" spans="1:5" x14ac:dyDescent="0.25">
      <c r="B68" s="6" t="s">
        <v>0</v>
      </c>
      <c r="C68" s="6" t="s">
        <v>1</v>
      </c>
      <c r="D68" s="6" t="s">
        <v>21</v>
      </c>
      <c r="E68" s="6" t="s">
        <v>3</v>
      </c>
    </row>
    <row r="69" spans="1:5" x14ac:dyDescent="0.25">
      <c r="A69" t="s">
        <v>38</v>
      </c>
      <c r="B69" s="9">
        <v>649</v>
      </c>
      <c r="C69" s="9">
        <v>9</v>
      </c>
      <c r="D69">
        <v>3</v>
      </c>
    </row>
    <row r="70" spans="1:5" x14ac:dyDescent="0.25">
      <c r="A70" t="s">
        <v>5</v>
      </c>
      <c r="B70">
        <v>6469</v>
      </c>
      <c r="C70">
        <v>314</v>
      </c>
      <c r="D70">
        <v>58</v>
      </c>
      <c r="E70">
        <v>3</v>
      </c>
    </row>
    <row r="71" spans="1:5" x14ac:dyDescent="0.25">
      <c r="A71" t="s">
        <v>34</v>
      </c>
      <c r="B71" s="8">
        <f>B69/B70</f>
        <v>0.10032462513526047</v>
      </c>
      <c r="C71" s="8">
        <f t="shared" ref="C71" si="32">C69/C70</f>
        <v>2.8662420382165606E-2</v>
      </c>
      <c r="D71" s="8">
        <f t="shared" ref="D71" si="33">D69/D70</f>
        <v>5.1724137931034482E-2</v>
      </c>
      <c r="E71" s="8">
        <f t="shared" ref="E71" si="34">E69/E70</f>
        <v>0</v>
      </c>
    </row>
    <row r="72" spans="1:5" x14ac:dyDescent="0.25">
      <c r="A72" t="s">
        <v>35</v>
      </c>
      <c r="B72" s="10">
        <f>1-B71</f>
        <v>0.89967537486473947</v>
      </c>
      <c r="C72" s="10">
        <f t="shared" ref="C72" si="35">1-C71</f>
        <v>0.9713375796178344</v>
      </c>
      <c r="D72" s="10">
        <f t="shared" ref="D72" si="36">1-D71</f>
        <v>0.94827586206896552</v>
      </c>
      <c r="E72" s="10">
        <f t="shared" ref="E72" si="37">1-E71</f>
        <v>1</v>
      </c>
    </row>
    <row r="74" spans="1:5" x14ac:dyDescent="0.25">
      <c r="B74" s="19">
        <v>43952</v>
      </c>
      <c r="C74" s="18"/>
      <c r="D74" s="18"/>
      <c r="E74" s="18"/>
    </row>
    <row r="75" spans="1:5" x14ac:dyDescent="0.25">
      <c r="B75" s="6" t="s">
        <v>0</v>
      </c>
      <c r="C75" s="6" t="s">
        <v>1</v>
      </c>
      <c r="D75" s="6" t="s">
        <v>21</v>
      </c>
      <c r="E75" s="6" t="s">
        <v>3</v>
      </c>
    </row>
    <row r="76" spans="1:5" x14ac:dyDescent="0.25">
      <c r="A76" t="s">
        <v>38</v>
      </c>
      <c r="B76" s="9">
        <v>742</v>
      </c>
      <c r="C76" s="9">
        <v>11</v>
      </c>
      <c r="D76">
        <v>3</v>
      </c>
      <c r="E76">
        <v>0</v>
      </c>
    </row>
    <row r="77" spans="1:5" x14ac:dyDescent="0.25">
      <c r="A77" t="s">
        <v>5</v>
      </c>
      <c r="B77">
        <v>6508</v>
      </c>
      <c r="C77">
        <v>316</v>
      </c>
      <c r="D77">
        <v>58</v>
      </c>
      <c r="E77">
        <v>3</v>
      </c>
    </row>
    <row r="78" spans="1:5" x14ac:dyDescent="0.25">
      <c r="A78" t="s">
        <v>34</v>
      </c>
      <c r="B78" s="8">
        <f>B76/B77</f>
        <v>0.11401352181929933</v>
      </c>
      <c r="C78" s="8">
        <f t="shared" ref="C78" si="38">C76/C77</f>
        <v>3.4810126582278479E-2</v>
      </c>
      <c r="D78" s="8">
        <f t="shared" ref="D78" si="39">D76/D77</f>
        <v>5.1724137931034482E-2</v>
      </c>
      <c r="E78" s="8">
        <f t="shared" ref="E78" si="40">E76/E77</f>
        <v>0</v>
      </c>
    </row>
    <row r="79" spans="1:5" x14ac:dyDescent="0.25">
      <c r="A79" t="s">
        <v>35</v>
      </c>
      <c r="B79" s="10">
        <f>1-B78</f>
        <v>0.88598647818070064</v>
      </c>
      <c r="C79" s="10">
        <f t="shared" ref="C79" si="41">1-C78</f>
        <v>0.96518987341772156</v>
      </c>
      <c r="D79" s="10">
        <f t="shared" ref="D79" si="42">1-D78</f>
        <v>0.94827586206896552</v>
      </c>
      <c r="E79" s="10">
        <f t="shared" ref="E79" si="43">1-E78</f>
        <v>1</v>
      </c>
    </row>
    <row r="81" spans="1:9" x14ac:dyDescent="0.25">
      <c r="B81" s="19">
        <v>44002</v>
      </c>
      <c r="C81" s="18"/>
      <c r="D81" s="18"/>
      <c r="E81" s="18"/>
    </row>
    <row r="82" spans="1:9" x14ac:dyDescent="0.25">
      <c r="B82" s="6" t="s">
        <v>0</v>
      </c>
      <c r="C82" s="6" t="s">
        <v>1</v>
      </c>
      <c r="D82" s="6" t="s">
        <v>21</v>
      </c>
      <c r="E82" s="6" t="s">
        <v>3</v>
      </c>
    </row>
    <row r="83" spans="1:9" x14ac:dyDescent="0.25">
      <c r="A83" t="s">
        <v>38</v>
      </c>
      <c r="B83" s="9">
        <v>865</v>
      </c>
      <c r="C83" s="9">
        <v>13</v>
      </c>
      <c r="D83">
        <v>3</v>
      </c>
      <c r="E83">
        <v>0</v>
      </c>
    </row>
    <row r="84" spans="1:9" x14ac:dyDescent="0.25">
      <c r="A84" t="s">
        <v>5</v>
      </c>
      <c r="B84">
        <v>6547</v>
      </c>
      <c r="C84">
        <v>320</v>
      </c>
      <c r="D84">
        <v>59</v>
      </c>
      <c r="E84">
        <v>3</v>
      </c>
      <c r="I84" s="7"/>
    </row>
    <row r="85" spans="1:9" x14ac:dyDescent="0.25">
      <c r="A85" t="s">
        <v>34</v>
      </c>
      <c r="B85" s="8">
        <f>B83/B84</f>
        <v>0.13212158240415459</v>
      </c>
      <c r="C85" s="8">
        <f t="shared" ref="C85" si="44">C83/C84</f>
        <v>4.0625000000000001E-2</v>
      </c>
      <c r="D85" s="8">
        <f t="shared" ref="D85" si="45">D83/D84</f>
        <v>5.0847457627118647E-2</v>
      </c>
      <c r="E85" s="8">
        <f t="shared" ref="E85" si="46">E83/E84</f>
        <v>0</v>
      </c>
      <c r="I85" s="7"/>
    </row>
    <row r="86" spans="1:9" x14ac:dyDescent="0.25">
      <c r="A86" t="s">
        <v>35</v>
      </c>
      <c r="B86" s="10">
        <f>1-B85</f>
        <v>0.86787841759584539</v>
      </c>
      <c r="C86" s="10">
        <f t="shared" ref="C86" si="47">1-C85</f>
        <v>0.95937499999999998</v>
      </c>
      <c r="D86" s="10">
        <f t="shared" ref="D86" si="48">1-D85</f>
        <v>0.94915254237288138</v>
      </c>
      <c r="E86" s="10">
        <f t="shared" ref="E86" si="49">1-E85</f>
        <v>1</v>
      </c>
      <c r="I86" s="7"/>
    </row>
    <row r="87" spans="1:9" x14ac:dyDescent="0.25">
      <c r="I87" s="7"/>
    </row>
  </sheetData>
  <mergeCells count="12">
    <mergeCell ref="B67:E67"/>
    <mergeCell ref="B74:E74"/>
    <mergeCell ref="B81:E81"/>
    <mergeCell ref="A1:F1"/>
    <mergeCell ref="A2:F2"/>
    <mergeCell ref="A3:F3"/>
    <mergeCell ref="B25:E25"/>
    <mergeCell ref="B32:E32"/>
    <mergeCell ref="B39:E39"/>
    <mergeCell ref="B46:E46"/>
    <mergeCell ref="B53:E53"/>
    <mergeCell ref="B60:E60"/>
  </mergeCells>
  <phoneticPr fontId="3"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0749F-E94D-44B7-91B4-AF759115E2A4}">
  <dimension ref="A1:V24"/>
  <sheetViews>
    <sheetView workbookViewId="0">
      <selection activeCell="I29" sqref="I29"/>
    </sheetView>
  </sheetViews>
  <sheetFormatPr defaultRowHeight="15" x14ac:dyDescent="0.25"/>
  <cols>
    <col min="6" max="18" width="12.7109375" customWidth="1"/>
  </cols>
  <sheetData>
    <row r="1" spans="1:22" x14ac:dyDescent="0.25">
      <c r="A1" s="18" t="s">
        <v>51</v>
      </c>
      <c r="B1" s="18"/>
      <c r="C1" s="18"/>
      <c r="D1" s="18"/>
      <c r="E1" s="18"/>
      <c r="F1" s="18"/>
      <c r="G1" s="18"/>
      <c r="H1" s="18"/>
      <c r="I1" s="18"/>
      <c r="J1" s="18"/>
      <c r="K1" s="18"/>
      <c r="L1" s="18"/>
      <c r="M1" s="18"/>
      <c r="N1" s="18"/>
      <c r="O1" s="18"/>
      <c r="P1" s="18"/>
      <c r="Q1" s="18"/>
      <c r="R1" s="18"/>
    </row>
    <row r="2" spans="1:22" x14ac:dyDescent="0.25">
      <c r="A2" s="18" t="s">
        <v>52</v>
      </c>
      <c r="B2" s="18"/>
      <c r="C2" s="18"/>
      <c r="D2" s="18"/>
      <c r="E2" s="18"/>
      <c r="F2" s="18"/>
      <c r="G2" s="18"/>
      <c r="H2" s="18"/>
      <c r="I2" s="18"/>
      <c r="J2" s="18"/>
      <c r="K2" s="18"/>
      <c r="L2" s="18"/>
      <c r="M2" s="18"/>
      <c r="N2" s="18"/>
      <c r="O2" s="18"/>
      <c r="P2" s="18"/>
      <c r="Q2" s="18"/>
      <c r="R2" s="18"/>
    </row>
    <row r="3" spans="1:22" x14ac:dyDescent="0.25">
      <c r="A3" s="18" t="s">
        <v>57</v>
      </c>
      <c r="B3" s="18"/>
      <c r="C3" s="18"/>
      <c r="D3" s="18"/>
      <c r="E3" s="18"/>
      <c r="F3" s="18"/>
      <c r="G3" s="18"/>
      <c r="H3" s="18"/>
      <c r="I3" s="18"/>
      <c r="J3" s="18"/>
      <c r="K3" s="18"/>
      <c r="L3" s="18"/>
      <c r="M3" s="18"/>
      <c r="N3" s="18"/>
      <c r="O3" s="18"/>
      <c r="P3" s="18"/>
      <c r="Q3" s="18"/>
      <c r="R3" s="18"/>
    </row>
    <row r="6" spans="1:22" x14ac:dyDescent="0.25">
      <c r="E6" s="11" t="s">
        <v>40</v>
      </c>
      <c r="F6" s="11" t="s">
        <v>42</v>
      </c>
      <c r="G6" s="11" t="s">
        <v>8</v>
      </c>
      <c r="H6" s="11" t="s">
        <v>9</v>
      </c>
      <c r="I6" s="11" t="s">
        <v>10</v>
      </c>
      <c r="J6" s="11" t="s">
        <v>11</v>
      </c>
      <c r="K6" s="11" t="s">
        <v>12</v>
      </c>
      <c r="L6" s="11" t="s">
        <v>13</v>
      </c>
      <c r="M6" s="11" t="s">
        <v>14</v>
      </c>
      <c r="N6" s="11" t="s">
        <v>15</v>
      </c>
      <c r="O6" s="11" t="s">
        <v>16</v>
      </c>
      <c r="P6" s="11" t="s">
        <v>17</v>
      </c>
      <c r="Q6" s="11" t="s">
        <v>18</v>
      </c>
      <c r="R6" s="11" t="s">
        <v>19</v>
      </c>
      <c r="T6" s="6"/>
      <c r="U6" s="6"/>
      <c r="V6" s="6"/>
    </row>
    <row r="7" spans="1:22" x14ac:dyDescent="0.25">
      <c r="A7" s="5" t="s">
        <v>39</v>
      </c>
      <c r="E7">
        <v>2017</v>
      </c>
      <c r="P7">
        <v>450</v>
      </c>
      <c r="Q7">
        <v>516</v>
      </c>
      <c r="R7">
        <v>470</v>
      </c>
    </row>
    <row r="8" spans="1:22" x14ac:dyDescent="0.25">
      <c r="A8" s="5"/>
      <c r="E8">
        <v>2018</v>
      </c>
      <c r="F8">
        <f t="shared" ref="F8:F14" si="0">SUM(G8:R8)</f>
        <v>5680</v>
      </c>
      <c r="G8">
        <v>542</v>
      </c>
      <c r="H8">
        <v>544</v>
      </c>
      <c r="I8">
        <v>474</v>
      </c>
      <c r="J8">
        <v>426</v>
      </c>
      <c r="K8">
        <v>450</v>
      </c>
      <c r="L8">
        <v>558</v>
      </c>
      <c r="M8">
        <v>490</v>
      </c>
      <c r="N8">
        <v>430</v>
      </c>
      <c r="O8">
        <v>448</v>
      </c>
      <c r="P8">
        <v>447</v>
      </c>
      <c r="Q8">
        <v>462</v>
      </c>
      <c r="R8">
        <v>409</v>
      </c>
    </row>
    <row r="9" spans="1:22" x14ac:dyDescent="0.25">
      <c r="A9" s="5"/>
      <c r="E9">
        <v>2019</v>
      </c>
      <c r="F9">
        <f t="shared" si="0"/>
        <v>5763</v>
      </c>
      <c r="G9">
        <v>402</v>
      </c>
      <c r="H9">
        <v>394</v>
      </c>
      <c r="I9">
        <v>422</v>
      </c>
      <c r="J9">
        <v>372</v>
      </c>
      <c r="K9">
        <v>497</v>
      </c>
      <c r="L9">
        <v>531</v>
      </c>
      <c r="M9">
        <v>541</v>
      </c>
      <c r="N9">
        <v>538</v>
      </c>
      <c r="O9">
        <v>536</v>
      </c>
      <c r="P9">
        <v>554</v>
      </c>
      <c r="Q9">
        <v>478</v>
      </c>
      <c r="R9">
        <v>498</v>
      </c>
    </row>
    <row r="10" spans="1:22" x14ac:dyDescent="0.25">
      <c r="A10" s="5"/>
      <c r="E10">
        <v>2020</v>
      </c>
      <c r="F10">
        <f t="shared" si="0"/>
        <v>1367</v>
      </c>
      <c r="G10">
        <v>465</v>
      </c>
      <c r="H10">
        <v>472</v>
      </c>
      <c r="I10">
        <v>430</v>
      </c>
      <c r="J10">
        <v>0</v>
      </c>
      <c r="K10">
        <v>0</v>
      </c>
      <c r="L10">
        <v>0</v>
      </c>
    </row>
    <row r="11" spans="1:22" x14ac:dyDescent="0.25">
      <c r="A11" s="5"/>
    </row>
    <row r="12" spans="1:22" x14ac:dyDescent="0.25">
      <c r="A12" s="5" t="s">
        <v>41</v>
      </c>
      <c r="E12">
        <v>2017</v>
      </c>
      <c r="F12">
        <f t="shared" si="0"/>
        <v>545</v>
      </c>
      <c r="G12">
        <v>64</v>
      </c>
      <c r="H12">
        <v>54</v>
      </c>
      <c r="I12">
        <v>37</v>
      </c>
      <c r="J12">
        <v>41</v>
      </c>
      <c r="K12">
        <v>35</v>
      </c>
      <c r="L12">
        <v>60</v>
      </c>
      <c r="M12">
        <v>44</v>
      </c>
      <c r="N12">
        <v>48</v>
      </c>
      <c r="O12">
        <v>42</v>
      </c>
      <c r="P12">
        <v>30</v>
      </c>
      <c r="Q12">
        <v>44</v>
      </c>
      <c r="R12">
        <v>46</v>
      </c>
    </row>
    <row r="13" spans="1:22" x14ac:dyDescent="0.25">
      <c r="A13" s="5"/>
      <c r="E13">
        <v>2018</v>
      </c>
      <c r="F13">
        <f t="shared" si="0"/>
        <v>403</v>
      </c>
      <c r="G13">
        <v>57</v>
      </c>
      <c r="H13">
        <v>66</v>
      </c>
      <c r="I13">
        <v>37</v>
      </c>
      <c r="J13">
        <v>30</v>
      </c>
      <c r="K13">
        <v>23</v>
      </c>
      <c r="L13">
        <v>29</v>
      </c>
      <c r="M13">
        <v>31</v>
      </c>
      <c r="N13">
        <v>31</v>
      </c>
      <c r="O13">
        <v>26</v>
      </c>
      <c r="P13">
        <v>25</v>
      </c>
      <c r="Q13">
        <v>23</v>
      </c>
      <c r="R13">
        <v>25</v>
      </c>
    </row>
    <row r="14" spans="1:22" x14ac:dyDescent="0.25">
      <c r="A14" s="5"/>
      <c r="E14">
        <v>2019</v>
      </c>
      <c r="F14">
        <f t="shared" si="0"/>
        <v>313</v>
      </c>
      <c r="G14">
        <v>19</v>
      </c>
      <c r="H14">
        <v>33</v>
      </c>
      <c r="I14">
        <v>38</v>
      </c>
      <c r="J14">
        <v>27</v>
      </c>
      <c r="K14">
        <v>19</v>
      </c>
      <c r="L14">
        <v>29</v>
      </c>
      <c r="M14">
        <v>32</v>
      </c>
      <c r="N14">
        <v>35</v>
      </c>
      <c r="O14">
        <v>24</v>
      </c>
      <c r="P14">
        <v>22</v>
      </c>
      <c r="Q14">
        <v>20</v>
      </c>
      <c r="R14">
        <v>15</v>
      </c>
    </row>
    <row r="15" spans="1:22" x14ac:dyDescent="0.25">
      <c r="A15" s="5"/>
      <c r="E15">
        <v>2020</v>
      </c>
      <c r="F15">
        <f>SUM(G15:R15)</f>
        <v>50</v>
      </c>
      <c r="G15">
        <v>16</v>
      </c>
      <c r="H15">
        <v>20</v>
      </c>
      <c r="I15">
        <v>14</v>
      </c>
      <c r="J15">
        <v>0</v>
      </c>
      <c r="K15">
        <v>0</v>
      </c>
      <c r="L15">
        <v>0</v>
      </c>
    </row>
    <row r="16" spans="1:22" x14ac:dyDescent="0.25">
      <c r="A16" s="5"/>
    </row>
    <row r="17" spans="1:18" x14ac:dyDescent="0.25">
      <c r="A17" s="5" t="s">
        <v>48</v>
      </c>
      <c r="E17">
        <v>2017</v>
      </c>
      <c r="G17" s="12">
        <v>6602</v>
      </c>
      <c r="H17" s="12">
        <v>6615</v>
      </c>
      <c r="I17" s="12">
        <v>6628</v>
      </c>
      <c r="J17" s="12">
        <v>6615</v>
      </c>
      <c r="K17" s="12">
        <v>6668</v>
      </c>
      <c r="L17" s="12">
        <v>6707</v>
      </c>
      <c r="M17" s="12">
        <v>6722</v>
      </c>
      <c r="N17" s="12">
        <v>6715</v>
      </c>
      <c r="O17" s="12">
        <v>6700</v>
      </c>
      <c r="P17" s="12">
        <v>6723</v>
      </c>
      <c r="Q17" s="12">
        <v>6687</v>
      </c>
      <c r="R17" s="12">
        <v>6684</v>
      </c>
    </row>
    <row r="18" spans="1:18" x14ac:dyDescent="0.25">
      <c r="A18" s="5"/>
      <c r="E18">
        <v>2018</v>
      </c>
      <c r="G18" s="12">
        <v>6698</v>
      </c>
      <c r="H18" s="12">
        <v>6698</v>
      </c>
      <c r="I18" s="12">
        <v>6699</v>
      </c>
      <c r="J18" s="12">
        <v>6724</v>
      </c>
      <c r="K18" s="12">
        <v>6752</v>
      </c>
      <c r="L18" s="12">
        <v>6763</v>
      </c>
      <c r="M18" s="12">
        <v>6780</v>
      </c>
      <c r="N18" s="12">
        <v>6786</v>
      </c>
      <c r="O18" s="12">
        <v>6783</v>
      </c>
      <c r="P18" s="12">
        <v>6789</v>
      </c>
      <c r="Q18" s="12">
        <v>6791</v>
      </c>
      <c r="R18" s="12">
        <v>6751</v>
      </c>
    </row>
    <row r="19" spans="1:18" x14ac:dyDescent="0.25">
      <c r="A19" s="5"/>
      <c r="E19">
        <v>2019</v>
      </c>
      <c r="G19" s="12">
        <v>6730</v>
      </c>
      <c r="H19" s="12">
        <v>6718</v>
      </c>
      <c r="I19" s="12">
        <v>6730</v>
      </c>
      <c r="J19" s="12">
        <v>6762</v>
      </c>
      <c r="K19" s="12">
        <v>6761</v>
      </c>
      <c r="L19" s="12">
        <v>6801</v>
      </c>
      <c r="M19" s="12">
        <v>6817</v>
      </c>
      <c r="N19" s="12">
        <v>6839</v>
      </c>
      <c r="O19" s="12">
        <v>6841</v>
      </c>
      <c r="P19" s="12">
        <v>6856</v>
      </c>
      <c r="Q19" s="12">
        <v>6856</v>
      </c>
      <c r="R19" s="12">
        <v>6806</v>
      </c>
    </row>
    <row r="20" spans="1:18" x14ac:dyDescent="0.25">
      <c r="A20" s="5"/>
      <c r="E20">
        <v>2020</v>
      </c>
      <c r="G20" s="12">
        <v>6800</v>
      </c>
      <c r="H20" s="12">
        <v>6801</v>
      </c>
      <c r="I20" s="12">
        <v>6817</v>
      </c>
      <c r="J20" s="12">
        <v>6844</v>
      </c>
      <c r="K20" s="12">
        <v>6885</v>
      </c>
      <c r="L20" s="12">
        <v>6929</v>
      </c>
      <c r="M20" s="12"/>
      <c r="N20" s="12"/>
      <c r="O20" s="12"/>
      <c r="P20" s="12"/>
      <c r="Q20" s="12"/>
      <c r="R20" s="12"/>
    </row>
    <row r="21" spans="1:18" x14ac:dyDescent="0.25">
      <c r="A21" s="5"/>
    </row>
    <row r="22" spans="1:18" x14ac:dyDescent="0.25">
      <c r="A22" s="5" t="s">
        <v>47</v>
      </c>
    </row>
    <row r="23" spans="1:18" x14ac:dyDescent="0.25">
      <c r="A23" s="5"/>
    </row>
    <row r="24" spans="1:18" x14ac:dyDescent="0.25">
      <c r="A24" s="5"/>
    </row>
  </sheetData>
  <mergeCells count="3">
    <mergeCell ref="A1:R1"/>
    <mergeCell ref="A2:R2"/>
    <mergeCell ref="A3:R3"/>
  </mergeCells>
  <phoneticPr fontId="3"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6A527-205D-46C6-8EF4-AC5810769E43}">
  <dimension ref="A1:E19"/>
  <sheetViews>
    <sheetView workbookViewId="0">
      <selection activeCell="I17" sqref="I17"/>
    </sheetView>
  </sheetViews>
  <sheetFormatPr defaultRowHeight="15" x14ac:dyDescent="0.25"/>
  <cols>
    <col min="1" max="1" width="10.85546875" bestFit="1" customWidth="1"/>
    <col min="2" max="5" width="10.5703125" bestFit="1" customWidth="1"/>
  </cols>
  <sheetData>
    <row r="1" spans="1:5" x14ac:dyDescent="0.25">
      <c r="A1" s="18" t="s">
        <v>51</v>
      </c>
      <c r="B1" s="18"/>
      <c r="C1" s="18"/>
      <c r="D1" s="18"/>
      <c r="E1" s="18"/>
    </row>
    <row r="2" spans="1:5" x14ac:dyDescent="0.25">
      <c r="A2" s="18" t="s">
        <v>52</v>
      </c>
      <c r="B2" s="18"/>
      <c r="C2" s="18"/>
      <c r="D2" s="18"/>
      <c r="E2" s="18"/>
    </row>
    <row r="3" spans="1:5" x14ac:dyDescent="0.25">
      <c r="A3" s="18" t="s">
        <v>58</v>
      </c>
      <c r="B3" s="18"/>
      <c r="C3" s="18"/>
      <c r="D3" s="18"/>
      <c r="E3" s="18"/>
    </row>
    <row r="5" spans="1:5" x14ac:dyDescent="0.25">
      <c r="B5" s="6" t="s">
        <v>43</v>
      </c>
      <c r="C5" s="6" t="s">
        <v>44</v>
      </c>
      <c r="D5" s="6" t="s">
        <v>45</v>
      </c>
      <c r="E5" s="6" t="s">
        <v>46</v>
      </c>
    </row>
    <row r="6" spans="1:5" x14ac:dyDescent="0.25">
      <c r="B6" s="11">
        <v>2017</v>
      </c>
      <c r="C6" s="11">
        <v>2018</v>
      </c>
      <c r="D6" s="11">
        <v>2019</v>
      </c>
      <c r="E6" s="11">
        <v>2020</v>
      </c>
    </row>
    <row r="7" spans="1:5" x14ac:dyDescent="0.25">
      <c r="A7" s="5" t="s">
        <v>8</v>
      </c>
      <c r="B7" s="7">
        <v>4721.92</v>
      </c>
      <c r="C7" s="7">
        <v>5231.16</v>
      </c>
      <c r="D7" s="7">
        <v>3790.25</v>
      </c>
      <c r="E7" s="7">
        <v>3772.49</v>
      </c>
    </row>
    <row r="8" spans="1:5" x14ac:dyDescent="0.25">
      <c r="A8" s="5" t="s">
        <v>9</v>
      </c>
      <c r="B8" s="7">
        <v>2584.25</v>
      </c>
      <c r="C8" s="7">
        <v>5120.3999999999996</v>
      </c>
      <c r="D8" s="7">
        <v>2631.49</v>
      </c>
      <c r="E8" s="7">
        <v>3530.13</v>
      </c>
    </row>
    <row r="9" spans="1:5" x14ac:dyDescent="0.25">
      <c r="A9" s="5" t="s">
        <v>10</v>
      </c>
      <c r="B9" s="7">
        <v>5186.2299999999996</v>
      </c>
      <c r="C9" s="7">
        <v>4310.29</v>
      </c>
      <c r="D9" s="7">
        <v>4818.0600000000004</v>
      </c>
      <c r="E9" s="7">
        <v>1475.64</v>
      </c>
    </row>
    <row r="10" spans="1:5" x14ac:dyDescent="0.25">
      <c r="A10" s="5" t="s">
        <v>11</v>
      </c>
      <c r="B10" s="7">
        <v>5119.8100000000004</v>
      </c>
      <c r="C10" s="7">
        <v>3951.22</v>
      </c>
      <c r="D10" s="7">
        <v>3662.24</v>
      </c>
      <c r="E10" s="7">
        <v>0</v>
      </c>
    </row>
    <row r="11" spans="1:5" x14ac:dyDescent="0.25">
      <c r="A11" s="5" t="s">
        <v>12</v>
      </c>
      <c r="B11" s="7">
        <v>4448.33</v>
      </c>
      <c r="C11" s="7">
        <v>4342.3500000000004</v>
      </c>
      <c r="D11" s="7">
        <v>4113.4799999999996</v>
      </c>
      <c r="E11" s="7">
        <v>0</v>
      </c>
    </row>
    <row r="12" spans="1:5" x14ac:dyDescent="0.25">
      <c r="A12" s="5" t="s">
        <v>13</v>
      </c>
      <c r="B12" s="7">
        <v>4575.2700000000004</v>
      </c>
      <c r="C12" s="7">
        <v>4865.04</v>
      </c>
      <c r="D12" s="7">
        <v>3863.97</v>
      </c>
      <c r="E12" s="7">
        <v>0</v>
      </c>
    </row>
    <row r="13" spans="1:5" x14ac:dyDescent="0.25">
      <c r="A13" s="5" t="s">
        <v>14</v>
      </c>
      <c r="B13" s="7">
        <v>5399.19</v>
      </c>
      <c r="C13" s="7">
        <v>4642.8</v>
      </c>
      <c r="D13" s="7">
        <v>4055.35</v>
      </c>
      <c r="E13" s="7">
        <v>0</v>
      </c>
    </row>
    <row r="14" spans="1:5" x14ac:dyDescent="0.25">
      <c r="A14" s="5" t="s">
        <v>15</v>
      </c>
      <c r="B14" s="7">
        <v>4970.63</v>
      </c>
      <c r="C14" s="7">
        <v>3451</v>
      </c>
      <c r="D14" s="7">
        <v>4437</v>
      </c>
      <c r="E14" s="7">
        <v>0</v>
      </c>
    </row>
    <row r="15" spans="1:5" x14ac:dyDescent="0.25">
      <c r="A15" s="5" t="s">
        <v>16</v>
      </c>
      <c r="B15" s="7">
        <v>5134.93</v>
      </c>
      <c r="C15" s="7">
        <v>3097.2</v>
      </c>
      <c r="D15" s="7">
        <v>3982.01</v>
      </c>
      <c r="E15" s="7">
        <v>0</v>
      </c>
    </row>
    <row r="16" spans="1:5" x14ac:dyDescent="0.25">
      <c r="A16" s="5" t="s">
        <v>17</v>
      </c>
      <c r="B16" s="7">
        <v>4593.93</v>
      </c>
      <c r="C16" s="7">
        <v>4280.1099999999997</v>
      </c>
      <c r="D16" s="7">
        <v>4426.68</v>
      </c>
      <c r="E16" s="7">
        <v>0</v>
      </c>
    </row>
    <row r="17" spans="1:5" x14ac:dyDescent="0.25">
      <c r="A17" s="5" t="s">
        <v>18</v>
      </c>
      <c r="B17" s="7">
        <v>4251</v>
      </c>
      <c r="C17" s="7">
        <v>4576.59</v>
      </c>
      <c r="D17" s="7">
        <v>3827.24</v>
      </c>
      <c r="E17" s="7">
        <v>0</v>
      </c>
    </row>
    <row r="18" spans="1:5" x14ac:dyDescent="0.25">
      <c r="A18" s="5" t="s">
        <v>19</v>
      </c>
      <c r="B18" s="7">
        <v>4602.2299999999996</v>
      </c>
      <c r="C18" s="7">
        <v>3854.82</v>
      </c>
      <c r="D18" s="7">
        <v>3383</v>
      </c>
      <c r="E18" s="7">
        <v>0</v>
      </c>
    </row>
    <row r="19" spans="1:5" x14ac:dyDescent="0.25">
      <c r="A19" s="5" t="s">
        <v>7</v>
      </c>
      <c r="B19" s="7">
        <f>SUM(B6:B18)</f>
        <v>57604.72</v>
      </c>
      <c r="C19" s="7">
        <f>SUM(C6:C18)</f>
        <v>53740.98</v>
      </c>
      <c r="D19" s="7">
        <f>SUM(D6:D18)</f>
        <v>49009.77</v>
      </c>
      <c r="E19" s="7">
        <f>SUM(E6:E18)</f>
        <v>10798.259999999998</v>
      </c>
    </row>
  </sheetData>
  <mergeCells count="3">
    <mergeCell ref="A1:E1"/>
    <mergeCell ref="A2:E2"/>
    <mergeCell ref="A3:E3"/>
  </mergeCells>
  <phoneticPr fontId="3"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32178-0200-4FEA-8023-F05130DDFC24}">
  <dimension ref="A1:D17"/>
  <sheetViews>
    <sheetView workbookViewId="0">
      <selection activeCell="J9" sqref="J9"/>
    </sheetView>
  </sheetViews>
  <sheetFormatPr defaultRowHeight="15" x14ac:dyDescent="0.25"/>
  <cols>
    <col min="1" max="1" width="13.140625" customWidth="1"/>
    <col min="2" max="2" width="10.7109375" customWidth="1"/>
    <col min="3" max="4" width="13.28515625" customWidth="1"/>
  </cols>
  <sheetData>
    <row r="1" spans="1:4" x14ac:dyDescent="0.25">
      <c r="A1" s="18" t="s">
        <v>51</v>
      </c>
      <c r="B1" s="18"/>
      <c r="C1" s="18"/>
      <c r="D1" s="18"/>
    </row>
    <row r="2" spans="1:4" x14ac:dyDescent="0.25">
      <c r="A2" s="18" t="s">
        <v>52</v>
      </c>
      <c r="B2" s="18"/>
      <c r="C2" s="18"/>
      <c r="D2" s="18"/>
    </row>
    <row r="3" spans="1:4" x14ac:dyDescent="0.25">
      <c r="A3" s="18" t="s">
        <v>59</v>
      </c>
      <c r="B3" s="18"/>
      <c r="C3" s="18"/>
      <c r="D3" s="18"/>
    </row>
    <row r="5" spans="1:4" ht="60" x14ac:dyDescent="0.25">
      <c r="A5" s="5"/>
      <c r="B5" s="13" t="s">
        <v>23</v>
      </c>
      <c r="C5" s="13" t="s">
        <v>49</v>
      </c>
      <c r="D5" s="13" t="s">
        <v>50</v>
      </c>
    </row>
    <row r="6" spans="1:4" x14ac:dyDescent="0.25">
      <c r="A6" s="5" t="s">
        <v>10</v>
      </c>
      <c r="B6" s="7">
        <v>3651</v>
      </c>
      <c r="C6" s="7">
        <v>1476</v>
      </c>
      <c r="D6" s="7">
        <f>B6-C6</f>
        <v>2175</v>
      </c>
    </row>
    <row r="7" spans="1:4" x14ac:dyDescent="0.25">
      <c r="A7" s="5" t="s">
        <v>11</v>
      </c>
      <c r="B7" s="7">
        <v>5512</v>
      </c>
      <c r="C7" s="7">
        <v>0</v>
      </c>
      <c r="D7" s="7">
        <f t="shared" ref="D7:D8" si="0">B7-C7</f>
        <v>5512</v>
      </c>
    </row>
    <row r="8" spans="1:4" x14ac:dyDescent="0.25">
      <c r="A8" s="5" t="s">
        <v>12</v>
      </c>
      <c r="B8" s="7">
        <v>6308</v>
      </c>
      <c r="C8" s="7">
        <v>0</v>
      </c>
      <c r="D8" s="7">
        <f t="shared" si="0"/>
        <v>6308</v>
      </c>
    </row>
    <row r="9" spans="1:4" x14ac:dyDescent="0.25">
      <c r="A9" s="5" t="s">
        <v>13</v>
      </c>
      <c r="B9" s="7">
        <v>7352</v>
      </c>
      <c r="C9" s="7">
        <v>0</v>
      </c>
      <c r="D9" s="7">
        <f>B9-C9</f>
        <v>7352</v>
      </c>
    </row>
    <row r="10" spans="1:4" x14ac:dyDescent="0.25">
      <c r="B10" s="7"/>
      <c r="D10" s="7">
        <f>SUM(D6:D9)</f>
        <v>21347</v>
      </c>
    </row>
    <row r="11" spans="1:4" x14ac:dyDescent="0.25">
      <c r="A11" s="5"/>
      <c r="B11" s="7"/>
    </row>
    <row r="12" spans="1:4" x14ac:dyDescent="0.25">
      <c r="B12" s="7"/>
    </row>
    <row r="13" spans="1:4" x14ac:dyDescent="0.25">
      <c r="B13" s="7"/>
    </row>
    <row r="14" spans="1:4" x14ac:dyDescent="0.25">
      <c r="B14" s="7"/>
    </row>
    <row r="15" spans="1:4" x14ac:dyDescent="0.25">
      <c r="B15" s="7"/>
    </row>
    <row r="17" spans="1:1" x14ac:dyDescent="0.25">
      <c r="A17" s="5"/>
    </row>
  </sheetData>
  <mergeCells count="3">
    <mergeCell ref="A1:D1"/>
    <mergeCell ref="A2:D2"/>
    <mergeCell ref="A3:D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Q3-4</vt:lpstr>
      <vt:lpstr>Q5-6</vt:lpstr>
      <vt:lpstr>Q7</vt:lpstr>
      <vt:lpstr>Q9</vt:lpstr>
      <vt:lpstr>Q10</vt:lpstr>
      <vt:lpstr>Q11</vt:lpstr>
      <vt:lpstr>Q12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Kyle Cannon</dc:creator>
  <cp:lastModifiedBy>Kyle Cannon</cp:lastModifiedBy>
  <dcterms:created xsi:type="dcterms:W3CDTF">2020-06-29T20:34:34Z</dcterms:created>
  <dcterms:modified xsi:type="dcterms:W3CDTF">2020-07-02T20:05:26Z</dcterms:modified>
</cp:coreProperties>
</file>