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1\CFO\2020-00085\"/>
    </mc:Choice>
  </mc:AlternateContent>
  <bookViews>
    <workbookView xWindow="0" yWindow="0" windowWidth="19200" windowHeight="10755"/>
  </bookViews>
  <sheets>
    <sheet name="R3-4" sheetId="1" r:id="rId1"/>
    <sheet name="R5-6" sheetId="4" r:id="rId2"/>
    <sheet name="R9" sheetId="2" r:id="rId3"/>
    <sheet name="R10" sheetId="3" r:id="rId4"/>
  </sheets>
  <definedNames>
    <definedName name="_xlnm.Print_Area" localSheetId="0">'R3-4'!$A$1:$L$41</definedName>
    <definedName name="_xlnm.Print_Area" localSheetId="1">'R5-6'!$A$1:$L$41</definedName>
    <definedName name="_xlnm.Print_Area" localSheetId="2">'R9'!$A$1:$O$37</definedName>
    <definedName name="_xlnm.Print_Titles" localSheetId="3">'R10'!$4:$7</definedName>
    <definedName name="_xlnm.Print_Titles" localSheetId="0">'R3-4'!$3:$6</definedName>
    <definedName name="_xlnm.Print_Titles" localSheetId="1">'R5-6'!$3:$6</definedName>
    <definedName name="_xlnm.Print_Titles" localSheetId="2">'R9'!$4:$7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4" l="1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E34" i="4"/>
  <c r="D34" i="4"/>
  <c r="C34" i="4"/>
  <c r="E33" i="4"/>
  <c r="D33" i="4"/>
  <c r="C33" i="4"/>
  <c r="E32" i="4"/>
  <c r="D32" i="4"/>
  <c r="C32" i="4"/>
  <c r="E31" i="4"/>
  <c r="D31" i="4"/>
  <c r="C31" i="4"/>
  <c r="G17" i="4"/>
  <c r="F17" i="4"/>
  <c r="E17" i="4"/>
  <c r="D17" i="4"/>
  <c r="C17" i="4"/>
  <c r="E10" i="4"/>
  <c r="D10" i="4"/>
  <c r="C10" i="4"/>
  <c r="D20" i="3" l="1"/>
  <c r="D19" i="3"/>
  <c r="D18" i="3"/>
  <c r="D17" i="3"/>
  <c r="D16" i="3"/>
  <c r="D14" i="3"/>
  <c r="D13" i="3"/>
  <c r="D12" i="3"/>
  <c r="D11" i="3"/>
  <c r="D10" i="3"/>
  <c r="E30" i="2"/>
  <c r="E29" i="2"/>
  <c r="E28" i="2"/>
  <c r="E27" i="2"/>
  <c r="E26" i="2"/>
  <c r="O21" i="2"/>
  <c r="N21" i="2"/>
  <c r="M21" i="2"/>
  <c r="I21" i="2"/>
  <c r="J21" i="2" s="1"/>
  <c r="H21" i="2"/>
  <c r="D21" i="2"/>
  <c r="E21" i="2" s="1"/>
  <c r="C21" i="2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E34" i="1"/>
  <c r="D34" i="1"/>
  <c r="C34" i="1"/>
  <c r="E33" i="1"/>
  <c r="D33" i="1"/>
  <c r="C33" i="1"/>
  <c r="E32" i="1"/>
  <c r="D32" i="1"/>
  <c r="C32" i="1"/>
  <c r="E31" i="1"/>
  <c r="D31" i="1"/>
  <c r="C31" i="1"/>
  <c r="G17" i="1"/>
  <c r="F17" i="1"/>
  <c r="E17" i="1"/>
  <c r="D17" i="1"/>
  <c r="C17" i="1"/>
  <c r="E10" i="1"/>
  <c r="D10" i="1"/>
  <c r="C10" i="1"/>
</calcChain>
</file>

<file path=xl/sharedStrings.xml><?xml version="1.0" encoding="utf-8"?>
<sst xmlns="http://schemas.openxmlformats.org/spreadsheetml/2006/main" count="148" uniqueCount="63">
  <si>
    <t>Fleming-Mason Energy Cooperative, Inc.</t>
  </si>
  <si>
    <t>Average Total Bill for All Customers</t>
  </si>
  <si>
    <t>3a.</t>
  </si>
  <si>
    <t>3b.</t>
  </si>
  <si>
    <t>3c.</t>
  </si>
  <si>
    <t xml:space="preserve">   All Accounts</t>
  </si>
  <si>
    <t xml:space="preserve">    3d.</t>
  </si>
  <si>
    <t>January 2020</t>
  </si>
  <si>
    <t xml:space="preserve"> February 2020</t>
  </si>
  <si>
    <t>March 2020</t>
  </si>
  <si>
    <t>April 2020</t>
  </si>
  <si>
    <t>May 2020</t>
  </si>
  <si>
    <t>Average Total Bill for All Customers by Class</t>
  </si>
  <si>
    <t>4a.</t>
  </si>
  <si>
    <t>4b.</t>
  </si>
  <si>
    <t>4c.</t>
  </si>
  <si>
    <t xml:space="preserve">   Residential &amp; Small Power</t>
  </si>
  <si>
    <t xml:space="preserve">   Small Commercial</t>
  </si>
  <si>
    <t xml:space="preserve">   Large Commerical</t>
  </si>
  <si>
    <t xml:space="preserve">   Industrials</t>
  </si>
  <si>
    <t xml:space="preserve">   4d.</t>
  </si>
  <si>
    <t>Percent of Customers That Pay on Time</t>
  </si>
  <si>
    <t>9a.</t>
  </si>
  <si>
    <t>9b.</t>
  </si>
  <si>
    <t>9c.</t>
  </si>
  <si>
    <t>Total
Bills</t>
  </si>
  <si>
    <t>Total 
Delinquent</t>
  </si>
  <si>
    <t>% that pay
on time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</si>
  <si>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</si>
  <si>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</si>
  <si>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</si>
  <si>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</si>
  <si>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</si>
  <si>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</si>
  <si>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</si>
  <si>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</si>
  <si>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</si>
  <si>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</si>
  <si>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</si>
  <si>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</si>
  <si>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9d.</t>
  </si>
  <si>
    <t>All Termination Notices and Terminations For Non-Payment</t>
  </si>
  <si>
    <t>2015 through 2019</t>
  </si>
  <si>
    <t>Year</t>
  </si>
  <si>
    <t>Annually</t>
  </si>
  <si>
    <t>10a.</t>
  </si>
  <si>
    <t>Total service termination notices issued.</t>
  </si>
  <si>
    <t>n/a</t>
  </si>
  <si>
    <t>10b.</t>
  </si>
  <si>
    <t>Total service terminations</t>
  </si>
  <si>
    <t>10c.</t>
  </si>
  <si>
    <t>Total number of customers for each month.</t>
  </si>
  <si>
    <t>Average Bill for Current Service</t>
  </si>
  <si>
    <t>5a.</t>
  </si>
  <si>
    <t>5b.</t>
  </si>
  <si>
    <t>5c.</t>
  </si>
  <si>
    <t xml:space="preserve">   5d.</t>
  </si>
  <si>
    <t>Average Bill for Current Service by Class</t>
  </si>
  <si>
    <t>6a.</t>
  </si>
  <si>
    <t>6b.</t>
  </si>
  <si>
    <t>6c.</t>
  </si>
  <si>
    <t xml:space="preserve">   Large Commercial</t>
  </si>
  <si>
    <t xml:space="preserve">   6d.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</si>
</sst>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/>
    <xf numFmtId="0" fontId="1" fillId="0" borderId="0" xfId="1" applyFont="1" applyAlignment="1">
      <alignment horizontal="center"/>
    </xf>
    <xf numFmtId="43" fontId="3" fillId="0" borderId="0" xfId="2" applyFont="1" applyAlignment="1">
      <alignment horizontal="center"/>
    </xf>
    <xf numFmtId="164" fontId="1" fillId="0" borderId="0" xfId="2" applyNumberFormat="1" applyFont="1"/>
    <xf numFmtId="0" fontId="4" fillId="0" borderId="0" xfId="1" applyFont="1" applyAlignment="1">
      <alignment horizontal="center"/>
    </xf>
    <xf numFmtId="43" fontId="3" fillId="0" borderId="0" xfId="2" applyFont="1"/>
    <xf numFmtId="0" fontId="1" fillId="0" borderId="1" xfId="1" applyFont="1" applyBorder="1" applyAlignment="1">
      <alignment horizontal="center"/>
    </xf>
    <xf numFmtId="44" fontId="1" fillId="0" borderId="0" xfId="3" applyFont="1"/>
    <xf numFmtId="0" fontId="4" fillId="0" borderId="0" xfId="1" applyFont="1"/>
    <xf numFmtId="0" fontId="1" fillId="0" borderId="1" xfId="1" quotePrefix="1" applyFont="1" applyBorder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Font="1" applyAlignment="1">
      <alignment vertical="top" wrapText="1"/>
    </xf>
    <xf numFmtId="44" fontId="1" fillId="0" borderId="0" xfId="3" applyFont="1" applyAlignment="1">
      <alignment horizontal="center"/>
    </xf>
    <xf numFmtId="0" fontId="4" fillId="0" borderId="0" xfId="1" applyFont="1" applyAlignment="1">
      <alignment horizontal="center"/>
    </xf>
    <xf numFmtId="43" fontId="3" fillId="0" borderId="0" xfId="2" applyFont="1" applyAlignment="1">
      <alignment horizontal="center" wrapText="1"/>
    </xf>
    <xf numFmtId="43" fontId="3" fillId="0" borderId="0" xfId="2" applyFont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0" xfId="2" applyNumberFormat="1" applyFont="1" applyAlignment="1"/>
    <xf numFmtId="164" fontId="1" fillId="0" borderId="1" xfId="2" applyNumberFormat="1" applyFont="1" applyBorder="1" applyAlignment="1"/>
    <xf numFmtId="164" fontId="1" fillId="0" borderId="1" xfId="2" applyNumberFormat="1" applyFont="1" applyBorder="1"/>
    <xf numFmtId="10" fontId="1" fillId="0" borderId="0" xfId="4" applyNumberFormat="1" applyFont="1"/>
    <xf numFmtId="0" fontId="1" fillId="0" borderId="0" xfId="1" applyFont="1" applyAlignment="1">
      <alignment horizontal="center" wrapText="1"/>
    </xf>
  </cellXfs>
  <cellStyles count="5">
    <cellStyle name="Comma 2" xfId="2"/>
    <cellStyle name="Currency 2" xfId="3"/>
    <cellStyle name="Normal" xfId="0" builtinId="0"/>
    <cellStyle name="Normal 2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1"/>
  <sheetViews>
    <sheetView showGridLines="0" tabSelected="1" zoomScaleNormal="100" workbookViewId="0"/>
  </sheetViews>
  <sheetFormatPr defaultColWidth="8" defaultRowHeight="14.25" x14ac:dyDescent="0.2"/>
  <cols>
    <col min="1" max="1" width="2.25" style="3" bestFit="1" customWidth="1"/>
    <col min="2" max="2" width="24.5" style="3" bestFit="1" customWidth="1"/>
    <col min="3" max="3" width="14.75" style="4" bestFit="1" customWidth="1"/>
    <col min="4" max="5" width="13.75" style="3" bestFit="1" customWidth="1"/>
    <col min="6" max="7" width="12.25" style="3" bestFit="1" customWidth="1"/>
    <col min="8" max="12" width="8.5" style="3" bestFit="1" customWidth="1"/>
    <col min="13" max="13" width="11" style="3" bestFit="1" customWidth="1"/>
    <col min="14" max="14" width="8.625" style="3" bestFit="1" customWidth="1"/>
    <col min="15" max="15" width="10.625" style="3" bestFit="1" customWidth="1"/>
    <col min="16" max="16" width="10.375" style="3" bestFit="1" customWidth="1"/>
    <col min="17" max="16384" width="8" style="3"/>
  </cols>
  <sheetData>
    <row r="3" spans="1:17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7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7" spans="1:17" ht="16.5" x14ac:dyDescent="0.3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6.5" x14ac:dyDescent="0.35">
      <c r="C8" s="7" t="s">
        <v>2</v>
      </c>
      <c r="D8" s="7" t="s">
        <v>3</v>
      </c>
      <c r="E8" s="7" t="s">
        <v>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"/>
    </row>
    <row r="9" spans="1:17" x14ac:dyDescent="0.2">
      <c r="C9" s="9">
        <v>2017</v>
      </c>
      <c r="D9" s="9">
        <v>2018</v>
      </c>
      <c r="E9" s="9">
        <v>2019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">
      <c r="B10" s="3" t="s">
        <v>5</v>
      </c>
      <c r="C10" s="10">
        <f>((70144345.75+3980949.71)/24355)/12</f>
        <v>253.62791849722848</v>
      </c>
      <c r="D10" s="10">
        <f>((71651253.82+5964421.17)/24473)/12</f>
        <v>264.29015305983461</v>
      </c>
      <c r="E10" s="10">
        <f>((67361450.65+3971005.33)/24611)/12</f>
        <v>241.53310843389815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">
      <c r="C11" s="10"/>
      <c r="D11" s="10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">
      <c r="C12" s="10"/>
      <c r="D12" s="10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">
      <c r="C13" s="10"/>
      <c r="D13" s="10"/>
      <c r="E13" s="1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7" x14ac:dyDescent="0.2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x14ac:dyDescent="0.2">
      <c r="B16" s="11" t="s">
        <v>6</v>
      </c>
      <c r="C16" s="12" t="s">
        <v>7</v>
      </c>
      <c r="D16" s="12" t="s">
        <v>8</v>
      </c>
      <c r="E16" s="12" t="s">
        <v>9</v>
      </c>
      <c r="F16" s="12" t="s">
        <v>10</v>
      </c>
      <c r="G16" s="12" t="s">
        <v>11</v>
      </c>
      <c r="H16" s="6"/>
      <c r="I16" s="6"/>
      <c r="J16" s="6"/>
      <c r="K16" s="6"/>
      <c r="L16" s="6"/>
      <c r="M16" s="6"/>
      <c r="N16" s="6"/>
      <c r="O16" s="6"/>
      <c r="P16" s="6"/>
    </row>
    <row r="17" spans="1:17" x14ac:dyDescent="0.2">
      <c r="B17" s="3" t="s">
        <v>5</v>
      </c>
      <c r="C17" s="10">
        <f>(6391943.22+325052.12)/24708</f>
        <v>271.85508094544275</v>
      </c>
      <c r="D17" s="10">
        <f>(5732742.64+481802.44)/24650</f>
        <v>252.11136227180529</v>
      </c>
      <c r="E17" s="10">
        <f>(5046343.73+374513.13)/24679</f>
        <v>219.65463997730865</v>
      </c>
      <c r="F17" s="10">
        <f>(4580545.53+292126.56)/24785</f>
        <v>196.59762315916885</v>
      </c>
      <c r="G17" s="10">
        <f>(4651653.02+200271.19)/24774</f>
        <v>195.8474291596028</v>
      </c>
      <c r="H17" s="6"/>
      <c r="I17" s="6"/>
      <c r="J17" s="6"/>
      <c r="K17" s="6"/>
      <c r="L17" s="6"/>
      <c r="M17" s="6"/>
      <c r="N17" s="6"/>
      <c r="O17" s="6"/>
      <c r="P17" s="6"/>
    </row>
    <row r="18" spans="1:17" x14ac:dyDescent="0.2">
      <c r="C18" s="3"/>
      <c r="H18" s="6"/>
      <c r="I18" s="6"/>
      <c r="J18" s="6"/>
      <c r="K18" s="6"/>
      <c r="L18" s="6"/>
      <c r="M18" s="6"/>
      <c r="N18" s="6"/>
      <c r="O18" s="6"/>
      <c r="P18" s="6"/>
    </row>
    <row r="19" spans="1:17" x14ac:dyDescent="0.2">
      <c r="C19" s="3"/>
      <c r="H19" s="6"/>
      <c r="I19" s="6"/>
      <c r="J19" s="6"/>
      <c r="K19" s="6"/>
      <c r="L19" s="6"/>
      <c r="M19" s="6"/>
      <c r="N19" s="6"/>
      <c r="O19" s="6"/>
      <c r="P19" s="6"/>
    </row>
    <row r="20" spans="1:17" x14ac:dyDescent="0.2">
      <c r="C20" s="3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">
      <c r="A21" s="13"/>
      <c r="B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5" customHeight="1" x14ac:dyDescent="0.2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</row>
    <row r="25" spans="1:17" ht="15" customHeight="1" x14ac:dyDescent="0.2">
      <c r="A25" s="1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</row>
    <row r="26" spans="1:1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3"/>
      <c r="C27" s="3"/>
      <c r="D27" s="4"/>
    </row>
    <row r="28" spans="1:17" ht="16.5" x14ac:dyDescent="0.35"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6.5" x14ac:dyDescent="0.35">
      <c r="C29" s="7" t="s">
        <v>13</v>
      </c>
      <c r="D29" s="7" t="s">
        <v>14</v>
      </c>
      <c r="E29" s="7" t="s">
        <v>15</v>
      </c>
      <c r="F29" s="8"/>
      <c r="G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C30" s="9">
        <v>2017</v>
      </c>
      <c r="D30" s="9">
        <v>2018</v>
      </c>
      <c r="E30" s="9">
        <v>2019</v>
      </c>
      <c r="F30" s="6"/>
      <c r="G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B31" s="3" t="s">
        <v>16</v>
      </c>
      <c r="C31" s="10">
        <f>((26158968.7+2240994.66+3670902.28)/(17552+4806))/12</f>
        <v>119.53538494796793</v>
      </c>
      <c r="D31" s="10">
        <f>((28972325.02+2434753.79+5566292.77)/(17603+4871))/12</f>
        <v>137.09683627006021</v>
      </c>
      <c r="E31" s="10">
        <f>((27597842.09+2443936.4+3671517.36)/(17616+4969))/12</f>
        <v>124.39412534130322</v>
      </c>
      <c r="F31" s="6"/>
      <c r="G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B32" s="3" t="s">
        <v>17</v>
      </c>
      <c r="C32" s="10">
        <f>((3217973.01+18261.97+286628.68+98525.83)/(1532+5+255))/12</f>
        <v>168.40538922991072</v>
      </c>
      <c r="D32" s="10">
        <f>((3356685.72+20175.7+319180.75+104128.43)/(1532+6+256))/12</f>
        <v>176.52223151244891</v>
      </c>
      <c r="E32" s="10">
        <f>((3277182.85+21070.99+309605.22+91705.11)/(1556+6+256))/12</f>
        <v>169.58031582324901</v>
      </c>
      <c r="F32" s="6"/>
      <c r="G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2">
      <c r="B33" s="3" t="s">
        <v>18</v>
      </c>
      <c r="C33" s="10">
        <f>((4269.26+7975914.71+207252.34)/200)/12</f>
        <v>3411.4317958333336</v>
      </c>
      <c r="D33" s="10">
        <f>((199772.26+8347703.16+94227.71)/201)/12</f>
        <v>3582.7956592039804</v>
      </c>
      <c r="E33" s="10">
        <f>((207782.86+7954696.86)/203)/12</f>
        <v>3350.7716420361248</v>
      </c>
      <c r="F33" s="6"/>
      <c r="G33" s="6"/>
      <c r="I33" s="6"/>
      <c r="J33" s="6"/>
      <c r="K33" s="6"/>
      <c r="L33" s="6"/>
      <c r="M33" s="6"/>
      <c r="N33" s="6"/>
      <c r="O33" s="6"/>
      <c r="P33" s="6"/>
      <c r="Q33" s="6"/>
    </row>
    <row r="34" spans="2:17" x14ac:dyDescent="0.2">
      <c r="B34" s="3" t="s">
        <v>19</v>
      </c>
      <c r="C34" s="10">
        <f>((5904733.06+13241574.89+4212321.97+572629.2+6314344.9)/5)/12</f>
        <v>504093.40033333329</v>
      </c>
      <c r="D34" s="10">
        <f>((5214019.62+13072757.12+4293508.34+572876.66+5047267.94)/5)/12</f>
        <v>470007.16133333329</v>
      </c>
      <c r="E34" s="10">
        <f>((3546829.59+14053846.42+3868698.62+532265.02+3755476.59)/5)/12</f>
        <v>429285.27066666662</v>
      </c>
      <c r="F34" s="6"/>
      <c r="G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D35" s="6"/>
      <c r="E35" s="6"/>
      <c r="F35" s="6"/>
      <c r="G35" s="6"/>
      <c r="I35" s="6"/>
      <c r="J35" s="6"/>
      <c r="K35" s="6"/>
      <c r="L35" s="6"/>
      <c r="M35" s="6"/>
      <c r="N35" s="6"/>
      <c r="O35" s="6"/>
      <c r="P35" s="6"/>
      <c r="Q35" s="6"/>
    </row>
    <row r="36" spans="2:17" x14ac:dyDescent="0.2">
      <c r="D36" s="6"/>
      <c r="E36" s="6"/>
      <c r="F36" s="6"/>
      <c r="G36" s="6"/>
      <c r="I36" s="6"/>
      <c r="J36" s="6"/>
      <c r="K36" s="6"/>
      <c r="L36" s="6"/>
      <c r="M36" s="6"/>
      <c r="N36" s="6"/>
      <c r="O36" s="6"/>
      <c r="P36" s="6"/>
      <c r="Q36" s="6"/>
    </row>
    <row r="37" spans="2:17" x14ac:dyDescent="0.2">
      <c r="B37" s="11" t="s">
        <v>20</v>
      </c>
      <c r="C37" s="12" t="s">
        <v>7</v>
      </c>
      <c r="D37" s="12" t="s">
        <v>8</v>
      </c>
      <c r="E37" s="12" t="s">
        <v>9</v>
      </c>
      <c r="F37" s="12" t="s">
        <v>10</v>
      </c>
      <c r="G37" s="12" t="s">
        <v>11</v>
      </c>
      <c r="I37" s="6"/>
      <c r="J37" s="6"/>
      <c r="K37" s="6"/>
      <c r="L37" s="6"/>
      <c r="M37" s="6"/>
      <c r="N37" s="6"/>
      <c r="O37" s="6"/>
      <c r="P37" s="6"/>
      <c r="Q37" s="6"/>
    </row>
    <row r="38" spans="2:17" x14ac:dyDescent="0.2">
      <c r="B38" s="3" t="s">
        <v>16</v>
      </c>
      <c r="C38" s="15">
        <f>(309319.49+677.83+213.32+2961285+239828.58)/(17676+5022)</f>
        <v>154.69751608071198</v>
      </c>
      <c r="D38" s="10">
        <f>(2679979.6+216017.56+442433.68+207.1+966.79+484.24)/(17635+5008)</f>
        <v>147.51088504173478</v>
      </c>
      <c r="E38" s="10">
        <f>(2023473.88+185996.93+363700.63+332.52+1105.19+693.76)/(17621+5037)</f>
        <v>113.65976299761672</v>
      </c>
      <c r="F38" s="10">
        <f>(1853744.54+182870.49+275635.23+669.28)/(17703+5051)</f>
        <v>101.64892062933988</v>
      </c>
      <c r="G38" s="10">
        <f>(1760440.87+181618.91+184037.16+29.28+36.2)/(17668+5062)</f>
        <v>93.539921689397275</v>
      </c>
      <c r="I38" s="6"/>
      <c r="J38" s="6"/>
      <c r="K38" s="6"/>
      <c r="L38" s="6"/>
      <c r="M38" s="6"/>
      <c r="N38" s="6"/>
      <c r="O38" s="6"/>
      <c r="P38" s="6"/>
      <c r="Q38" s="6"/>
    </row>
    <row r="39" spans="2:17" x14ac:dyDescent="0.2">
      <c r="B39" s="3" t="s">
        <v>17</v>
      </c>
      <c r="C39" s="15">
        <f>(4927.06+299446.64+1846.86+30325.54)/(1544+6+253)</f>
        <v>186.65895729339988</v>
      </c>
      <c r="D39" s="10">
        <f>(264531.25+1670.03+28625.66+6360.38)/(1543+6+253)</f>
        <v>167.14057713651499</v>
      </c>
      <c r="E39" s="10">
        <f>(234606.91+1654.03+20642.9+8680.75)/(1557+6+254)</f>
        <v>146.16653274628507</v>
      </c>
      <c r="F39" s="10">
        <f>(220036.18+1727.65+15984.16+5342.15)/(1565+6+254)</f>
        <v>133.20007671232875</v>
      </c>
      <c r="G39" s="10">
        <f>(224576.65+1754.3+15831.51+1246.62)/(1574+7+254)</f>
        <v>132.648</v>
      </c>
      <c r="I39" s="6"/>
      <c r="J39" s="6"/>
      <c r="K39" s="6"/>
      <c r="L39" s="6"/>
      <c r="M39" s="6"/>
      <c r="N39" s="6"/>
      <c r="O39" s="6"/>
      <c r="P39" s="6"/>
      <c r="Q39" s="6"/>
    </row>
    <row r="40" spans="2:17" x14ac:dyDescent="0.2">
      <c r="B40" s="3" t="s">
        <v>18</v>
      </c>
      <c r="C40" s="15">
        <f>(9914.41+693870.18)/202</f>
        <v>3484.0821287128715</v>
      </c>
      <c r="D40" s="10">
        <f>(31349.98+572823.6)/200</f>
        <v>3020.8678999999997</v>
      </c>
      <c r="E40" s="10">
        <f>(538648.46)/199</f>
        <v>2706.7761809045223</v>
      </c>
      <c r="F40" s="10">
        <f>(432025.53+10443.81)/201</f>
        <v>2201.34</v>
      </c>
      <c r="G40" s="10">
        <f>(14921.93+487437.98)/204</f>
        <v>2462.5485784313723</v>
      </c>
      <c r="I40" s="6"/>
      <c r="J40" s="6"/>
      <c r="K40" s="6"/>
      <c r="L40" s="6"/>
      <c r="M40" s="6"/>
      <c r="N40" s="6"/>
      <c r="O40" s="6"/>
      <c r="P40" s="6"/>
      <c r="Q40" s="6"/>
    </row>
    <row r="41" spans="2:17" x14ac:dyDescent="0.2">
      <c r="B41" s="3" t="s">
        <v>19</v>
      </c>
      <c r="C41" s="15">
        <f>(1265405.39+302802.24+46963.03+345864.4+204305.36)/5</f>
        <v>433068.08399999997</v>
      </c>
      <c r="D41" s="10">
        <f>(186050.92+1058185.15+264325.33+37752.3+422781.24)/5</f>
        <v>393818.98800000001</v>
      </c>
      <c r="E41" s="10">
        <f>(182691.53+1135530.88+238608+38463.76+446026.45)/5</f>
        <v>408264.12399999995</v>
      </c>
      <c r="F41" s="10">
        <f>(180134.1+1046401.41+223663.59+39077.68+384880.2)/5</f>
        <v>374831.39600000001</v>
      </c>
      <c r="G41" s="10">
        <f>(178569.95+1024401.74+216474.63+39972.73+520573.75)/5</f>
        <v>395998.55999999994</v>
      </c>
      <c r="I41" s="6"/>
      <c r="J41" s="6"/>
      <c r="K41" s="6"/>
      <c r="L41" s="6"/>
      <c r="M41" s="6"/>
      <c r="N41" s="6"/>
      <c r="O41" s="6"/>
      <c r="P41" s="6"/>
      <c r="Q41" s="6"/>
    </row>
  </sheetData>
  <mergeCells count="8">
    <mergeCell ref="B26:Q26"/>
    <mergeCell ref="E28:Q28"/>
    <mergeCell ref="A3:L3"/>
    <mergeCell ref="A4:L4"/>
    <mergeCell ref="A5:L5"/>
    <mergeCell ref="D7:P7"/>
    <mergeCell ref="A24:L24"/>
    <mergeCell ref="A25:L25"/>
  </mergeCells>
  <printOptions horizontalCentered="1"/>
  <pageMargins left="0.7" right="0.7" top="0.75" bottom="0.75" header="0.3" footer="0.3"/>
  <pageSetup scale="75" orientation="landscape" r:id="rId1"/>
  <headerFooter>
    <oddFooter>&amp;R&amp;"Arial,Regular"Case No. 2020-00085
Attachment to Response to Question No. 3 (a-d) and 4 (a-d)
Page &amp;P of &amp;N
Hazelrigg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1"/>
  <sheetViews>
    <sheetView showGridLines="0" zoomScaleNormal="100" workbookViewId="0"/>
  </sheetViews>
  <sheetFormatPr defaultColWidth="8" defaultRowHeight="14.25" x14ac:dyDescent="0.2"/>
  <cols>
    <col min="1" max="1" width="2.25" style="3" bestFit="1" customWidth="1"/>
    <col min="2" max="2" width="33" style="3" bestFit="1" customWidth="1"/>
    <col min="3" max="3" width="13.75" style="4" bestFit="1" customWidth="1"/>
    <col min="4" max="5" width="13.75" style="3" bestFit="1" customWidth="1"/>
    <col min="6" max="7" width="12.25" style="3" bestFit="1" customWidth="1"/>
    <col min="8" max="12" width="8.5" style="3" bestFit="1" customWidth="1"/>
    <col min="13" max="13" width="11" style="3" bestFit="1" customWidth="1"/>
    <col min="14" max="14" width="8.625" style="3" bestFit="1" customWidth="1"/>
    <col min="15" max="15" width="10.625" style="3" bestFit="1" customWidth="1"/>
    <col min="16" max="16" width="10.375" style="3" bestFit="1" customWidth="1"/>
    <col min="17" max="16384" width="8" style="3"/>
  </cols>
  <sheetData>
    <row r="3" spans="1:17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7" x14ac:dyDescent="0.2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7" spans="1:17" ht="16.5" x14ac:dyDescent="0.3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6.5" x14ac:dyDescent="0.35">
      <c r="C8" s="7" t="s">
        <v>53</v>
      </c>
      <c r="D8" s="7" t="s">
        <v>54</v>
      </c>
      <c r="E8" s="7" t="s">
        <v>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"/>
    </row>
    <row r="9" spans="1:17" x14ac:dyDescent="0.2">
      <c r="C9" s="9">
        <v>2017</v>
      </c>
      <c r="D9" s="9">
        <v>2018</v>
      </c>
      <c r="E9" s="9">
        <v>2019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">
      <c r="B10" s="3" t="s">
        <v>5</v>
      </c>
      <c r="C10" s="10">
        <f>((26158968.7+2240994.66+3217973.01+7975914.71+18261.97+286628.68+30245604.02)/(17552+4806+1532+200+5+255+5))/12</f>
        <v>240.00665759939781</v>
      </c>
      <c r="D10" s="10">
        <f>((28972325.02+2434753.79+3356685.72+8347703.16+20175.7+319180.75+28200429.68)/(17603+4871+1532+201+6+256+5))/12</f>
        <v>243.97065532129332</v>
      </c>
      <c r="E10" s="10">
        <f>((27597842.09+2443936.4+3277182.85+7954696.86+21070.99+309605.22+25757114.24)/(17616+4969+1556+203+6+256+5))/12</f>
        <v>228.08719898283968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">
      <c r="C11" s="10"/>
      <c r="D11" s="10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">
      <c r="C12" s="10"/>
      <c r="D12" s="10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">
      <c r="C13" s="10"/>
      <c r="D13" s="10"/>
      <c r="E13" s="1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7" x14ac:dyDescent="0.2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x14ac:dyDescent="0.2">
      <c r="B16" s="11" t="s">
        <v>56</v>
      </c>
      <c r="C16" s="12" t="s">
        <v>7</v>
      </c>
      <c r="D16" s="12" t="s">
        <v>8</v>
      </c>
      <c r="E16" s="12" t="s">
        <v>9</v>
      </c>
      <c r="F16" s="12" t="s">
        <v>10</v>
      </c>
      <c r="G16" s="12" t="s">
        <v>11</v>
      </c>
      <c r="H16" s="6"/>
      <c r="I16" s="6"/>
      <c r="J16" s="6"/>
      <c r="K16" s="6"/>
      <c r="L16" s="6"/>
      <c r="M16" s="6"/>
      <c r="N16" s="6"/>
      <c r="O16" s="6"/>
      <c r="P16" s="6"/>
    </row>
    <row r="17" spans="1:17" x14ac:dyDescent="0.2">
      <c r="B17" s="3" t="s">
        <v>5</v>
      </c>
      <c r="C17" s="10">
        <f>(2961285+239828.58+299446.64+693870.18+1846.86+30325.54+2165340.42)/(17676+5022+1544+202+6+253+5)</f>
        <v>258.69933705682371</v>
      </c>
      <c r="D17" s="10">
        <f>(2679979.6+216017.56+264531.25+572823.6+1670.03+28625.66+1969094.94)/(17635+5008+1543+200+6+253+5)</f>
        <v>232.56562434077082</v>
      </c>
      <c r="E17" s="10">
        <f>(2023473.88+185996.93+234606.91+538648.46+1654.03+20642.9+2041320.62)/(17621+5037+1557+199+6+254+5)</f>
        <v>204.47926293609953</v>
      </c>
      <c r="F17" s="10">
        <f>(1853744.54+182870.49+220036.18+432025.53+1727.65+15984.16+1874156.98)/(17703+5051+1565+201+6+254+5)</f>
        <v>184.81119749848699</v>
      </c>
      <c r="G17" s="10">
        <f>(1760440.87+181618.91+224576.65+487437.98+1754.3+15831.51+1874156.98)/(17668+5062+1574+204+7+254+5)</f>
        <v>183.49145071445867</v>
      </c>
      <c r="H17" s="6"/>
      <c r="I17" s="6"/>
      <c r="J17" s="6"/>
      <c r="K17" s="6"/>
      <c r="L17" s="6"/>
      <c r="M17" s="6"/>
      <c r="N17" s="6"/>
      <c r="O17" s="6"/>
      <c r="P17" s="6"/>
    </row>
    <row r="18" spans="1:17" x14ac:dyDescent="0.2">
      <c r="C18" s="3"/>
      <c r="H18" s="6"/>
      <c r="I18" s="6"/>
      <c r="J18" s="6"/>
      <c r="K18" s="6"/>
      <c r="L18" s="6"/>
      <c r="M18" s="6"/>
      <c r="N18" s="6"/>
      <c r="O18" s="6"/>
      <c r="P18" s="6"/>
    </row>
    <row r="19" spans="1:17" x14ac:dyDescent="0.2">
      <c r="C19" s="3"/>
      <c r="H19" s="6"/>
      <c r="I19" s="6"/>
      <c r="J19" s="6"/>
      <c r="K19" s="6"/>
      <c r="L19" s="6"/>
      <c r="M19" s="6"/>
      <c r="N19" s="6"/>
      <c r="O19" s="6"/>
      <c r="P19" s="6"/>
    </row>
    <row r="20" spans="1:17" x14ac:dyDescent="0.2">
      <c r="C20" s="3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">
      <c r="A21" s="13"/>
      <c r="B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5" customHeight="1" x14ac:dyDescent="0.2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</row>
    <row r="25" spans="1:17" ht="15" customHeight="1" x14ac:dyDescent="0.2">
      <c r="A25" s="1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</row>
    <row r="26" spans="1:1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3"/>
      <c r="C27" s="3"/>
      <c r="D27" s="4"/>
    </row>
    <row r="28" spans="1:17" ht="16.5" x14ac:dyDescent="0.35"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6.5" x14ac:dyDescent="0.35">
      <c r="C29" s="7" t="s">
        <v>58</v>
      </c>
      <c r="D29" s="7" t="s">
        <v>59</v>
      </c>
      <c r="E29" s="7" t="s">
        <v>60</v>
      </c>
      <c r="F29" s="8"/>
      <c r="G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C30" s="9">
        <v>2017</v>
      </c>
      <c r="D30" s="9">
        <v>2018</v>
      </c>
      <c r="E30" s="9">
        <v>2019</v>
      </c>
      <c r="F30" s="6"/>
      <c r="G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B31" s="3" t="s">
        <v>16</v>
      </c>
      <c r="C31" s="10">
        <f>((26158968.7+2240994.66)/(17552+4806))/12</f>
        <v>105.85310015803441</v>
      </c>
      <c r="D31" s="10">
        <f>((28972325.02+2434753.79)/(17603+4871))/12</f>
        <v>116.45708674468274</v>
      </c>
      <c r="E31" s="10">
        <f>((27597842.09+2443936.4)/(17616+4969))/12</f>
        <v>110.84709058372074</v>
      </c>
      <c r="F31" s="6"/>
      <c r="G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B32" s="3" t="s">
        <v>17</v>
      </c>
      <c r="C32" s="10">
        <f>((3217973.01+18261.97+286628.68)/(1532+5+255))/12</f>
        <v>163.82364490327382</v>
      </c>
      <c r="D32" s="10">
        <f>((3356685.72+20175.7+319180.75)/(1532+6+256))/12</f>
        <v>171.68534791898924</v>
      </c>
      <c r="E32" s="10">
        <f>((3277182.85+21070.99+309605.22)/(1556+6+256))/12</f>
        <v>165.3767445911258</v>
      </c>
      <c r="F32" s="6"/>
      <c r="G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2">
      <c r="B33" s="3" t="s">
        <v>61</v>
      </c>
      <c r="C33" s="10">
        <f>((7975914.71/200))/12</f>
        <v>3323.2977958333336</v>
      </c>
      <c r="D33" s="10">
        <f>(8347703.16/201)/12</f>
        <v>3460.9051243781091</v>
      </c>
      <c r="E33" s="10">
        <f>(7954696.86/203)/12</f>
        <v>3265.4749014778331</v>
      </c>
      <c r="F33" s="6"/>
      <c r="G33" s="6"/>
      <c r="I33" s="6"/>
      <c r="J33" s="6"/>
      <c r="K33" s="6"/>
      <c r="L33" s="6"/>
      <c r="M33" s="6"/>
      <c r="N33" s="6"/>
      <c r="O33" s="6"/>
      <c r="P33" s="6"/>
      <c r="Q33" s="6"/>
    </row>
    <row r="34" spans="2:17" x14ac:dyDescent="0.2">
      <c r="B34" s="3" t="s">
        <v>19</v>
      </c>
      <c r="C34" s="10">
        <f>((5904733.06+13241574.89+4212321.97+572629.2+6314344.9)/5)/12</f>
        <v>504093.40033333329</v>
      </c>
      <c r="D34" s="10">
        <f>((5214019.62+13072757.12+4293508.34+572876.66+5047267.94)/5)/12</f>
        <v>470007.16133333329</v>
      </c>
      <c r="E34" s="10">
        <f>((3546829.59+14053846.42+3868698.62+532265.02+3755476.59)/5)/12</f>
        <v>429285.27066666662</v>
      </c>
      <c r="F34" s="6"/>
      <c r="G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D35" s="6"/>
      <c r="E35" s="6"/>
      <c r="F35" s="6"/>
      <c r="G35" s="6"/>
      <c r="I35" s="6"/>
      <c r="J35" s="6"/>
      <c r="K35" s="6"/>
      <c r="L35" s="6"/>
      <c r="M35" s="6"/>
      <c r="N35" s="6"/>
      <c r="O35" s="6"/>
      <c r="P35" s="6"/>
      <c r="Q35" s="6"/>
    </row>
    <row r="36" spans="2:17" x14ac:dyDescent="0.2">
      <c r="D36" s="6"/>
      <c r="E36" s="6"/>
      <c r="F36" s="6"/>
      <c r="G36" s="6"/>
      <c r="I36" s="6"/>
      <c r="J36" s="6"/>
      <c r="K36" s="6"/>
      <c r="L36" s="6"/>
      <c r="M36" s="6"/>
      <c r="N36" s="6"/>
      <c r="O36" s="6"/>
      <c r="P36" s="6"/>
      <c r="Q36" s="6"/>
    </row>
    <row r="37" spans="2:17" x14ac:dyDescent="0.2">
      <c r="B37" s="11" t="s">
        <v>62</v>
      </c>
      <c r="C37" s="12" t="s">
        <v>7</v>
      </c>
      <c r="D37" s="12" t="s">
        <v>8</v>
      </c>
      <c r="E37" s="12" t="s">
        <v>9</v>
      </c>
      <c r="F37" s="12" t="s">
        <v>10</v>
      </c>
      <c r="G37" s="12" t="s">
        <v>11</v>
      </c>
      <c r="I37" s="6"/>
      <c r="J37" s="6"/>
      <c r="K37" s="6"/>
      <c r="L37" s="6"/>
      <c r="M37" s="6"/>
      <c r="N37" s="6"/>
      <c r="O37" s="6"/>
      <c r="P37" s="6"/>
      <c r="Q37" s="6"/>
    </row>
    <row r="38" spans="2:17" x14ac:dyDescent="0.2">
      <c r="B38" s="3" t="s">
        <v>16</v>
      </c>
      <c r="C38" s="15">
        <f>(2961285+239828.58)/(17676+5022)</f>
        <v>141.0306449907481</v>
      </c>
      <c r="D38" s="10">
        <f>(2679979.6+216017.56)/(17635+5008)</f>
        <v>127.89812127368282</v>
      </c>
      <c r="E38" s="10">
        <f>(2023473.88+185996.93)/(17621+5037)</f>
        <v>97.513938123400123</v>
      </c>
      <c r="F38" s="10">
        <f>(1853744.54+182870.49)/(17703+5051)</f>
        <v>89.505802496264394</v>
      </c>
      <c r="G38" s="10">
        <f>(1760440.87+181618.91)/(17668+5062)</f>
        <v>85.440377474703041</v>
      </c>
      <c r="I38" s="6"/>
      <c r="J38" s="6"/>
      <c r="K38" s="6"/>
      <c r="L38" s="6"/>
      <c r="M38" s="6"/>
      <c r="N38" s="6"/>
      <c r="O38" s="6"/>
      <c r="P38" s="6"/>
      <c r="Q38" s="6"/>
    </row>
    <row r="39" spans="2:17" x14ac:dyDescent="0.2">
      <c r="B39" s="3" t="s">
        <v>17</v>
      </c>
      <c r="C39" s="15">
        <f>(299446.64+1846.86+30325.54)/(1544+6+253)</f>
        <v>183.92625623960066</v>
      </c>
      <c r="D39" s="10">
        <f>(264531.25+1670.03+28625.66)/(1543+6+253)</f>
        <v>163.61095449500556</v>
      </c>
      <c r="E39" s="10">
        <f>(234606.91+1654.03+20642.9)/(1557+6+254)</f>
        <v>141.38901485965877</v>
      </c>
      <c r="F39" s="10">
        <f>(220036.18+1727.65+15984.16)/(1565+6+254)</f>
        <v>130.2728712328767</v>
      </c>
      <c r="G39" s="10">
        <f>(224576.65+1754.3+15831.51)/(1574+7+254)</f>
        <v>131.96864305177112</v>
      </c>
      <c r="I39" s="6"/>
      <c r="J39" s="6"/>
      <c r="K39" s="6"/>
      <c r="L39" s="6"/>
      <c r="M39" s="6"/>
      <c r="N39" s="6"/>
      <c r="O39" s="6"/>
      <c r="P39" s="6"/>
      <c r="Q39" s="6"/>
    </row>
    <row r="40" spans="2:17" x14ac:dyDescent="0.2">
      <c r="B40" s="3" t="s">
        <v>61</v>
      </c>
      <c r="C40" s="15">
        <f>693870.18/202</f>
        <v>3435.0008910891092</v>
      </c>
      <c r="D40" s="10">
        <f>572823.6/200</f>
        <v>2864.1179999999999</v>
      </c>
      <c r="E40" s="10">
        <f>538648.46/199</f>
        <v>2706.7761809045223</v>
      </c>
      <c r="F40" s="10">
        <f>432025.53/201</f>
        <v>2149.3807462686568</v>
      </c>
      <c r="G40" s="10">
        <f>487437.98/204</f>
        <v>2389.4018627450978</v>
      </c>
      <c r="I40" s="6"/>
      <c r="J40" s="6"/>
      <c r="K40" s="6"/>
      <c r="L40" s="6"/>
      <c r="M40" s="6"/>
      <c r="N40" s="6"/>
      <c r="O40" s="6"/>
      <c r="P40" s="6"/>
      <c r="Q40" s="6"/>
    </row>
    <row r="41" spans="2:17" x14ac:dyDescent="0.2">
      <c r="B41" s="3" t="s">
        <v>19</v>
      </c>
      <c r="C41" s="15">
        <f>(1265405.39+302802.24+46963.03+345864.4+204305.36)/5</f>
        <v>433068.08399999997</v>
      </c>
      <c r="D41" s="10">
        <f>(186050.92+1058185.15+264325.33+37752.3+422781.24)/5</f>
        <v>393818.98800000001</v>
      </c>
      <c r="E41" s="10">
        <f>(182691.53+1135530.88+238608+38463.76+446026.45)/5</f>
        <v>408264.12399999995</v>
      </c>
      <c r="F41" s="10">
        <f>(180134.1+1046401.41+223663.59+39077.68+384880.2)/5</f>
        <v>374831.39600000001</v>
      </c>
      <c r="G41" s="10">
        <f>(178569.95+1024401.74+216474.63+39972.73+520573.75)/5</f>
        <v>395998.55999999994</v>
      </c>
      <c r="I41" s="6"/>
      <c r="J41" s="6"/>
      <c r="K41" s="6"/>
      <c r="L41" s="6"/>
      <c r="M41" s="6"/>
      <c r="N41" s="6"/>
      <c r="O41" s="6"/>
      <c r="P41" s="6"/>
      <c r="Q41" s="6"/>
    </row>
  </sheetData>
  <mergeCells count="8">
    <mergeCell ref="B26:Q26"/>
    <mergeCell ref="E28:Q28"/>
    <mergeCell ref="A3:L3"/>
    <mergeCell ref="A4:L4"/>
    <mergeCell ref="A5:L5"/>
    <mergeCell ref="D7:P7"/>
    <mergeCell ref="A24:L24"/>
    <mergeCell ref="A25:L25"/>
  </mergeCells>
  <printOptions horizontalCentered="1"/>
  <pageMargins left="0.7" right="0.7" top="0.75" bottom="0.75" header="0.3" footer="0.3"/>
  <pageSetup scale="75" orientation="landscape" r:id="rId1"/>
  <headerFooter>
    <oddFooter>&amp;R&amp;"Arial,Regular"Case No. 2020-00085
Attachment to Response to Question No. 5 (a-d) and 6 (a-d)
Page &amp;P of &amp;N
Hazelrigg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0"/>
  <sheetViews>
    <sheetView showGridLines="0" zoomScaleNormal="100" zoomScaleSheetLayoutView="75" workbookViewId="0"/>
  </sheetViews>
  <sheetFormatPr defaultColWidth="8" defaultRowHeight="14.25" x14ac:dyDescent="0.2"/>
  <cols>
    <col min="1" max="1" width="2.25" style="3" bestFit="1" customWidth="1"/>
    <col min="2" max="2" width="10.75" style="4" bestFit="1" customWidth="1"/>
    <col min="3" max="3" width="11.75" style="3" bestFit="1" customWidth="1"/>
    <col min="4" max="4" width="11.75" style="3" customWidth="1"/>
    <col min="5" max="5" width="10.375" style="3" bestFit="1" customWidth="1"/>
    <col min="6" max="6" width="8.5" style="3" bestFit="1" customWidth="1"/>
    <col min="7" max="7" width="10.75" style="3" bestFit="1" customWidth="1"/>
    <col min="8" max="8" width="9" style="3" bestFit="1" customWidth="1"/>
    <col min="9" max="9" width="11.625" style="3" bestFit="1" customWidth="1"/>
    <col min="10" max="11" width="8.5" style="3" bestFit="1" customWidth="1"/>
    <col min="12" max="12" width="10.75" style="3" bestFit="1" customWidth="1"/>
    <col min="13" max="13" width="9.25" style="3" bestFit="1" customWidth="1"/>
    <col min="14" max="14" width="9.5" style="3" bestFit="1" customWidth="1"/>
    <col min="15" max="15" width="10.375" style="3" bestFit="1" customWidth="1"/>
    <col min="16" max="16384" width="8" style="3"/>
  </cols>
  <sheetData>
    <row r="4" spans="1:16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">
      <c r="C7" s="16" t="s">
        <v>22</v>
      </c>
      <c r="D7" s="16"/>
      <c r="G7" s="4"/>
      <c r="H7" s="16" t="s">
        <v>23</v>
      </c>
      <c r="I7" s="16"/>
      <c r="L7" s="4"/>
      <c r="M7" s="16" t="s">
        <v>24</v>
      </c>
      <c r="N7" s="16"/>
    </row>
    <row r="8" spans="1:16" s="4" customFormat="1" ht="49.5" x14ac:dyDescent="0.35">
      <c r="B8" s="4">
        <v>2017</v>
      </c>
      <c r="C8" s="17" t="s">
        <v>25</v>
      </c>
      <c r="D8" s="17" t="s">
        <v>26</v>
      </c>
      <c r="E8" s="17" t="s">
        <v>27</v>
      </c>
      <c r="F8" s="18"/>
      <c r="G8" s="4">
        <v>2018</v>
      </c>
      <c r="H8" s="17" t="s">
        <v>25</v>
      </c>
      <c r="I8" s="17" t="s">
        <v>26</v>
      </c>
      <c r="J8" s="17" t="s">
        <v>27</v>
      </c>
      <c r="K8" s="18"/>
      <c r="L8" s="4">
        <v>2019</v>
      </c>
      <c r="M8" s="17" t="s">
        <v>25</v>
      </c>
      <c r="N8" s="17" t="s">
        <v>26</v>
      </c>
      <c r="O8" s="17" t="s">
        <v>27</v>
      </c>
      <c r="P8" s="19"/>
    </row>
    <row r="9" spans="1:16" x14ac:dyDescent="0.2">
      <c r="A9" s="13"/>
      <c r="B9" s="4" t="s">
        <v>28</v>
      </c>
      <c r="C9" s="20">
        <v>24303</v>
      </c>
      <c r="D9" s="6">
        <v>4752</v>
      </c>
      <c r="E9" s="6"/>
      <c r="F9" s="6"/>
      <c r="G9" s="4" t="s">
        <v>28</v>
      </c>
      <c r="H9" s="20">
        <v>24313</v>
      </c>
      <c r="I9" s="6">
        <v>4737</v>
      </c>
      <c r="J9" s="6"/>
      <c r="K9" s="6"/>
      <c r="L9" s="4" t="s">
        <v>28</v>
      </c>
      <c r="M9" s="20">
        <v>24409</v>
      </c>
      <c r="N9" s="6">
        <v>4368</v>
      </c>
      <c r="O9" s="6"/>
    </row>
    <row r="10" spans="1:16" x14ac:dyDescent="0.2">
      <c r="B10" s="4" t="s">
        <v>29</v>
      </c>
      <c r="C10" s="20">
        <v>24345</v>
      </c>
      <c r="D10" s="6">
        <v>4390</v>
      </c>
      <c r="E10" s="6"/>
      <c r="F10" s="6"/>
      <c r="G10" s="4" t="s">
        <v>29</v>
      </c>
      <c r="H10" s="20">
        <v>24452</v>
      </c>
      <c r="I10" s="6">
        <v>4551</v>
      </c>
      <c r="J10" s="6"/>
      <c r="K10" s="6"/>
      <c r="L10" s="4" t="s">
        <v>29</v>
      </c>
      <c r="M10" s="20">
        <v>24567</v>
      </c>
      <c r="N10" s="6">
        <v>4327</v>
      </c>
      <c r="O10" s="6"/>
    </row>
    <row r="11" spans="1:16" x14ac:dyDescent="0.2">
      <c r="B11" s="4" t="s">
        <v>30</v>
      </c>
      <c r="C11" s="20">
        <v>24355</v>
      </c>
      <c r="D11" s="6">
        <v>3922</v>
      </c>
      <c r="E11" s="6"/>
      <c r="F11" s="6"/>
      <c r="G11" s="4" t="s">
        <v>30</v>
      </c>
      <c r="H11" s="20">
        <v>24421</v>
      </c>
      <c r="I11" s="6">
        <v>4146</v>
      </c>
      <c r="J11" s="6"/>
      <c r="K11" s="6"/>
      <c r="L11" s="4" t="s">
        <v>30</v>
      </c>
      <c r="M11" s="20">
        <v>24507</v>
      </c>
      <c r="N11" s="6">
        <v>3843</v>
      </c>
      <c r="O11" s="6"/>
    </row>
    <row r="12" spans="1:16" x14ac:dyDescent="0.2">
      <c r="B12" s="4" t="s">
        <v>31</v>
      </c>
      <c r="C12" s="20">
        <v>23990</v>
      </c>
      <c r="D12" s="6">
        <v>4158</v>
      </c>
      <c r="E12" s="6"/>
      <c r="F12" s="6"/>
      <c r="G12" s="4" t="s">
        <v>31</v>
      </c>
      <c r="H12" s="20">
        <v>24297</v>
      </c>
      <c r="I12" s="6">
        <v>4114</v>
      </c>
      <c r="J12" s="6"/>
      <c r="K12" s="6"/>
      <c r="L12" s="4" t="s">
        <v>31</v>
      </c>
      <c r="M12" s="20">
        <v>24563</v>
      </c>
      <c r="N12" s="6">
        <v>4132</v>
      </c>
      <c r="O12" s="6"/>
    </row>
    <row r="13" spans="1:16" x14ac:dyDescent="0.2">
      <c r="B13" s="4" t="s">
        <v>32</v>
      </c>
      <c r="C13" s="20">
        <v>24387</v>
      </c>
      <c r="D13" s="6">
        <v>4104</v>
      </c>
      <c r="E13" s="6"/>
      <c r="F13" s="6"/>
      <c r="G13" s="4" t="s">
        <v>32</v>
      </c>
      <c r="H13" s="20">
        <v>24494</v>
      </c>
      <c r="I13" s="6">
        <v>4047</v>
      </c>
      <c r="J13" s="6"/>
      <c r="K13" s="6"/>
      <c r="L13" s="4" t="s">
        <v>32</v>
      </c>
      <c r="M13" s="20">
        <v>24541</v>
      </c>
      <c r="N13" s="6">
        <v>3851</v>
      </c>
      <c r="O13" s="6"/>
    </row>
    <row r="14" spans="1:16" x14ac:dyDescent="0.2">
      <c r="B14" s="4" t="s">
        <v>33</v>
      </c>
      <c r="C14" s="20">
        <v>24383</v>
      </c>
      <c r="D14" s="6">
        <v>4339</v>
      </c>
      <c r="G14" s="4" t="s">
        <v>33</v>
      </c>
      <c r="H14" s="20">
        <v>24361</v>
      </c>
      <c r="I14" s="6">
        <v>4302</v>
      </c>
      <c r="L14" s="4" t="s">
        <v>33</v>
      </c>
      <c r="M14" s="20">
        <v>24666</v>
      </c>
      <c r="N14" s="6">
        <v>3979</v>
      </c>
    </row>
    <row r="15" spans="1:16" x14ac:dyDescent="0.2">
      <c r="B15" s="4" t="s">
        <v>34</v>
      </c>
      <c r="C15" s="20">
        <v>24430</v>
      </c>
      <c r="D15" s="6">
        <v>4142</v>
      </c>
      <c r="G15" s="4" t="s">
        <v>34</v>
      </c>
      <c r="H15" s="20">
        <v>24539</v>
      </c>
      <c r="I15" s="6">
        <v>4206</v>
      </c>
      <c r="L15" s="4" t="s">
        <v>34</v>
      </c>
      <c r="M15" s="20">
        <v>24612</v>
      </c>
      <c r="N15" s="6">
        <v>4328</v>
      </c>
    </row>
    <row r="16" spans="1:16" x14ac:dyDescent="0.2">
      <c r="B16" s="4" t="s">
        <v>35</v>
      </c>
      <c r="C16" s="20">
        <v>24391</v>
      </c>
      <c r="D16" s="6">
        <v>4065</v>
      </c>
      <c r="G16" s="4" t="s">
        <v>35</v>
      </c>
      <c r="H16" s="20">
        <v>24586</v>
      </c>
      <c r="I16" s="6">
        <v>4089</v>
      </c>
      <c r="L16" s="4" t="s">
        <v>35</v>
      </c>
      <c r="M16" s="20">
        <v>24637</v>
      </c>
      <c r="N16" s="6">
        <v>4080</v>
      </c>
    </row>
    <row r="17" spans="2:15" x14ac:dyDescent="0.2">
      <c r="B17" s="4" t="s">
        <v>36</v>
      </c>
      <c r="C17" s="20">
        <v>24408</v>
      </c>
      <c r="D17" s="6">
        <v>4139</v>
      </c>
      <c r="G17" s="4" t="s">
        <v>36</v>
      </c>
      <c r="H17" s="20">
        <v>24422</v>
      </c>
      <c r="I17" s="6">
        <v>4147</v>
      </c>
      <c r="L17" s="4" t="s">
        <v>36</v>
      </c>
      <c r="M17" s="20">
        <v>24777</v>
      </c>
      <c r="N17" s="6">
        <v>4136</v>
      </c>
    </row>
    <row r="18" spans="2:15" x14ac:dyDescent="0.2">
      <c r="B18" s="4" t="s">
        <v>37</v>
      </c>
      <c r="C18" s="20">
        <v>24385</v>
      </c>
      <c r="D18" s="6">
        <v>4210</v>
      </c>
      <c r="G18" s="4" t="s">
        <v>37</v>
      </c>
      <c r="H18" s="20">
        <v>24681</v>
      </c>
      <c r="I18" s="6">
        <v>4316</v>
      </c>
      <c r="L18" s="4" t="s">
        <v>37</v>
      </c>
      <c r="M18" s="20">
        <v>24729</v>
      </c>
      <c r="N18" s="6">
        <v>3992</v>
      </c>
    </row>
    <row r="19" spans="2:15" x14ac:dyDescent="0.2">
      <c r="B19" s="4" t="s">
        <v>38</v>
      </c>
      <c r="C19" s="20">
        <v>24519</v>
      </c>
      <c r="D19" s="6">
        <v>3797</v>
      </c>
      <c r="G19" s="4" t="s">
        <v>38</v>
      </c>
      <c r="H19" s="20">
        <v>24532</v>
      </c>
      <c r="I19" s="6">
        <v>4135</v>
      </c>
      <c r="L19" s="4" t="s">
        <v>38</v>
      </c>
      <c r="M19" s="20">
        <v>24695</v>
      </c>
      <c r="N19" s="6">
        <v>3791</v>
      </c>
    </row>
    <row r="20" spans="2:15" x14ac:dyDescent="0.2">
      <c r="B20" s="4" t="s">
        <v>39</v>
      </c>
      <c r="C20" s="21">
        <v>24366</v>
      </c>
      <c r="D20" s="22">
        <v>4059</v>
      </c>
      <c r="G20" s="4" t="s">
        <v>39</v>
      </c>
      <c r="H20" s="21">
        <v>24583</v>
      </c>
      <c r="I20" s="22">
        <v>4275</v>
      </c>
      <c r="L20" s="4" t="s">
        <v>39</v>
      </c>
      <c r="M20" s="21">
        <v>24629</v>
      </c>
      <c r="N20" s="22">
        <v>4191</v>
      </c>
    </row>
    <row r="21" spans="2:15" x14ac:dyDescent="0.2">
      <c r="C21" s="20">
        <f>SUM(C9:C20)</f>
        <v>292262</v>
      </c>
      <c r="D21" s="6">
        <f>SUM(D9:D20)</f>
        <v>50077</v>
      </c>
      <c r="E21" s="23">
        <f>100%-(D21/C21)</f>
        <v>0.82865716377770626</v>
      </c>
      <c r="G21" s="4"/>
      <c r="H21" s="20">
        <f>SUM(H9:H20)</f>
        <v>293681</v>
      </c>
      <c r="I21" s="6">
        <f>SUM(I9:I20)</f>
        <v>51065</v>
      </c>
      <c r="J21" s="23">
        <f>100%-(I21/H21)</f>
        <v>0.82612085902731192</v>
      </c>
      <c r="L21" s="4"/>
      <c r="M21" s="20">
        <f>SUM(M9:M20)</f>
        <v>295332</v>
      </c>
      <c r="N21" s="6">
        <f>SUM(N9:N20)</f>
        <v>49018</v>
      </c>
      <c r="O21" s="23">
        <f>100%-(N21/M21)</f>
        <v>0.83402408137282791</v>
      </c>
    </row>
    <row r="24" spans="2:15" x14ac:dyDescent="0.2">
      <c r="C24" s="16" t="s">
        <v>40</v>
      </c>
      <c r="D24" s="16"/>
    </row>
    <row r="25" spans="2:15" ht="33" x14ac:dyDescent="0.35">
      <c r="B25" s="4">
        <v>2020</v>
      </c>
      <c r="C25" s="17" t="s">
        <v>25</v>
      </c>
      <c r="D25" s="17" t="s">
        <v>26</v>
      </c>
      <c r="E25" s="17" t="s">
        <v>27</v>
      </c>
    </row>
    <row r="26" spans="2:15" x14ac:dyDescent="0.2">
      <c r="B26" s="4" t="s">
        <v>28</v>
      </c>
      <c r="C26" s="20">
        <v>24708</v>
      </c>
      <c r="D26" s="6">
        <v>4103</v>
      </c>
      <c r="E26" s="23">
        <f>100%-(D26/C26)</f>
        <v>0.83394042415412017</v>
      </c>
    </row>
    <row r="27" spans="2:15" x14ac:dyDescent="0.2">
      <c r="B27" s="4" t="s">
        <v>29</v>
      </c>
      <c r="C27" s="20">
        <v>24650</v>
      </c>
      <c r="D27" s="6">
        <v>4294</v>
      </c>
      <c r="E27" s="23">
        <f t="shared" ref="E27:E30" si="0">100%-(D27/C27)</f>
        <v>0.82580121703853959</v>
      </c>
    </row>
    <row r="28" spans="2:15" x14ac:dyDescent="0.2">
      <c r="B28" s="4" t="s">
        <v>30</v>
      </c>
      <c r="C28" s="20">
        <v>24679</v>
      </c>
      <c r="D28" s="6">
        <v>4192</v>
      </c>
      <c r="E28" s="23">
        <f t="shared" si="0"/>
        <v>0.83013898456177315</v>
      </c>
    </row>
    <row r="29" spans="2:15" x14ac:dyDescent="0.2">
      <c r="B29" s="4" t="s">
        <v>31</v>
      </c>
      <c r="C29" s="20">
        <v>24785</v>
      </c>
      <c r="D29" s="6">
        <v>3378</v>
      </c>
      <c r="E29" s="23">
        <f t="shared" si="0"/>
        <v>0.86370788783538432</v>
      </c>
    </row>
    <row r="30" spans="2:15" x14ac:dyDescent="0.2">
      <c r="B30" s="4" t="s">
        <v>32</v>
      </c>
      <c r="C30" s="20">
        <v>24774</v>
      </c>
      <c r="D30" s="6">
        <v>3164</v>
      </c>
      <c r="E30" s="23">
        <f t="shared" si="0"/>
        <v>0.87228546056349399</v>
      </c>
    </row>
  </sheetData>
  <mergeCells count="7">
    <mergeCell ref="C24:D24"/>
    <mergeCell ref="A4:O4"/>
    <mergeCell ref="A5:O5"/>
    <mergeCell ref="A6:O6"/>
    <mergeCell ref="C7:D7"/>
    <mergeCell ref="H7:I7"/>
    <mergeCell ref="M7:N7"/>
  </mergeCells>
  <printOptions horizontalCentered="1"/>
  <pageMargins left="0.7" right="0.7" top="0.75" bottom="0.75" header="0.3" footer="0.3"/>
  <pageSetup scale="79" fitToHeight="0" orientation="landscape" r:id="rId1"/>
  <headerFooter>
    <oddFooter>&amp;R&amp;"Arial,Regular"Case No. 2020-00085
Attachment to Response to Question No. 9 (a-d)
Page &amp;P of &amp;N
Hazelrigg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3"/>
  <sheetViews>
    <sheetView showGridLines="0" zoomScaleNormal="100" workbookViewId="0"/>
  </sheetViews>
  <sheetFormatPr defaultColWidth="8" defaultRowHeight="14.25" x14ac:dyDescent="0.2"/>
  <cols>
    <col min="1" max="1" width="4.375" style="3" bestFit="1" customWidth="1"/>
    <col min="2" max="2" width="33" style="3" bestFit="1" customWidth="1"/>
    <col min="3" max="3" width="5.625" style="4" bestFit="1" customWidth="1"/>
    <col min="4" max="4" width="9.625" style="3" bestFit="1" customWidth="1"/>
    <col min="5" max="5" width="8.5" style="3" bestFit="1" customWidth="1"/>
    <col min="6" max="6" width="9.25" style="3" bestFit="1" customWidth="1"/>
    <col min="7" max="12" width="8.5" style="3" bestFit="1" customWidth="1"/>
    <col min="13" max="13" width="11" style="3" bestFit="1" customWidth="1"/>
    <col min="14" max="14" width="8.625" style="3" bestFit="1" customWidth="1"/>
    <col min="15" max="15" width="10.625" style="3" bestFit="1" customWidth="1"/>
    <col min="16" max="16" width="10.375" style="3" bestFit="1" customWidth="1"/>
    <col min="17" max="16384" width="8" style="3"/>
  </cols>
  <sheetData>
    <row r="4" spans="1:17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7" ht="16.5" x14ac:dyDescent="0.3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6.5" x14ac:dyDescent="0.35">
      <c r="C9" s="18" t="s">
        <v>43</v>
      </c>
      <c r="D9" s="8" t="s">
        <v>44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  <c r="J9" s="8" t="s">
        <v>33</v>
      </c>
      <c r="K9" s="8" t="s">
        <v>34</v>
      </c>
      <c r="L9" s="8" t="s">
        <v>35</v>
      </c>
      <c r="M9" s="8" t="s">
        <v>36</v>
      </c>
      <c r="N9" s="8" t="s">
        <v>37</v>
      </c>
      <c r="O9" s="8" t="s">
        <v>38</v>
      </c>
      <c r="P9" s="8" t="s">
        <v>39</v>
      </c>
      <c r="Q9" s="6"/>
    </row>
    <row r="10" spans="1:17" x14ac:dyDescent="0.2">
      <c r="A10" s="3" t="s">
        <v>45</v>
      </c>
      <c r="B10" s="3" t="s">
        <v>46</v>
      </c>
      <c r="C10" s="4">
        <v>2015</v>
      </c>
      <c r="D10" s="6">
        <f>SUM(E10:P10)</f>
        <v>52513</v>
      </c>
      <c r="E10" s="6">
        <v>5462</v>
      </c>
      <c r="F10" s="6">
        <v>5733</v>
      </c>
      <c r="G10" s="6">
        <v>5205</v>
      </c>
      <c r="H10" s="6">
        <v>4703</v>
      </c>
      <c r="I10" s="6">
        <v>4736</v>
      </c>
      <c r="J10" s="6">
        <v>4899</v>
      </c>
      <c r="K10" s="6">
        <v>6704</v>
      </c>
      <c r="L10" s="6">
        <v>5073</v>
      </c>
      <c r="M10" s="6">
        <v>5069</v>
      </c>
      <c r="N10" s="6">
        <v>4929</v>
      </c>
      <c r="O10" s="19" t="s">
        <v>47</v>
      </c>
      <c r="P10" s="19" t="s">
        <v>47</v>
      </c>
      <c r="Q10" s="6"/>
    </row>
    <row r="11" spans="1:17" x14ac:dyDescent="0.2">
      <c r="C11" s="4">
        <v>2016</v>
      </c>
      <c r="D11" s="6">
        <f t="shared" ref="D11:D20" si="0">SUM(E11:P11)</f>
        <v>54831</v>
      </c>
      <c r="E11" s="6">
        <v>4958</v>
      </c>
      <c r="F11" s="6">
        <v>4795</v>
      </c>
      <c r="G11" s="6">
        <v>4750</v>
      </c>
      <c r="H11" s="6">
        <v>4667</v>
      </c>
      <c r="I11" s="6">
        <v>4595</v>
      </c>
      <c r="J11" s="6">
        <v>4557</v>
      </c>
      <c r="K11" s="6">
        <v>4699</v>
      </c>
      <c r="L11" s="6">
        <v>4520</v>
      </c>
      <c r="M11" s="6">
        <v>4317</v>
      </c>
      <c r="N11" s="6">
        <v>4348</v>
      </c>
      <c r="O11" s="6">
        <v>4185</v>
      </c>
      <c r="P11" s="6">
        <v>4440</v>
      </c>
      <c r="Q11" s="6"/>
    </row>
    <row r="12" spans="1:17" x14ac:dyDescent="0.2">
      <c r="C12" s="4">
        <v>2017</v>
      </c>
      <c r="D12" s="6">
        <f t="shared" si="0"/>
        <v>50077</v>
      </c>
      <c r="E12" s="6">
        <v>4752</v>
      </c>
      <c r="F12" s="6">
        <v>4390</v>
      </c>
      <c r="G12" s="6">
        <v>3922</v>
      </c>
      <c r="H12" s="6">
        <v>4158</v>
      </c>
      <c r="I12" s="6">
        <v>4104</v>
      </c>
      <c r="J12" s="6">
        <v>4339</v>
      </c>
      <c r="K12" s="6">
        <v>4142</v>
      </c>
      <c r="L12" s="6">
        <v>4065</v>
      </c>
      <c r="M12" s="6">
        <v>4139</v>
      </c>
      <c r="N12" s="6">
        <v>4210</v>
      </c>
      <c r="O12" s="6">
        <v>3797</v>
      </c>
      <c r="P12" s="6">
        <v>4059</v>
      </c>
      <c r="Q12" s="6"/>
    </row>
    <row r="13" spans="1:17" x14ac:dyDescent="0.2">
      <c r="C13" s="4">
        <v>2018</v>
      </c>
      <c r="D13" s="6">
        <f t="shared" si="0"/>
        <v>51065</v>
      </c>
      <c r="E13" s="6">
        <v>4737</v>
      </c>
      <c r="F13" s="6">
        <v>4551</v>
      </c>
      <c r="G13" s="6">
        <v>4146</v>
      </c>
      <c r="H13" s="6">
        <v>4114</v>
      </c>
      <c r="I13" s="6">
        <v>4047</v>
      </c>
      <c r="J13" s="6">
        <v>4302</v>
      </c>
      <c r="K13" s="6">
        <v>4206</v>
      </c>
      <c r="L13" s="6">
        <v>4089</v>
      </c>
      <c r="M13" s="6">
        <v>4147</v>
      </c>
      <c r="N13" s="6">
        <v>4316</v>
      </c>
      <c r="O13" s="6">
        <v>4135</v>
      </c>
      <c r="P13" s="6">
        <v>4275</v>
      </c>
      <c r="Q13" s="6"/>
    </row>
    <row r="14" spans="1:17" x14ac:dyDescent="0.2">
      <c r="C14" s="4">
        <v>2019</v>
      </c>
      <c r="D14" s="6">
        <f t="shared" si="0"/>
        <v>49018</v>
      </c>
      <c r="E14" s="6">
        <v>4368</v>
      </c>
      <c r="F14" s="6">
        <v>4327</v>
      </c>
      <c r="G14" s="6">
        <v>3843</v>
      </c>
      <c r="H14" s="6">
        <v>4132</v>
      </c>
      <c r="I14" s="6">
        <v>3851</v>
      </c>
      <c r="J14" s="6">
        <v>3979</v>
      </c>
      <c r="K14" s="6">
        <v>4328</v>
      </c>
      <c r="L14" s="6">
        <v>4080</v>
      </c>
      <c r="M14" s="6">
        <v>4136</v>
      </c>
      <c r="N14" s="6">
        <v>3992</v>
      </c>
      <c r="O14" s="6">
        <v>3791</v>
      </c>
      <c r="P14" s="6">
        <v>4191</v>
      </c>
    </row>
    <row r="15" spans="1:17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x14ac:dyDescent="0.2">
      <c r="A16" s="3" t="s">
        <v>48</v>
      </c>
      <c r="B16" s="3" t="s">
        <v>49</v>
      </c>
      <c r="C16" s="4">
        <v>2015</v>
      </c>
      <c r="D16" s="6">
        <f t="shared" si="0"/>
        <v>1561</v>
      </c>
      <c r="E16" s="6">
        <v>158</v>
      </c>
      <c r="F16" s="6">
        <v>58</v>
      </c>
      <c r="G16" s="6">
        <v>212</v>
      </c>
      <c r="H16" s="6">
        <v>165</v>
      </c>
      <c r="I16" s="6">
        <v>171</v>
      </c>
      <c r="J16" s="6">
        <v>100</v>
      </c>
      <c r="K16" s="6">
        <v>58</v>
      </c>
      <c r="L16" s="6">
        <v>126</v>
      </c>
      <c r="M16" s="6">
        <v>166</v>
      </c>
      <c r="N16" s="6">
        <v>108</v>
      </c>
      <c r="O16" s="6">
        <v>137</v>
      </c>
      <c r="P16" s="6">
        <v>102</v>
      </c>
    </row>
    <row r="17" spans="1:16" x14ac:dyDescent="0.2">
      <c r="C17" s="4">
        <v>2016</v>
      </c>
      <c r="D17" s="6">
        <f t="shared" si="0"/>
        <v>1437</v>
      </c>
      <c r="E17" s="6">
        <v>59</v>
      </c>
      <c r="F17" s="6">
        <v>100</v>
      </c>
      <c r="G17" s="6">
        <v>166</v>
      </c>
      <c r="H17" s="6">
        <v>137</v>
      </c>
      <c r="I17" s="6">
        <v>126</v>
      </c>
      <c r="J17" s="6">
        <v>156</v>
      </c>
      <c r="K17" s="6">
        <v>94</v>
      </c>
      <c r="L17" s="6">
        <v>136</v>
      </c>
      <c r="M17" s="6">
        <v>123</v>
      </c>
      <c r="N17" s="6">
        <v>143</v>
      </c>
      <c r="O17" s="6">
        <v>157</v>
      </c>
      <c r="P17" s="6">
        <v>40</v>
      </c>
    </row>
    <row r="18" spans="1:16" x14ac:dyDescent="0.2">
      <c r="C18" s="4">
        <v>2017</v>
      </c>
      <c r="D18" s="6">
        <f t="shared" si="0"/>
        <v>1479</v>
      </c>
      <c r="E18" s="6">
        <v>117</v>
      </c>
      <c r="F18" s="6">
        <v>157</v>
      </c>
      <c r="G18" s="6">
        <v>100</v>
      </c>
      <c r="H18" s="6">
        <v>131</v>
      </c>
      <c r="I18" s="6">
        <v>152</v>
      </c>
      <c r="J18" s="6">
        <v>97</v>
      </c>
      <c r="K18" s="6">
        <v>121</v>
      </c>
      <c r="L18" s="6">
        <v>138</v>
      </c>
      <c r="M18" s="6">
        <v>132</v>
      </c>
      <c r="N18" s="6">
        <v>154</v>
      </c>
      <c r="O18" s="6">
        <v>127</v>
      </c>
      <c r="P18" s="6">
        <v>53</v>
      </c>
    </row>
    <row r="19" spans="1:16" x14ac:dyDescent="0.2">
      <c r="C19" s="4">
        <v>2018</v>
      </c>
      <c r="D19" s="6">
        <f t="shared" si="0"/>
        <v>2137</v>
      </c>
      <c r="E19" s="6">
        <v>127</v>
      </c>
      <c r="F19" s="6">
        <v>157</v>
      </c>
      <c r="G19" s="6">
        <v>129</v>
      </c>
      <c r="H19" s="6">
        <v>232</v>
      </c>
      <c r="I19" s="6">
        <v>231</v>
      </c>
      <c r="J19" s="6">
        <v>136</v>
      </c>
      <c r="K19" s="6">
        <v>163</v>
      </c>
      <c r="L19" s="6">
        <v>370</v>
      </c>
      <c r="M19" s="6">
        <v>148</v>
      </c>
      <c r="N19" s="6">
        <v>190</v>
      </c>
      <c r="O19" s="6">
        <v>105</v>
      </c>
      <c r="P19" s="6">
        <v>149</v>
      </c>
    </row>
    <row r="20" spans="1:16" x14ac:dyDescent="0.2">
      <c r="C20" s="4">
        <v>2019</v>
      </c>
      <c r="D20" s="6">
        <f t="shared" si="0"/>
        <v>2069</v>
      </c>
      <c r="E20" s="6">
        <v>165</v>
      </c>
      <c r="F20" s="6">
        <v>132</v>
      </c>
      <c r="G20" s="6">
        <v>159</v>
      </c>
      <c r="H20" s="6">
        <v>192</v>
      </c>
      <c r="I20" s="6">
        <v>239</v>
      </c>
      <c r="J20" s="6">
        <v>123</v>
      </c>
      <c r="K20" s="6">
        <v>156</v>
      </c>
      <c r="L20" s="6">
        <v>114</v>
      </c>
      <c r="M20" s="6">
        <v>189</v>
      </c>
      <c r="N20" s="6">
        <v>210</v>
      </c>
      <c r="O20" s="6">
        <v>232</v>
      </c>
      <c r="P20" s="6">
        <v>158</v>
      </c>
    </row>
    <row r="21" spans="1:16" x14ac:dyDescent="0.2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8.5" x14ac:dyDescent="0.2">
      <c r="A22" s="13" t="s">
        <v>50</v>
      </c>
      <c r="B22" s="14" t="s">
        <v>51</v>
      </c>
      <c r="C22" s="4">
        <v>2015</v>
      </c>
      <c r="D22" s="6"/>
      <c r="E22" s="6">
        <v>23947</v>
      </c>
      <c r="F22" s="6">
        <v>23957</v>
      </c>
      <c r="G22" s="6">
        <v>23941</v>
      </c>
      <c r="H22" s="6">
        <v>23946</v>
      </c>
      <c r="I22" s="6">
        <v>24060</v>
      </c>
      <c r="J22" s="6">
        <v>23896</v>
      </c>
      <c r="K22" s="6">
        <v>23965</v>
      </c>
      <c r="L22" s="6">
        <v>24024</v>
      </c>
      <c r="M22" s="6">
        <v>24121</v>
      </c>
      <c r="N22" s="6">
        <v>24167</v>
      </c>
      <c r="O22" s="6">
        <v>24072</v>
      </c>
      <c r="P22" s="6">
        <v>24023</v>
      </c>
    </row>
    <row r="23" spans="1:16" x14ac:dyDescent="0.2">
      <c r="C23" s="4">
        <v>2016</v>
      </c>
      <c r="D23" s="6"/>
      <c r="E23" s="6">
        <v>24015</v>
      </c>
      <c r="F23" s="6">
        <v>24127</v>
      </c>
      <c r="G23" s="6">
        <v>24186</v>
      </c>
      <c r="H23" s="6">
        <v>24131</v>
      </c>
      <c r="I23" s="6">
        <v>24175</v>
      </c>
      <c r="J23" s="6">
        <v>24217</v>
      </c>
      <c r="K23" s="6">
        <v>24233</v>
      </c>
      <c r="L23" s="6">
        <v>24278</v>
      </c>
      <c r="M23" s="6">
        <v>24332</v>
      </c>
      <c r="N23" s="6">
        <v>24334</v>
      </c>
      <c r="O23" s="6">
        <v>24330</v>
      </c>
      <c r="P23" s="6">
        <v>24266</v>
      </c>
    </row>
    <row r="24" spans="1:16" x14ac:dyDescent="0.2">
      <c r="C24" s="4">
        <v>2017</v>
      </c>
      <c r="D24" s="6"/>
      <c r="E24" s="6">
        <v>24303</v>
      </c>
      <c r="F24" s="6">
        <v>24345</v>
      </c>
      <c r="G24" s="6">
        <v>24355</v>
      </c>
      <c r="H24" s="6">
        <v>23990</v>
      </c>
      <c r="I24" s="6">
        <v>24387</v>
      </c>
      <c r="J24" s="6">
        <v>24383</v>
      </c>
      <c r="K24" s="6">
        <v>24430</v>
      </c>
      <c r="L24" s="6">
        <v>24391</v>
      </c>
      <c r="M24" s="6">
        <v>24408</v>
      </c>
      <c r="N24" s="6">
        <v>24385</v>
      </c>
      <c r="O24" s="6">
        <v>24519</v>
      </c>
      <c r="P24" s="6">
        <v>24366</v>
      </c>
    </row>
    <row r="25" spans="1:16" x14ac:dyDescent="0.2">
      <c r="C25" s="4">
        <v>2018</v>
      </c>
      <c r="D25" s="6"/>
      <c r="E25" s="6">
        <v>24313</v>
      </c>
      <c r="F25" s="6">
        <v>24452</v>
      </c>
      <c r="G25" s="6">
        <v>24421</v>
      </c>
      <c r="H25" s="6">
        <v>24297</v>
      </c>
      <c r="I25" s="6">
        <v>24494</v>
      </c>
      <c r="J25" s="6">
        <v>24361</v>
      </c>
      <c r="K25" s="6">
        <v>24539</v>
      </c>
      <c r="L25" s="6">
        <v>24586</v>
      </c>
      <c r="M25" s="6">
        <v>24422</v>
      </c>
      <c r="N25" s="6">
        <v>24681</v>
      </c>
      <c r="O25" s="6">
        <v>24532</v>
      </c>
      <c r="P25" s="6">
        <v>24583</v>
      </c>
    </row>
    <row r="26" spans="1:16" x14ac:dyDescent="0.2">
      <c r="C26" s="4">
        <v>2019</v>
      </c>
      <c r="D26" s="6"/>
      <c r="E26" s="6">
        <v>24409</v>
      </c>
      <c r="F26" s="6">
        <v>24567</v>
      </c>
      <c r="G26" s="6">
        <v>24507</v>
      </c>
      <c r="H26" s="6">
        <v>24563</v>
      </c>
      <c r="I26" s="6">
        <v>24541</v>
      </c>
      <c r="J26" s="6">
        <v>24666</v>
      </c>
      <c r="K26" s="6">
        <v>24612</v>
      </c>
      <c r="L26" s="6">
        <v>24637</v>
      </c>
      <c r="M26" s="6">
        <v>24777</v>
      </c>
      <c r="N26" s="6">
        <v>24729</v>
      </c>
      <c r="O26" s="6">
        <v>24695</v>
      </c>
      <c r="P26" s="6">
        <v>24629</v>
      </c>
    </row>
    <row r="27" spans="1:16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3"/>
      <c r="B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31.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mergeCells count="5">
    <mergeCell ref="A4:P4"/>
    <mergeCell ref="A5:P5"/>
    <mergeCell ref="A6:P6"/>
    <mergeCell ref="D8:P8"/>
    <mergeCell ref="B33:P33"/>
  </mergeCells>
  <printOptions horizontalCentered="1"/>
  <pageMargins left="0.7" right="0.7" top="0.75" bottom="0.75" header="0.3" footer="0.3"/>
  <pageSetup scale="69" fitToHeight="0" orientation="landscape" r:id="rId1"/>
  <headerFooter>
    <oddFooter>&amp;R&amp;"Arial,Regular"Case No. 2020-00085
Attachment to Response to Question No. 10 (a-c)
Page &amp;P of &amp;N
Hazelrigg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R3-4</vt:lpstr>
      <vt:lpstr>R5-6</vt:lpstr>
      <vt:lpstr>R9</vt:lpstr>
      <vt:lpstr>R10</vt:lpstr>
      <vt:lpstr>'R3-4'!Print_Area</vt:lpstr>
      <vt:lpstr>'R5-6'!Print_Area</vt:lpstr>
      <vt:lpstr>'R9'!Print_Area</vt:lpstr>
      <vt:lpstr>'R10'!Print_Titles</vt:lpstr>
      <vt:lpstr>'R3-4'!Print_Titles</vt:lpstr>
      <vt:lpstr>'R5-6'!Print_Titles</vt:lpstr>
      <vt:lpstr>'R9'!Print_Titles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L. McRoberts</dc:creator>
  <cp:lastModifiedBy>Jennifer L. McRoberts</cp:lastModifiedBy>
  <cp:lastPrinted>2020-07-07T18:24:22Z</cp:lastPrinted>
  <dcterms:created xsi:type="dcterms:W3CDTF">2020-07-07T18:22:35Z</dcterms:created>
  <dcterms:modified xsi:type="dcterms:W3CDTF">2020-07-07T18:24:39Z</dcterms:modified>
</cp:coreProperties>
</file>