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U:\Coronavirus\"/>
    </mc:Choice>
  </mc:AlternateContent>
  <xr:revisionPtr revIDLastSave="0" documentId="13_ncr:1_{7336BFC3-B9CE-4C17-AED7-0DA2AACD444A}" xr6:coauthVersionLast="44" xr6:coauthVersionMax="44" xr10:uidLastSave="{00000000-0000-0000-0000-000000000000}"/>
  <bookViews>
    <workbookView xWindow="-120" yWindow="-120" windowWidth="29040" windowHeight="15840" xr2:uid="{9A874D1B-8AD5-43FA-A422-023A72701304}"/>
  </bookViews>
  <sheets>
    <sheet name="Q1" sheetId="1" r:id="rId1"/>
    <sheet name="Q2" sheetId="2" r:id="rId2"/>
    <sheet name="Q3" sheetId="3" r:id="rId3"/>
    <sheet name="Q4" sheetId="5" r:id="rId4"/>
    <sheet name="Q5" sheetId="6" r:id="rId5"/>
    <sheet name="Q6" sheetId="7" r:id="rId6"/>
    <sheet name="Q7" sheetId="8" r:id="rId7"/>
    <sheet name="Q8" sheetId="9" r:id="rId8"/>
    <sheet name="Q9" sheetId="21" r:id="rId9"/>
    <sheet name="Q10" sheetId="23" r:id="rId10"/>
    <sheet name="Q11" sheetId="12" r:id="rId11"/>
    <sheet name="Q12" sheetId="13" r:id="rId12"/>
    <sheet name="Q13" sheetId="14" r:id="rId13"/>
    <sheet name="Q14" sheetId="15" r:id="rId14"/>
    <sheet name="Q15" sheetId="16" r:id="rId15"/>
    <sheet name="Q16" sheetId="17" r:id="rId16"/>
    <sheet name="Q17" sheetId="18" r:id="rId17"/>
  </sheets>
  <definedNames>
    <definedName name="_xlnm.Print_Area" localSheetId="0">'Q1'!$A$1:$H$19</definedName>
    <definedName name="_xlnm.Print_Area" localSheetId="9">'Q10'!$A$1:$R$289</definedName>
    <definedName name="_xlnm.Print_Area" localSheetId="10">'Q11'!$A$1:$H$32</definedName>
    <definedName name="_xlnm.Print_Area" localSheetId="13">'Q14'!$A$1:$H$46</definedName>
    <definedName name="_xlnm.Print_Area" localSheetId="14">'Q15'!$A$1:$H$24</definedName>
    <definedName name="_xlnm.Print_Area" localSheetId="15">'Q16'!$A$1:$H$31</definedName>
    <definedName name="_xlnm.Print_Area" localSheetId="16">'Q17'!$A$1:$H$29</definedName>
    <definedName name="_xlnm.Print_Area" localSheetId="1">'Q2'!$A$1:$H$20</definedName>
    <definedName name="_xlnm.Print_Area" localSheetId="2">'Q3'!$A$1:$H$33</definedName>
    <definedName name="_xlnm.Print_Area" localSheetId="3">'Q4'!$A$1:$H$95</definedName>
    <definedName name="_xlnm.Print_Area" localSheetId="4">'Q5'!$A$1:$H$32</definedName>
    <definedName name="_xlnm.Print_Area" localSheetId="5">'Q6'!$A$1:$H$94</definedName>
    <definedName name="_xlnm.Print_Area" localSheetId="6">'Q7'!$A$1:$I$40</definedName>
    <definedName name="_xlnm.Print_Area" localSheetId="7">'Q8'!$A$1:$I$51</definedName>
    <definedName name="_xlnm.Print_Area" localSheetId="8">'Q9'!$A$1:$S$94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3" i="21" l="1"/>
  <c r="J82" i="21"/>
  <c r="J81" i="21"/>
  <c r="G18" i="9"/>
  <c r="F18" i="9"/>
  <c r="E18" i="9"/>
  <c r="G19" i="9" l="1"/>
  <c r="G22" i="9" s="1"/>
  <c r="E19" i="9" l="1"/>
  <c r="F19" i="9"/>
  <c r="F22" i="9" s="1"/>
  <c r="E22" i="9" l="1"/>
  <c r="F289" i="23" l="1"/>
  <c r="F288" i="23"/>
  <c r="R289" i="23" l="1"/>
  <c r="Q289" i="23"/>
  <c r="P289" i="23"/>
  <c r="O289" i="23"/>
  <c r="N289" i="23"/>
  <c r="M289" i="23"/>
  <c r="L289" i="23"/>
  <c r="K289" i="23"/>
  <c r="J289" i="23"/>
  <c r="I289" i="23"/>
  <c r="H289" i="23"/>
  <c r="G289" i="23"/>
  <c r="R288" i="23"/>
  <c r="Q288" i="23"/>
  <c r="P288" i="23"/>
  <c r="O288" i="23"/>
  <c r="N288" i="23"/>
  <c r="M288" i="23"/>
  <c r="L288" i="23"/>
  <c r="K288" i="23"/>
  <c r="J288" i="23"/>
  <c r="I288" i="23"/>
  <c r="H288" i="23"/>
  <c r="G288" i="23"/>
  <c r="R287" i="23"/>
  <c r="Q287" i="23"/>
  <c r="P287" i="23"/>
  <c r="O287" i="23"/>
  <c r="N287" i="23"/>
  <c r="M287" i="23"/>
  <c r="L287" i="23"/>
  <c r="K287" i="23"/>
  <c r="J287" i="23"/>
  <c r="I287" i="23"/>
  <c r="H287" i="23"/>
  <c r="G287" i="23"/>
  <c r="R286" i="23"/>
  <c r="Q286" i="23"/>
  <c r="P286" i="23"/>
  <c r="O286" i="23"/>
  <c r="N286" i="23"/>
  <c r="M286" i="23"/>
  <c r="L286" i="23"/>
  <c r="K286" i="23"/>
  <c r="J286" i="23"/>
  <c r="I286" i="23"/>
  <c r="H286" i="23"/>
  <c r="G286" i="23"/>
  <c r="R285" i="23"/>
  <c r="Q285" i="23"/>
  <c r="P285" i="23"/>
  <c r="O285" i="23"/>
  <c r="N285" i="23"/>
  <c r="M285" i="23"/>
  <c r="L285" i="23"/>
  <c r="K285" i="23"/>
  <c r="J285" i="23"/>
  <c r="I285" i="23"/>
  <c r="H285" i="23"/>
  <c r="G285" i="23"/>
  <c r="R282" i="23"/>
  <c r="Q282" i="23"/>
  <c r="P282" i="23"/>
  <c r="O282" i="23"/>
  <c r="N282" i="23"/>
  <c r="M282" i="23"/>
  <c r="L282" i="23"/>
  <c r="K282" i="23"/>
  <c r="J282" i="23"/>
  <c r="I282" i="23"/>
  <c r="H282" i="23"/>
  <c r="G282" i="23"/>
  <c r="F282" i="23"/>
  <c r="R281" i="23"/>
  <c r="Q281" i="23"/>
  <c r="P281" i="23"/>
  <c r="O281" i="23"/>
  <c r="N281" i="23"/>
  <c r="M281" i="23"/>
  <c r="L281" i="23"/>
  <c r="K281" i="23"/>
  <c r="J281" i="23"/>
  <c r="I281" i="23"/>
  <c r="H281" i="23"/>
  <c r="G281" i="23"/>
  <c r="F281" i="23"/>
  <c r="R280" i="23"/>
  <c r="Q280" i="23"/>
  <c r="P280" i="23"/>
  <c r="O280" i="23"/>
  <c r="N280" i="23"/>
  <c r="M280" i="23"/>
  <c r="L280" i="23"/>
  <c r="K280" i="23"/>
  <c r="J280" i="23"/>
  <c r="I280" i="23"/>
  <c r="H280" i="23"/>
  <c r="G280" i="23"/>
  <c r="F280" i="23"/>
  <c r="R279" i="23"/>
  <c r="Q279" i="23"/>
  <c r="P279" i="23"/>
  <c r="O279" i="23"/>
  <c r="N279" i="23"/>
  <c r="M279" i="23"/>
  <c r="L279" i="23"/>
  <c r="K279" i="23"/>
  <c r="J279" i="23"/>
  <c r="I279" i="23"/>
  <c r="H279" i="23"/>
  <c r="G279" i="23"/>
  <c r="F279" i="23"/>
  <c r="R278" i="23"/>
  <c r="Q278" i="23"/>
  <c r="P278" i="23"/>
  <c r="O278" i="23"/>
  <c r="N278" i="23"/>
  <c r="M278" i="23"/>
  <c r="L278" i="23"/>
  <c r="K278" i="23"/>
  <c r="J278" i="23"/>
  <c r="I278" i="23"/>
  <c r="H278" i="23"/>
  <c r="G278" i="23"/>
  <c r="F278" i="23"/>
  <c r="R276" i="23"/>
  <c r="Q276" i="23"/>
  <c r="P276" i="23"/>
  <c r="O276" i="23"/>
  <c r="N276" i="23"/>
  <c r="M276" i="23"/>
  <c r="L276" i="23"/>
  <c r="K276" i="23"/>
  <c r="J276" i="23"/>
  <c r="I276" i="23"/>
  <c r="H276" i="23"/>
  <c r="G276" i="23"/>
  <c r="F276" i="23"/>
  <c r="R275" i="23"/>
  <c r="Q275" i="23"/>
  <c r="P275" i="23"/>
  <c r="O275" i="23"/>
  <c r="N275" i="23"/>
  <c r="M275" i="23"/>
  <c r="L275" i="23"/>
  <c r="K275" i="23"/>
  <c r="J275" i="23"/>
  <c r="I275" i="23"/>
  <c r="H275" i="23"/>
  <c r="G275" i="23"/>
  <c r="F275" i="23"/>
  <c r="R274" i="23"/>
  <c r="Q274" i="23"/>
  <c r="R270" i="23"/>
  <c r="Q270" i="23"/>
  <c r="P270" i="23"/>
  <c r="O270" i="23"/>
  <c r="N270" i="23"/>
  <c r="M270" i="23"/>
  <c r="L270" i="23"/>
  <c r="K270" i="23"/>
  <c r="J270" i="23"/>
  <c r="I270" i="23"/>
  <c r="H270" i="23"/>
  <c r="G270" i="23"/>
  <c r="R269" i="23"/>
  <c r="Q269" i="23"/>
  <c r="P269" i="23"/>
  <c r="O269" i="23"/>
  <c r="N269" i="23"/>
  <c r="M269" i="23"/>
  <c r="L269" i="23"/>
  <c r="K269" i="23"/>
  <c r="J269" i="23"/>
  <c r="I269" i="23"/>
  <c r="H269" i="23"/>
  <c r="G269" i="23"/>
  <c r="R268" i="23"/>
  <c r="Q268" i="23"/>
  <c r="P268" i="23"/>
  <c r="O268" i="23"/>
  <c r="N268" i="23"/>
  <c r="M268" i="23"/>
  <c r="L268" i="23"/>
  <c r="K268" i="23"/>
  <c r="J268" i="23"/>
  <c r="I268" i="23"/>
  <c r="H268" i="23"/>
  <c r="G268" i="23"/>
  <c r="R267" i="23"/>
  <c r="Q267" i="23"/>
  <c r="P267" i="23"/>
  <c r="O267" i="23"/>
  <c r="N267" i="23"/>
  <c r="M267" i="23"/>
  <c r="L267" i="23"/>
  <c r="K267" i="23"/>
  <c r="J267" i="23"/>
  <c r="I267" i="23"/>
  <c r="H267" i="23"/>
  <c r="G267" i="23"/>
  <c r="R266" i="23"/>
  <c r="Q266" i="23"/>
  <c r="P266" i="23"/>
  <c r="O266" i="23"/>
  <c r="N266" i="23"/>
  <c r="M266" i="23"/>
  <c r="L266" i="23"/>
  <c r="K266" i="23"/>
  <c r="J266" i="23"/>
  <c r="I266" i="23"/>
  <c r="H266" i="23"/>
  <c r="G266" i="23"/>
  <c r="R264" i="23"/>
  <c r="Q264" i="23"/>
  <c r="P264" i="23"/>
  <c r="O264" i="23"/>
  <c r="N264" i="23"/>
  <c r="M264" i="23"/>
  <c r="L264" i="23"/>
  <c r="K264" i="23"/>
  <c r="J264" i="23"/>
  <c r="I264" i="23"/>
  <c r="H264" i="23"/>
  <c r="G264" i="23"/>
  <c r="R263" i="23"/>
  <c r="Q263" i="23"/>
  <c r="P263" i="23"/>
  <c r="O263" i="23"/>
  <c r="N263" i="23"/>
  <c r="M263" i="23"/>
  <c r="L263" i="23"/>
  <c r="K263" i="23"/>
  <c r="J263" i="23"/>
  <c r="I263" i="23"/>
  <c r="H263" i="23"/>
  <c r="G263" i="23"/>
  <c r="R262" i="23"/>
  <c r="Q262" i="23"/>
  <c r="R261" i="23"/>
  <c r="Q261" i="23"/>
  <c r="P261" i="23"/>
  <c r="O261" i="23"/>
  <c r="N261" i="23"/>
  <c r="M261" i="23"/>
  <c r="L261" i="23"/>
  <c r="K261" i="23"/>
  <c r="J261" i="23"/>
  <c r="I261" i="23"/>
  <c r="H261" i="23"/>
  <c r="G261" i="23"/>
  <c r="R260" i="23"/>
  <c r="Q260" i="23"/>
  <c r="P260" i="23"/>
  <c r="O260" i="23"/>
  <c r="N260" i="23"/>
  <c r="M260" i="23"/>
  <c r="L260" i="23"/>
  <c r="K260" i="23"/>
  <c r="J260" i="23"/>
  <c r="I260" i="23"/>
  <c r="H260" i="23"/>
  <c r="G260" i="23"/>
  <c r="F202" i="23"/>
  <c r="F201" i="23"/>
  <c r="F141" i="23"/>
  <c r="F140" i="23"/>
  <c r="F89" i="23"/>
  <c r="F88" i="23"/>
  <c r="F87" i="23"/>
  <c r="F86" i="23"/>
  <c r="F85" i="23"/>
  <c r="F83" i="23"/>
  <c r="F82" i="23"/>
  <c r="F37" i="23"/>
  <c r="F36" i="23"/>
  <c r="F35" i="23"/>
  <c r="F34" i="23"/>
  <c r="F33" i="23"/>
  <c r="F31" i="23"/>
  <c r="F30" i="23"/>
  <c r="F270" i="23" l="1"/>
  <c r="F267" i="23"/>
  <c r="F264" i="23"/>
  <c r="F262" i="23"/>
  <c r="F261" i="23"/>
  <c r="F266" i="23"/>
  <c r="F268" i="23"/>
  <c r="F269" i="23"/>
  <c r="F263" i="23"/>
  <c r="F260" i="23"/>
  <c r="R83" i="21"/>
  <c r="Q83" i="21"/>
  <c r="P83" i="21"/>
  <c r="O83" i="21"/>
  <c r="N83" i="21"/>
  <c r="I83" i="21"/>
  <c r="R82" i="21"/>
  <c r="Q82" i="21"/>
  <c r="O82" i="21"/>
  <c r="K82" i="21"/>
  <c r="P82" i="21" s="1"/>
  <c r="I82" i="21"/>
  <c r="R81" i="21"/>
  <c r="Q81" i="21"/>
  <c r="O81" i="21"/>
  <c r="K81" i="21"/>
  <c r="I81" i="21"/>
  <c r="R80" i="21"/>
  <c r="Q80" i="21"/>
  <c r="P80" i="21"/>
  <c r="O80" i="21"/>
  <c r="N80" i="21"/>
  <c r="I80" i="21"/>
  <c r="R79" i="21"/>
  <c r="Q79" i="21"/>
  <c r="O79" i="21"/>
  <c r="K79" i="21"/>
  <c r="N79" i="21" s="1"/>
  <c r="I79" i="21"/>
  <c r="R76" i="21"/>
  <c r="Q76" i="21"/>
  <c r="O76" i="21"/>
  <c r="K76" i="21"/>
  <c r="N76" i="21" s="1"/>
  <c r="I76" i="21"/>
  <c r="R75" i="21"/>
  <c r="Q75" i="21"/>
  <c r="O75" i="21"/>
  <c r="K75" i="21"/>
  <c r="N75" i="21" s="1"/>
  <c r="I75" i="21"/>
  <c r="R74" i="21"/>
  <c r="Q74" i="21"/>
  <c r="O74" i="21"/>
  <c r="K74" i="21"/>
  <c r="N74" i="21" s="1"/>
  <c r="I74" i="21"/>
  <c r="R73" i="21"/>
  <c r="Q73" i="21"/>
  <c r="O73" i="21"/>
  <c r="K73" i="21"/>
  <c r="N73" i="21" s="1"/>
  <c r="I73" i="21"/>
  <c r="R72" i="21"/>
  <c r="Q72" i="21"/>
  <c r="P72" i="21"/>
  <c r="O72" i="21"/>
  <c r="N72" i="21"/>
  <c r="I72" i="21"/>
  <c r="R71" i="21"/>
  <c r="Q71" i="21"/>
  <c r="P71" i="21"/>
  <c r="O71" i="21"/>
  <c r="N71" i="21"/>
  <c r="I71" i="21"/>
  <c r="R70" i="21"/>
  <c r="Q70" i="21"/>
  <c r="O70" i="21"/>
  <c r="K70" i="21"/>
  <c r="N70" i="21" s="1"/>
  <c r="I70" i="21"/>
  <c r="R69" i="21"/>
  <c r="Q69" i="21"/>
  <c r="O69" i="21"/>
  <c r="K69" i="21"/>
  <c r="P69" i="21" s="1"/>
  <c r="I69" i="21"/>
  <c r="R68" i="21"/>
  <c r="Q68" i="21"/>
  <c r="P68" i="21"/>
  <c r="O68" i="21"/>
  <c r="N68" i="21"/>
  <c r="I68" i="21"/>
  <c r="R67" i="21"/>
  <c r="Q67" i="21"/>
  <c r="O67" i="21"/>
  <c r="K67" i="21"/>
  <c r="P67" i="21" s="1"/>
  <c r="I67" i="21"/>
  <c r="R66" i="21"/>
  <c r="Q66" i="21"/>
  <c r="O66" i="21"/>
  <c r="K66" i="21"/>
  <c r="P66" i="21" s="1"/>
  <c r="I66" i="21"/>
  <c r="R65" i="21"/>
  <c r="Q65" i="21"/>
  <c r="O65" i="21"/>
  <c r="K65" i="21"/>
  <c r="P65" i="21" s="1"/>
  <c r="I65" i="21"/>
  <c r="R45" i="21"/>
  <c r="Q45" i="21"/>
  <c r="P45" i="21"/>
  <c r="O45" i="21"/>
  <c r="N45" i="21"/>
  <c r="I45" i="21"/>
  <c r="R44" i="21"/>
  <c r="Q44" i="21"/>
  <c r="O44" i="21"/>
  <c r="K44" i="21"/>
  <c r="P44" i="21" s="1"/>
  <c r="I44" i="21"/>
  <c r="R43" i="21"/>
  <c r="Q43" i="21"/>
  <c r="O43" i="21"/>
  <c r="K43" i="21"/>
  <c r="P43" i="21" s="1"/>
  <c r="I43" i="21"/>
  <c r="R42" i="21"/>
  <c r="Q42" i="21"/>
  <c r="O42" i="21"/>
  <c r="K42" i="21"/>
  <c r="P42" i="21" s="1"/>
  <c r="I42" i="21"/>
  <c r="R41" i="21"/>
  <c r="Q41" i="21"/>
  <c r="O41" i="21"/>
  <c r="K41" i="21"/>
  <c r="P41" i="21" s="1"/>
  <c r="I41" i="21"/>
  <c r="R40" i="21"/>
  <c r="Q40" i="21"/>
  <c r="P40" i="21"/>
  <c r="O40" i="21"/>
  <c r="N40" i="21"/>
  <c r="I40" i="21"/>
  <c r="R39" i="21"/>
  <c r="Q39" i="21"/>
  <c r="O39" i="21"/>
  <c r="K39" i="21"/>
  <c r="N39" i="21" s="1"/>
  <c r="I39" i="21"/>
  <c r="R38" i="21"/>
  <c r="Q38" i="21"/>
  <c r="P38" i="21"/>
  <c r="O38" i="21"/>
  <c r="N38" i="21"/>
  <c r="I38" i="21"/>
  <c r="R37" i="21"/>
  <c r="Q37" i="21"/>
  <c r="P37" i="21"/>
  <c r="O37" i="21"/>
  <c r="N37" i="21"/>
  <c r="I37" i="21"/>
  <c r="R36" i="21"/>
  <c r="Q36" i="21"/>
  <c r="O36" i="21"/>
  <c r="K36" i="21"/>
  <c r="N36" i="21" s="1"/>
  <c r="I36" i="21"/>
  <c r="R35" i="21"/>
  <c r="Q35" i="21"/>
  <c r="P35" i="21"/>
  <c r="O35" i="21"/>
  <c r="N35" i="21"/>
  <c r="I35" i="21"/>
  <c r="R34" i="21"/>
  <c r="Q34" i="21"/>
  <c r="P34" i="21"/>
  <c r="O34" i="21"/>
  <c r="N34" i="21"/>
  <c r="I34" i="21"/>
  <c r="R31" i="21"/>
  <c r="Q31" i="21"/>
  <c r="P31" i="21"/>
  <c r="O31" i="21"/>
  <c r="N31" i="21"/>
  <c r="I31" i="21"/>
  <c r="R30" i="21"/>
  <c r="Q30" i="21"/>
  <c r="O30" i="21"/>
  <c r="K30" i="21"/>
  <c r="N30" i="21" s="1"/>
  <c r="I30" i="21"/>
  <c r="P29" i="21"/>
  <c r="O29" i="21"/>
  <c r="I29" i="21"/>
  <c r="S29" i="21" s="1"/>
  <c r="P28" i="21"/>
  <c r="O28" i="21"/>
  <c r="I28" i="21"/>
  <c r="S28" i="21" s="1"/>
  <c r="P27" i="21"/>
  <c r="O27" i="21"/>
  <c r="I27" i="21"/>
  <c r="S27" i="21" s="1"/>
  <c r="I26" i="21"/>
  <c r="S26" i="21" s="1"/>
  <c r="I25" i="21"/>
  <c r="S25" i="21" s="1"/>
  <c r="I24" i="21"/>
  <c r="S24" i="21" s="1"/>
  <c r="I23" i="21"/>
  <c r="S23" i="21" s="1"/>
  <c r="I22" i="21"/>
  <c r="S22" i="21" s="1"/>
  <c r="I21" i="21"/>
  <c r="S21" i="21" s="1"/>
  <c r="I20" i="21"/>
  <c r="S20" i="21" s="1"/>
  <c r="S72" i="21" l="1"/>
  <c r="S71" i="21"/>
  <c r="R32" i="21"/>
  <c r="P75" i="21"/>
  <c r="N69" i="21"/>
  <c r="S69" i="21" s="1"/>
  <c r="S70" i="21"/>
  <c r="S74" i="21"/>
  <c r="P79" i="21"/>
  <c r="P81" i="21"/>
  <c r="N81" i="21"/>
  <c r="S80" i="21"/>
  <c r="R77" i="21"/>
  <c r="S68" i="21"/>
  <c r="S76" i="21"/>
  <c r="P70" i="21"/>
  <c r="Q32" i="21"/>
  <c r="P73" i="21"/>
  <c r="P36" i="21"/>
  <c r="Q77" i="21"/>
  <c r="P39" i="21"/>
  <c r="O77" i="21"/>
  <c r="S73" i="21"/>
  <c r="P74" i="21"/>
  <c r="S75" i="21"/>
  <c r="P76" i="21"/>
  <c r="S79" i="21"/>
  <c r="S83" i="21"/>
  <c r="P30" i="21"/>
  <c r="P32" i="21" s="1"/>
  <c r="S36" i="21"/>
  <c r="S39" i="21"/>
  <c r="S45" i="21"/>
  <c r="S30" i="21"/>
  <c r="S34" i="21"/>
  <c r="S37" i="21"/>
  <c r="R46" i="21"/>
  <c r="O46" i="21"/>
  <c r="S31" i="21"/>
  <c r="S35" i="21"/>
  <c r="S38" i="21"/>
  <c r="S40" i="21"/>
  <c r="O32" i="21"/>
  <c r="Q46" i="21"/>
  <c r="N41" i="21"/>
  <c r="S41" i="21" s="1"/>
  <c r="N44" i="21"/>
  <c r="S44" i="21" s="1"/>
  <c r="N67" i="21"/>
  <c r="S67" i="21" s="1"/>
  <c r="S81" i="21"/>
  <c r="N82" i="21"/>
  <c r="S82" i="21" s="1"/>
  <c r="N42" i="21"/>
  <c r="S42" i="21" s="1"/>
  <c r="N43" i="21"/>
  <c r="S43" i="21" s="1"/>
  <c r="N65" i="21"/>
  <c r="S65" i="21" s="1"/>
  <c r="N66" i="21"/>
  <c r="S66" i="21" s="1"/>
  <c r="P46" i="21" l="1"/>
  <c r="P77" i="21"/>
  <c r="S32" i="21"/>
  <c r="S46" i="21"/>
  <c r="S77" i="21"/>
  <c r="G19" i="15" l="1"/>
  <c r="G38" i="7" l="1"/>
  <c r="G39" i="7"/>
  <c r="G40" i="7"/>
  <c r="F94" i="7"/>
  <c r="E94" i="7"/>
  <c r="F93" i="7"/>
  <c r="E93" i="7"/>
  <c r="F92" i="7"/>
  <c r="E92" i="7"/>
  <c r="F91" i="7"/>
  <c r="E91" i="7"/>
  <c r="F90" i="7"/>
  <c r="E90" i="7"/>
  <c r="F89" i="7"/>
  <c r="E89" i="7"/>
  <c r="F88" i="7"/>
  <c r="E88" i="7"/>
  <c r="F87" i="7"/>
  <c r="E87" i="7"/>
  <c r="G82" i="7"/>
  <c r="G81" i="7"/>
  <c r="G80" i="7"/>
  <c r="G79" i="7"/>
  <c r="G78" i="7"/>
  <c r="G77" i="7"/>
  <c r="G76" i="7"/>
  <c r="G75" i="7"/>
  <c r="G70" i="7"/>
  <c r="G69" i="7"/>
  <c r="G68" i="7"/>
  <c r="G67" i="7"/>
  <c r="G66" i="7"/>
  <c r="G65" i="7"/>
  <c r="G64" i="7"/>
  <c r="G63" i="7"/>
  <c r="G45" i="7"/>
  <c r="G44" i="7"/>
  <c r="G43" i="7"/>
  <c r="G42" i="7"/>
  <c r="G41" i="7"/>
  <c r="G33" i="7"/>
  <c r="G32" i="7"/>
  <c r="G31" i="7"/>
  <c r="G30" i="7"/>
  <c r="G29" i="7"/>
  <c r="G28" i="7"/>
  <c r="G27" i="7"/>
  <c r="G26" i="7"/>
  <c r="G30" i="6"/>
  <c r="G29" i="6"/>
  <c r="G28" i="6"/>
  <c r="G27" i="6"/>
  <c r="G26" i="6"/>
  <c r="G25" i="6"/>
  <c r="G24" i="6"/>
  <c r="G23" i="6"/>
  <c r="F95" i="5"/>
  <c r="E95" i="5"/>
  <c r="F94" i="5"/>
  <c r="E94" i="5"/>
  <c r="F93" i="5"/>
  <c r="E93" i="5"/>
  <c r="F92" i="5"/>
  <c r="E92" i="5"/>
  <c r="F91" i="5"/>
  <c r="E91" i="5"/>
  <c r="F90" i="5"/>
  <c r="E90" i="5"/>
  <c r="F89" i="5"/>
  <c r="E89" i="5"/>
  <c r="F88" i="5"/>
  <c r="E88" i="5"/>
  <c r="G88" i="5" s="1"/>
  <c r="G83" i="5"/>
  <c r="G82" i="5"/>
  <c r="G81" i="5"/>
  <c r="G80" i="5"/>
  <c r="G79" i="5"/>
  <c r="G78" i="5"/>
  <c r="G77" i="5"/>
  <c r="G76" i="5"/>
  <c r="G71" i="5"/>
  <c r="G70" i="5"/>
  <c r="G69" i="5"/>
  <c r="G68" i="5"/>
  <c r="G67" i="5"/>
  <c r="G66" i="5"/>
  <c r="G65" i="5"/>
  <c r="G64" i="5"/>
  <c r="G45" i="5"/>
  <c r="G44" i="5"/>
  <c r="G43" i="5"/>
  <c r="G42" i="5"/>
  <c r="G41" i="5"/>
  <c r="G40" i="5"/>
  <c r="G39" i="5"/>
  <c r="G38" i="5"/>
  <c r="G33" i="5"/>
  <c r="G32" i="5"/>
  <c r="G31" i="5"/>
  <c r="G30" i="5"/>
  <c r="G29" i="5"/>
  <c r="G28" i="5"/>
  <c r="G27" i="5"/>
  <c r="G26" i="5"/>
  <c r="G32" i="3"/>
  <c r="G31" i="3"/>
  <c r="G30" i="3"/>
  <c r="G29" i="3"/>
  <c r="G28" i="3"/>
  <c r="G27" i="3"/>
  <c r="G26" i="3"/>
  <c r="G25" i="3"/>
  <c r="G89" i="7" l="1"/>
  <c r="G87" i="7"/>
  <c r="G88" i="7"/>
  <c r="G90" i="7"/>
  <c r="G92" i="7"/>
  <c r="G91" i="7"/>
  <c r="G93" i="7"/>
  <c r="G94" i="7"/>
  <c r="G95" i="5"/>
  <c r="G90" i="5"/>
  <c r="G92" i="5"/>
  <c r="G94" i="5"/>
  <c r="G93" i="5"/>
  <c r="G89" i="5"/>
  <c r="G91" i="5"/>
  <c r="G36" i="15" l="1"/>
  <c r="G34" i="15"/>
  <c r="G26" i="15"/>
  <c r="G24" i="15"/>
  <c r="F20" i="13" l="1"/>
  <c r="G31" i="12" l="1"/>
  <c r="F31" i="12"/>
  <c r="E31" i="12"/>
  <c r="D31" i="12"/>
  <c r="H36" i="8" l="1"/>
  <c r="G36" i="8"/>
  <c r="F36" i="8"/>
  <c r="G18" i="2" l="1"/>
</calcChain>
</file>

<file path=xl/sharedStrings.xml><?xml version="1.0" encoding="utf-8"?>
<sst xmlns="http://schemas.openxmlformats.org/spreadsheetml/2006/main" count="1140" uniqueCount="280">
  <si>
    <t>Item 1</t>
  </si>
  <si>
    <t>Witness: Charles G. Williamson III</t>
  </si>
  <si>
    <t>Case No. 2020-00085</t>
  </si>
  <si>
    <t>Commission Staff's Initial Request</t>
  </si>
  <si>
    <t>Blue Grass Energy Cooperative Corporation</t>
  </si>
  <si>
    <t xml:space="preserve">Provide the utility's current number of customers and the date used for that </t>
  </si>
  <si>
    <t>determination:</t>
  </si>
  <si>
    <t>Response:</t>
  </si>
  <si>
    <t>accounts per class:</t>
  </si>
  <si>
    <t>Residential</t>
  </si>
  <si>
    <t>Street Lighting</t>
  </si>
  <si>
    <t xml:space="preserve">  Total</t>
  </si>
  <si>
    <t>Item 2</t>
  </si>
  <si>
    <t>Item 3</t>
  </si>
  <si>
    <t>If a utility provides multiple services, such as both electric and gas</t>
  </si>
  <si>
    <t>those customers that receive combined service, provide each service separately if</t>
  </si>
  <si>
    <t>separately served or combined if billed on a combined basis.  Provide the average total</t>
  </si>
  <si>
    <t>bill for all customer for:</t>
  </si>
  <si>
    <t>b. 2018 as a year, not each month;</t>
  </si>
  <si>
    <t>a.   2017 as a year, not each month;</t>
  </si>
  <si>
    <t>b.  2018 as a year, not each month;</t>
  </si>
  <si>
    <t xml:space="preserve">c.   2019 as a year, not each month; and </t>
  </si>
  <si>
    <t>d.  Each month in 2020</t>
  </si>
  <si>
    <t>Period</t>
  </si>
  <si>
    <t>Total</t>
  </si>
  <si>
    <t>Billed</t>
  </si>
  <si>
    <t>Bills</t>
  </si>
  <si>
    <t>Average</t>
  </si>
  <si>
    <t>Bill</t>
  </si>
  <si>
    <t>Total bill is defined as including charges for current service and past service that</t>
  </si>
  <si>
    <t xml:space="preserve">is unpaid, including the accumulation of fees. </t>
  </si>
  <si>
    <t>Item 4</t>
  </si>
  <si>
    <t>Blue Grass Energy provides only electricity services. The data requested is as follows:</t>
  </si>
  <si>
    <t>bill for all customers in each class for:</t>
  </si>
  <si>
    <t>Commercial &lt; 1,000 kVA</t>
  </si>
  <si>
    <t>Commercial &gt; 1,000 kVA</t>
  </si>
  <si>
    <t>Item  5</t>
  </si>
  <si>
    <t>separately served or combined if billed on a combined basis.  Provide the average bill for</t>
  </si>
  <si>
    <t>current service for all customers for:</t>
  </si>
  <si>
    <t>Item 6</t>
  </si>
  <si>
    <t>current service for all customers in each class for:</t>
  </si>
  <si>
    <t>Item 7</t>
  </si>
  <si>
    <t>Explain how the utility calculates bad debt.</t>
  </si>
  <si>
    <t>a.   Explain the decision criteria governing when the utility writes off bad debt.</t>
  </si>
  <si>
    <t>b.  Provide the monthly bad debt write-offs for each month in 2018,</t>
  </si>
  <si>
    <t>2019, and 2020.</t>
  </si>
  <si>
    <t>c.   If the utility has changed its calculation or determination of bad debt</t>
  </si>
  <si>
    <t>in the past two years, explain its previous calculation or determination of bad debt and</t>
  </si>
  <si>
    <t>the reason for the change.</t>
  </si>
  <si>
    <t>Item 8</t>
  </si>
  <si>
    <t>Item 9</t>
  </si>
  <si>
    <t>Provide the percent of customers, by class, that pay on time for:</t>
  </si>
  <si>
    <t>a. 2017 as a year, not each month;</t>
  </si>
  <si>
    <t>c. 2019 as a year, not each month; and</t>
  </si>
  <si>
    <t>d. Each month in 2020</t>
  </si>
  <si>
    <t>Item 10</t>
  </si>
  <si>
    <t>Item 11</t>
  </si>
  <si>
    <t>a.  Each month in 2017;</t>
  </si>
  <si>
    <t>b.  Each month in 2018;</t>
  </si>
  <si>
    <t>c.  Each month in 2019;</t>
  </si>
  <si>
    <t>d.  Each month in 2020;</t>
  </si>
  <si>
    <t>Item 12</t>
  </si>
  <si>
    <t>Item 13</t>
  </si>
  <si>
    <t>Provide copies of all general communication provided to customers</t>
  </si>
  <si>
    <t>regarding arrearages, late payment, payment plans, etc. since March 16, 2020.</t>
  </si>
  <si>
    <t>Item 14</t>
  </si>
  <si>
    <t xml:space="preserve">Provide a detailed explanation and breakout of any cost increases and </t>
  </si>
  <si>
    <t>of the COVID-19 State of Emergency.</t>
  </si>
  <si>
    <t>decreased income (by customer class if applicable) the utility has experienced as a result</t>
  </si>
  <si>
    <t>Item 15</t>
  </si>
  <si>
    <t xml:space="preserve">Provide a detailed explanation and breakout of any cost decreases and </t>
  </si>
  <si>
    <t>increased income the utility has experienced as a result of the COVID-19 State of</t>
  </si>
  <si>
    <t>Emergency.</t>
  </si>
  <si>
    <t>Item 16</t>
  </si>
  <si>
    <t>Provide any additional information or data the utility believes the</t>
  </si>
  <si>
    <t>Commission should consider in amending or vacating its previous Orders in this matter.</t>
  </si>
  <si>
    <t>Item 17</t>
  </si>
  <si>
    <t>If applicable, provide any information or concerns regarding the utility's</t>
  </si>
  <si>
    <t>prepay program as it related to the Commission's previous Orders in this docket.</t>
  </si>
  <si>
    <t>Page 1 of 1</t>
  </si>
  <si>
    <t>Blue Grass Energy has communicated with its members via Office Signs, social media,</t>
  </si>
  <si>
    <t>b. The following table shows gross bad debt write-offs by month:</t>
  </si>
  <si>
    <t xml:space="preserve">January </t>
  </si>
  <si>
    <t>February</t>
  </si>
  <si>
    <t>March</t>
  </si>
  <si>
    <t>April</t>
  </si>
  <si>
    <t>May</t>
  </si>
  <si>
    <t>June</t>
  </si>
  <si>
    <t>July</t>
  </si>
  <si>
    <t>August</t>
  </si>
  <si>
    <t>September</t>
  </si>
  <si>
    <t>October</t>
  </si>
  <si>
    <t>November</t>
  </si>
  <si>
    <t>December</t>
  </si>
  <si>
    <t>c. Blue Grass Energy has not changed its calculation or determination of bad debt in</t>
  </si>
  <si>
    <t xml:space="preserve">the past two years. </t>
  </si>
  <si>
    <t>a. Blue Grass Energy generally writes off bad debts after an account has been "finaled"</t>
  </si>
  <si>
    <t xml:space="preserve">and has not been paid within the following 60 days. </t>
  </si>
  <si>
    <t>The following table shows income from late fees for Blue Grass Energy:</t>
  </si>
  <si>
    <t>since March 16, 2020, absent the Commission's directive.</t>
  </si>
  <si>
    <t>May, 2020</t>
  </si>
  <si>
    <t>April, 2020</t>
  </si>
  <si>
    <t>March, 2020</t>
  </si>
  <si>
    <t>Month</t>
  </si>
  <si>
    <t>Total through May, 2020</t>
  </si>
  <si>
    <t>January, 2018</t>
  </si>
  <si>
    <t>January, 2017</t>
  </si>
  <si>
    <t>February, 2017</t>
  </si>
  <si>
    <t>March, 2017</t>
  </si>
  <si>
    <t>April, 2017</t>
  </si>
  <si>
    <t>May, 2017</t>
  </si>
  <si>
    <t>June, 2017</t>
  </si>
  <si>
    <t>July, 2017</t>
  </si>
  <si>
    <t>November, 2017</t>
  </si>
  <si>
    <t>December, 2017</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</si>
  <si>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</si>
  <si>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</si>
  <si>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</si>
  <si>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</si>
  <si>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</si>
  <si>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</si>
  <si>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</si>
  <si>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</si>
  <si>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</si>
  <si>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</si>
  <si>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</si>
  <si>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</si>
  <si>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</si>
  <si>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</si>
  <si>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</si>
  <si>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</si>
  <si>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</si>
  <si>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</si>
  <si>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</si>
  <si>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</si>
  <si>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</si>
  <si>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</si>
  <si>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</si>
  <si>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</si>
  <si>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</si>
  <si>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r>
      <t xml:space="preserve">its website, and Blue Grass Energy specific sections in the monthly magazine, </t>
    </r>
    <r>
      <rPr>
        <b/>
        <i/>
        <sz val="11"/>
        <color theme="1"/>
        <rFont val="Calibri"/>
        <family val="2"/>
      </rPr>
      <t>Kentucky</t>
    </r>
  </si>
  <si>
    <r>
      <rPr>
        <b/>
        <i/>
        <sz val="11"/>
        <color theme="1"/>
        <rFont val="Calibri"/>
        <family val="2"/>
      </rPr>
      <t>Living</t>
    </r>
    <r>
      <rPr>
        <sz val="11"/>
        <color theme="1"/>
        <rFont val="Calibri"/>
        <family val="2"/>
      </rPr>
      <t>, which it distributes to its members.  Copies of those items are included under</t>
    </r>
  </si>
  <si>
    <t>this item.</t>
  </si>
  <si>
    <t>Page 1 of  28</t>
  </si>
  <si>
    <t>not available</t>
  </si>
  <si>
    <t>TOTAL BILLS</t>
  </si>
  <si>
    <t>LATE NOTICES</t>
  </si>
  <si>
    <t>Page 2 of 2</t>
  </si>
  <si>
    <t>Page 1 of 2</t>
  </si>
  <si>
    <t xml:space="preserve">     2017 - AVG OF AVAILABLE MONTHS </t>
  </si>
  <si>
    <t xml:space="preserve">     2018 - AVG OF AVAILABLE MONTHS </t>
  </si>
  <si>
    <t xml:space="preserve">     2019 - AVERAGE</t>
  </si>
  <si>
    <t>a</t>
  </si>
  <si>
    <t>b</t>
  </si>
  <si>
    <t>c</t>
  </si>
  <si>
    <t>d</t>
  </si>
  <si>
    <t>Residntl</t>
  </si>
  <si>
    <t xml:space="preserve">Blue Grass Energy quantifies the amount of late fees which were not assessed as </t>
  </si>
  <si>
    <t>follows:</t>
  </si>
  <si>
    <t xml:space="preserve">Although Blue Grass Energy has not specifically tracked COVID-19 related expenses </t>
  </si>
  <si>
    <t>Specific Costs:</t>
  </si>
  <si>
    <t>"Sneeze guards" for MSR stations</t>
  </si>
  <si>
    <t>Masks for employees</t>
  </si>
  <si>
    <t>Thermometers</t>
  </si>
  <si>
    <t>Hand sanitizer</t>
  </si>
  <si>
    <t>Gloves</t>
  </si>
  <si>
    <t>Additional office cleaning - estimate</t>
  </si>
  <si>
    <t>"Zoom" licensing - estimated annual</t>
  </si>
  <si>
    <t>Webcams - estimate</t>
  </si>
  <si>
    <t>Two part verification software for VPN-est annual</t>
  </si>
  <si>
    <t>Headsets for employees working from home</t>
  </si>
  <si>
    <t>Decreased Income:</t>
  </si>
  <si>
    <t>unknown</t>
  </si>
  <si>
    <t>(based on comparison to 2019)</t>
  </si>
  <si>
    <t>and decreased income we have identified some quantifiable expenses and some which are</t>
  </si>
  <si>
    <t>more subjective to measure:</t>
  </si>
  <si>
    <t>Subjective Cost Savings:</t>
  </si>
  <si>
    <t>Specific Cost Savings:</t>
  </si>
  <si>
    <t>are more subjective to measure:</t>
  </si>
  <si>
    <t>and increased income we have identified some quantifiable expenses and some which</t>
  </si>
  <si>
    <t>item 5</t>
  </si>
  <si>
    <t>Year</t>
  </si>
  <si>
    <t>Annually</t>
  </si>
  <si>
    <t>January</t>
  </si>
  <si>
    <t>b.</t>
  </si>
  <si>
    <t>c.</t>
  </si>
  <si>
    <t>Total service terminations</t>
  </si>
  <si>
    <r>
      <t>Total amount of unique customers issued service termination notices</t>
    </r>
    <r>
      <rPr>
        <vertAlign val="superscript"/>
        <sz val="12"/>
        <color theme="1"/>
        <rFont val="Times New Roman"/>
        <family val="1"/>
      </rPr>
      <t>1</t>
    </r>
  </si>
  <si>
    <r>
      <t>Total amount of unique customers with service terminated</t>
    </r>
    <r>
      <rPr>
        <vertAlign val="superscript"/>
        <sz val="12"/>
        <color theme="1"/>
        <rFont val="Times New Roman"/>
        <family val="1"/>
      </rPr>
      <t>1</t>
    </r>
  </si>
  <si>
    <t xml:space="preserve">Note 1- The annual number represents a count of the unique customers for the year.  The monthly numbers represents unique customers per month.  The same unique customer can appear once in multiple months and only once in the annual number.  </t>
  </si>
  <si>
    <t>Provide the total income received from late payment fees for:</t>
  </si>
  <si>
    <t xml:space="preserve">Increased potential write-offs </t>
  </si>
  <si>
    <t>Lost late fee income - thru May (See Item 12)</t>
  </si>
  <si>
    <t>Lost connect fees</t>
  </si>
  <si>
    <t xml:space="preserve">Power cost savings associated with lower commercial power sales. </t>
  </si>
  <si>
    <t>Blue Grass Energy</t>
  </si>
  <si>
    <t>Total service termination</t>
  </si>
  <si>
    <t>notices issued</t>
  </si>
  <si>
    <t>Totals</t>
  </si>
  <si>
    <t>All Termination Notices and Terminations For Non-Payment</t>
  </si>
  <si>
    <t xml:space="preserve">Provide the following information for January 1, 2015, until December 31, 2019. If a utility provides multiple services, such as both electric and gas residential service, provide the information requested for each service separately. </t>
  </si>
  <si>
    <t>For those customers that receive combined service, provide each service separately if separately served  or combined if billed on a combined basis.  Further, provide the following information by class.</t>
  </si>
  <si>
    <t>a. Provide monthly totals of service termination notices issued to customers only for nonpayment of bills.</t>
  </si>
  <si>
    <t>b. Provide monthly totals of service terminations for customers only for nonpayment of bills.</t>
  </si>
  <si>
    <t>This information should be provided so as not to duplicate customer counts. The Information requested in this request should be presented similarly to the residential-only information provided in Case No. 2019-00366. For</t>
  </si>
  <si>
    <t>reference, refer to Louisville Gas and Electric Company and Kentucky Utilities Company's response to Post-Formal Conference Request for Information filed with the Commission on March 6, 2020.</t>
  </si>
  <si>
    <t>The following table details the items requested in total.  Blue Grass Energy does not maintain historical information based on class, however, during this period there were no terminations for nonpayment in the KVA over 1,000 class</t>
  </si>
  <si>
    <t>and street lighting.  There were also very few actual terminations in the KVA under 1,000 class.</t>
  </si>
  <si>
    <t>a.</t>
  </si>
  <si>
    <t>Total number of customers</t>
  </si>
  <si>
    <t>Page 1 of 5</t>
  </si>
  <si>
    <t>Page 2 of 5</t>
  </si>
  <si>
    <t>Page 3 of 5</t>
  </si>
  <si>
    <t>Page 4 of 5</t>
  </si>
  <si>
    <t>Page 5 of 5</t>
  </si>
  <si>
    <t>Sick Leave and Child Care Leave for Covid-19</t>
  </si>
  <si>
    <t>Street Lighting Termination Notices and Terminations For Non-Payment</t>
  </si>
  <si>
    <t>Commercial &gt;1,000 kVA Termination Notices and Terminations For Non-Payment</t>
  </si>
  <si>
    <t>Commercial &lt;1,000 kVA Termination Notices and Terminations For Non-Payment</t>
  </si>
  <si>
    <t>Lost disconnect fees</t>
  </si>
  <si>
    <t>residential service, provide the information requested for each service separately. For</t>
  </si>
  <si>
    <t xml:space="preserve">c. Provide the total number of customers per month. </t>
  </si>
  <si>
    <t>Quantify the amount of the late payment fees the utility would have assessed</t>
  </si>
  <si>
    <t>Customer-specific communication is excluded from this request.</t>
  </si>
  <si>
    <t>As of July 1, 2020, Blue Grass Energy has 1,122 prepay accounts with a negative</t>
  </si>
  <si>
    <t>Street Lights</t>
  </si>
  <si>
    <t>Large Commercial</t>
  </si>
  <si>
    <t>Small Commercial</t>
  </si>
  <si>
    <t>Residential Termination Notices and Terminations For Non-Payment</t>
  </si>
  <si>
    <t>not avail</t>
  </si>
  <si>
    <t>August, 2017 *</t>
  </si>
  <si>
    <t>September, 2017 *</t>
  </si>
  <si>
    <t>October, 2017 *</t>
  </si>
  <si>
    <t>April, 2020 **</t>
  </si>
  <si>
    <t>May, 2020 **</t>
  </si>
  <si>
    <t>** After Moratorium</t>
  </si>
  <si>
    <t>PERCENT PAID ON TIME</t>
  </si>
  <si>
    <t>If applicable, provide the utility's current number of customers</t>
  </si>
  <si>
    <t>per class.</t>
  </si>
  <si>
    <t>The folllowing table provides that breakdown.  See footnotes below.</t>
  </si>
  <si>
    <t>balance, totaling $227,517.  The total count of prepay accounts is 3,312.</t>
  </si>
  <si>
    <t>2015 through 2019</t>
  </si>
  <si>
    <t>March, 2020 **, ***</t>
  </si>
  <si>
    <t>* Blue Grass Energy does not have a breakdown of customer late notices by class for August, September and October 2017. For those periods, the only determination that can be</t>
  </si>
  <si>
    <t>*** For March 2020, Blue Grass Energy sent out 3,178 late notices prior to the Moratorium and sent out 4,749 friendly reminders after the Moratorium. In addition, there were 886</t>
  </si>
  <si>
    <t>prepaid accounts with a debit balance at the end of March.</t>
  </si>
  <si>
    <t>NOTE: The above numbers include prepaid members subject to disconnect due to their debit account balances although they would receive a daily notification of their account</t>
  </si>
  <si>
    <t>For the month of May 2020, Blue Grass Energy billed 59,653 account.</t>
  </si>
  <si>
    <t>For the month of May 2020, Blue Grass Energy billed the following1</t>
  </si>
  <si>
    <t>Decreased Small Commercial Sales - thru May  *</t>
  </si>
  <si>
    <t>Decreased Large Commercial Sales - thru May *</t>
  </si>
  <si>
    <t>Decreased Residential Usage - thru May *</t>
  </si>
  <si>
    <t>made is residential and non-residential. Based on historical data, non-residential is almost all small commercial, which is where it was displayed.</t>
  </si>
  <si>
    <t>status as opposed to a traditional late notice. This includes the months of March, April and May 2020</t>
  </si>
  <si>
    <t>* Note:  Blue Grass Energy believes that Small Commercial and Large Commercials sales are</t>
  </si>
  <si>
    <t>down due to mandated as well as voluntary closures. Blue Grass also believes that residential</t>
  </si>
  <si>
    <t>Lower training and education expenses. We recognize that some of our training</t>
  </si>
  <si>
    <t>usage may be up on a household basis due to increased hours of occupancy however this was</t>
  </si>
  <si>
    <t>not sufficient to compensate for differences in weather patterns.</t>
  </si>
  <si>
    <t>have been lower during the travel restrictions, however, we are uncertain as to</t>
  </si>
  <si>
    <t>how much of these expenses are deferred until restrictions are lifted and how</t>
  </si>
  <si>
    <t>much is a temporary one-time reduction.</t>
  </si>
  <si>
    <t>*The above numbers include both members who would have received late notices and prepaid</t>
  </si>
  <si>
    <t>accounts that would have received late notifications had the Commission's moratorium not</t>
  </si>
  <si>
    <t>been in effect. Those prepaid members would have been subject to disconnection because of</t>
  </si>
  <si>
    <t>their debit balance according to the terms of the tariff.</t>
  </si>
  <si>
    <t>Assuming the Commission's moratorium on disconnections was not in effect, provide the</t>
  </si>
  <si>
    <t>number of customers in each class that would be subject to disconnection and the date used</t>
  </si>
  <si>
    <t xml:space="preserve">for this determination. </t>
  </si>
  <si>
    <t>The COVID-19 health pandemic has financially impacted many of our members. These</t>
  </si>
  <si>
    <t>are times unlike anything we have experienced in our 83-year history.  Record</t>
  </si>
  <si>
    <t>unemployment and lost wages have caused some of our members to struggle in paying</t>
  </si>
  <si>
    <t xml:space="preserve">their Blue Grass Energy bill. </t>
  </si>
  <si>
    <t>As a cooperative, we have a special relationship with our members; we exist to serve</t>
  </si>
  <si>
    <t>them and support our local communities. During this health crisis, through various</t>
  </si>
  <si>
    <t>messaging, we have been sharing with our members our intent to help should they</t>
  </si>
  <si>
    <t>need it.</t>
  </si>
  <si>
    <t>We respectfully request the Commission to allow us the flexibility to work with our</t>
  </si>
  <si>
    <t>members in developing practical solutions in bringing their account current, so they are</t>
  </si>
  <si>
    <t>not overwhelmed with outstanding balances.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</si>
</sst>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9" x14ac:knownFonts="1">
    <font>
      <sz val="11"/>
      <color theme="1"/>
      <name val="Calibri"/>
      <family val="2"/>
    </font>
    <font>
      <sz val="11"/>
      <color theme="1"/>
      <name val="Calibri"/>
      <family val="2"/>
    </font>
    <font>
      <b/>
      <sz val="11"/>
      <color theme="1"/>
      <name val="Calibri"/>
      <family val="2"/>
    </font>
    <font>
      <b/>
      <i/>
      <sz val="11"/>
      <color theme="1"/>
      <name val="Calibri"/>
      <family val="2"/>
    </font>
    <font>
      <sz val="12"/>
      <color theme="1"/>
      <name val="Times New Roman"/>
      <family val="1"/>
    </font>
    <font>
      <u val="singleAccounting"/>
      <sz val="12"/>
      <color theme="1"/>
      <name val="Times New Roman"/>
      <family val="1"/>
    </font>
    <font>
      <vertAlign val="superscript"/>
      <sz val="12"/>
      <color theme="1"/>
      <name val="Times New Roman"/>
      <family val="1"/>
    </font>
    <font>
      <sz val="9"/>
      <color theme="1"/>
      <name val="Times New Roman"/>
      <family val="1"/>
    </font>
    <font>
      <sz val="11"/>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3">
    <border>
      <left/>
      <right/>
      <top/>
      <bottom/>
      <diagonal/>
    </border>
    <border>
      <left/>
      <right/>
      <top style="thin">
        <color auto="1"/>
      </top>
      <bottom style="double">
        <color auto="1"/>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0" fillId="0" borderId="0" xfId="0" applyAlignment="1">
      <alignment horizontal="center"/>
    </xf>
    <xf numFmtId="0" fontId="2" fillId="0" borderId="0" xfId="0" applyFont="1" applyAlignment="1">
      <alignment horizontal="right" indent="1"/>
    </xf>
    <xf numFmtId="0" fontId="2" fillId="0" borderId="0" xfId="0" applyFont="1" applyAlignment="1">
      <alignment horizontal="center"/>
    </xf>
    <xf numFmtId="0" fontId="2" fillId="0" borderId="0" xfId="0" applyFont="1"/>
    <xf numFmtId="43" fontId="0" fillId="0" borderId="0" xfId="1" applyFont="1"/>
    <xf numFmtId="164" fontId="0" fillId="0" borderId="0" xfId="1" applyNumberFormat="1" applyFont="1"/>
    <xf numFmtId="164" fontId="0" fillId="0" borderId="1" xfId="1" applyNumberFormat="1" applyFont="1" applyBorder="1"/>
    <xf numFmtId="16" fontId="0" fillId="0" borderId="0" xfId="0" applyNumberFormat="1" applyAlignment="1">
      <alignment horizontal="center"/>
    </xf>
    <xf numFmtId="44" fontId="0" fillId="0" borderId="0" xfId="2" applyFont="1"/>
    <xf numFmtId="165" fontId="0" fillId="0" borderId="0" xfId="2" applyNumberFormat="1" applyFont="1"/>
    <xf numFmtId="164" fontId="0" fillId="0" borderId="0" xfId="0" applyNumberFormat="1"/>
    <xf numFmtId="43" fontId="0" fillId="0" borderId="0" xfId="0" applyNumberFormat="1"/>
    <xf numFmtId="165" fontId="0" fillId="0" borderId="1" xfId="0" applyNumberFormat="1" applyBorder="1"/>
    <xf numFmtId="43" fontId="0" fillId="0" borderId="0" xfId="1" applyNumberFormat="1" applyFont="1"/>
    <xf numFmtId="164" fontId="2" fillId="0" borderId="0" xfId="1" applyNumberFormat="1" applyFont="1" applyAlignment="1">
      <alignment horizontal="center"/>
    </xf>
    <xf numFmtId="17" fontId="0" fillId="0" borderId="0" xfId="0" applyNumberFormat="1"/>
    <xf numFmtId="165" fontId="0" fillId="0" borderId="1" xfId="2" applyNumberFormat="1" applyFont="1" applyBorder="1"/>
    <xf numFmtId="164" fontId="0" fillId="0" borderId="0" xfId="1" applyNumberFormat="1" applyFont="1" applyAlignment="1">
      <alignment horizontal="center"/>
    </xf>
    <xf numFmtId="166" fontId="0" fillId="0" borderId="0" xfId="3" applyNumberFormat="1" applyFont="1" applyAlignment="1">
      <alignment horizontal="center"/>
    </xf>
    <xf numFmtId="166" fontId="2" fillId="0" borderId="0" xfId="3" applyNumberFormat="1" applyFont="1" applyAlignment="1">
      <alignment horizontal="center"/>
    </xf>
    <xf numFmtId="164" fontId="0" fillId="0" borderId="0" xfId="1" applyNumberFormat="1" applyFont="1" applyAlignment="1">
      <alignment horizontal="right"/>
    </xf>
    <xf numFmtId="0" fontId="4" fillId="0" borderId="0" xfId="0" applyFont="1"/>
    <xf numFmtId="43" fontId="5" fillId="0" borderId="0" xfId="1" applyFont="1"/>
    <xf numFmtId="164" fontId="4" fillId="0" borderId="0" xfId="1" applyNumberFormat="1" applyFont="1"/>
    <xf numFmtId="0" fontId="4"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Alignment="1">
      <alignment horizontal="center"/>
    </xf>
    <xf numFmtId="0" fontId="8" fillId="0" borderId="0" xfId="0" applyFont="1" applyAlignment="1">
      <alignment vertical="center"/>
    </xf>
    <xf numFmtId="0" fontId="8" fillId="0" borderId="0" xfId="0" applyFont="1"/>
    <xf numFmtId="0" fontId="2" fillId="0" borderId="0" xfId="0" applyFont="1" applyAlignment="1">
      <alignment horizontal="center"/>
    </xf>
    <xf numFmtId="0" fontId="4" fillId="0" borderId="0" xfId="0" applyFont="1" applyAlignment="1">
      <alignment horizontal="center"/>
    </xf>
    <xf numFmtId="43" fontId="5" fillId="0" borderId="0" xfId="1" applyFont="1" applyAlignment="1">
      <alignment horizontal="center"/>
    </xf>
    <xf numFmtId="164" fontId="0" fillId="2" borderId="0" xfId="1" applyNumberFormat="1" applyFont="1" applyFill="1" applyAlignment="1">
      <alignment horizontal="center"/>
    </xf>
    <xf numFmtId="0" fontId="2" fillId="0" borderId="0" xfId="0" applyFont="1" applyAlignment="1">
      <alignment horizontal="center" wrapText="1"/>
    </xf>
    <xf numFmtId="0" fontId="2" fillId="3" borderId="0" xfId="0" applyFont="1" applyFill="1"/>
    <xf numFmtId="164" fontId="0" fillId="3" borderId="0" xfId="1" applyNumberFormat="1" applyFont="1" applyFill="1"/>
    <xf numFmtId="0" fontId="4" fillId="0" borderId="0" xfId="0" applyFont="1" applyAlignment="1">
      <alignment horizontal="center"/>
    </xf>
    <xf numFmtId="17" fontId="2" fillId="0" borderId="0" xfId="0" applyNumberFormat="1" applyFont="1" applyAlignment="1">
      <alignment horizontal="center"/>
    </xf>
    <xf numFmtId="164" fontId="0" fillId="0" borderId="2" xfId="1" applyNumberFormat="1" applyFont="1" applyBorder="1"/>
    <xf numFmtId="0" fontId="4" fillId="0" borderId="0" xfId="0" applyFont="1" applyAlignment="1">
      <alignment horizontal="center"/>
    </xf>
    <xf numFmtId="0" fontId="0" fillId="0" borderId="0" xfId="0" applyFill="1"/>
    <xf numFmtId="164" fontId="4" fillId="0" borderId="0" xfId="1" applyNumberFormat="1" applyFont="1" applyAlignment="1">
      <alignment horizontal="right"/>
    </xf>
    <xf numFmtId="0" fontId="0" fillId="0" borderId="0" xfId="0" applyAlignment="1">
      <alignment vertical="center"/>
    </xf>
    <xf numFmtId="0" fontId="2" fillId="0" borderId="0" xfId="0" applyFont="1" applyAlignment="1">
      <alignment horizontal="center"/>
    </xf>
    <xf numFmtId="0" fontId="4" fillId="0" borderId="0" xfId="0" applyFont="1" applyAlignment="1">
      <alignment horizontal="center"/>
    </xf>
    <xf numFmtId="43" fontId="5" fillId="0" borderId="0" xfId="1"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3475-51AE-421C-80DC-6870656A9267}">
  <sheetPr>
    <tabColor theme="9"/>
  </sheetPr>
  <dimension ref="A1:H12"/>
  <sheetViews>
    <sheetView tabSelected="1" workbookViewId="0">
      <selection activeCell="C13" sqref="C13"/>
    </sheetView>
  </sheetViews>
  <sheetFormatPr defaultRowHeight="15" x14ac:dyDescent="0.25"/>
  <cols>
    <col min="1" max="1" width="6.7109375" customWidth="1"/>
    <col min="2" max="2" width="10.140625" customWidth="1"/>
    <col min="3" max="3" width="22.5703125" customWidth="1"/>
  </cols>
  <sheetData>
    <row r="1" spans="1:8" x14ac:dyDescent="0.25">
      <c r="H1" s="2" t="s">
        <v>0</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0</v>
      </c>
      <c r="C9" t="s">
        <v>5</v>
      </c>
    </row>
    <row r="10" spans="1:8" x14ac:dyDescent="0.25">
      <c r="C10" t="s">
        <v>6</v>
      </c>
    </row>
    <row r="12" spans="1:8" x14ac:dyDescent="0.25">
      <c r="B12" s="4" t="s">
        <v>7</v>
      </c>
      <c r="C12" t="s">
        <v>247</v>
      </c>
    </row>
  </sheetData>
  <mergeCells count="3">
    <mergeCell ref="A5:H5"/>
    <mergeCell ref="A6:H6"/>
    <mergeCell ref="A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F6B48-D8F7-46EB-B8C9-8FD4C3F3F660}">
  <sheetPr>
    <tabColor theme="9"/>
    <pageSetUpPr fitToPage="1"/>
  </sheetPr>
  <dimension ref="A1:S289"/>
  <sheetViews>
    <sheetView topLeftCell="A276" zoomScale="90" zoomScaleNormal="90" workbookViewId="0">
      <selection activeCell="A238" sqref="A238:XFD238"/>
    </sheetView>
  </sheetViews>
  <sheetFormatPr defaultRowHeight="15" x14ac:dyDescent="0.25"/>
  <cols>
    <col min="1" max="1" width="6.7109375" customWidth="1"/>
    <col min="2" max="2" width="10.140625" customWidth="1"/>
    <col min="3" max="3" width="3" customWidth="1"/>
    <col min="4" max="4" width="24.28515625" customWidth="1"/>
    <col min="5" max="6" width="12.140625" customWidth="1"/>
    <col min="7" max="7" width="13" customWidth="1"/>
    <col min="8" max="8" width="12.7109375" customWidth="1"/>
    <col min="9" max="9" width="12.5703125" customWidth="1"/>
    <col min="10" max="10" width="12.7109375" customWidth="1"/>
    <col min="11" max="11" width="13.28515625" customWidth="1"/>
    <col min="12" max="12" width="12" customWidth="1"/>
    <col min="13" max="13" width="12.140625" customWidth="1"/>
    <col min="14" max="16" width="13" customWidth="1"/>
    <col min="17" max="17" width="13.85546875" customWidth="1"/>
    <col min="18" max="18" width="13.7109375" customWidth="1"/>
  </cols>
  <sheetData>
    <row r="1" spans="1:18" x14ac:dyDescent="0.25">
      <c r="R1" s="2" t="s">
        <v>55</v>
      </c>
    </row>
    <row r="2" spans="1:18" x14ac:dyDescent="0.25">
      <c r="R2" s="2" t="s">
        <v>210</v>
      </c>
    </row>
    <row r="3" spans="1:18" x14ac:dyDescent="0.25">
      <c r="R3" s="2" t="s">
        <v>1</v>
      </c>
    </row>
    <row r="5" spans="1:18" x14ac:dyDescent="0.25">
      <c r="A5" s="45" t="s">
        <v>4</v>
      </c>
      <c r="B5" s="45"/>
      <c r="C5" s="45"/>
      <c r="D5" s="45"/>
      <c r="E5" s="45"/>
      <c r="F5" s="45"/>
      <c r="G5" s="45"/>
      <c r="H5" s="45"/>
      <c r="I5" s="45"/>
      <c r="J5" s="45"/>
      <c r="K5" s="45"/>
      <c r="L5" s="45"/>
      <c r="M5" s="45"/>
      <c r="N5" s="45"/>
      <c r="O5" s="45"/>
      <c r="P5" s="45"/>
      <c r="Q5" s="45"/>
      <c r="R5" s="45"/>
    </row>
    <row r="6" spans="1:18" x14ac:dyDescent="0.25">
      <c r="A6" s="45" t="s">
        <v>2</v>
      </c>
      <c r="B6" s="45"/>
      <c r="C6" s="45"/>
      <c r="D6" s="45"/>
      <c r="E6" s="45"/>
      <c r="F6" s="45"/>
      <c r="G6" s="45"/>
      <c r="H6" s="45"/>
      <c r="I6" s="45"/>
      <c r="J6" s="45"/>
      <c r="K6" s="45"/>
      <c r="L6" s="45"/>
      <c r="M6" s="45"/>
      <c r="N6" s="45"/>
      <c r="O6" s="45"/>
      <c r="P6" s="45"/>
      <c r="Q6" s="45"/>
      <c r="R6" s="45"/>
    </row>
    <row r="7" spans="1:18" x14ac:dyDescent="0.25">
      <c r="A7" s="45" t="s">
        <v>3</v>
      </c>
      <c r="B7" s="45"/>
      <c r="C7" s="45"/>
      <c r="D7" s="45"/>
      <c r="E7" s="45"/>
      <c r="F7" s="45"/>
      <c r="G7" s="45"/>
      <c r="H7" s="45"/>
      <c r="I7" s="45"/>
      <c r="J7" s="45"/>
      <c r="K7" s="45"/>
      <c r="L7" s="45"/>
      <c r="M7" s="45"/>
      <c r="N7" s="45"/>
      <c r="O7" s="45"/>
      <c r="P7" s="45"/>
      <c r="Q7" s="45"/>
      <c r="R7" s="45"/>
    </row>
    <row r="9" spans="1:18" x14ac:dyDescent="0.25">
      <c r="B9" s="31" t="s">
        <v>55</v>
      </c>
      <c r="C9" t="s">
        <v>200</v>
      </c>
    </row>
    <row r="10" spans="1:18" x14ac:dyDescent="0.25">
      <c r="C10" t="s">
        <v>201</v>
      </c>
    </row>
    <row r="11" spans="1:18" x14ac:dyDescent="0.25">
      <c r="D11" t="s">
        <v>202</v>
      </c>
    </row>
    <row r="12" spans="1:18" x14ac:dyDescent="0.25">
      <c r="D12" t="s">
        <v>203</v>
      </c>
    </row>
    <row r="13" spans="1:18" x14ac:dyDescent="0.25">
      <c r="D13" t="s">
        <v>221</v>
      </c>
    </row>
    <row r="14" spans="1:18" x14ac:dyDescent="0.25">
      <c r="C14" t="s">
        <v>204</v>
      </c>
    </row>
    <row r="15" spans="1:18" x14ac:dyDescent="0.25">
      <c r="C15" t="s">
        <v>205</v>
      </c>
    </row>
    <row r="17" spans="2:18" x14ac:dyDescent="0.25">
      <c r="B17" s="4" t="s">
        <v>7</v>
      </c>
      <c r="C17" t="s">
        <v>206</v>
      </c>
    </row>
    <row r="18" spans="2:18" x14ac:dyDescent="0.25">
      <c r="C18" t="s">
        <v>207</v>
      </c>
    </row>
    <row r="22" spans="2:18" ht="15.75" x14ac:dyDescent="0.25">
      <c r="C22" s="46" t="s">
        <v>195</v>
      </c>
      <c r="D22" s="46"/>
      <c r="E22" s="46"/>
      <c r="F22" s="46"/>
      <c r="G22" s="46"/>
      <c r="H22" s="46"/>
      <c r="I22" s="46"/>
      <c r="J22" s="46"/>
      <c r="K22" s="46"/>
      <c r="L22" s="46"/>
      <c r="M22" s="46"/>
      <c r="N22" s="46"/>
      <c r="O22" s="46"/>
      <c r="P22" s="46"/>
      <c r="Q22" s="46"/>
      <c r="R22" s="46"/>
    </row>
    <row r="23" spans="2:18" ht="15.75" x14ac:dyDescent="0.25">
      <c r="C23" s="46" t="s">
        <v>228</v>
      </c>
      <c r="D23" s="46"/>
      <c r="E23" s="46"/>
      <c r="F23" s="46"/>
      <c r="G23" s="46"/>
      <c r="H23" s="46"/>
      <c r="I23" s="46"/>
      <c r="J23" s="46"/>
      <c r="K23" s="46"/>
      <c r="L23" s="46"/>
      <c r="M23" s="46"/>
      <c r="N23" s="46"/>
      <c r="O23" s="46"/>
      <c r="P23" s="46"/>
      <c r="Q23" s="46"/>
      <c r="R23" s="46"/>
    </row>
    <row r="24" spans="2:18" ht="15.75" x14ac:dyDescent="0.25">
      <c r="C24" s="46" t="s">
        <v>241</v>
      </c>
      <c r="D24" s="46"/>
      <c r="E24" s="46"/>
      <c r="F24" s="46"/>
      <c r="G24" s="46"/>
      <c r="H24" s="46"/>
      <c r="I24" s="46"/>
      <c r="J24" s="46"/>
      <c r="K24" s="46"/>
      <c r="L24" s="46"/>
      <c r="M24" s="46"/>
      <c r="N24" s="46"/>
      <c r="O24" s="46"/>
      <c r="P24" s="46"/>
      <c r="Q24" s="46"/>
      <c r="R24" s="46"/>
    </row>
    <row r="25" spans="2:18" ht="15.75" x14ac:dyDescent="0.25">
      <c r="C25" s="22"/>
      <c r="D25" s="22"/>
      <c r="E25" s="32"/>
      <c r="F25" s="22"/>
      <c r="G25" s="22"/>
      <c r="H25" s="22"/>
      <c r="I25" s="22"/>
      <c r="J25" s="22"/>
      <c r="K25" s="22"/>
      <c r="L25" s="22"/>
      <c r="M25" s="22"/>
      <c r="N25" s="22"/>
      <c r="O25" s="22"/>
      <c r="P25" s="22"/>
      <c r="Q25" s="22"/>
      <c r="R25" s="22"/>
    </row>
    <row r="26" spans="2:18" ht="18" x14ac:dyDescent="0.4">
      <c r="C26" s="22"/>
      <c r="D26" s="22"/>
      <c r="E26" s="33" t="s">
        <v>181</v>
      </c>
      <c r="F26" s="23" t="s">
        <v>182</v>
      </c>
      <c r="G26" s="23" t="s">
        <v>183</v>
      </c>
      <c r="H26" s="23" t="s">
        <v>83</v>
      </c>
      <c r="I26" s="23" t="s">
        <v>84</v>
      </c>
      <c r="J26" s="23" t="s">
        <v>85</v>
      </c>
      <c r="K26" s="23" t="s">
        <v>86</v>
      </c>
      <c r="L26" s="23" t="s">
        <v>87</v>
      </c>
      <c r="M26" s="23" t="s">
        <v>88</v>
      </c>
      <c r="N26" s="23" t="s">
        <v>89</v>
      </c>
      <c r="O26" s="23" t="s">
        <v>90</v>
      </c>
      <c r="P26" s="23" t="s">
        <v>91</v>
      </c>
      <c r="Q26" s="23" t="s">
        <v>92</v>
      </c>
      <c r="R26" s="23" t="s">
        <v>93</v>
      </c>
    </row>
    <row r="27" spans="2:18" ht="15.75" x14ac:dyDescent="0.25">
      <c r="C27" s="22" t="s">
        <v>208</v>
      </c>
      <c r="D27" s="22" t="s">
        <v>196</v>
      </c>
      <c r="E27" s="32">
        <v>2015</v>
      </c>
      <c r="F27" s="43" t="s">
        <v>229</v>
      </c>
      <c r="G27" s="43" t="s">
        <v>229</v>
      </c>
      <c r="H27" s="43" t="s">
        <v>229</v>
      </c>
      <c r="I27" s="43" t="s">
        <v>229</v>
      </c>
      <c r="J27" s="43" t="s">
        <v>229</v>
      </c>
      <c r="K27" s="43" t="s">
        <v>229</v>
      </c>
      <c r="L27" s="43" t="s">
        <v>229</v>
      </c>
      <c r="M27" s="43" t="s">
        <v>229</v>
      </c>
      <c r="N27" s="43" t="s">
        <v>229</v>
      </c>
      <c r="O27" s="43" t="s">
        <v>229</v>
      </c>
      <c r="P27" s="43" t="s">
        <v>229</v>
      </c>
      <c r="Q27" s="43" t="s">
        <v>229</v>
      </c>
      <c r="R27" s="43" t="s">
        <v>229</v>
      </c>
    </row>
    <row r="28" spans="2:18" ht="15.75" x14ac:dyDescent="0.25">
      <c r="C28" s="22"/>
      <c r="D28" s="22" t="s">
        <v>197</v>
      </c>
      <c r="E28" s="32">
        <v>2016</v>
      </c>
      <c r="F28" s="43" t="s">
        <v>229</v>
      </c>
      <c r="G28" s="43" t="s">
        <v>229</v>
      </c>
      <c r="H28" s="43" t="s">
        <v>229</v>
      </c>
      <c r="I28" s="43" t="s">
        <v>229</v>
      </c>
      <c r="J28" s="43" t="s">
        <v>229</v>
      </c>
      <c r="K28" s="43" t="s">
        <v>229</v>
      </c>
      <c r="L28" s="43" t="s">
        <v>229</v>
      </c>
      <c r="M28" s="43" t="s">
        <v>229</v>
      </c>
      <c r="N28" s="43" t="s">
        <v>229</v>
      </c>
      <c r="O28" s="43" t="s">
        <v>229</v>
      </c>
      <c r="P28" s="43" t="s">
        <v>229</v>
      </c>
      <c r="Q28" s="43" t="s">
        <v>229</v>
      </c>
      <c r="R28" s="43" t="s">
        <v>229</v>
      </c>
    </row>
    <row r="29" spans="2:18" ht="15.75" x14ac:dyDescent="0.25">
      <c r="C29" s="22"/>
      <c r="D29" s="22"/>
      <c r="E29" s="32">
        <v>2017</v>
      </c>
      <c r="F29" s="43" t="s">
        <v>229</v>
      </c>
      <c r="G29" s="43" t="s">
        <v>229</v>
      </c>
      <c r="H29" s="43" t="s">
        <v>229</v>
      </c>
      <c r="I29" s="43" t="s">
        <v>229</v>
      </c>
      <c r="J29" s="43" t="s">
        <v>229</v>
      </c>
      <c r="K29" s="43" t="s">
        <v>229</v>
      </c>
      <c r="L29" s="43" t="s">
        <v>229</v>
      </c>
      <c r="M29" s="43" t="s">
        <v>229</v>
      </c>
      <c r="N29" s="43" t="s">
        <v>229</v>
      </c>
      <c r="O29" s="43" t="s">
        <v>229</v>
      </c>
      <c r="P29" s="43" t="s">
        <v>229</v>
      </c>
      <c r="Q29" s="24">
        <v>7578</v>
      </c>
      <c r="R29" s="24">
        <v>7915</v>
      </c>
    </row>
    <row r="30" spans="2:18" ht="15.75" x14ac:dyDescent="0.25">
      <c r="C30" s="22"/>
      <c r="D30" s="22"/>
      <c r="E30" s="32">
        <v>2018</v>
      </c>
      <c r="F30" s="24">
        <f>SUM(G30:R30)</f>
        <v>89675</v>
      </c>
      <c r="G30" s="24">
        <v>7903</v>
      </c>
      <c r="H30" s="24">
        <v>6878</v>
      </c>
      <c r="I30" s="24">
        <v>8782</v>
      </c>
      <c r="J30" s="24">
        <v>5932</v>
      </c>
      <c r="K30" s="24">
        <v>9584</v>
      </c>
      <c r="L30" s="24">
        <v>6419</v>
      </c>
      <c r="M30" s="24">
        <v>6985</v>
      </c>
      <c r="N30" s="24">
        <v>8412</v>
      </c>
      <c r="O30" s="24">
        <v>5434</v>
      </c>
      <c r="P30" s="24">
        <v>8320</v>
      </c>
      <c r="Q30" s="24">
        <v>7661</v>
      </c>
      <c r="R30" s="24">
        <v>7365</v>
      </c>
    </row>
    <row r="31" spans="2:18" ht="15.75" x14ac:dyDescent="0.25">
      <c r="C31" s="22"/>
      <c r="D31" s="22"/>
      <c r="E31" s="32">
        <v>2019</v>
      </c>
      <c r="F31" s="24">
        <f>SUM(G31:R31)</f>
        <v>84827</v>
      </c>
      <c r="G31" s="24">
        <v>7743</v>
      </c>
      <c r="H31" s="24">
        <v>6500</v>
      </c>
      <c r="I31" s="24">
        <v>8296</v>
      </c>
      <c r="J31" s="24">
        <v>6821</v>
      </c>
      <c r="K31" s="24">
        <v>8239</v>
      </c>
      <c r="L31" s="24">
        <v>5019</v>
      </c>
      <c r="M31" s="24">
        <v>8088</v>
      </c>
      <c r="N31" s="24">
        <v>7388</v>
      </c>
      <c r="O31" s="24">
        <v>5992</v>
      </c>
      <c r="P31" s="24">
        <v>7665</v>
      </c>
      <c r="Q31" s="24">
        <v>6096</v>
      </c>
      <c r="R31" s="24">
        <v>6980</v>
      </c>
    </row>
    <row r="32" spans="2:18" ht="15.75" x14ac:dyDescent="0.25">
      <c r="C32" s="22"/>
      <c r="D32" s="22"/>
      <c r="E32" s="32"/>
      <c r="F32" s="24"/>
      <c r="G32" s="24"/>
      <c r="H32" s="24"/>
      <c r="I32" s="24"/>
      <c r="J32" s="24"/>
      <c r="K32" s="24"/>
      <c r="L32" s="24"/>
      <c r="M32" s="24"/>
      <c r="N32" s="24"/>
      <c r="O32" s="24"/>
      <c r="P32" s="24"/>
      <c r="Q32" s="24"/>
      <c r="R32" s="24"/>
    </row>
    <row r="33" spans="3:18" ht="15.75" x14ac:dyDescent="0.25">
      <c r="C33" s="22" t="s">
        <v>184</v>
      </c>
      <c r="D33" s="22" t="s">
        <v>186</v>
      </c>
      <c r="E33" s="32">
        <v>2015</v>
      </c>
      <c r="F33" s="24">
        <f t="shared" ref="F33:F37" si="0">SUM(G33:R33)</f>
        <v>2433</v>
      </c>
      <c r="G33" s="24">
        <v>164</v>
      </c>
      <c r="H33" s="24">
        <v>36</v>
      </c>
      <c r="I33" s="24">
        <v>305</v>
      </c>
      <c r="J33" s="24">
        <v>239</v>
      </c>
      <c r="K33" s="24">
        <v>277</v>
      </c>
      <c r="L33" s="24">
        <v>218</v>
      </c>
      <c r="M33" s="24">
        <v>183</v>
      </c>
      <c r="N33" s="24">
        <v>190</v>
      </c>
      <c r="O33" s="24">
        <v>227</v>
      </c>
      <c r="P33" s="24">
        <v>224</v>
      </c>
      <c r="Q33" s="24">
        <v>209</v>
      </c>
      <c r="R33" s="24">
        <v>161</v>
      </c>
    </row>
    <row r="34" spans="3:18" ht="15.75" x14ac:dyDescent="0.25">
      <c r="C34" s="22"/>
      <c r="D34" s="22"/>
      <c r="E34" s="32">
        <v>2016</v>
      </c>
      <c r="F34" s="24">
        <f t="shared" si="0"/>
        <v>2149</v>
      </c>
      <c r="G34" s="24">
        <v>156</v>
      </c>
      <c r="H34" s="24">
        <v>160</v>
      </c>
      <c r="I34" s="24">
        <v>246</v>
      </c>
      <c r="J34" s="24">
        <v>232</v>
      </c>
      <c r="K34" s="24">
        <v>163</v>
      </c>
      <c r="L34" s="24">
        <v>154</v>
      </c>
      <c r="M34" s="24">
        <v>133</v>
      </c>
      <c r="N34" s="24">
        <v>222</v>
      </c>
      <c r="O34" s="24">
        <v>168</v>
      </c>
      <c r="P34" s="24">
        <v>176</v>
      </c>
      <c r="Q34" s="24">
        <v>221</v>
      </c>
      <c r="R34" s="24">
        <v>118</v>
      </c>
    </row>
    <row r="35" spans="3:18" ht="15.75" x14ac:dyDescent="0.25">
      <c r="C35" s="22"/>
      <c r="D35" s="22"/>
      <c r="E35" s="32">
        <v>2017</v>
      </c>
      <c r="F35" s="24">
        <f t="shared" si="0"/>
        <v>2196</v>
      </c>
      <c r="G35" s="24">
        <v>129</v>
      </c>
      <c r="H35" s="24">
        <v>207</v>
      </c>
      <c r="I35" s="24">
        <v>208</v>
      </c>
      <c r="J35" s="24">
        <v>197</v>
      </c>
      <c r="K35" s="24">
        <v>208</v>
      </c>
      <c r="L35" s="24">
        <v>150</v>
      </c>
      <c r="M35" s="24">
        <v>134</v>
      </c>
      <c r="N35" s="24">
        <v>219</v>
      </c>
      <c r="O35" s="24">
        <v>277</v>
      </c>
      <c r="P35" s="24">
        <v>192</v>
      </c>
      <c r="Q35" s="24">
        <v>187</v>
      </c>
      <c r="R35" s="24">
        <v>88</v>
      </c>
    </row>
    <row r="36" spans="3:18" ht="15.75" x14ac:dyDescent="0.25">
      <c r="C36" s="22"/>
      <c r="D36" s="22"/>
      <c r="E36" s="32">
        <v>2018</v>
      </c>
      <c r="F36" s="24">
        <f t="shared" si="0"/>
        <v>2391</v>
      </c>
      <c r="G36" s="24">
        <v>187</v>
      </c>
      <c r="H36" s="24">
        <v>205</v>
      </c>
      <c r="I36" s="24">
        <v>244</v>
      </c>
      <c r="J36" s="24">
        <v>219</v>
      </c>
      <c r="K36" s="24">
        <v>222</v>
      </c>
      <c r="L36" s="24">
        <v>205</v>
      </c>
      <c r="M36" s="24">
        <v>174</v>
      </c>
      <c r="N36" s="24">
        <v>199</v>
      </c>
      <c r="O36" s="24">
        <v>180</v>
      </c>
      <c r="P36" s="24">
        <v>230</v>
      </c>
      <c r="Q36" s="24">
        <v>167</v>
      </c>
      <c r="R36" s="24">
        <v>159</v>
      </c>
    </row>
    <row r="37" spans="3:18" ht="15.75" x14ac:dyDescent="0.25">
      <c r="C37" s="22"/>
      <c r="D37" s="22"/>
      <c r="E37" s="32">
        <v>2019</v>
      </c>
      <c r="F37" s="24">
        <f t="shared" si="0"/>
        <v>2290</v>
      </c>
      <c r="G37" s="24">
        <v>177</v>
      </c>
      <c r="H37" s="24">
        <v>200</v>
      </c>
      <c r="I37" s="24">
        <v>194</v>
      </c>
      <c r="J37" s="24">
        <v>217</v>
      </c>
      <c r="K37" s="24">
        <v>221</v>
      </c>
      <c r="L37" s="24">
        <v>177</v>
      </c>
      <c r="M37" s="24">
        <v>206</v>
      </c>
      <c r="N37" s="24">
        <v>180</v>
      </c>
      <c r="O37" s="24">
        <v>197</v>
      </c>
      <c r="P37" s="24">
        <v>225</v>
      </c>
      <c r="Q37" s="24">
        <v>145</v>
      </c>
      <c r="R37" s="24">
        <v>151</v>
      </c>
    </row>
    <row r="38" spans="3:18" ht="15.75" x14ac:dyDescent="0.25">
      <c r="C38" s="22"/>
      <c r="D38" s="22"/>
      <c r="E38" s="32"/>
      <c r="F38" s="24"/>
      <c r="G38" s="24"/>
      <c r="H38" s="24"/>
      <c r="I38" s="24"/>
      <c r="J38" s="24"/>
      <c r="K38" s="24"/>
      <c r="L38" s="24"/>
      <c r="M38" s="24"/>
      <c r="N38" s="24"/>
      <c r="O38" s="24"/>
      <c r="P38" s="24"/>
      <c r="Q38" s="24"/>
      <c r="R38" s="24"/>
    </row>
    <row r="39" spans="3:18" ht="51.75" customHeight="1" x14ac:dyDescent="0.25">
      <c r="C39" s="25" t="s">
        <v>208</v>
      </c>
      <c r="D39" s="26" t="s">
        <v>187</v>
      </c>
      <c r="E39" s="32">
        <v>2015</v>
      </c>
      <c r="F39" s="43" t="s">
        <v>229</v>
      </c>
      <c r="G39" s="43" t="s">
        <v>229</v>
      </c>
      <c r="H39" s="43" t="s">
        <v>229</v>
      </c>
      <c r="I39" s="43" t="s">
        <v>229</v>
      </c>
      <c r="J39" s="43" t="s">
        <v>229</v>
      </c>
      <c r="K39" s="43" t="s">
        <v>229</v>
      </c>
      <c r="L39" s="43" t="s">
        <v>229</v>
      </c>
      <c r="M39" s="43" t="s">
        <v>229</v>
      </c>
      <c r="N39" s="43" t="s">
        <v>229</v>
      </c>
      <c r="O39" s="43" t="s">
        <v>229</v>
      </c>
      <c r="P39" s="43" t="s">
        <v>229</v>
      </c>
      <c r="Q39" s="43" t="s">
        <v>229</v>
      </c>
      <c r="R39" s="43" t="s">
        <v>229</v>
      </c>
    </row>
    <row r="40" spans="3:18" ht="15.75" x14ac:dyDescent="0.25">
      <c r="C40" s="22"/>
      <c r="D40" s="22"/>
      <c r="E40" s="32">
        <v>2016</v>
      </c>
      <c r="F40" s="43" t="s">
        <v>229</v>
      </c>
      <c r="G40" s="43" t="s">
        <v>229</v>
      </c>
      <c r="H40" s="43" t="s">
        <v>229</v>
      </c>
      <c r="I40" s="43" t="s">
        <v>229</v>
      </c>
      <c r="J40" s="43" t="s">
        <v>229</v>
      </c>
      <c r="K40" s="43" t="s">
        <v>229</v>
      </c>
      <c r="L40" s="43" t="s">
        <v>229</v>
      </c>
      <c r="M40" s="43" t="s">
        <v>229</v>
      </c>
      <c r="N40" s="43" t="s">
        <v>229</v>
      </c>
      <c r="O40" s="43" t="s">
        <v>229</v>
      </c>
      <c r="P40" s="43" t="s">
        <v>229</v>
      </c>
      <c r="Q40" s="43" t="s">
        <v>229</v>
      </c>
      <c r="R40" s="43" t="s">
        <v>229</v>
      </c>
    </row>
    <row r="41" spans="3:18" ht="15.75" x14ac:dyDescent="0.25">
      <c r="C41" s="22"/>
      <c r="D41" s="22"/>
      <c r="E41" s="32">
        <v>2017</v>
      </c>
      <c r="F41" s="43" t="s">
        <v>229</v>
      </c>
      <c r="G41" s="43" t="s">
        <v>229</v>
      </c>
      <c r="H41" s="43" t="s">
        <v>229</v>
      </c>
      <c r="I41" s="43" t="s">
        <v>229</v>
      </c>
      <c r="J41" s="43" t="s">
        <v>229</v>
      </c>
      <c r="K41" s="43" t="s">
        <v>229</v>
      </c>
      <c r="L41" s="43" t="s">
        <v>229</v>
      </c>
      <c r="M41" s="43" t="s">
        <v>229</v>
      </c>
      <c r="N41" s="43" t="s">
        <v>229</v>
      </c>
      <c r="O41" s="43" t="s">
        <v>229</v>
      </c>
      <c r="P41" s="43" t="s">
        <v>229</v>
      </c>
      <c r="Q41" s="24">
        <v>7578</v>
      </c>
      <c r="R41" s="24">
        <v>7915</v>
      </c>
    </row>
    <row r="42" spans="3:18" ht="15.75" x14ac:dyDescent="0.25">
      <c r="C42" s="22"/>
      <c r="D42" s="22"/>
      <c r="E42" s="32">
        <v>2018</v>
      </c>
      <c r="F42" s="24">
        <v>20609</v>
      </c>
      <c r="G42" s="24">
        <v>7903</v>
      </c>
      <c r="H42" s="24">
        <v>6877</v>
      </c>
      <c r="I42" s="24">
        <v>8073</v>
      </c>
      <c r="J42" s="24">
        <v>5932</v>
      </c>
      <c r="K42" s="24">
        <v>8209</v>
      </c>
      <c r="L42" s="24">
        <v>6419</v>
      </c>
      <c r="M42" s="24">
        <v>6985</v>
      </c>
      <c r="N42" s="24">
        <v>7763</v>
      </c>
      <c r="O42" s="24">
        <v>5434</v>
      </c>
      <c r="P42" s="24">
        <v>7640</v>
      </c>
      <c r="Q42" s="24">
        <v>7661</v>
      </c>
      <c r="R42" s="24">
        <v>7365</v>
      </c>
    </row>
    <row r="43" spans="3:18" ht="15.75" x14ac:dyDescent="0.25">
      <c r="C43" s="22"/>
      <c r="D43" s="22"/>
      <c r="E43" s="32">
        <v>2019</v>
      </c>
      <c r="F43" s="24">
        <v>20186</v>
      </c>
      <c r="G43" s="24">
        <v>7743</v>
      </c>
      <c r="H43" s="24">
        <v>6500</v>
      </c>
      <c r="I43" s="24">
        <v>7629</v>
      </c>
      <c r="J43" s="24">
        <v>6821</v>
      </c>
      <c r="K43" s="24">
        <v>7645</v>
      </c>
      <c r="L43" s="24">
        <v>5019</v>
      </c>
      <c r="M43" s="24">
        <v>7462</v>
      </c>
      <c r="N43" s="24">
        <v>7388</v>
      </c>
      <c r="O43" s="24">
        <v>5992</v>
      </c>
      <c r="P43" s="24">
        <v>6979</v>
      </c>
      <c r="Q43" s="24">
        <v>6096</v>
      </c>
      <c r="R43" s="24">
        <v>6979</v>
      </c>
    </row>
    <row r="44" spans="3:18" ht="15.75" x14ac:dyDescent="0.25">
      <c r="C44" s="22"/>
      <c r="D44" s="22"/>
      <c r="E44" s="38"/>
      <c r="F44" s="24"/>
      <c r="G44" s="24"/>
      <c r="H44" s="24"/>
      <c r="I44" s="24"/>
      <c r="J44" s="24"/>
      <c r="K44" s="24"/>
      <c r="L44" s="24"/>
      <c r="M44" s="24"/>
      <c r="N44" s="24"/>
      <c r="O44" s="24"/>
      <c r="P44" s="24"/>
      <c r="Q44" s="24"/>
      <c r="R44" s="24"/>
    </row>
    <row r="45" spans="3:18" ht="51" customHeight="1" x14ac:dyDescent="0.25">
      <c r="C45" s="25" t="s">
        <v>184</v>
      </c>
      <c r="D45" s="26" t="s">
        <v>188</v>
      </c>
      <c r="E45" s="32">
        <v>2015</v>
      </c>
      <c r="F45" s="24">
        <v>1872</v>
      </c>
      <c r="G45" s="24">
        <v>164</v>
      </c>
      <c r="H45" s="24">
        <v>36</v>
      </c>
      <c r="I45" s="24">
        <v>305</v>
      </c>
      <c r="J45" s="24">
        <v>239</v>
      </c>
      <c r="K45" s="24">
        <v>272</v>
      </c>
      <c r="L45" s="24">
        <v>209</v>
      </c>
      <c r="M45" s="24">
        <v>180</v>
      </c>
      <c r="N45" s="24">
        <v>185</v>
      </c>
      <c r="O45" s="24">
        <v>227</v>
      </c>
      <c r="P45" s="24">
        <v>219</v>
      </c>
      <c r="Q45" s="24">
        <v>203</v>
      </c>
      <c r="R45" s="24">
        <v>161</v>
      </c>
    </row>
    <row r="46" spans="3:18" ht="15.75" x14ac:dyDescent="0.25">
      <c r="C46" s="22"/>
      <c r="D46" s="22"/>
      <c r="E46" s="32">
        <v>2016</v>
      </c>
      <c r="F46" s="24">
        <v>1643</v>
      </c>
      <c r="G46" s="24">
        <v>153</v>
      </c>
      <c r="H46" s="24">
        <v>160</v>
      </c>
      <c r="I46" s="24">
        <v>240</v>
      </c>
      <c r="J46" s="24">
        <v>227</v>
      </c>
      <c r="K46" s="24">
        <v>159</v>
      </c>
      <c r="L46" s="24">
        <v>153</v>
      </c>
      <c r="M46" s="24">
        <v>133</v>
      </c>
      <c r="N46" s="24">
        <v>218</v>
      </c>
      <c r="O46" s="24">
        <v>168</v>
      </c>
      <c r="P46" s="24">
        <v>174</v>
      </c>
      <c r="Q46" s="24">
        <v>219</v>
      </c>
      <c r="R46" s="24">
        <v>118</v>
      </c>
    </row>
    <row r="47" spans="3:18" ht="15.75" x14ac:dyDescent="0.25">
      <c r="C47" s="22"/>
      <c r="D47" s="22"/>
      <c r="E47" s="32">
        <v>2017</v>
      </c>
      <c r="F47" s="24">
        <v>1609</v>
      </c>
      <c r="G47" s="24">
        <v>129</v>
      </c>
      <c r="H47" s="24">
        <v>201</v>
      </c>
      <c r="I47" s="24">
        <v>207</v>
      </c>
      <c r="J47" s="24">
        <v>196</v>
      </c>
      <c r="K47" s="24">
        <v>203</v>
      </c>
      <c r="L47" s="24">
        <v>150</v>
      </c>
      <c r="M47" s="24">
        <v>129</v>
      </c>
      <c r="N47" s="24">
        <v>219</v>
      </c>
      <c r="O47" s="24">
        <v>271</v>
      </c>
      <c r="P47" s="24">
        <v>192</v>
      </c>
      <c r="Q47" s="24">
        <v>180</v>
      </c>
      <c r="R47" s="24">
        <v>88</v>
      </c>
    </row>
    <row r="48" spans="3:18" ht="15.75" x14ac:dyDescent="0.25">
      <c r="C48" s="22"/>
      <c r="D48" s="22"/>
      <c r="E48" s="32">
        <v>2018</v>
      </c>
      <c r="F48" s="24">
        <v>1676</v>
      </c>
      <c r="G48" s="24">
        <v>187</v>
      </c>
      <c r="H48" s="24">
        <v>201</v>
      </c>
      <c r="I48" s="24">
        <v>236</v>
      </c>
      <c r="J48" s="24">
        <v>216</v>
      </c>
      <c r="K48" s="24">
        <v>213</v>
      </c>
      <c r="L48" s="24">
        <v>199</v>
      </c>
      <c r="M48" s="24">
        <v>170</v>
      </c>
      <c r="N48" s="24">
        <v>188</v>
      </c>
      <c r="O48" s="24">
        <v>180</v>
      </c>
      <c r="P48" s="24">
        <v>230</v>
      </c>
      <c r="Q48" s="24">
        <v>163</v>
      </c>
      <c r="R48" s="24">
        <v>157</v>
      </c>
    </row>
    <row r="49" spans="3:18" ht="15.75" x14ac:dyDescent="0.25">
      <c r="C49" s="22"/>
      <c r="D49" s="22"/>
      <c r="E49" s="32">
        <v>2019</v>
      </c>
      <c r="F49" s="24">
        <v>1595</v>
      </c>
      <c r="G49" s="24">
        <v>175</v>
      </c>
      <c r="H49" s="24">
        <v>200</v>
      </c>
      <c r="I49" s="24">
        <v>192</v>
      </c>
      <c r="J49" s="24">
        <v>217</v>
      </c>
      <c r="K49" s="24">
        <v>221</v>
      </c>
      <c r="L49" s="24">
        <v>177</v>
      </c>
      <c r="M49" s="24">
        <v>200</v>
      </c>
      <c r="N49" s="24">
        <v>179</v>
      </c>
      <c r="O49" s="24">
        <v>192</v>
      </c>
      <c r="P49" s="24">
        <v>225</v>
      </c>
      <c r="Q49" s="24">
        <v>143</v>
      </c>
      <c r="R49" s="24">
        <v>150</v>
      </c>
    </row>
    <row r="50" spans="3:18" ht="14.25" customHeight="1" x14ac:dyDescent="0.25">
      <c r="C50" s="22"/>
      <c r="D50" s="27" t="s">
        <v>189</v>
      </c>
      <c r="E50" s="28"/>
      <c r="F50" s="27"/>
      <c r="G50" s="27"/>
      <c r="H50" s="27"/>
      <c r="I50" s="27"/>
      <c r="J50" s="27"/>
      <c r="K50" s="27"/>
      <c r="L50" s="27"/>
      <c r="M50" s="27"/>
      <c r="N50" s="27"/>
      <c r="O50" s="27"/>
      <c r="P50" s="27"/>
      <c r="Q50" s="27"/>
      <c r="R50" s="27"/>
    </row>
    <row r="52" spans="3:18" ht="31.5" x14ac:dyDescent="0.25">
      <c r="C52" s="25" t="s">
        <v>185</v>
      </c>
      <c r="D52" s="26" t="s">
        <v>209</v>
      </c>
      <c r="E52" s="32">
        <v>2015</v>
      </c>
      <c r="F52" s="24" t="s">
        <v>144</v>
      </c>
      <c r="G52" s="24">
        <v>53579</v>
      </c>
      <c r="H52" s="24">
        <v>53441</v>
      </c>
      <c r="I52" s="24">
        <v>53586</v>
      </c>
      <c r="J52" s="24">
        <v>53594</v>
      </c>
      <c r="K52" s="24">
        <v>53799</v>
      </c>
      <c r="L52" s="24">
        <v>53789</v>
      </c>
      <c r="M52" s="24">
        <v>53785</v>
      </c>
      <c r="N52" s="24">
        <v>54113</v>
      </c>
      <c r="O52" s="24">
        <v>53876</v>
      </c>
      <c r="P52" s="24">
        <v>54109</v>
      </c>
      <c r="Q52" s="24">
        <v>53955</v>
      </c>
      <c r="R52" s="24">
        <v>54068</v>
      </c>
    </row>
    <row r="53" spans="3:18" ht="15.75" x14ac:dyDescent="0.25">
      <c r="C53" s="22"/>
      <c r="D53" s="22"/>
      <c r="E53" s="32">
        <v>2016</v>
      </c>
      <c r="F53" s="24" t="s">
        <v>144</v>
      </c>
      <c r="G53" s="24">
        <v>54346</v>
      </c>
      <c r="H53" s="24">
        <v>54252</v>
      </c>
      <c r="I53" s="24">
        <v>54269</v>
      </c>
      <c r="J53" s="24">
        <v>54484</v>
      </c>
      <c r="K53" s="24">
        <v>54303</v>
      </c>
      <c r="L53" s="24">
        <v>54650</v>
      </c>
      <c r="M53" s="24">
        <v>54625</v>
      </c>
      <c r="N53" s="24">
        <v>54720</v>
      </c>
      <c r="O53" s="24">
        <v>54709</v>
      </c>
      <c r="P53" s="24">
        <v>54654</v>
      </c>
      <c r="Q53" s="24">
        <v>54681</v>
      </c>
      <c r="R53" s="24">
        <v>54711</v>
      </c>
    </row>
    <row r="54" spans="3:18" ht="15.75" x14ac:dyDescent="0.25">
      <c r="C54" s="22"/>
      <c r="D54" s="22"/>
      <c r="E54" s="32">
        <v>2017</v>
      </c>
      <c r="F54" s="24" t="s">
        <v>144</v>
      </c>
      <c r="G54" s="24">
        <v>54780</v>
      </c>
      <c r="H54" s="24">
        <v>54800</v>
      </c>
      <c r="I54" s="24">
        <v>54940</v>
      </c>
      <c r="J54" s="24">
        <v>54878</v>
      </c>
      <c r="K54" s="24">
        <v>55089</v>
      </c>
      <c r="L54" s="24">
        <v>55192</v>
      </c>
      <c r="M54" s="24">
        <v>55168</v>
      </c>
      <c r="N54" s="24">
        <v>55360</v>
      </c>
      <c r="O54" s="24">
        <v>55200</v>
      </c>
      <c r="P54" s="24">
        <v>55234</v>
      </c>
      <c r="Q54" s="24">
        <v>55293</v>
      </c>
      <c r="R54" s="24">
        <v>55274</v>
      </c>
    </row>
    <row r="55" spans="3:18" ht="15.75" x14ac:dyDescent="0.25">
      <c r="C55" s="22"/>
      <c r="D55" s="22"/>
      <c r="E55" s="32">
        <v>2018</v>
      </c>
      <c r="F55" s="24">
        <v>63799</v>
      </c>
      <c r="G55" s="24">
        <v>55369</v>
      </c>
      <c r="H55" s="24">
        <v>55313</v>
      </c>
      <c r="I55" s="24">
        <v>55356</v>
      </c>
      <c r="J55" s="24">
        <v>55446</v>
      </c>
      <c r="K55" s="24">
        <v>55497</v>
      </c>
      <c r="L55" s="24">
        <v>55599</v>
      </c>
      <c r="M55" s="24">
        <v>55643</v>
      </c>
      <c r="N55" s="24">
        <v>55798</v>
      </c>
      <c r="O55" s="24">
        <v>55709</v>
      </c>
      <c r="P55" s="24">
        <v>55709</v>
      </c>
      <c r="Q55" s="24">
        <v>55715</v>
      </c>
      <c r="R55" s="24">
        <v>55700</v>
      </c>
    </row>
    <row r="56" spans="3:18" ht="15.75" x14ac:dyDescent="0.25">
      <c r="C56" s="22"/>
      <c r="D56" s="22"/>
      <c r="E56" s="32">
        <v>2019</v>
      </c>
      <c r="F56" s="24">
        <v>64103</v>
      </c>
      <c r="G56" s="24">
        <v>55736</v>
      </c>
      <c r="H56" s="24">
        <v>55769</v>
      </c>
      <c r="I56" s="24">
        <v>55828</v>
      </c>
      <c r="J56" s="24">
        <v>55893</v>
      </c>
      <c r="K56" s="24">
        <v>55966</v>
      </c>
      <c r="L56" s="24">
        <v>55990</v>
      </c>
      <c r="M56" s="24">
        <v>56110</v>
      </c>
      <c r="N56" s="24">
        <v>56181</v>
      </c>
      <c r="O56" s="24">
        <v>56185</v>
      </c>
      <c r="P56" s="24">
        <v>56246</v>
      </c>
      <c r="Q56" s="24">
        <v>56160</v>
      </c>
      <c r="R56" s="24">
        <v>56221</v>
      </c>
    </row>
    <row r="57" spans="3:18" ht="15.75" x14ac:dyDescent="0.25">
      <c r="C57" s="22"/>
      <c r="D57" s="22"/>
      <c r="E57" s="32"/>
      <c r="F57" s="24"/>
      <c r="G57" s="24"/>
      <c r="H57" s="24"/>
      <c r="I57" s="24"/>
      <c r="J57" s="24"/>
      <c r="K57" s="24"/>
      <c r="L57" s="24"/>
      <c r="M57" s="24"/>
      <c r="N57" s="24"/>
      <c r="O57" s="24"/>
      <c r="P57" s="24"/>
      <c r="Q57" s="24"/>
      <c r="R57" s="24"/>
    </row>
    <row r="58" spans="3:18" ht="15.75" x14ac:dyDescent="0.25">
      <c r="C58" s="22"/>
      <c r="D58" s="22"/>
      <c r="E58" s="41"/>
      <c r="F58" s="24"/>
      <c r="G58" s="24"/>
      <c r="H58" s="24"/>
      <c r="I58" s="24"/>
      <c r="J58" s="24"/>
      <c r="K58" s="24"/>
      <c r="L58" s="24"/>
      <c r="M58" s="24"/>
      <c r="N58" s="24"/>
      <c r="O58" s="24"/>
      <c r="P58" s="24"/>
      <c r="Q58" s="24"/>
      <c r="R58" s="24"/>
    </row>
    <row r="59" spans="3:18" ht="15.75" x14ac:dyDescent="0.25">
      <c r="C59" s="22"/>
      <c r="D59" s="22"/>
      <c r="E59" s="41"/>
      <c r="F59" s="24"/>
      <c r="G59" s="24"/>
      <c r="H59" s="24"/>
      <c r="I59" s="24"/>
      <c r="J59" s="24"/>
      <c r="K59" s="24"/>
      <c r="L59" s="24"/>
      <c r="M59" s="24"/>
      <c r="N59" s="24"/>
      <c r="O59" s="24"/>
      <c r="P59" s="24"/>
      <c r="Q59" s="24"/>
      <c r="R59" s="24"/>
    </row>
    <row r="60" spans="3:18" ht="15.75" x14ac:dyDescent="0.25">
      <c r="C60" s="22"/>
      <c r="D60" s="22"/>
      <c r="E60" s="41"/>
      <c r="F60" s="24"/>
      <c r="G60" s="24"/>
      <c r="H60" s="24"/>
      <c r="I60" s="24"/>
      <c r="J60" s="24"/>
      <c r="K60" s="24"/>
      <c r="L60" s="24"/>
      <c r="M60" s="24"/>
      <c r="N60" s="24"/>
      <c r="O60" s="24"/>
      <c r="P60" s="24"/>
      <c r="Q60" s="24"/>
      <c r="R60" s="24"/>
    </row>
    <row r="61" spans="3:18" ht="15.75" x14ac:dyDescent="0.25">
      <c r="C61" s="22"/>
      <c r="D61" s="22"/>
      <c r="E61" s="41"/>
      <c r="F61" s="24"/>
      <c r="G61" s="24"/>
      <c r="H61" s="24"/>
      <c r="I61" s="24"/>
      <c r="J61" s="24"/>
      <c r="K61" s="24"/>
      <c r="L61" s="24"/>
      <c r="M61" s="24"/>
      <c r="N61" s="24"/>
      <c r="O61" s="24"/>
      <c r="P61" s="24"/>
      <c r="Q61" s="24"/>
      <c r="R61" s="24"/>
    </row>
    <row r="62" spans="3:18" x14ac:dyDescent="0.25">
      <c r="R62" s="2" t="s">
        <v>55</v>
      </c>
    </row>
    <row r="63" spans="3:18" x14ac:dyDescent="0.25">
      <c r="R63" s="2" t="s">
        <v>211</v>
      </c>
    </row>
    <row r="64" spans="3:18" x14ac:dyDescent="0.25">
      <c r="R64" s="2" t="s">
        <v>1</v>
      </c>
    </row>
    <row r="66" spans="1:18" x14ac:dyDescent="0.25">
      <c r="A66" s="45" t="s">
        <v>4</v>
      </c>
      <c r="B66" s="45"/>
      <c r="C66" s="45"/>
      <c r="D66" s="45"/>
      <c r="E66" s="45"/>
      <c r="F66" s="45"/>
      <c r="G66" s="45"/>
      <c r="H66" s="45"/>
      <c r="I66" s="45"/>
      <c r="J66" s="45"/>
      <c r="K66" s="45"/>
      <c r="L66" s="45"/>
      <c r="M66" s="45"/>
      <c r="N66" s="45"/>
      <c r="O66" s="45"/>
      <c r="P66" s="45"/>
      <c r="Q66" s="45"/>
      <c r="R66" s="45"/>
    </row>
    <row r="67" spans="1:18" x14ac:dyDescent="0.25">
      <c r="A67" s="45" t="s">
        <v>2</v>
      </c>
      <c r="B67" s="45"/>
      <c r="C67" s="45"/>
      <c r="D67" s="45"/>
      <c r="E67" s="45"/>
      <c r="F67" s="45"/>
      <c r="G67" s="45"/>
      <c r="H67" s="45"/>
      <c r="I67" s="45"/>
      <c r="J67" s="45"/>
      <c r="K67" s="45"/>
      <c r="L67" s="45"/>
      <c r="M67" s="45"/>
      <c r="N67" s="45"/>
      <c r="O67" s="45"/>
      <c r="P67" s="45"/>
      <c r="Q67" s="45"/>
      <c r="R67" s="45"/>
    </row>
    <row r="68" spans="1:18" x14ac:dyDescent="0.25">
      <c r="A68" s="45" t="s">
        <v>3</v>
      </c>
      <c r="B68" s="45"/>
      <c r="C68" s="45"/>
      <c r="D68" s="45"/>
      <c r="E68" s="45"/>
      <c r="F68" s="45"/>
      <c r="G68" s="45"/>
      <c r="H68" s="45"/>
      <c r="I68" s="45"/>
      <c r="J68" s="45"/>
      <c r="K68" s="45"/>
      <c r="L68" s="45"/>
      <c r="M68" s="45"/>
      <c r="N68" s="45"/>
      <c r="O68" s="45"/>
      <c r="P68" s="45"/>
      <c r="Q68" s="45"/>
      <c r="R68" s="45"/>
    </row>
    <row r="74" spans="1:18" ht="15.75" x14ac:dyDescent="0.25">
      <c r="C74" s="46" t="s">
        <v>195</v>
      </c>
      <c r="D74" s="46"/>
      <c r="E74" s="46"/>
      <c r="F74" s="46"/>
      <c r="G74" s="46"/>
      <c r="H74" s="46"/>
      <c r="I74" s="46"/>
      <c r="J74" s="46"/>
      <c r="K74" s="46"/>
      <c r="L74" s="46"/>
      <c r="M74" s="46"/>
      <c r="N74" s="46"/>
      <c r="O74" s="46"/>
      <c r="P74" s="46"/>
      <c r="Q74" s="46"/>
      <c r="R74" s="46"/>
    </row>
    <row r="75" spans="1:18" ht="15.75" x14ac:dyDescent="0.25">
      <c r="C75" s="46" t="s">
        <v>218</v>
      </c>
      <c r="D75" s="46"/>
      <c r="E75" s="46"/>
      <c r="F75" s="46"/>
      <c r="G75" s="46"/>
      <c r="H75" s="46"/>
      <c r="I75" s="46"/>
      <c r="J75" s="46"/>
      <c r="K75" s="46"/>
      <c r="L75" s="46"/>
      <c r="M75" s="46"/>
      <c r="N75" s="46"/>
      <c r="O75" s="46"/>
      <c r="P75" s="46"/>
      <c r="Q75" s="46"/>
      <c r="R75" s="46"/>
    </row>
    <row r="76" spans="1:18" ht="15.75" x14ac:dyDescent="0.25">
      <c r="C76" s="46" t="s">
        <v>241</v>
      </c>
      <c r="D76" s="46"/>
      <c r="E76" s="46"/>
      <c r="F76" s="46"/>
      <c r="G76" s="46"/>
      <c r="H76" s="46"/>
      <c r="I76" s="46"/>
      <c r="J76" s="46"/>
      <c r="K76" s="46"/>
      <c r="L76" s="46"/>
      <c r="M76" s="46"/>
      <c r="N76" s="46"/>
      <c r="O76" s="46"/>
      <c r="P76" s="46"/>
      <c r="Q76" s="46"/>
      <c r="R76" s="46"/>
    </row>
    <row r="77" spans="1:18" ht="15.75" x14ac:dyDescent="0.25">
      <c r="C77" s="22"/>
      <c r="D77" s="22"/>
      <c r="E77" s="32"/>
      <c r="F77" s="22"/>
      <c r="G77" s="22"/>
      <c r="H77" s="22"/>
      <c r="I77" s="22"/>
      <c r="J77" s="22"/>
      <c r="K77" s="22"/>
      <c r="L77" s="22"/>
      <c r="M77" s="22"/>
      <c r="N77" s="22"/>
      <c r="O77" s="22"/>
      <c r="P77" s="22"/>
      <c r="Q77" s="22"/>
      <c r="R77" s="22"/>
    </row>
    <row r="78" spans="1:18" ht="18" x14ac:dyDescent="0.4">
      <c r="C78" s="22"/>
      <c r="D78" s="22"/>
      <c r="E78" s="33" t="s">
        <v>181</v>
      </c>
      <c r="F78" s="23" t="s">
        <v>182</v>
      </c>
      <c r="G78" s="23" t="s">
        <v>183</v>
      </c>
      <c r="H78" s="23" t="s">
        <v>83</v>
      </c>
      <c r="I78" s="23" t="s">
        <v>84</v>
      </c>
      <c r="J78" s="23" t="s">
        <v>85</v>
      </c>
      <c r="K78" s="23" t="s">
        <v>86</v>
      </c>
      <c r="L78" s="23" t="s">
        <v>87</v>
      </c>
      <c r="M78" s="23" t="s">
        <v>88</v>
      </c>
      <c r="N78" s="23" t="s">
        <v>89</v>
      </c>
      <c r="O78" s="23" t="s">
        <v>90</v>
      </c>
      <c r="P78" s="23" t="s">
        <v>91</v>
      </c>
      <c r="Q78" s="23" t="s">
        <v>92</v>
      </c>
      <c r="R78" s="23" t="s">
        <v>93</v>
      </c>
    </row>
    <row r="79" spans="1:18" ht="15.75" x14ac:dyDescent="0.25">
      <c r="C79" s="22" t="s">
        <v>208</v>
      </c>
      <c r="D79" s="22" t="s">
        <v>196</v>
      </c>
      <c r="E79" s="32">
        <v>2015</v>
      </c>
      <c r="F79" s="43" t="s">
        <v>229</v>
      </c>
      <c r="G79" s="43" t="s">
        <v>229</v>
      </c>
      <c r="H79" s="43" t="s">
        <v>229</v>
      </c>
      <c r="I79" s="43" t="s">
        <v>229</v>
      </c>
      <c r="J79" s="43" t="s">
        <v>229</v>
      </c>
      <c r="K79" s="43" t="s">
        <v>229</v>
      </c>
      <c r="L79" s="43" t="s">
        <v>229</v>
      </c>
      <c r="M79" s="43" t="s">
        <v>229</v>
      </c>
      <c r="N79" s="43" t="s">
        <v>229</v>
      </c>
      <c r="O79" s="43" t="s">
        <v>229</v>
      </c>
      <c r="P79" s="43" t="s">
        <v>229</v>
      </c>
      <c r="Q79" s="43" t="s">
        <v>229</v>
      </c>
      <c r="R79" s="43" t="s">
        <v>229</v>
      </c>
    </row>
    <row r="80" spans="1:18" ht="15.75" x14ac:dyDescent="0.25">
      <c r="C80" s="22"/>
      <c r="D80" s="22" t="s">
        <v>197</v>
      </c>
      <c r="E80" s="32">
        <v>2016</v>
      </c>
      <c r="F80" s="43" t="s">
        <v>229</v>
      </c>
      <c r="G80" s="43" t="s">
        <v>229</v>
      </c>
      <c r="H80" s="43" t="s">
        <v>229</v>
      </c>
      <c r="I80" s="43" t="s">
        <v>229</v>
      </c>
      <c r="J80" s="43" t="s">
        <v>229</v>
      </c>
      <c r="K80" s="43" t="s">
        <v>229</v>
      </c>
      <c r="L80" s="43" t="s">
        <v>229</v>
      </c>
      <c r="M80" s="43" t="s">
        <v>229</v>
      </c>
      <c r="N80" s="43" t="s">
        <v>229</v>
      </c>
      <c r="O80" s="43" t="s">
        <v>229</v>
      </c>
      <c r="P80" s="43" t="s">
        <v>229</v>
      </c>
      <c r="Q80" s="43" t="s">
        <v>229</v>
      </c>
      <c r="R80" s="43" t="s">
        <v>229</v>
      </c>
    </row>
    <row r="81" spans="3:18" ht="15.75" x14ac:dyDescent="0.25">
      <c r="C81" s="22"/>
      <c r="D81" s="22"/>
      <c r="E81" s="32">
        <v>2017</v>
      </c>
      <c r="F81" s="43" t="s">
        <v>229</v>
      </c>
      <c r="G81" s="43" t="s">
        <v>229</v>
      </c>
      <c r="H81" s="43" t="s">
        <v>229</v>
      </c>
      <c r="I81" s="43" t="s">
        <v>229</v>
      </c>
      <c r="J81" s="43" t="s">
        <v>229</v>
      </c>
      <c r="K81" s="43" t="s">
        <v>229</v>
      </c>
      <c r="L81" s="43" t="s">
        <v>229</v>
      </c>
      <c r="M81" s="43" t="s">
        <v>229</v>
      </c>
      <c r="N81" s="43" t="s">
        <v>229</v>
      </c>
      <c r="O81" s="43" t="s">
        <v>229</v>
      </c>
      <c r="P81" s="43" t="s">
        <v>229</v>
      </c>
      <c r="Q81" s="24">
        <v>326</v>
      </c>
      <c r="R81" s="24">
        <v>340</v>
      </c>
    </row>
    <row r="82" spans="3:18" ht="15.75" x14ac:dyDescent="0.25">
      <c r="C82" s="22"/>
      <c r="D82" s="22"/>
      <c r="E82" s="32">
        <v>2018</v>
      </c>
      <c r="F82" s="24">
        <f>SUM(G82:R82)</f>
        <v>4721</v>
      </c>
      <c r="G82" s="24">
        <v>582</v>
      </c>
      <c r="H82" s="24">
        <v>213</v>
      </c>
      <c r="I82" s="24">
        <v>391</v>
      </c>
      <c r="J82" s="24">
        <v>326</v>
      </c>
      <c r="K82" s="24">
        <v>306</v>
      </c>
      <c r="L82" s="24">
        <v>251</v>
      </c>
      <c r="M82" s="24">
        <v>406</v>
      </c>
      <c r="N82" s="24">
        <v>395</v>
      </c>
      <c r="O82" s="24">
        <v>480</v>
      </c>
      <c r="P82" s="24">
        <v>383</v>
      </c>
      <c r="Q82" s="24">
        <v>543</v>
      </c>
      <c r="R82" s="24">
        <v>445</v>
      </c>
    </row>
    <row r="83" spans="3:18" ht="15.75" x14ac:dyDescent="0.25">
      <c r="C83" s="22"/>
      <c r="D83" s="22"/>
      <c r="E83" s="32">
        <v>2019</v>
      </c>
      <c r="F83" s="24">
        <f t="shared" ref="F83" si="1">SUM(G83:R83)</f>
        <v>4356</v>
      </c>
      <c r="G83" s="24">
        <v>513</v>
      </c>
      <c r="H83" s="24">
        <v>466</v>
      </c>
      <c r="I83" s="24">
        <v>291</v>
      </c>
      <c r="J83" s="24">
        <v>369</v>
      </c>
      <c r="K83" s="24">
        <v>186</v>
      </c>
      <c r="L83" s="24">
        <v>417</v>
      </c>
      <c r="M83" s="24">
        <v>439</v>
      </c>
      <c r="N83" s="24">
        <v>210</v>
      </c>
      <c r="O83" s="24">
        <v>603</v>
      </c>
      <c r="P83" s="24">
        <v>260</v>
      </c>
      <c r="Q83" s="24">
        <v>309</v>
      </c>
      <c r="R83" s="24">
        <v>293</v>
      </c>
    </row>
    <row r="84" spans="3:18" ht="15.75" x14ac:dyDescent="0.25">
      <c r="C84" s="22"/>
      <c r="D84" s="22"/>
      <c r="E84" s="32"/>
      <c r="F84" s="24"/>
      <c r="G84" s="24"/>
      <c r="H84" s="24"/>
      <c r="I84" s="24"/>
      <c r="J84" s="24"/>
      <c r="K84" s="24"/>
      <c r="L84" s="24"/>
      <c r="M84" s="24"/>
      <c r="N84" s="24"/>
      <c r="O84" s="24"/>
      <c r="P84" s="24"/>
      <c r="Q84" s="24"/>
      <c r="R84" s="24"/>
    </row>
    <row r="85" spans="3:18" ht="15.75" x14ac:dyDescent="0.25">
      <c r="C85" s="22" t="s">
        <v>184</v>
      </c>
      <c r="D85" s="22" t="s">
        <v>186</v>
      </c>
      <c r="E85" s="32">
        <v>2015</v>
      </c>
      <c r="F85" s="24">
        <f>SUM(G85:R85)</f>
        <v>37</v>
      </c>
      <c r="G85" s="24">
        <v>3</v>
      </c>
      <c r="H85" s="24">
        <v>0</v>
      </c>
      <c r="I85" s="24">
        <v>4</v>
      </c>
      <c r="J85" s="24">
        <v>1</v>
      </c>
      <c r="K85" s="24">
        <v>2</v>
      </c>
      <c r="L85" s="24">
        <v>3</v>
      </c>
      <c r="M85" s="24">
        <v>6</v>
      </c>
      <c r="N85" s="24">
        <v>2</v>
      </c>
      <c r="O85" s="24">
        <v>2</v>
      </c>
      <c r="P85" s="24">
        <v>2</v>
      </c>
      <c r="Q85" s="24">
        <v>5</v>
      </c>
      <c r="R85" s="24">
        <v>7</v>
      </c>
    </row>
    <row r="86" spans="3:18" ht="15.75" x14ac:dyDescent="0.25">
      <c r="C86" s="22"/>
      <c r="D86" s="22"/>
      <c r="E86" s="32">
        <v>2016</v>
      </c>
      <c r="F86" s="24">
        <f t="shared" ref="F86:F89" si="2">SUM(G86:R86)</f>
        <v>52</v>
      </c>
      <c r="G86" s="24">
        <v>4</v>
      </c>
      <c r="H86" s="24">
        <v>5</v>
      </c>
      <c r="I86" s="24">
        <v>3</v>
      </c>
      <c r="J86" s="24">
        <v>2</v>
      </c>
      <c r="K86" s="24">
        <v>5</v>
      </c>
      <c r="L86" s="24">
        <v>3</v>
      </c>
      <c r="M86" s="24">
        <v>8</v>
      </c>
      <c r="N86" s="24">
        <v>5</v>
      </c>
      <c r="O86" s="24">
        <v>6</v>
      </c>
      <c r="P86" s="24">
        <v>2</v>
      </c>
      <c r="Q86" s="24">
        <v>4</v>
      </c>
      <c r="R86" s="24">
        <v>5</v>
      </c>
    </row>
    <row r="87" spans="3:18" ht="15.75" x14ac:dyDescent="0.25">
      <c r="C87" s="22"/>
      <c r="D87" s="22"/>
      <c r="E87" s="32">
        <v>2017</v>
      </c>
      <c r="F87" s="24">
        <f t="shared" si="2"/>
        <v>47</v>
      </c>
      <c r="G87" s="24">
        <v>3</v>
      </c>
      <c r="H87" s="24">
        <v>5</v>
      </c>
      <c r="I87" s="24">
        <v>4</v>
      </c>
      <c r="J87" s="24">
        <v>5</v>
      </c>
      <c r="K87" s="24">
        <v>2</v>
      </c>
      <c r="L87" s="24">
        <v>3</v>
      </c>
      <c r="M87" s="24">
        <v>5</v>
      </c>
      <c r="N87" s="24">
        <v>5</v>
      </c>
      <c r="O87" s="24">
        <v>6</v>
      </c>
      <c r="P87" s="24">
        <v>3</v>
      </c>
      <c r="Q87" s="24">
        <v>3</v>
      </c>
      <c r="R87" s="24">
        <v>3</v>
      </c>
    </row>
    <row r="88" spans="3:18" ht="15.75" x14ac:dyDescent="0.25">
      <c r="C88" s="22"/>
      <c r="D88" s="22"/>
      <c r="E88" s="32">
        <v>2018</v>
      </c>
      <c r="F88" s="24">
        <f t="shared" si="2"/>
        <v>39</v>
      </c>
      <c r="G88" s="24">
        <v>6</v>
      </c>
      <c r="H88" s="24">
        <v>0</v>
      </c>
      <c r="I88" s="24">
        <v>3</v>
      </c>
      <c r="J88" s="24">
        <v>4</v>
      </c>
      <c r="K88" s="24">
        <v>2</v>
      </c>
      <c r="L88" s="24">
        <v>0</v>
      </c>
      <c r="M88" s="24">
        <v>7</v>
      </c>
      <c r="N88" s="24">
        <v>5</v>
      </c>
      <c r="O88" s="24">
        <v>4</v>
      </c>
      <c r="P88" s="24">
        <v>2</v>
      </c>
      <c r="Q88" s="24">
        <v>4</v>
      </c>
      <c r="R88" s="24">
        <v>2</v>
      </c>
    </row>
    <row r="89" spans="3:18" ht="15.75" x14ac:dyDescent="0.25">
      <c r="C89" s="22"/>
      <c r="D89" s="22"/>
      <c r="E89" s="32">
        <v>2019</v>
      </c>
      <c r="F89" s="24">
        <f t="shared" si="2"/>
        <v>45</v>
      </c>
      <c r="G89" s="24">
        <v>3</v>
      </c>
      <c r="H89" s="24">
        <v>3</v>
      </c>
      <c r="I89" s="24">
        <v>1</v>
      </c>
      <c r="J89" s="24">
        <v>6</v>
      </c>
      <c r="K89" s="24">
        <v>4</v>
      </c>
      <c r="L89" s="24">
        <v>3</v>
      </c>
      <c r="M89" s="24">
        <v>1</v>
      </c>
      <c r="N89" s="24">
        <v>6</v>
      </c>
      <c r="O89" s="24">
        <v>6</v>
      </c>
      <c r="P89" s="24">
        <v>5</v>
      </c>
      <c r="Q89" s="24">
        <v>2</v>
      </c>
      <c r="R89" s="24">
        <v>5</v>
      </c>
    </row>
    <row r="90" spans="3:18" ht="15.75" x14ac:dyDescent="0.25">
      <c r="C90" s="22"/>
      <c r="D90" s="22"/>
      <c r="E90" s="32"/>
      <c r="F90" s="24"/>
      <c r="G90" s="24"/>
      <c r="H90" s="24"/>
      <c r="I90" s="24"/>
      <c r="J90" s="24"/>
      <c r="K90" s="24"/>
      <c r="L90" s="24"/>
      <c r="M90" s="24"/>
      <c r="N90" s="24"/>
      <c r="O90" s="24"/>
      <c r="P90" s="24"/>
      <c r="Q90" s="24"/>
      <c r="R90" s="24"/>
    </row>
    <row r="91" spans="3:18" ht="50.25" x14ac:dyDescent="0.25">
      <c r="C91" s="25" t="s">
        <v>208</v>
      </c>
      <c r="D91" s="26" t="s">
        <v>187</v>
      </c>
      <c r="E91" s="32">
        <v>2015</v>
      </c>
      <c r="F91" s="43" t="s">
        <v>229</v>
      </c>
      <c r="G91" s="43" t="s">
        <v>229</v>
      </c>
      <c r="H91" s="43" t="s">
        <v>229</v>
      </c>
      <c r="I91" s="43" t="s">
        <v>229</v>
      </c>
      <c r="J91" s="43" t="s">
        <v>229</v>
      </c>
      <c r="K91" s="43" t="s">
        <v>229</v>
      </c>
      <c r="L91" s="43" t="s">
        <v>229</v>
      </c>
      <c r="M91" s="43" t="s">
        <v>229</v>
      </c>
      <c r="N91" s="43" t="s">
        <v>229</v>
      </c>
      <c r="O91" s="43" t="s">
        <v>229</v>
      </c>
      <c r="P91" s="43" t="s">
        <v>229</v>
      </c>
      <c r="Q91" s="43" t="s">
        <v>229</v>
      </c>
      <c r="R91" s="43" t="s">
        <v>229</v>
      </c>
    </row>
    <row r="92" spans="3:18" ht="15.75" x14ac:dyDescent="0.25">
      <c r="C92" s="22"/>
      <c r="D92" s="22"/>
      <c r="E92" s="32">
        <v>2016</v>
      </c>
      <c r="F92" s="43" t="s">
        <v>229</v>
      </c>
      <c r="G92" s="43" t="s">
        <v>229</v>
      </c>
      <c r="H92" s="43" t="s">
        <v>229</v>
      </c>
      <c r="I92" s="43" t="s">
        <v>229</v>
      </c>
      <c r="J92" s="43" t="s">
        <v>229</v>
      </c>
      <c r="K92" s="43" t="s">
        <v>229</v>
      </c>
      <c r="L92" s="43" t="s">
        <v>229</v>
      </c>
      <c r="M92" s="43" t="s">
        <v>229</v>
      </c>
      <c r="N92" s="43" t="s">
        <v>229</v>
      </c>
      <c r="O92" s="43" t="s">
        <v>229</v>
      </c>
      <c r="P92" s="43" t="s">
        <v>229</v>
      </c>
      <c r="Q92" s="43" t="s">
        <v>229</v>
      </c>
      <c r="R92" s="43" t="s">
        <v>229</v>
      </c>
    </row>
    <row r="93" spans="3:18" ht="15.75" x14ac:dyDescent="0.25">
      <c r="C93" s="22"/>
      <c r="D93" s="22"/>
      <c r="E93" s="32">
        <v>2017</v>
      </c>
      <c r="F93" s="43" t="s">
        <v>229</v>
      </c>
      <c r="G93" s="43" t="s">
        <v>229</v>
      </c>
      <c r="H93" s="43" t="s">
        <v>229</v>
      </c>
      <c r="I93" s="43" t="s">
        <v>229</v>
      </c>
      <c r="J93" s="43" t="s">
        <v>229</v>
      </c>
      <c r="K93" s="43" t="s">
        <v>229</v>
      </c>
      <c r="L93" s="43" t="s">
        <v>229</v>
      </c>
      <c r="M93" s="43" t="s">
        <v>229</v>
      </c>
      <c r="N93" s="43" t="s">
        <v>229</v>
      </c>
      <c r="O93" s="43" t="s">
        <v>229</v>
      </c>
      <c r="P93" s="43" t="s">
        <v>229</v>
      </c>
      <c r="Q93" s="24">
        <v>326</v>
      </c>
      <c r="R93" s="24">
        <v>340</v>
      </c>
    </row>
    <row r="94" spans="3:18" ht="15.75" x14ac:dyDescent="0.25">
      <c r="C94" s="22"/>
      <c r="D94" s="22"/>
      <c r="E94" s="32">
        <v>2018</v>
      </c>
      <c r="F94" s="24">
        <v>1466</v>
      </c>
      <c r="G94" s="24">
        <v>581</v>
      </c>
      <c r="H94" s="24">
        <v>213</v>
      </c>
      <c r="I94" s="24">
        <v>391</v>
      </c>
      <c r="J94" s="24">
        <v>326</v>
      </c>
      <c r="K94" s="24">
        <v>306</v>
      </c>
      <c r="L94" s="24">
        <v>251</v>
      </c>
      <c r="M94" s="24">
        <v>406</v>
      </c>
      <c r="N94" s="24">
        <v>395</v>
      </c>
      <c r="O94" s="24">
        <v>480</v>
      </c>
      <c r="P94" s="24">
        <v>383</v>
      </c>
      <c r="Q94" s="24">
        <v>543</v>
      </c>
      <c r="R94" s="24">
        <v>445</v>
      </c>
    </row>
    <row r="95" spans="3:18" ht="15.75" x14ac:dyDescent="0.25">
      <c r="C95" s="22"/>
      <c r="D95" s="22"/>
      <c r="E95" s="32">
        <v>2019</v>
      </c>
      <c r="F95" s="24">
        <v>1406</v>
      </c>
      <c r="G95" s="24">
        <v>513</v>
      </c>
      <c r="H95" s="24">
        <v>466</v>
      </c>
      <c r="I95" s="24">
        <v>291</v>
      </c>
      <c r="J95" s="24">
        <v>369</v>
      </c>
      <c r="K95" s="24">
        <v>186</v>
      </c>
      <c r="L95" s="24">
        <v>417</v>
      </c>
      <c r="M95" s="24">
        <v>439</v>
      </c>
      <c r="N95" s="24">
        <v>210</v>
      </c>
      <c r="O95" s="24">
        <v>603</v>
      </c>
      <c r="P95" s="24">
        <v>260</v>
      </c>
      <c r="Q95" s="24">
        <v>309</v>
      </c>
      <c r="R95" s="24">
        <v>293</v>
      </c>
    </row>
    <row r="96" spans="3:18" ht="15.75" x14ac:dyDescent="0.25">
      <c r="C96" s="22"/>
      <c r="D96" s="22"/>
      <c r="E96" s="38"/>
      <c r="F96" s="24"/>
      <c r="G96" s="24"/>
      <c r="H96" s="24"/>
      <c r="I96" s="24"/>
      <c r="J96" s="24"/>
      <c r="K96" s="24"/>
      <c r="L96" s="24"/>
      <c r="M96" s="24"/>
      <c r="N96" s="24"/>
      <c r="O96" s="24"/>
      <c r="P96" s="24"/>
      <c r="Q96" s="24"/>
      <c r="R96" s="24"/>
    </row>
    <row r="97" spans="3:19" ht="50.25" x14ac:dyDescent="0.25">
      <c r="C97" s="25" t="s">
        <v>184</v>
      </c>
      <c r="D97" s="26" t="s">
        <v>188</v>
      </c>
      <c r="E97" s="32">
        <v>2015</v>
      </c>
      <c r="F97" s="24">
        <v>30</v>
      </c>
      <c r="G97" s="24">
        <v>3</v>
      </c>
      <c r="H97" s="24">
        <v>0</v>
      </c>
      <c r="I97" s="24">
        <v>4</v>
      </c>
      <c r="J97" s="24">
        <v>1</v>
      </c>
      <c r="K97" s="24">
        <v>2</v>
      </c>
      <c r="L97" s="24">
        <v>3</v>
      </c>
      <c r="M97" s="24">
        <v>6</v>
      </c>
      <c r="N97" s="24">
        <v>2</v>
      </c>
      <c r="O97" s="24">
        <v>2</v>
      </c>
      <c r="P97" s="24">
        <v>2</v>
      </c>
      <c r="Q97" s="24">
        <v>5</v>
      </c>
      <c r="R97" s="24">
        <v>5</v>
      </c>
    </row>
    <row r="98" spans="3:19" ht="15.75" x14ac:dyDescent="0.25">
      <c r="C98" s="22"/>
      <c r="D98" s="22"/>
      <c r="E98" s="32">
        <v>2016</v>
      </c>
      <c r="F98" s="24">
        <v>29</v>
      </c>
      <c r="G98" s="24">
        <v>4</v>
      </c>
      <c r="H98" s="24">
        <v>5</v>
      </c>
      <c r="I98" s="24">
        <v>2</v>
      </c>
      <c r="J98" s="24">
        <v>2</v>
      </c>
      <c r="K98" s="24">
        <v>4</v>
      </c>
      <c r="L98" s="24">
        <v>3</v>
      </c>
      <c r="M98" s="24">
        <v>7</v>
      </c>
      <c r="N98" s="24">
        <v>5</v>
      </c>
      <c r="O98" s="24">
        <v>6</v>
      </c>
      <c r="P98" s="24">
        <v>2</v>
      </c>
      <c r="Q98" s="24">
        <v>4</v>
      </c>
      <c r="R98" s="24">
        <v>5</v>
      </c>
    </row>
    <row r="99" spans="3:19" ht="15.75" x14ac:dyDescent="0.25">
      <c r="C99" s="22"/>
      <c r="D99" s="22"/>
      <c r="E99" s="32">
        <v>2017</v>
      </c>
      <c r="F99" s="24">
        <v>27</v>
      </c>
      <c r="G99" s="24">
        <v>3</v>
      </c>
      <c r="H99" s="24">
        <v>5</v>
      </c>
      <c r="I99" s="24">
        <v>4</v>
      </c>
      <c r="J99" s="24">
        <v>4</v>
      </c>
      <c r="K99" s="24">
        <v>2</v>
      </c>
      <c r="L99" s="24">
        <v>3</v>
      </c>
      <c r="M99" s="24">
        <v>5</v>
      </c>
      <c r="N99" s="24">
        <v>5</v>
      </c>
      <c r="O99" s="24">
        <v>6</v>
      </c>
      <c r="P99" s="24">
        <v>3</v>
      </c>
      <c r="Q99" s="24">
        <v>3</v>
      </c>
      <c r="R99" s="24">
        <v>3</v>
      </c>
    </row>
    <row r="100" spans="3:19" ht="15.75" x14ac:dyDescent="0.25">
      <c r="C100" s="22"/>
      <c r="D100" s="22"/>
      <c r="E100" s="32">
        <v>2018</v>
      </c>
      <c r="F100" s="24">
        <v>27</v>
      </c>
      <c r="G100" s="24">
        <v>6</v>
      </c>
      <c r="H100" s="24">
        <v>0</v>
      </c>
      <c r="I100" s="24">
        <v>3</v>
      </c>
      <c r="J100" s="24">
        <v>4</v>
      </c>
      <c r="K100" s="24">
        <v>2</v>
      </c>
      <c r="L100" s="24">
        <v>0</v>
      </c>
      <c r="M100" s="24">
        <v>7</v>
      </c>
      <c r="N100" s="24">
        <v>5</v>
      </c>
      <c r="O100" s="24">
        <v>4</v>
      </c>
      <c r="P100" s="24">
        <v>2</v>
      </c>
      <c r="Q100" s="24">
        <v>4</v>
      </c>
      <c r="R100" s="24">
        <v>2</v>
      </c>
    </row>
    <row r="101" spans="3:19" ht="15.75" x14ac:dyDescent="0.25">
      <c r="C101" s="22"/>
      <c r="D101" s="22"/>
      <c r="E101" s="32">
        <v>2019</v>
      </c>
      <c r="F101" s="24">
        <v>30</v>
      </c>
      <c r="G101" s="24">
        <v>3</v>
      </c>
      <c r="H101" s="24">
        <v>3</v>
      </c>
      <c r="I101" s="24">
        <v>1</v>
      </c>
      <c r="J101" s="24">
        <v>6</v>
      </c>
      <c r="K101" s="24">
        <v>4</v>
      </c>
      <c r="L101" s="24">
        <v>3</v>
      </c>
      <c r="M101" s="24">
        <v>1</v>
      </c>
      <c r="N101" s="24">
        <v>6</v>
      </c>
      <c r="O101" s="24">
        <v>6</v>
      </c>
      <c r="P101" s="24">
        <v>5</v>
      </c>
      <c r="Q101" s="24">
        <v>2</v>
      </c>
      <c r="R101" s="24">
        <v>5</v>
      </c>
    </row>
    <row r="102" spans="3:19" ht="15.75" x14ac:dyDescent="0.25">
      <c r="C102" s="22"/>
      <c r="D102" s="27" t="s">
        <v>189</v>
      </c>
      <c r="E102" s="28"/>
      <c r="F102" s="27"/>
      <c r="G102" s="27"/>
      <c r="H102" s="27"/>
      <c r="I102" s="27"/>
      <c r="J102" s="27"/>
      <c r="K102" s="27"/>
      <c r="L102" s="27"/>
      <c r="M102" s="27"/>
      <c r="N102" s="27"/>
      <c r="O102" s="27"/>
      <c r="P102" s="27"/>
      <c r="Q102" s="27"/>
      <c r="R102" s="27"/>
    </row>
    <row r="104" spans="3:19" ht="31.5" x14ac:dyDescent="0.25">
      <c r="C104" s="25" t="s">
        <v>185</v>
      </c>
      <c r="D104" s="26" t="s">
        <v>209</v>
      </c>
      <c r="E104" s="32">
        <v>2015</v>
      </c>
      <c r="F104" s="24" t="s">
        <v>144</v>
      </c>
      <c r="G104" s="24">
        <v>2711</v>
      </c>
      <c r="H104" s="24">
        <v>2721</v>
      </c>
      <c r="I104" s="24">
        <v>2725</v>
      </c>
      <c r="J104" s="24">
        <v>2709</v>
      </c>
      <c r="K104" s="24">
        <v>2710</v>
      </c>
      <c r="L104" s="24">
        <v>2715</v>
      </c>
      <c r="M104" s="24">
        <v>2721</v>
      </c>
      <c r="N104" s="24">
        <v>2729</v>
      </c>
      <c r="O104" s="24">
        <v>2737</v>
      </c>
      <c r="P104" s="24">
        <v>2739</v>
      </c>
      <c r="Q104" s="24">
        <v>2739</v>
      </c>
      <c r="R104" s="24">
        <v>2730</v>
      </c>
    </row>
    <row r="105" spans="3:19" ht="15.75" x14ac:dyDescent="0.25">
      <c r="C105" s="22"/>
      <c r="D105" s="22"/>
      <c r="E105" s="32">
        <v>2016</v>
      </c>
      <c r="F105" s="24" t="s">
        <v>144</v>
      </c>
      <c r="G105" s="24">
        <v>2750</v>
      </c>
      <c r="H105" s="24">
        <v>2737</v>
      </c>
      <c r="I105" s="24">
        <v>2720</v>
      </c>
      <c r="J105" s="24">
        <v>2753</v>
      </c>
      <c r="K105" s="24">
        <v>2756</v>
      </c>
      <c r="L105" s="24">
        <v>2724</v>
      </c>
      <c r="M105" s="24">
        <v>2730</v>
      </c>
      <c r="N105" s="24">
        <v>2722</v>
      </c>
      <c r="O105" s="24">
        <v>2733</v>
      </c>
      <c r="P105" s="24">
        <v>2749</v>
      </c>
      <c r="Q105" s="24">
        <v>2740</v>
      </c>
      <c r="R105" s="24">
        <v>2748</v>
      </c>
      <c r="S105" s="24"/>
    </row>
    <row r="106" spans="3:19" ht="15.75" x14ac:dyDescent="0.25">
      <c r="C106" s="22"/>
      <c r="D106" s="22"/>
      <c r="E106" s="32">
        <v>2017</v>
      </c>
      <c r="F106" s="24" t="s">
        <v>144</v>
      </c>
      <c r="G106" s="24">
        <v>2742</v>
      </c>
      <c r="H106" s="24">
        <v>2759</v>
      </c>
      <c r="I106" s="24">
        <v>2749</v>
      </c>
      <c r="J106" s="24">
        <v>2783</v>
      </c>
      <c r="K106" s="24">
        <v>2773</v>
      </c>
      <c r="L106" s="24">
        <v>2769</v>
      </c>
      <c r="M106" s="24">
        <v>2799</v>
      </c>
      <c r="N106" s="24">
        <v>2787</v>
      </c>
      <c r="O106" s="24">
        <v>2801</v>
      </c>
      <c r="P106" s="24">
        <v>2816</v>
      </c>
      <c r="Q106" s="24">
        <v>2819</v>
      </c>
      <c r="R106" s="24">
        <v>2809</v>
      </c>
    </row>
    <row r="107" spans="3:19" ht="15.75" x14ac:dyDescent="0.25">
      <c r="C107" s="22"/>
      <c r="D107" s="22"/>
      <c r="E107" s="32">
        <v>2018</v>
      </c>
      <c r="F107" s="24">
        <v>3069</v>
      </c>
      <c r="G107" s="24">
        <v>2813</v>
      </c>
      <c r="H107" s="24">
        <v>2821</v>
      </c>
      <c r="I107" s="24">
        <v>2810</v>
      </c>
      <c r="J107" s="24">
        <v>2828</v>
      </c>
      <c r="K107" s="24">
        <v>2834</v>
      </c>
      <c r="L107" s="24">
        <v>2842</v>
      </c>
      <c r="M107" s="24">
        <v>2863</v>
      </c>
      <c r="N107" s="24">
        <v>2873</v>
      </c>
      <c r="O107" s="24">
        <v>2856</v>
      </c>
      <c r="P107" s="24">
        <v>2853</v>
      </c>
      <c r="Q107" s="24">
        <v>2854</v>
      </c>
      <c r="R107" s="24">
        <v>2858</v>
      </c>
    </row>
    <row r="108" spans="3:19" ht="15.75" x14ac:dyDescent="0.25">
      <c r="C108" s="22"/>
      <c r="D108" s="22"/>
      <c r="E108" s="32">
        <v>2019</v>
      </c>
      <c r="F108" s="24">
        <v>3179</v>
      </c>
      <c r="G108" s="24">
        <v>2859</v>
      </c>
      <c r="H108" s="24">
        <v>2856</v>
      </c>
      <c r="I108" s="24">
        <v>2951</v>
      </c>
      <c r="J108" s="24">
        <v>2882</v>
      </c>
      <c r="K108" s="24">
        <v>2886</v>
      </c>
      <c r="L108" s="24">
        <v>2903</v>
      </c>
      <c r="M108" s="24">
        <v>2920</v>
      </c>
      <c r="N108" s="24">
        <v>2915</v>
      </c>
      <c r="O108" s="24">
        <v>2925</v>
      </c>
      <c r="P108" s="24">
        <v>2911</v>
      </c>
      <c r="Q108" s="24">
        <v>2928</v>
      </c>
      <c r="R108" s="24">
        <v>2924</v>
      </c>
    </row>
    <row r="122" spans="1:18" x14ac:dyDescent="0.25">
      <c r="R122" s="2" t="s">
        <v>55</v>
      </c>
    </row>
    <row r="123" spans="1:18" x14ac:dyDescent="0.25">
      <c r="R123" s="2" t="s">
        <v>212</v>
      </c>
    </row>
    <row r="124" spans="1:18" x14ac:dyDescent="0.25">
      <c r="R124" s="2" t="s">
        <v>1</v>
      </c>
    </row>
    <row r="126" spans="1:18" x14ac:dyDescent="0.25">
      <c r="A126" s="45" t="s">
        <v>4</v>
      </c>
      <c r="B126" s="45"/>
      <c r="C126" s="45"/>
      <c r="D126" s="45"/>
      <c r="E126" s="45"/>
      <c r="F126" s="45"/>
      <c r="G126" s="45"/>
      <c r="H126" s="45"/>
      <c r="I126" s="45"/>
      <c r="J126" s="45"/>
      <c r="K126" s="45"/>
      <c r="L126" s="45"/>
      <c r="M126" s="45"/>
      <c r="N126" s="45"/>
      <c r="O126" s="45"/>
      <c r="P126" s="45"/>
      <c r="Q126" s="45"/>
      <c r="R126" s="45"/>
    </row>
    <row r="127" spans="1:18" x14ac:dyDescent="0.25">
      <c r="A127" s="45" t="s">
        <v>2</v>
      </c>
      <c r="B127" s="45"/>
      <c r="C127" s="45"/>
      <c r="D127" s="45"/>
      <c r="E127" s="45"/>
      <c r="F127" s="45"/>
      <c r="G127" s="45"/>
      <c r="H127" s="45"/>
      <c r="I127" s="45"/>
      <c r="J127" s="45"/>
      <c r="K127" s="45"/>
      <c r="L127" s="45"/>
      <c r="M127" s="45"/>
      <c r="N127" s="45"/>
      <c r="O127" s="45"/>
      <c r="P127" s="45"/>
      <c r="Q127" s="45"/>
      <c r="R127" s="45"/>
    </row>
    <row r="128" spans="1:18" x14ac:dyDescent="0.25">
      <c r="A128" s="45" t="s">
        <v>3</v>
      </c>
      <c r="B128" s="45"/>
      <c r="C128" s="45"/>
      <c r="D128" s="45"/>
      <c r="E128" s="45"/>
      <c r="F128" s="45"/>
      <c r="G128" s="45"/>
      <c r="H128" s="45"/>
      <c r="I128" s="45"/>
      <c r="J128" s="45"/>
      <c r="K128" s="45"/>
      <c r="L128" s="45"/>
      <c r="M128" s="45"/>
      <c r="N128" s="45"/>
      <c r="O128" s="45"/>
      <c r="P128" s="45"/>
      <c r="Q128" s="45"/>
      <c r="R128" s="45"/>
    </row>
    <row r="132" spans="3:18" ht="15.75" x14ac:dyDescent="0.25">
      <c r="C132" s="46" t="s">
        <v>195</v>
      </c>
      <c r="D132" s="46"/>
      <c r="E132" s="46"/>
      <c r="F132" s="46"/>
      <c r="G132" s="46"/>
      <c r="H132" s="46"/>
      <c r="I132" s="46"/>
      <c r="J132" s="46"/>
      <c r="K132" s="46"/>
      <c r="L132" s="46"/>
      <c r="M132" s="46"/>
      <c r="N132" s="46"/>
      <c r="O132" s="46"/>
      <c r="P132" s="46"/>
      <c r="Q132" s="46"/>
      <c r="R132" s="46"/>
    </row>
    <row r="133" spans="3:18" ht="15.75" x14ac:dyDescent="0.25">
      <c r="C133" s="46" t="s">
        <v>217</v>
      </c>
      <c r="D133" s="46"/>
      <c r="E133" s="46"/>
      <c r="F133" s="46"/>
      <c r="G133" s="46"/>
      <c r="H133" s="46"/>
      <c r="I133" s="46"/>
      <c r="J133" s="46"/>
      <c r="K133" s="46"/>
      <c r="L133" s="46"/>
      <c r="M133" s="46"/>
      <c r="N133" s="46"/>
      <c r="O133" s="46"/>
      <c r="P133" s="46"/>
      <c r="Q133" s="46"/>
      <c r="R133" s="46"/>
    </row>
    <row r="134" spans="3:18" ht="15.75" x14ac:dyDescent="0.25">
      <c r="C134" s="46" t="s">
        <v>241</v>
      </c>
      <c r="D134" s="46"/>
      <c r="E134" s="46"/>
      <c r="F134" s="46"/>
      <c r="G134" s="46"/>
      <c r="H134" s="46"/>
      <c r="I134" s="46"/>
      <c r="J134" s="46"/>
      <c r="K134" s="46"/>
      <c r="L134" s="46"/>
      <c r="M134" s="46"/>
      <c r="N134" s="46"/>
      <c r="O134" s="46"/>
      <c r="P134" s="46"/>
      <c r="Q134" s="46"/>
      <c r="R134" s="46"/>
    </row>
    <row r="135" spans="3:18" ht="15.75" x14ac:dyDescent="0.25">
      <c r="C135" s="22"/>
      <c r="D135" s="22"/>
      <c r="E135" s="32"/>
      <c r="F135" s="22"/>
      <c r="G135" s="22"/>
      <c r="H135" s="22"/>
      <c r="I135" s="22"/>
      <c r="J135" s="22"/>
      <c r="K135" s="22"/>
      <c r="L135" s="22"/>
      <c r="M135" s="22"/>
      <c r="N135" s="22"/>
      <c r="O135" s="22"/>
      <c r="P135" s="22"/>
      <c r="Q135" s="22"/>
      <c r="R135" s="22"/>
    </row>
    <row r="136" spans="3:18" ht="18" x14ac:dyDescent="0.4">
      <c r="C136" s="22"/>
      <c r="D136" s="22"/>
      <c r="E136" s="33" t="s">
        <v>181</v>
      </c>
      <c r="F136" s="23" t="s">
        <v>182</v>
      </c>
      <c r="G136" s="23" t="s">
        <v>183</v>
      </c>
      <c r="H136" s="23" t="s">
        <v>83</v>
      </c>
      <c r="I136" s="23" t="s">
        <v>84</v>
      </c>
      <c r="J136" s="23" t="s">
        <v>85</v>
      </c>
      <c r="K136" s="23" t="s">
        <v>86</v>
      </c>
      <c r="L136" s="23" t="s">
        <v>87</v>
      </c>
      <c r="M136" s="23" t="s">
        <v>88</v>
      </c>
      <c r="N136" s="23" t="s">
        <v>89</v>
      </c>
      <c r="O136" s="23" t="s">
        <v>90</v>
      </c>
      <c r="P136" s="23" t="s">
        <v>91</v>
      </c>
      <c r="Q136" s="23" t="s">
        <v>92</v>
      </c>
      <c r="R136" s="23" t="s">
        <v>93</v>
      </c>
    </row>
    <row r="137" spans="3:18" ht="15.75" x14ac:dyDescent="0.25">
      <c r="C137" s="22" t="s">
        <v>208</v>
      </c>
      <c r="D137" s="22" t="s">
        <v>196</v>
      </c>
      <c r="E137" s="32">
        <v>2015</v>
      </c>
      <c r="F137" s="43" t="s">
        <v>229</v>
      </c>
      <c r="G137" s="43" t="s">
        <v>229</v>
      </c>
      <c r="H137" s="43" t="s">
        <v>229</v>
      </c>
      <c r="I137" s="43" t="s">
        <v>229</v>
      </c>
      <c r="J137" s="43" t="s">
        <v>229</v>
      </c>
      <c r="K137" s="43" t="s">
        <v>229</v>
      </c>
      <c r="L137" s="43" t="s">
        <v>229</v>
      </c>
      <c r="M137" s="43" t="s">
        <v>229</v>
      </c>
      <c r="N137" s="43" t="s">
        <v>229</v>
      </c>
      <c r="O137" s="43" t="s">
        <v>229</v>
      </c>
      <c r="P137" s="43" t="s">
        <v>229</v>
      </c>
      <c r="Q137" s="43" t="s">
        <v>229</v>
      </c>
      <c r="R137" s="43" t="s">
        <v>229</v>
      </c>
    </row>
    <row r="138" spans="3:18" ht="15.75" x14ac:dyDescent="0.25">
      <c r="C138" s="22"/>
      <c r="D138" s="22" t="s">
        <v>197</v>
      </c>
      <c r="E138" s="32">
        <v>2016</v>
      </c>
      <c r="F138" s="43" t="s">
        <v>229</v>
      </c>
      <c r="G138" s="43" t="s">
        <v>229</v>
      </c>
      <c r="H138" s="43" t="s">
        <v>229</v>
      </c>
      <c r="I138" s="43" t="s">
        <v>229</v>
      </c>
      <c r="J138" s="43" t="s">
        <v>229</v>
      </c>
      <c r="K138" s="43" t="s">
        <v>229</v>
      </c>
      <c r="L138" s="43" t="s">
        <v>229</v>
      </c>
      <c r="M138" s="43" t="s">
        <v>229</v>
      </c>
      <c r="N138" s="43" t="s">
        <v>229</v>
      </c>
      <c r="O138" s="43" t="s">
        <v>229</v>
      </c>
      <c r="P138" s="43" t="s">
        <v>229</v>
      </c>
      <c r="Q138" s="43" t="s">
        <v>229</v>
      </c>
      <c r="R138" s="43" t="s">
        <v>229</v>
      </c>
    </row>
    <row r="139" spans="3:18" ht="15.75" x14ac:dyDescent="0.25">
      <c r="C139" s="22"/>
      <c r="D139" s="22"/>
      <c r="E139" s="32">
        <v>2017</v>
      </c>
      <c r="F139" s="43" t="s">
        <v>229</v>
      </c>
      <c r="G139" s="43" t="s">
        <v>229</v>
      </c>
      <c r="H139" s="43" t="s">
        <v>229</v>
      </c>
      <c r="I139" s="43" t="s">
        <v>229</v>
      </c>
      <c r="J139" s="43" t="s">
        <v>229</v>
      </c>
      <c r="K139" s="43" t="s">
        <v>229</v>
      </c>
      <c r="L139" s="43" t="s">
        <v>229</v>
      </c>
      <c r="M139" s="43" t="s">
        <v>229</v>
      </c>
      <c r="N139" s="43" t="s">
        <v>229</v>
      </c>
      <c r="O139" s="43" t="s">
        <v>229</v>
      </c>
      <c r="P139" s="43" t="s">
        <v>229</v>
      </c>
      <c r="Q139" s="24">
        <v>0</v>
      </c>
      <c r="R139" s="24">
        <v>1</v>
      </c>
    </row>
    <row r="140" spans="3:18" ht="15.75" x14ac:dyDescent="0.25">
      <c r="C140" s="22"/>
      <c r="D140" s="22"/>
      <c r="E140" s="32">
        <v>2018</v>
      </c>
      <c r="F140" s="24">
        <f>SUM(G140:R140)</f>
        <v>3</v>
      </c>
      <c r="G140" s="24">
        <v>0</v>
      </c>
      <c r="H140" s="24">
        <v>1</v>
      </c>
      <c r="I140" s="24">
        <v>0</v>
      </c>
      <c r="J140" s="24">
        <v>0</v>
      </c>
      <c r="K140" s="24">
        <v>0</v>
      </c>
      <c r="L140" s="24">
        <v>0</v>
      </c>
      <c r="M140" s="24">
        <v>1</v>
      </c>
      <c r="N140" s="24">
        <v>0</v>
      </c>
      <c r="O140" s="24">
        <v>0</v>
      </c>
      <c r="P140" s="24">
        <v>0</v>
      </c>
      <c r="Q140" s="24">
        <v>0</v>
      </c>
      <c r="R140" s="24">
        <v>1</v>
      </c>
    </row>
    <row r="141" spans="3:18" ht="15.75" x14ac:dyDescent="0.25">
      <c r="C141" s="22"/>
      <c r="D141" s="22"/>
      <c r="E141" s="32">
        <v>2019</v>
      </c>
      <c r="F141" s="24">
        <f t="shared" ref="F141" si="3">SUM(G141:R141)</f>
        <v>2</v>
      </c>
      <c r="G141" s="24">
        <v>1</v>
      </c>
      <c r="H141" s="24">
        <v>1</v>
      </c>
      <c r="I141" s="24">
        <v>0</v>
      </c>
      <c r="J141" s="24">
        <v>0</v>
      </c>
      <c r="K141" s="24">
        <v>0</v>
      </c>
      <c r="L141" s="24">
        <v>0</v>
      </c>
      <c r="M141" s="24">
        <v>0</v>
      </c>
      <c r="N141" s="24">
        <v>0</v>
      </c>
      <c r="O141" s="24">
        <v>0</v>
      </c>
      <c r="P141" s="24">
        <v>0</v>
      </c>
      <c r="Q141" s="24">
        <v>0</v>
      </c>
      <c r="R141" s="24">
        <v>0</v>
      </c>
    </row>
    <row r="142" spans="3:18" ht="15.75" x14ac:dyDescent="0.25">
      <c r="C142" s="22"/>
      <c r="D142" s="22"/>
      <c r="E142" s="32"/>
      <c r="F142" s="24"/>
      <c r="G142" s="24"/>
      <c r="H142" s="24"/>
      <c r="I142" s="24"/>
      <c r="J142" s="24"/>
      <c r="K142" s="24"/>
      <c r="L142" s="24"/>
      <c r="M142" s="24"/>
      <c r="N142" s="24"/>
      <c r="O142" s="24"/>
      <c r="P142" s="24"/>
      <c r="Q142" s="24"/>
      <c r="R142" s="24"/>
    </row>
    <row r="143" spans="3:18" ht="15.75" x14ac:dyDescent="0.25">
      <c r="C143" s="22" t="s">
        <v>184</v>
      </c>
      <c r="D143" s="22" t="s">
        <v>186</v>
      </c>
      <c r="E143" s="32">
        <v>2015</v>
      </c>
      <c r="F143" s="24">
        <v>0</v>
      </c>
      <c r="G143" s="24">
        <v>0</v>
      </c>
      <c r="H143" s="24">
        <v>0</v>
      </c>
      <c r="I143" s="24">
        <v>0</v>
      </c>
      <c r="J143" s="24">
        <v>0</v>
      </c>
      <c r="K143" s="24">
        <v>0</v>
      </c>
      <c r="L143" s="24">
        <v>0</v>
      </c>
      <c r="M143" s="24">
        <v>0</v>
      </c>
      <c r="N143" s="24">
        <v>0</v>
      </c>
      <c r="O143" s="24">
        <v>0</v>
      </c>
      <c r="P143" s="24">
        <v>0</v>
      </c>
      <c r="Q143" s="24">
        <v>0</v>
      </c>
      <c r="R143" s="24">
        <v>0</v>
      </c>
    </row>
    <row r="144" spans="3:18" ht="15.75" x14ac:dyDescent="0.25">
      <c r="C144" s="22"/>
      <c r="D144" s="22"/>
      <c r="E144" s="32">
        <v>2016</v>
      </c>
      <c r="F144" s="24">
        <v>0</v>
      </c>
      <c r="G144" s="24">
        <v>0</v>
      </c>
      <c r="H144" s="24">
        <v>0</v>
      </c>
      <c r="I144" s="24">
        <v>0</v>
      </c>
      <c r="J144" s="24">
        <v>0</v>
      </c>
      <c r="K144" s="24">
        <v>0</v>
      </c>
      <c r="L144" s="24">
        <v>0</v>
      </c>
      <c r="M144" s="24">
        <v>0</v>
      </c>
      <c r="N144" s="24">
        <v>0</v>
      </c>
      <c r="O144" s="24">
        <v>0</v>
      </c>
      <c r="P144" s="24">
        <v>0</v>
      </c>
      <c r="Q144" s="24">
        <v>0</v>
      </c>
      <c r="R144" s="24">
        <v>0</v>
      </c>
    </row>
    <row r="145" spans="3:18" ht="15.75" x14ac:dyDescent="0.25">
      <c r="C145" s="22"/>
      <c r="D145" s="22"/>
      <c r="E145" s="32">
        <v>2017</v>
      </c>
      <c r="F145" s="24">
        <v>0</v>
      </c>
      <c r="G145" s="24">
        <v>0</v>
      </c>
      <c r="H145" s="24">
        <v>0</v>
      </c>
      <c r="I145" s="24">
        <v>0</v>
      </c>
      <c r="J145" s="24">
        <v>0</v>
      </c>
      <c r="K145" s="24">
        <v>0</v>
      </c>
      <c r="L145" s="24">
        <v>0</v>
      </c>
      <c r="M145" s="24">
        <v>0</v>
      </c>
      <c r="N145" s="24">
        <v>0</v>
      </c>
      <c r="O145" s="24">
        <v>0</v>
      </c>
      <c r="P145" s="24">
        <v>0</v>
      </c>
      <c r="Q145" s="24">
        <v>0</v>
      </c>
      <c r="R145" s="24">
        <v>0</v>
      </c>
    </row>
    <row r="146" spans="3:18" ht="15.75" x14ac:dyDescent="0.25">
      <c r="C146" s="22"/>
      <c r="D146" s="22"/>
      <c r="E146" s="32">
        <v>2018</v>
      </c>
      <c r="F146" s="24">
        <v>0</v>
      </c>
      <c r="G146" s="24">
        <v>0</v>
      </c>
      <c r="H146" s="24">
        <v>0</v>
      </c>
      <c r="I146" s="24">
        <v>0</v>
      </c>
      <c r="J146" s="24">
        <v>0</v>
      </c>
      <c r="K146" s="24">
        <v>0</v>
      </c>
      <c r="L146" s="24">
        <v>0</v>
      </c>
      <c r="M146" s="24">
        <v>0</v>
      </c>
      <c r="N146" s="24">
        <v>0</v>
      </c>
      <c r="O146" s="24">
        <v>0</v>
      </c>
      <c r="P146" s="24">
        <v>0</v>
      </c>
      <c r="Q146" s="24">
        <v>0</v>
      </c>
      <c r="R146" s="24">
        <v>0</v>
      </c>
    </row>
    <row r="147" spans="3:18" ht="15.75" x14ac:dyDescent="0.25">
      <c r="C147" s="22"/>
      <c r="D147" s="22"/>
      <c r="E147" s="32">
        <v>2019</v>
      </c>
      <c r="F147" s="24">
        <v>0</v>
      </c>
      <c r="G147" s="24">
        <v>0</v>
      </c>
      <c r="H147" s="24">
        <v>0</v>
      </c>
      <c r="I147" s="24">
        <v>0</v>
      </c>
      <c r="J147" s="24">
        <v>0</v>
      </c>
      <c r="K147" s="24">
        <v>0</v>
      </c>
      <c r="L147" s="24">
        <v>0</v>
      </c>
      <c r="M147" s="24">
        <v>0</v>
      </c>
      <c r="N147" s="24">
        <v>0</v>
      </c>
      <c r="O147" s="24">
        <v>0</v>
      </c>
      <c r="P147" s="24">
        <v>0</v>
      </c>
      <c r="Q147" s="24">
        <v>0</v>
      </c>
      <c r="R147" s="24">
        <v>0</v>
      </c>
    </row>
    <row r="148" spans="3:18" ht="15.75" x14ac:dyDescent="0.25">
      <c r="C148" s="22"/>
      <c r="D148" s="22"/>
      <c r="E148" s="32"/>
      <c r="F148" s="24"/>
      <c r="G148" s="24"/>
      <c r="H148" s="24"/>
      <c r="I148" s="24"/>
      <c r="J148" s="24"/>
      <c r="K148" s="24"/>
      <c r="L148" s="24"/>
      <c r="M148" s="24"/>
      <c r="N148" s="24"/>
      <c r="O148" s="24"/>
      <c r="P148" s="24"/>
      <c r="Q148" s="24"/>
      <c r="R148" s="24"/>
    </row>
    <row r="149" spans="3:18" ht="50.25" x14ac:dyDescent="0.25">
      <c r="C149" s="25" t="s">
        <v>208</v>
      </c>
      <c r="D149" s="26" t="s">
        <v>187</v>
      </c>
      <c r="E149" s="32">
        <v>2015</v>
      </c>
      <c r="F149" s="43" t="s">
        <v>229</v>
      </c>
      <c r="G149" s="43" t="s">
        <v>229</v>
      </c>
      <c r="H149" s="43" t="s">
        <v>229</v>
      </c>
      <c r="I149" s="43" t="s">
        <v>229</v>
      </c>
      <c r="J149" s="43" t="s">
        <v>229</v>
      </c>
      <c r="K149" s="43" t="s">
        <v>229</v>
      </c>
      <c r="L149" s="43" t="s">
        <v>229</v>
      </c>
      <c r="M149" s="43" t="s">
        <v>229</v>
      </c>
      <c r="N149" s="43" t="s">
        <v>229</v>
      </c>
      <c r="O149" s="43" t="s">
        <v>229</v>
      </c>
      <c r="P149" s="43" t="s">
        <v>229</v>
      </c>
      <c r="Q149" s="43" t="s">
        <v>229</v>
      </c>
      <c r="R149" s="43" t="s">
        <v>229</v>
      </c>
    </row>
    <row r="150" spans="3:18" ht="15.75" x14ac:dyDescent="0.25">
      <c r="C150" s="22"/>
      <c r="D150" s="22"/>
      <c r="E150" s="32">
        <v>2016</v>
      </c>
      <c r="F150" s="43" t="s">
        <v>229</v>
      </c>
      <c r="G150" s="43" t="s">
        <v>229</v>
      </c>
      <c r="H150" s="43" t="s">
        <v>229</v>
      </c>
      <c r="I150" s="43" t="s">
        <v>229</v>
      </c>
      <c r="J150" s="43" t="s">
        <v>229</v>
      </c>
      <c r="K150" s="43" t="s">
        <v>229</v>
      </c>
      <c r="L150" s="43" t="s">
        <v>229</v>
      </c>
      <c r="M150" s="43" t="s">
        <v>229</v>
      </c>
      <c r="N150" s="43" t="s">
        <v>229</v>
      </c>
      <c r="O150" s="43" t="s">
        <v>229</v>
      </c>
      <c r="P150" s="43" t="s">
        <v>229</v>
      </c>
      <c r="Q150" s="43" t="s">
        <v>229</v>
      </c>
      <c r="R150" s="43" t="s">
        <v>229</v>
      </c>
    </row>
    <row r="151" spans="3:18" ht="15.75" x14ac:dyDescent="0.25">
      <c r="C151" s="22"/>
      <c r="D151" s="22"/>
      <c r="E151" s="32">
        <v>2017</v>
      </c>
      <c r="F151" s="43" t="s">
        <v>229</v>
      </c>
      <c r="G151" s="43" t="s">
        <v>229</v>
      </c>
      <c r="H151" s="43" t="s">
        <v>229</v>
      </c>
      <c r="I151" s="43" t="s">
        <v>229</v>
      </c>
      <c r="J151" s="43" t="s">
        <v>229</v>
      </c>
      <c r="K151" s="43" t="s">
        <v>229</v>
      </c>
      <c r="L151" s="43" t="s">
        <v>229</v>
      </c>
      <c r="M151" s="43" t="s">
        <v>229</v>
      </c>
      <c r="N151" s="43" t="s">
        <v>229</v>
      </c>
      <c r="O151" s="43" t="s">
        <v>229</v>
      </c>
      <c r="P151" s="43" t="s">
        <v>229</v>
      </c>
      <c r="Q151" s="24">
        <v>0</v>
      </c>
      <c r="R151" s="24">
        <v>1</v>
      </c>
    </row>
    <row r="152" spans="3:18" ht="15.75" x14ac:dyDescent="0.25">
      <c r="C152" s="22"/>
      <c r="D152" s="22"/>
      <c r="E152" s="32">
        <v>2018</v>
      </c>
      <c r="F152" s="24">
        <v>3</v>
      </c>
      <c r="G152" s="24">
        <v>0</v>
      </c>
      <c r="H152" s="24">
        <v>1</v>
      </c>
      <c r="I152" s="24">
        <v>0</v>
      </c>
      <c r="J152" s="24">
        <v>0</v>
      </c>
      <c r="K152" s="24">
        <v>0</v>
      </c>
      <c r="L152" s="24">
        <v>0</v>
      </c>
      <c r="M152" s="24">
        <v>1</v>
      </c>
      <c r="N152" s="24">
        <v>0</v>
      </c>
      <c r="O152" s="24">
        <v>0</v>
      </c>
      <c r="P152" s="24">
        <v>0</v>
      </c>
      <c r="Q152" s="24">
        <v>0</v>
      </c>
      <c r="R152" s="24">
        <v>1</v>
      </c>
    </row>
    <row r="153" spans="3:18" ht="15.75" x14ac:dyDescent="0.25">
      <c r="C153" s="22"/>
      <c r="D153" s="22"/>
      <c r="E153" s="32">
        <v>2019</v>
      </c>
      <c r="F153" s="24">
        <v>2</v>
      </c>
      <c r="G153" s="24">
        <v>1</v>
      </c>
      <c r="H153" s="24">
        <v>1</v>
      </c>
      <c r="I153" s="24">
        <v>0</v>
      </c>
      <c r="J153" s="24">
        <v>0</v>
      </c>
      <c r="K153" s="24">
        <v>0</v>
      </c>
      <c r="L153" s="24">
        <v>0</v>
      </c>
      <c r="M153" s="24">
        <v>0</v>
      </c>
      <c r="N153" s="24">
        <v>0</v>
      </c>
      <c r="O153" s="24">
        <v>0</v>
      </c>
      <c r="P153" s="24">
        <v>0</v>
      </c>
      <c r="Q153" s="24">
        <v>0</v>
      </c>
      <c r="R153" s="24">
        <v>0</v>
      </c>
    </row>
    <row r="154" spans="3:18" ht="15.75" x14ac:dyDescent="0.25">
      <c r="C154" s="22"/>
      <c r="D154" s="22"/>
      <c r="E154" s="38"/>
      <c r="F154" s="24"/>
      <c r="G154" s="24"/>
      <c r="H154" s="24"/>
      <c r="I154" s="24"/>
      <c r="J154" s="24"/>
      <c r="K154" s="24"/>
      <c r="L154" s="24"/>
      <c r="M154" s="24"/>
      <c r="N154" s="24"/>
      <c r="O154" s="24"/>
      <c r="P154" s="24"/>
      <c r="Q154" s="24"/>
      <c r="R154" s="24"/>
    </row>
    <row r="155" spans="3:18" ht="50.25" x14ac:dyDescent="0.25">
      <c r="C155" s="25" t="s">
        <v>184</v>
      </c>
      <c r="D155" s="26" t="s">
        <v>188</v>
      </c>
      <c r="E155" s="32">
        <v>2015</v>
      </c>
      <c r="F155" s="24">
        <v>0</v>
      </c>
      <c r="G155" s="24">
        <v>0</v>
      </c>
      <c r="H155" s="24">
        <v>0</v>
      </c>
      <c r="I155" s="24">
        <v>0</v>
      </c>
      <c r="J155" s="24">
        <v>0</v>
      </c>
      <c r="K155" s="24">
        <v>0</v>
      </c>
      <c r="L155" s="24">
        <v>0</v>
      </c>
      <c r="M155" s="24">
        <v>0</v>
      </c>
      <c r="N155" s="24">
        <v>0</v>
      </c>
      <c r="O155" s="24">
        <v>0</v>
      </c>
      <c r="P155" s="24">
        <v>0</v>
      </c>
      <c r="Q155" s="24">
        <v>0</v>
      </c>
      <c r="R155" s="24">
        <v>0</v>
      </c>
    </row>
    <row r="156" spans="3:18" ht="15.75" x14ac:dyDescent="0.25">
      <c r="C156" s="22"/>
      <c r="D156" s="22"/>
      <c r="E156" s="32">
        <v>2016</v>
      </c>
      <c r="F156" s="24">
        <v>0</v>
      </c>
      <c r="G156" s="24">
        <v>0</v>
      </c>
      <c r="H156" s="24">
        <v>0</v>
      </c>
      <c r="I156" s="24">
        <v>0</v>
      </c>
      <c r="J156" s="24">
        <v>0</v>
      </c>
      <c r="K156" s="24">
        <v>0</v>
      </c>
      <c r="L156" s="24">
        <v>0</v>
      </c>
      <c r="M156" s="24">
        <v>0</v>
      </c>
      <c r="N156" s="24">
        <v>0</v>
      </c>
      <c r="O156" s="24">
        <v>0</v>
      </c>
      <c r="P156" s="24">
        <v>0</v>
      </c>
      <c r="Q156" s="24">
        <v>0</v>
      </c>
      <c r="R156" s="24">
        <v>0</v>
      </c>
    </row>
    <row r="157" spans="3:18" ht="15.75" x14ac:dyDescent="0.25">
      <c r="C157" s="22"/>
      <c r="D157" s="22"/>
      <c r="E157" s="32">
        <v>2017</v>
      </c>
      <c r="F157" s="24">
        <v>0</v>
      </c>
      <c r="G157" s="24">
        <v>0</v>
      </c>
      <c r="H157" s="24">
        <v>0</v>
      </c>
      <c r="I157" s="24">
        <v>0</v>
      </c>
      <c r="J157" s="24">
        <v>0</v>
      </c>
      <c r="K157" s="24">
        <v>0</v>
      </c>
      <c r="L157" s="24">
        <v>0</v>
      </c>
      <c r="M157" s="24">
        <v>0</v>
      </c>
      <c r="N157" s="24">
        <v>0</v>
      </c>
      <c r="O157" s="24">
        <v>0</v>
      </c>
      <c r="P157" s="24">
        <v>0</v>
      </c>
      <c r="Q157" s="24">
        <v>0</v>
      </c>
      <c r="R157" s="24">
        <v>0</v>
      </c>
    </row>
    <row r="158" spans="3:18" ht="15.75" x14ac:dyDescent="0.25">
      <c r="C158" s="22"/>
      <c r="D158" s="22"/>
      <c r="E158" s="32">
        <v>2018</v>
      </c>
      <c r="F158" s="24">
        <v>0</v>
      </c>
      <c r="G158" s="24">
        <v>0</v>
      </c>
      <c r="H158" s="24">
        <v>0</v>
      </c>
      <c r="I158" s="24">
        <v>0</v>
      </c>
      <c r="J158" s="24">
        <v>0</v>
      </c>
      <c r="K158" s="24">
        <v>0</v>
      </c>
      <c r="L158" s="24">
        <v>0</v>
      </c>
      <c r="M158" s="24">
        <v>0</v>
      </c>
      <c r="N158" s="24">
        <v>0</v>
      </c>
      <c r="O158" s="24">
        <v>0</v>
      </c>
      <c r="P158" s="24">
        <v>0</v>
      </c>
      <c r="Q158" s="24">
        <v>0</v>
      </c>
      <c r="R158" s="24">
        <v>0</v>
      </c>
    </row>
    <row r="159" spans="3:18" ht="15.75" x14ac:dyDescent="0.25">
      <c r="C159" s="22"/>
      <c r="D159" s="22"/>
      <c r="E159" s="32">
        <v>2019</v>
      </c>
      <c r="F159" s="24">
        <v>0</v>
      </c>
      <c r="G159" s="24">
        <v>0</v>
      </c>
      <c r="H159" s="24">
        <v>0</v>
      </c>
      <c r="I159" s="24">
        <v>0</v>
      </c>
      <c r="J159" s="24">
        <v>0</v>
      </c>
      <c r="K159" s="24">
        <v>0</v>
      </c>
      <c r="L159" s="24">
        <v>0</v>
      </c>
      <c r="M159" s="24">
        <v>0</v>
      </c>
      <c r="N159" s="24">
        <v>0</v>
      </c>
      <c r="O159" s="24">
        <v>0</v>
      </c>
      <c r="P159" s="24">
        <v>0</v>
      </c>
      <c r="Q159" s="24">
        <v>0</v>
      </c>
      <c r="R159" s="24">
        <v>0</v>
      </c>
    </row>
    <row r="160" spans="3:18" ht="15.75" x14ac:dyDescent="0.25">
      <c r="C160" s="22"/>
      <c r="D160" s="27" t="s">
        <v>189</v>
      </c>
      <c r="E160" s="28"/>
      <c r="F160" s="27"/>
      <c r="G160" s="27"/>
      <c r="H160" s="27"/>
      <c r="I160" s="27"/>
      <c r="J160" s="27"/>
      <c r="K160" s="27"/>
      <c r="L160" s="27"/>
      <c r="M160" s="27"/>
      <c r="N160" s="27"/>
      <c r="O160" s="27"/>
      <c r="P160" s="27"/>
      <c r="Q160" s="27"/>
      <c r="R160" s="27"/>
    </row>
    <row r="162" spans="3:18" ht="31.5" x14ac:dyDescent="0.25">
      <c r="C162" s="25" t="s">
        <v>185</v>
      </c>
      <c r="D162" s="26" t="s">
        <v>209</v>
      </c>
      <c r="E162" s="32">
        <v>2015</v>
      </c>
      <c r="F162" s="43" t="s">
        <v>229</v>
      </c>
      <c r="G162" s="24">
        <v>10</v>
      </c>
      <c r="H162" s="24">
        <v>10</v>
      </c>
      <c r="I162" s="24">
        <v>10</v>
      </c>
      <c r="J162" s="24">
        <v>10</v>
      </c>
      <c r="K162" s="24">
        <v>10</v>
      </c>
      <c r="L162" s="24">
        <v>10</v>
      </c>
      <c r="M162" s="24">
        <v>10</v>
      </c>
      <c r="N162" s="24">
        <v>10</v>
      </c>
      <c r="O162" s="24">
        <v>10</v>
      </c>
      <c r="P162" s="24">
        <v>10</v>
      </c>
      <c r="Q162" s="24">
        <v>10</v>
      </c>
      <c r="R162" s="24">
        <v>10</v>
      </c>
    </row>
    <row r="163" spans="3:18" ht="15.75" x14ac:dyDescent="0.25">
      <c r="C163" s="22"/>
      <c r="D163" s="22"/>
      <c r="E163" s="32">
        <v>2016</v>
      </c>
      <c r="F163" s="43" t="s">
        <v>229</v>
      </c>
      <c r="G163" s="24">
        <v>10</v>
      </c>
      <c r="H163" s="24">
        <v>10</v>
      </c>
      <c r="I163" s="24">
        <v>10</v>
      </c>
      <c r="J163" s="24">
        <v>10</v>
      </c>
      <c r="K163" s="24">
        <v>10</v>
      </c>
      <c r="L163" s="24">
        <v>10</v>
      </c>
      <c r="M163" s="24">
        <v>10</v>
      </c>
      <c r="N163" s="24">
        <v>10</v>
      </c>
      <c r="O163" s="24">
        <v>10</v>
      </c>
      <c r="P163" s="24">
        <v>10</v>
      </c>
      <c r="Q163" s="24">
        <v>10</v>
      </c>
      <c r="R163" s="24">
        <v>10</v>
      </c>
    </row>
    <row r="164" spans="3:18" ht="15.75" x14ac:dyDescent="0.25">
      <c r="C164" s="22"/>
      <c r="D164" s="22"/>
      <c r="E164" s="32">
        <v>2017</v>
      </c>
      <c r="F164" s="43" t="s">
        <v>229</v>
      </c>
      <c r="G164" s="24">
        <v>10</v>
      </c>
      <c r="H164" s="24">
        <v>10</v>
      </c>
      <c r="I164" s="24">
        <v>10</v>
      </c>
      <c r="J164" s="24">
        <v>10</v>
      </c>
      <c r="K164" s="24">
        <v>11</v>
      </c>
      <c r="L164" s="24">
        <v>11</v>
      </c>
      <c r="M164" s="24">
        <v>11</v>
      </c>
      <c r="N164" s="24">
        <v>11</v>
      </c>
      <c r="O164" s="24">
        <v>11</v>
      </c>
      <c r="P164" s="24">
        <v>11</v>
      </c>
      <c r="Q164" s="24">
        <v>11</v>
      </c>
      <c r="R164" s="24">
        <v>11</v>
      </c>
    </row>
    <row r="165" spans="3:18" ht="15.75" x14ac:dyDescent="0.25">
      <c r="C165" s="22"/>
      <c r="D165" s="22"/>
      <c r="E165" s="32">
        <v>2018</v>
      </c>
      <c r="F165" s="24">
        <v>11</v>
      </c>
      <c r="G165" s="24">
        <v>11</v>
      </c>
      <c r="H165" s="24">
        <v>11</v>
      </c>
      <c r="I165" s="24">
        <v>11</v>
      </c>
      <c r="J165" s="24">
        <v>11</v>
      </c>
      <c r="K165" s="24">
        <v>11</v>
      </c>
      <c r="L165" s="24">
        <v>11</v>
      </c>
      <c r="M165" s="24">
        <v>11</v>
      </c>
      <c r="N165" s="24">
        <v>11</v>
      </c>
      <c r="O165" s="24">
        <v>11</v>
      </c>
      <c r="P165" s="24">
        <v>11</v>
      </c>
      <c r="Q165" s="24">
        <v>11</v>
      </c>
      <c r="R165" s="24">
        <v>11</v>
      </c>
    </row>
    <row r="166" spans="3:18" ht="15.75" x14ac:dyDescent="0.25">
      <c r="C166" s="22"/>
      <c r="D166" s="22"/>
      <c r="E166" s="32">
        <v>2019</v>
      </c>
      <c r="F166" s="24">
        <v>10</v>
      </c>
      <c r="G166" s="24">
        <v>10</v>
      </c>
      <c r="H166" s="24">
        <v>10</v>
      </c>
      <c r="I166" s="24">
        <v>10</v>
      </c>
      <c r="J166" s="24">
        <v>10</v>
      </c>
      <c r="K166" s="24">
        <v>10</v>
      </c>
      <c r="L166" s="24">
        <v>10</v>
      </c>
      <c r="M166" s="24">
        <v>10</v>
      </c>
      <c r="N166" s="24">
        <v>10</v>
      </c>
      <c r="O166" s="24">
        <v>10</v>
      </c>
      <c r="P166" s="24">
        <v>10</v>
      </c>
      <c r="Q166" s="24">
        <v>10</v>
      </c>
      <c r="R166" s="24">
        <v>10</v>
      </c>
    </row>
    <row r="183" spans="1:18" x14ac:dyDescent="0.25">
      <c r="R183" s="2" t="s">
        <v>55</v>
      </c>
    </row>
    <row r="184" spans="1:18" x14ac:dyDescent="0.25">
      <c r="R184" s="2" t="s">
        <v>213</v>
      </c>
    </row>
    <row r="185" spans="1:18" x14ac:dyDescent="0.25">
      <c r="R185" s="2" t="s">
        <v>1</v>
      </c>
    </row>
    <row r="187" spans="1:18" x14ac:dyDescent="0.25">
      <c r="A187" s="45" t="s">
        <v>4</v>
      </c>
      <c r="B187" s="45"/>
      <c r="C187" s="45"/>
      <c r="D187" s="45"/>
      <c r="E187" s="45"/>
      <c r="F187" s="45"/>
      <c r="G187" s="45"/>
      <c r="H187" s="45"/>
      <c r="I187" s="45"/>
      <c r="J187" s="45"/>
      <c r="K187" s="45"/>
      <c r="L187" s="45"/>
      <c r="M187" s="45"/>
      <c r="N187" s="45"/>
      <c r="O187" s="45"/>
      <c r="P187" s="45"/>
      <c r="Q187" s="45"/>
      <c r="R187" s="45"/>
    </row>
    <row r="188" spans="1:18" x14ac:dyDescent="0.25">
      <c r="A188" s="45" t="s">
        <v>2</v>
      </c>
      <c r="B188" s="45"/>
      <c r="C188" s="45"/>
      <c r="D188" s="45"/>
      <c r="E188" s="45"/>
      <c r="F188" s="45"/>
      <c r="G188" s="45"/>
      <c r="H188" s="45"/>
      <c r="I188" s="45"/>
      <c r="J188" s="45"/>
      <c r="K188" s="45"/>
      <c r="L188" s="45"/>
      <c r="M188" s="45"/>
      <c r="N188" s="45"/>
      <c r="O188" s="45"/>
      <c r="P188" s="45"/>
      <c r="Q188" s="45"/>
      <c r="R188" s="45"/>
    </row>
    <row r="189" spans="1:18" x14ac:dyDescent="0.25">
      <c r="A189" s="45" t="s">
        <v>3</v>
      </c>
      <c r="B189" s="45"/>
      <c r="C189" s="45"/>
      <c r="D189" s="45"/>
      <c r="E189" s="45"/>
      <c r="F189" s="45"/>
      <c r="G189" s="45"/>
      <c r="H189" s="45"/>
      <c r="I189" s="45"/>
      <c r="J189" s="45"/>
      <c r="K189" s="45"/>
      <c r="L189" s="45"/>
      <c r="M189" s="45"/>
      <c r="N189" s="45"/>
      <c r="O189" s="45"/>
      <c r="P189" s="45"/>
      <c r="Q189" s="45"/>
      <c r="R189" s="45"/>
    </row>
    <row r="193" spans="3:18" ht="15.75" x14ac:dyDescent="0.25">
      <c r="C193" s="46" t="s">
        <v>195</v>
      </c>
      <c r="D193" s="46"/>
      <c r="E193" s="46"/>
      <c r="F193" s="46"/>
      <c r="G193" s="46"/>
      <c r="H193" s="46"/>
      <c r="I193" s="46"/>
      <c r="J193" s="46"/>
      <c r="K193" s="46"/>
      <c r="L193" s="46"/>
      <c r="M193" s="46"/>
      <c r="N193" s="46"/>
      <c r="O193" s="46"/>
      <c r="P193" s="46"/>
      <c r="Q193" s="46"/>
      <c r="R193" s="46"/>
    </row>
    <row r="194" spans="3:18" ht="15.75" x14ac:dyDescent="0.25">
      <c r="C194" s="46" t="s">
        <v>216</v>
      </c>
      <c r="D194" s="46"/>
      <c r="E194" s="46"/>
      <c r="F194" s="46"/>
      <c r="G194" s="46"/>
      <c r="H194" s="46"/>
      <c r="I194" s="46"/>
      <c r="J194" s="46"/>
      <c r="K194" s="46"/>
      <c r="L194" s="46"/>
      <c r="M194" s="46"/>
      <c r="N194" s="46"/>
      <c r="O194" s="46"/>
      <c r="P194" s="46"/>
      <c r="Q194" s="46"/>
      <c r="R194" s="46"/>
    </row>
    <row r="195" spans="3:18" ht="15.75" x14ac:dyDescent="0.25">
      <c r="C195" s="46" t="s">
        <v>241</v>
      </c>
      <c r="D195" s="46"/>
      <c r="E195" s="46"/>
      <c r="F195" s="46"/>
      <c r="G195" s="46"/>
      <c r="H195" s="46"/>
      <c r="I195" s="46"/>
      <c r="J195" s="46"/>
      <c r="K195" s="46"/>
      <c r="L195" s="46"/>
      <c r="M195" s="46"/>
      <c r="N195" s="46"/>
      <c r="O195" s="46"/>
      <c r="P195" s="46"/>
      <c r="Q195" s="46"/>
      <c r="R195" s="46"/>
    </row>
    <row r="196" spans="3:18" ht="15.75" x14ac:dyDescent="0.25">
      <c r="C196" s="22"/>
      <c r="D196" s="22"/>
      <c r="E196" s="32"/>
      <c r="F196" s="22"/>
      <c r="G196" s="22"/>
      <c r="H196" s="22"/>
      <c r="I196" s="22"/>
      <c r="J196" s="22"/>
      <c r="K196" s="22"/>
      <c r="L196" s="22"/>
      <c r="M196" s="22"/>
      <c r="N196" s="22"/>
      <c r="O196" s="22"/>
      <c r="P196" s="22"/>
      <c r="Q196" s="22"/>
      <c r="R196" s="22"/>
    </row>
    <row r="197" spans="3:18" ht="18" x14ac:dyDescent="0.4">
      <c r="C197" s="22"/>
      <c r="D197" s="22"/>
      <c r="E197" s="33" t="s">
        <v>181</v>
      </c>
      <c r="F197" s="23" t="s">
        <v>182</v>
      </c>
      <c r="G197" s="23" t="s">
        <v>183</v>
      </c>
      <c r="H197" s="23" t="s">
        <v>83</v>
      </c>
      <c r="I197" s="23" t="s">
        <v>84</v>
      </c>
      <c r="J197" s="23" t="s">
        <v>85</v>
      </c>
      <c r="K197" s="23" t="s">
        <v>86</v>
      </c>
      <c r="L197" s="23" t="s">
        <v>87</v>
      </c>
      <c r="M197" s="23" t="s">
        <v>88</v>
      </c>
      <c r="N197" s="23" t="s">
        <v>89</v>
      </c>
      <c r="O197" s="23" t="s">
        <v>90</v>
      </c>
      <c r="P197" s="23" t="s">
        <v>91</v>
      </c>
      <c r="Q197" s="23" t="s">
        <v>92</v>
      </c>
      <c r="R197" s="23" t="s">
        <v>93</v>
      </c>
    </row>
    <row r="198" spans="3:18" ht="15.75" x14ac:dyDescent="0.25">
      <c r="C198" s="22" t="s">
        <v>208</v>
      </c>
      <c r="D198" s="22" t="s">
        <v>196</v>
      </c>
      <c r="E198" s="32">
        <v>2015</v>
      </c>
      <c r="F198" s="43" t="s">
        <v>229</v>
      </c>
      <c r="G198" s="43" t="s">
        <v>229</v>
      </c>
      <c r="H198" s="43" t="s">
        <v>229</v>
      </c>
      <c r="I198" s="43" t="s">
        <v>229</v>
      </c>
      <c r="J198" s="43" t="s">
        <v>229</v>
      </c>
      <c r="K198" s="43" t="s">
        <v>229</v>
      </c>
      <c r="L198" s="43" t="s">
        <v>229</v>
      </c>
      <c r="M198" s="43" t="s">
        <v>229</v>
      </c>
      <c r="N198" s="43" t="s">
        <v>229</v>
      </c>
      <c r="O198" s="43" t="s">
        <v>229</v>
      </c>
      <c r="P198" s="43" t="s">
        <v>229</v>
      </c>
      <c r="Q198" s="43" t="s">
        <v>229</v>
      </c>
      <c r="R198" s="43" t="s">
        <v>229</v>
      </c>
    </row>
    <row r="199" spans="3:18" ht="15.75" x14ac:dyDescent="0.25">
      <c r="C199" s="22"/>
      <c r="D199" s="22" t="s">
        <v>197</v>
      </c>
      <c r="E199" s="32">
        <v>2016</v>
      </c>
      <c r="F199" s="43" t="s">
        <v>229</v>
      </c>
      <c r="G199" s="43" t="s">
        <v>229</v>
      </c>
      <c r="H199" s="43" t="s">
        <v>229</v>
      </c>
      <c r="I199" s="43" t="s">
        <v>229</v>
      </c>
      <c r="J199" s="43" t="s">
        <v>229</v>
      </c>
      <c r="K199" s="43" t="s">
        <v>229</v>
      </c>
      <c r="L199" s="43" t="s">
        <v>229</v>
      </c>
      <c r="M199" s="43" t="s">
        <v>229</v>
      </c>
      <c r="N199" s="43" t="s">
        <v>229</v>
      </c>
      <c r="O199" s="43" t="s">
        <v>229</v>
      </c>
      <c r="P199" s="43" t="s">
        <v>229</v>
      </c>
      <c r="Q199" s="43" t="s">
        <v>229</v>
      </c>
      <c r="R199" s="43" t="s">
        <v>229</v>
      </c>
    </row>
    <row r="200" spans="3:18" ht="15.75" x14ac:dyDescent="0.25">
      <c r="C200" s="22"/>
      <c r="D200" s="22"/>
      <c r="E200" s="32">
        <v>2017</v>
      </c>
      <c r="F200" s="43" t="s">
        <v>229</v>
      </c>
      <c r="G200" s="43" t="s">
        <v>229</v>
      </c>
      <c r="H200" s="43" t="s">
        <v>229</v>
      </c>
      <c r="I200" s="43" t="s">
        <v>229</v>
      </c>
      <c r="J200" s="43" t="s">
        <v>229</v>
      </c>
      <c r="K200" s="43" t="s">
        <v>229</v>
      </c>
      <c r="L200" s="43" t="s">
        <v>229</v>
      </c>
      <c r="M200" s="43" t="s">
        <v>229</v>
      </c>
      <c r="N200" s="43" t="s">
        <v>229</v>
      </c>
      <c r="O200" s="43" t="s">
        <v>229</v>
      </c>
      <c r="P200" s="43" t="s">
        <v>229</v>
      </c>
      <c r="Q200" s="24">
        <v>0</v>
      </c>
      <c r="R200" s="24">
        <v>0</v>
      </c>
    </row>
    <row r="201" spans="3:18" ht="15.75" x14ac:dyDescent="0.25">
      <c r="C201" s="22"/>
      <c r="D201" s="22"/>
      <c r="E201" s="32">
        <v>2018</v>
      </c>
      <c r="F201" s="24">
        <f>SUM(G201:R201)</f>
        <v>24</v>
      </c>
      <c r="G201" s="24">
        <v>5</v>
      </c>
      <c r="H201" s="24">
        <v>0</v>
      </c>
      <c r="I201" s="24">
        <v>1</v>
      </c>
      <c r="J201" s="24">
        <v>0</v>
      </c>
      <c r="K201" s="24">
        <v>1</v>
      </c>
      <c r="L201" s="24">
        <v>1</v>
      </c>
      <c r="M201" s="24">
        <v>3</v>
      </c>
      <c r="N201" s="24">
        <v>1</v>
      </c>
      <c r="O201" s="24">
        <v>1</v>
      </c>
      <c r="P201" s="24">
        <v>2</v>
      </c>
      <c r="Q201" s="24">
        <v>6</v>
      </c>
      <c r="R201" s="24">
        <v>3</v>
      </c>
    </row>
    <row r="202" spans="3:18" ht="15.75" x14ac:dyDescent="0.25">
      <c r="C202" s="22"/>
      <c r="D202" s="22"/>
      <c r="E202" s="32">
        <v>2019</v>
      </c>
      <c r="F202" s="24">
        <f t="shared" ref="F202" si="4">SUM(G202:R202)</f>
        <v>30</v>
      </c>
      <c r="G202" s="24">
        <v>5</v>
      </c>
      <c r="H202" s="24">
        <v>5</v>
      </c>
      <c r="I202" s="24">
        <v>0</v>
      </c>
      <c r="J202" s="24">
        <v>1</v>
      </c>
      <c r="K202" s="24">
        <v>1</v>
      </c>
      <c r="L202" s="24">
        <v>1</v>
      </c>
      <c r="M202" s="24">
        <v>5</v>
      </c>
      <c r="N202" s="24">
        <v>0</v>
      </c>
      <c r="O202" s="24">
        <v>6</v>
      </c>
      <c r="P202" s="24">
        <v>1</v>
      </c>
      <c r="Q202" s="24">
        <v>0</v>
      </c>
      <c r="R202" s="24">
        <v>5</v>
      </c>
    </row>
    <row r="203" spans="3:18" ht="15.75" x14ac:dyDescent="0.25">
      <c r="C203" s="22"/>
      <c r="D203" s="22"/>
      <c r="E203" s="32"/>
      <c r="F203" s="24"/>
      <c r="G203" s="24"/>
      <c r="H203" s="24"/>
      <c r="I203" s="24"/>
      <c r="J203" s="24"/>
      <c r="K203" s="24"/>
      <c r="L203" s="24"/>
      <c r="M203" s="24"/>
      <c r="N203" s="24"/>
      <c r="O203" s="24"/>
      <c r="P203" s="24"/>
      <c r="Q203" s="24"/>
      <c r="R203" s="24"/>
    </row>
    <row r="204" spans="3:18" ht="15.75" x14ac:dyDescent="0.25">
      <c r="C204" s="22" t="s">
        <v>184</v>
      </c>
      <c r="D204" s="22" t="s">
        <v>186</v>
      </c>
      <c r="E204" s="32">
        <v>2015</v>
      </c>
      <c r="F204" s="24">
        <v>0</v>
      </c>
      <c r="G204" s="24">
        <v>0</v>
      </c>
      <c r="H204" s="24">
        <v>0</v>
      </c>
      <c r="I204" s="24">
        <v>0</v>
      </c>
      <c r="J204" s="24">
        <v>0</v>
      </c>
      <c r="K204" s="24">
        <v>0</v>
      </c>
      <c r="L204" s="24">
        <v>0</v>
      </c>
      <c r="M204" s="24">
        <v>0</v>
      </c>
      <c r="N204" s="24">
        <v>0</v>
      </c>
      <c r="O204" s="24">
        <v>0</v>
      </c>
      <c r="P204" s="24">
        <v>0</v>
      </c>
      <c r="Q204" s="24">
        <v>0</v>
      </c>
      <c r="R204" s="24">
        <v>0</v>
      </c>
    </row>
    <row r="205" spans="3:18" ht="15.75" x14ac:dyDescent="0.25">
      <c r="C205" s="22"/>
      <c r="D205" s="22"/>
      <c r="E205" s="32">
        <v>2016</v>
      </c>
      <c r="F205" s="24">
        <v>0</v>
      </c>
      <c r="G205" s="24">
        <v>0</v>
      </c>
      <c r="H205" s="24">
        <v>0</v>
      </c>
      <c r="I205" s="24">
        <v>0</v>
      </c>
      <c r="J205" s="24">
        <v>0</v>
      </c>
      <c r="K205" s="24">
        <v>0</v>
      </c>
      <c r="L205" s="24">
        <v>0</v>
      </c>
      <c r="M205" s="24">
        <v>0</v>
      </c>
      <c r="N205" s="24">
        <v>0</v>
      </c>
      <c r="O205" s="24">
        <v>0</v>
      </c>
      <c r="P205" s="24">
        <v>0</v>
      </c>
      <c r="Q205" s="24">
        <v>0</v>
      </c>
      <c r="R205" s="24">
        <v>0</v>
      </c>
    </row>
    <row r="206" spans="3:18" ht="15.75" x14ac:dyDescent="0.25">
      <c r="C206" s="22"/>
      <c r="D206" s="22"/>
      <c r="E206" s="32">
        <v>2017</v>
      </c>
      <c r="F206" s="24">
        <v>0</v>
      </c>
      <c r="G206" s="24">
        <v>0</v>
      </c>
      <c r="H206" s="24">
        <v>0</v>
      </c>
      <c r="I206" s="24">
        <v>0</v>
      </c>
      <c r="J206" s="24">
        <v>0</v>
      </c>
      <c r="K206" s="24">
        <v>0</v>
      </c>
      <c r="L206" s="24">
        <v>0</v>
      </c>
      <c r="M206" s="24">
        <v>0</v>
      </c>
      <c r="N206" s="24">
        <v>0</v>
      </c>
      <c r="O206" s="24">
        <v>0</v>
      </c>
      <c r="P206" s="24">
        <v>0</v>
      </c>
      <c r="Q206" s="24">
        <v>0</v>
      </c>
      <c r="R206" s="24">
        <v>0</v>
      </c>
    </row>
    <row r="207" spans="3:18" ht="15.75" x14ac:dyDescent="0.25">
      <c r="C207" s="22"/>
      <c r="D207" s="22"/>
      <c r="E207" s="32">
        <v>2018</v>
      </c>
      <c r="F207" s="24">
        <v>0</v>
      </c>
      <c r="G207" s="24">
        <v>0</v>
      </c>
      <c r="H207" s="24">
        <v>0</v>
      </c>
      <c r="I207" s="24">
        <v>0</v>
      </c>
      <c r="J207" s="24">
        <v>0</v>
      </c>
      <c r="K207" s="24">
        <v>0</v>
      </c>
      <c r="L207" s="24">
        <v>0</v>
      </c>
      <c r="M207" s="24">
        <v>0</v>
      </c>
      <c r="N207" s="24">
        <v>0</v>
      </c>
      <c r="O207" s="24">
        <v>0</v>
      </c>
      <c r="P207" s="24">
        <v>0</v>
      </c>
      <c r="Q207" s="24">
        <v>0</v>
      </c>
      <c r="R207" s="24">
        <v>0</v>
      </c>
    </row>
    <row r="208" spans="3:18" ht="15.75" x14ac:dyDescent="0.25">
      <c r="C208" s="22"/>
      <c r="D208" s="22"/>
      <c r="E208" s="32">
        <v>2019</v>
      </c>
      <c r="F208" s="24">
        <v>0</v>
      </c>
      <c r="G208" s="24">
        <v>0</v>
      </c>
      <c r="H208" s="24">
        <v>0</v>
      </c>
      <c r="I208" s="24">
        <v>0</v>
      </c>
      <c r="J208" s="24">
        <v>0</v>
      </c>
      <c r="K208" s="24">
        <v>0</v>
      </c>
      <c r="L208" s="24">
        <v>0</v>
      </c>
      <c r="M208" s="24">
        <v>0</v>
      </c>
      <c r="N208" s="24">
        <v>0</v>
      </c>
      <c r="O208" s="24">
        <v>0</v>
      </c>
      <c r="P208" s="24">
        <v>0</v>
      </c>
      <c r="Q208" s="24">
        <v>0</v>
      </c>
      <c r="R208" s="24">
        <v>0</v>
      </c>
    </row>
    <row r="209" spans="3:18" ht="15.75" x14ac:dyDescent="0.25">
      <c r="C209" s="22"/>
      <c r="D209" s="22"/>
      <c r="E209" s="32"/>
      <c r="F209" s="24"/>
      <c r="G209" s="24"/>
      <c r="H209" s="24"/>
      <c r="I209" s="24"/>
      <c r="J209" s="24"/>
      <c r="K209" s="24"/>
      <c r="L209" s="24"/>
      <c r="M209" s="24"/>
      <c r="N209" s="24"/>
      <c r="O209" s="24"/>
      <c r="P209" s="24"/>
      <c r="Q209" s="24"/>
      <c r="R209" s="24"/>
    </row>
    <row r="210" spans="3:18" ht="50.25" x14ac:dyDescent="0.25">
      <c r="C210" s="25" t="s">
        <v>208</v>
      </c>
      <c r="D210" s="26" t="s">
        <v>187</v>
      </c>
      <c r="E210" s="32">
        <v>2015</v>
      </c>
      <c r="F210" s="43" t="s">
        <v>229</v>
      </c>
      <c r="G210" s="43" t="s">
        <v>229</v>
      </c>
      <c r="H210" s="43" t="s">
        <v>229</v>
      </c>
      <c r="I210" s="43" t="s">
        <v>229</v>
      </c>
      <c r="J210" s="43" t="s">
        <v>229</v>
      </c>
      <c r="K210" s="43" t="s">
        <v>229</v>
      </c>
      <c r="L210" s="43" t="s">
        <v>229</v>
      </c>
      <c r="M210" s="43" t="s">
        <v>229</v>
      </c>
      <c r="N210" s="43" t="s">
        <v>229</v>
      </c>
      <c r="O210" s="43" t="s">
        <v>229</v>
      </c>
      <c r="P210" s="43" t="s">
        <v>229</v>
      </c>
      <c r="Q210" s="43" t="s">
        <v>229</v>
      </c>
      <c r="R210" s="43" t="s">
        <v>229</v>
      </c>
    </row>
    <row r="211" spans="3:18" ht="15.75" x14ac:dyDescent="0.25">
      <c r="C211" s="22"/>
      <c r="D211" s="22"/>
      <c r="E211" s="32">
        <v>2016</v>
      </c>
      <c r="F211" s="43" t="s">
        <v>229</v>
      </c>
      <c r="G211" s="43" t="s">
        <v>229</v>
      </c>
      <c r="H211" s="43" t="s">
        <v>229</v>
      </c>
      <c r="I211" s="43" t="s">
        <v>229</v>
      </c>
      <c r="J211" s="43" t="s">
        <v>229</v>
      </c>
      <c r="K211" s="43" t="s">
        <v>229</v>
      </c>
      <c r="L211" s="43" t="s">
        <v>229</v>
      </c>
      <c r="M211" s="43" t="s">
        <v>229</v>
      </c>
      <c r="N211" s="43" t="s">
        <v>229</v>
      </c>
      <c r="O211" s="43" t="s">
        <v>229</v>
      </c>
      <c r="P211" s="43" t="s">
        <v>229</v>
      </c>
      <c r="Q211" s="43" t="s">
        <v>229</v>
      </c>
      <c r="R211" s="43" t="s">
        <v>229</v>
      </c>
    </row>
    <row r="212" spans="3:18" ht="15.75" x14ac:dyDescent="0.25">
      <c r="C212" s="22"/>
      <c r="D212" s="22"/>
      <c r="E212" s="32">
        <v>2017</v>
      </c>
      <c r="F212" s="43" t="s">
        <v>229</v>
      </c>
      <c r="G212" s="43" t="s">
        <v>229</v>
      </c>
      <c r="H212" s="43" t="s">
        <v>229</v>
      </c>
      <c r="I212" s="43" t="s">
        <v>229</v>
      </c>
      <c r="J212" s="43" t="s">
        <v>229</v>
      </c>
      <c r="K212" s="43" t="s">
        <v>229</v>
      </c>
      <c r="L212" s="43" t="s">
        <v>229</v>
      </c>
      <c r="M212" s="43" t="s">
        <v>229</v>
      </c>
      <c r="N212" s="43" t="s">
        <v>229</v>
      </c>
      <c r="O212" s="43" t="s">
        <v>229</v>
      </c>
      <c r="P212" s="43" t="s">
        <v>229</v>
      </c>
      <c r="Q212" s="24">
        <v>0</v>
      </c>
      <c r="R212" s="24">
        <v>0</v>
      </c>
    </row>
    <row r="213" spans="3:18" ht="15.75" x14ac:dyDescent="0.25">
      <c r="C213" s="22"/>
      <c r="D213" s="22"/>
      <c r="E213" s="32">
        <v>2018</v>
      </c>
      <c r="F213" s="24">
        <v>13</v>
      </c>
      <c r="G213" s="24">
        <v>5</v>
      </c>
      <c r="H213" s="24">
        <v>0</v>
      </c>
      <c r="I213" s="24">
        <v>1</v>
      </c>
      <c r="J213" s="24">
        <v>0</v>
      </c>
      <c r="K213" s="24">
        <v>1</v>
      </c>
      <c r="L213" s="24">
        <v>1</v>
      </c>
      <c r="M213" s="24">
        <v>3</v>
      </c>
      <c r="N213" s="24">
        <v>1</v>
      </c>
      <c r="O213" s="24">
        <v>1</v>
      </c>
      <c r="P213" s="24">
        <v>2</v>
      </c>
      <c r="Q213" s="24">
        <v>6</v>
      </c>
      <c r="R213" s="24">
        <v>3</v>
      </c>
    </row>
    <row r="214" spans="3:18" ht="15.75" x14ac:dyDescent="0.25">
      <c r="C214" s="22"/>
      <c r="D214" s="22"/>
      <c r="E214" s="32">
        <v>2019</v>
      </c>
      <c r="F214" s="24">
        <v>7</v>
      </c>
      <c r="G214" s="24">
        <v>5</v>
      </c>
      <c r="H214" s="24">
        <v>5</v>
      </c>
      <c r="I214" s="24">
        <v>0</v>
      </c>
      <c r="J214" s="24">
        <v>1</v>
      </c>
      <c r="K214" s="24">
        <v>1</v>
      </c>
      <c r="L214" s="24">
        <v>1</v>
      </c>
      <c r="M214" s="24">
        <v>5</v>
      </c>
      <c r="N214" s="24">
        <v>0</v>
      </c>
      <c r="O214" s="24">
        <v>6</v>
      </c>
      <c r="P214" s="24">
        <v>1</v>
      </c>
      <c r="Q214" s="24">
        <v>0</v>
      </c>
      <c r="R214" s="24">
        <v>5</v>
      </c>
    </row>
    <row r="215" spans="3:18" ht="15.75" x14ac:dyDescent="0.25">
      <c r="C215" s="22"/>
      <c r="D215" s="22"/>
      <c r="E215" s="38"/>
      <c r="F215" s="24"/>
      <c r="G215" s="24"/>
      <c r="H215" s="24"/>
      <c r="I215" s="24"/>
      <c r="J215" s="24"/>
      <c r="K215" s="24"/>
      <c r="L215" s="24"/>
      <c r="M215" s="24"/>
      <c r="N215" s="24"/>
      <c r="O215" s="24"/>
      <c r="P215" s="24"/>
      <c r="Q215" s="24"/>
      <c r="R215" s="24"/>
    </row>
    <row r="216" spans="3:18" ht="50.25" x14ac:dyDescent="0.25">
      <c r="C216" s="25" t="s">
        <v>184</v>
      </c>
      <c r="D216" s="26" t="s">
        <v>188</v>
      </c>
      <c r="E216" s="32">
        <v>2015</v>
      </c>
      <c r="F216" s="24">
        <v>0</v>
      </c>
      <c r="G216" s="24">
        <v>0</v>
      </c>
      <c r="H216" s="24">
        <v>0</v>
      </c>
      <c r="I216" s="24">
        <v>0</v>
      </c>
      <c r="J216" s="24">
        <v>0</v>
      </c>
      <c r="K216" s="24">
        <v>0</v>
      </c>
      <c r="L216" s="24">
        <v>0</v>
      </c>
      <c r="M216" s="24">
        <v>0</v>
      </c>
      <c r="N216" s="24">
        <v>0</v>
      </c>
      <c r="O216" s="24">
        <v>0</v>
      </c>
      <c r="P216" s="24">
        <v>0</v>
      </c>
      <c r="Q216" s="24">
        <v>0</v>
      </c>
      <c r="R216" s="24">
        <v>0</v>
      </c>
    </row>
    <row r="217" spans="3:18" ht="15.75" x14ac:dyDescent="0.25">
      <c r="C217" s="22"/>
      <c r="D217" s="22"/>
      <c r="E217" s="32">
        <v>2016</v>
      </c>
      <c r="F217" s="24">
        <v>0</v>
      </c>
      <c r="G217" s="24">
        <v>0</v>
      </c>
      <c r="H217" s="24">
        <v>0</v>
      </c>
      <c r="I217" s="24">
        <v>0</v>
      </c>
      <c r="J217" s="24">
        <v>0</v>
      </c>
      <c r="K217" s="24">
        <v>0</v>
      </c>
      <c r="L217" s="24">
        <v>0</v>
      </c>
      <c r="M217" s="24">
        <v>0</v>
      </c>
      <c r="N217" s="24">
        <v>0</v>
      </c>
      <c r="O217" s="24">
        <v>0</v>
      </c>
      <c r="P217" s="24">
        <v>0</v>
      </c>
      <c r="Q217" s="24">
        <v>0</v>
      </c>
      <c r="R217" s="24">
        <v>0</v>
      </c>
    </row>
    <row r="218" spans="3:18" ht="15.75" x14ac:dyDescent="0.25">
      <c r="C218" s="22"/>
      <c r="D218" s="22"/>
      <c r="E218" s="32">
        <v>2017</v>
      </c>
      <c r="F218" s="24">
        <v>0</v>
      </c>
      <c r="G218" s="24">
        <v>0</v>
      </c>
      <c r="H218" s="24">
        <v>0</v>
      </c>
      <c r="I218" s="24">
        <v>0</v>
      </c>
      <c r="J218" s="24">
        <v>0</v>
      </c>
      <c r="K218" s="24">
        <v>0</v>
      </c>
      <c r="L218" s="24">
        <v>0</v>
      </c>
      <c r="M218" s="24">
        <v>0</v>
      </c>
      <c r="N218" s="24">
        <v>0</v>
      </c>
      <c r="O218" s="24">
        <v>0</v>
      </c>
      <c r="P218" s="24">
        <v>0</v>
      </c>
      <c r="Q218" s="24">
        <v>0</v>
      </c>
      <c r="R218" s="24">
        <v>0</v>
      </c>
    </row>
    <row r="219" spans="3:18" ht="15.75" x14ac:dyDescent="0.25">
      <c r="C219" s="22"/>
      <c r="D219" s="22"/>
      <c r="E219" s="32">
        <v>2018</v>
      </c>
      <c r="F219" s="24">
        <v>0</v>
      </c>
      <c r="G219" s="24">
        <v>0</v>
      </c>
      <c r="H219" s="24">
        <v>0</v>
      </c>
      <c r="I219" s="24">
        <v>0</v>
      </c>
      <c r="J219" s="24">
        <v>0</v>
      </c>
      <c r="K219" s="24">
        <v>0</v>
      </c>
      <c r="L219" s="24">
        <v>0</v>
      </c>
      <c r="M219" s="24">
        <v>0</v>
      </c>
      <c r="N219" s="24">
        <v>0</v>
      </c>
      <c r="O219" s="24">
        <v>0</v>
      </c>
      <c r="P219" s="24">
        <v>0</v>
      </c>
      <c r="Q219" s="24">
        <v>0</v>
      </c>
      <c r="R219" s="24">
        <v>0</v>
      </c>
    </row>
    <row r="220" spans="3:18" ht="15.75" x14ac:dyDescent="0.25">
      <c r="C220" s="22"/>
      <c r="D220" s="22"/>
      <c r="E220" s="32">
        <v>2019</v>
      </c>
      <c r="F220" s="24">
        <v>0</v>
      </c>
      <c r="G220" s="24">
        <v>0</v>
      </c>
      <c r="H220" s="24">
        <v>0</v>
      </c>
      <c r="I220" s="24">
        <v>0</v>
      </c>
      <c r="J220" s="24">
        <v>0</v>
      </c>
      <c r="K220" s="24">
        <v>0</v>
      </c>
      <c r="L220" s="24">
        <v>0</v>
      </c>
      <c r="M220" s="24">
        <v>0</v>
      </c>
      <c r="N220" s="24">
        <v>0</v>
      </c>
      <c r="O220" s="24">
        <v>0</v>
      </c>
      <c r="P220" s="24">
        <v>0</v>
      </c>
      <c r="Q220" s="24">
        <v>0</v>
      </c>
      <c r="R220" s="24">
        <v>0</v>
      </c>
    </row>
    <row r="221" spans="3:18" ht="15.75" x14ac:dyDescent="0.25">
      <c r="C221" s="22"/>
      <c r="D221" s="27" t="s">
        <v>189</v>
      </c>
      <c r="E221" s="28"/>
      <c r="F221" s="27"/>
      <c r="G221" s="27"/>
      <c r="H221" s="27"/>
      <c r="I221" s="27"/>
      <c r="J221" s="27"/>
      <c r="K221" s="27"/>
      <c r="L221" s="27"/>
      <c r="M221" s="27"/>
      <c r="N221" s="27"/>
      <c r="O221" s="27"/>
      <c r="P221" s="27"/>
      <c r="Q221" s="27"/>
      <c r="R221" s="27"/>
    </row>
    <row r="223" spans="3:18" ht="31.5" x14ac:dyDescent="0.25">
      <c r="C223" s="25" t="s">
        <v>185</v>
      </c>
      <c r="D223" s="26" t="s">
        <v>209</v>
      </c>
      <c r="E223" s="32">
        <v>2015</v>
      </c>
      <c r="F223" s="43" t="s">
        <v>229</v>
      </c>
      <c r="G223" s="24">
        <v>43</v>
      </c>
      <c r="H223" s="24">
        <v>43</v>
      </c>
      <c r="I223" s="24">
        <v>41</v>
      </c>
      <c r="J223" s="24">
        <v>42</v>
      </c>
      <c r="K223" s="24">
        <v>42</v>
      </c>
      <c r="L223" s="24">
        <v>42</v>
      </c>
      <c r="M223" s="24">
        <v>42</v>
      </c>
      <c r="N223" s="24">
        <v>42</v>
      </c>
      <c r="O223" s="24">
        <v>42</v>
      </c>
      <c r="P223" s="24">
        <v>42</v>
      </c>
      <c r="Q223" s="24">
        <v>42</v>
      </c>
      <c r="R223" s="24">
        <v>42</v>
      </c>
    </row>
    <row r="224" spans="3:18" ht="15.75" x14ac:dyDescent="0.25">
      <c r="C224" s="22"/>
      <c r="D224" s="22"/>
      <c r="E224" s="32">
        <v>2016</v>
      </c>
      <c r="F224" s="43" t="s">
        <v>229</v>
      </c>
      <c r="G224" s="24">
        <v>42</v>
      </c>
      <c r="H224" s="24">
        <v>42</v>
      </c>
      <c r="I224" s="24">
        <v>42</v>
      </c>
      <c r="J224" s="24">
        <v>42</v>
      </c>
      <c r="K224" s="24">
        <v>42</v>
      </c>
      <c r="L224" s="24">
        <v>42</v>
      </c>
      <c r="M224" s="24">
        <v>42</v>
      </c>
      <c r="N224" s="24">
        <v>42</v>
      </c>
      <c r="O224" s="24">
        <v>42</v>
      </c>
      <c r="P224" s="24">
        <v>17</v>
      </c>
      <c r="Q224" s="24">
        <v>17</v>
      </c>
      <c r="R224" s="24">
        <v>17</v>
      </c>
    </row>
    <row r="225" spans="3:18" ht="15.75" x14ac:dyDescent="0.25">
      <c r="C225" s="22"/>
      <c r="D225" s="22"/>
      <c r="E225" s="32">
        <v>2017</v>
      </c>
      <c r="F225" s="43" t="s">
        <v>229</v>
      </c>
      <c r="G225" s="24">
        <v>17</v>
      </c>
      <c r="H225" s="24">
        <v>17</v>
      </c>
      <c r="I225" s="24">
        <v>17</v>
      </c>
      <c r="J225" s="24">
        <v>17</v>
      </c>
      <c r="K225" s="24">
        <v>17</v>
      </c>
      <c r="L225" s="24">
        <v>17</v>
      </c>
      <c r="M225" s="24">
        <v>17</v>
      </c>
      <c r="N225" s="24">
        <v>17</v>
      </c>
      <c r="O225" s="24">
        <v>17</v>
      </c>
      <c r="P225" s="24">
        <v>17</v>
      </c>
      <c r="Q225" s="24">
        <v>17</v>
      </c>
      <c r="R225" s="24">
        <v>17</v>
      </c>
    </row>
    <row r="226" spans="3:18" ht="15.75" x14ac:dyDescent="0.25">
      <c r="C226" s="22"/>
      <c r="D226" s="22"/>
      <c r="E226" s="32">
        <v>2018</v>
      </c>
      <c r="F226" s="24">
        <v>29</v>
      </c>
      <c r="G226" s="24">
        <v>17</v>
      </c>
      <c r="H226" s="24">
        <v>17</v>
      </c>
      <c r="I226" s="24">
        <v>17</v>
      </c>
      <c r="J226" s="24">
        <v>17</v>
      </c>
      <c r="K226" s="24">
        <v>17</v>
      </c>
      <c r="L226" s="24">
        <v>17</v>
      </c>
      <c r="M226" s="24">
        <v>17</v>
      </c>
      <c r="N226" s="24">
        <v>17</v>
      </c>
      <c r="O226" s="24">
        <v>17</v>
      </c>
      <c r="P226" s="24">
        <v>21</v>
      </c>
      <c r="Q226" s="24">
        <v>29</v>
      </c>
      <c r="R226" s="24">
        <v>29</v>
      </c>
    </row>
    <row r="227" spans="3:18" ht="15.75" x14ac:dyDescent="0.25">
      <c r="C227" s="22"/>
      <c r="D227" s="22"/>
      <c r="E227" s="32">
        <v>2019</v>
      </c>
      <c r="F227" s="24">
        <v>29</v>
      </c>
      <c r="G227" s="24">
        <v>29</v>
      </c>
      <c r="H227" s="24">
        <v>29</v>
      </c>
      <c r="I227" s="24">
        <v>29</v>
      </c>
      <c r="J227" s="24">
        <v>29</v>
      </c>
      <c r="K227" s="24">
        <v>29</v>
      </c>
      <c r="L227" s="24">
        <v>29</v>
      </c>
      <c r="M227" s="24">
        <v>29</v>
      </c>
      <c r="N227" s="24">
        <v>29</v>
      </c>
      <c r="O227" s="24">
        <v>29</v>
      </c>
      <c r="P227" s="24">
        <v>29</v>
      </c>
      <c r="Q227" s="24">
        <v>29</v>
      </c>
      <c r="R227" s="24">
        <v>29</v>
      </c>
    </row>
    <row r="244" spans="1:18" x14ac:dyDescent="0.25">
      <c r="R244" s="2" t="s">
        <v>55</v>
      </c>
    </row>
    <row r="245" spans="1:18" x14ac:dyDescent="0.25">
      <c r="R245" s="2" t="s">
        <v>214</v>
      </c>
    </row>
    <row r="246" spans="1:18" x14ac:dyDescent="0.25">
      <c r="R246" s="2" t="s">
        <v>1</v>
      </c>
    </row>
    <row r="248" spans="1:18" x14ac:dyDescent="0.25">
      <c r="A248" s="45" t="s">
        <v>4</v>
      </c>
      <c r="B248" s="45"/>
      <c r="C248" s="45"/>
      <c r="D248" s="45"/>
      <c r="E248" s="45"/>
      <c r="F248" s="45"/>
      <c r="G248" s="45"/>
      <c r="H248" s="45"/>
      <c r="I248" s="45"/>
      <c r="J248" s="45"/>
      <c r="K248" s="45"/>
      <c r="L248" s="45"/>
      <c r="M248" s="45"/>
      <c r="N248" s="45"/>
      <c r="O248" s="45"/>
      <c r="P248" s="45"/>
      <c r="Q248" s="45"/>
      <c r="R248" s="45"/>
    </row>
    <row r="249" spans="1:18" x14ac:dyDescent="0.25">
      <c r="A249" s="45" t="s">
        <v>2</v>
      </c>
      <c r="B249" s="45"/>
      <c r="C249" s="45"/>
      <c r="D249" s="45"/>
      <c r="E249" s="45"/>
      <c r="F249" s="45"/>
      <c r="G249" s="45"/>
      <c r="H249" s="45"/>
      <c r="I249" s="45"/>
      <c r="J249" s="45"/>
      <c r="K249" s="45"/>
      <c r="L249" s="45"/>
      <c r="M249" s="45"/>
      <c r="N249" s="45"/>
      <c r="O249" s="45"/>
      <c r="P249" s="45"/>
      <c r="Q249" s="45"/>
      <c r="R249" s="45"/>
    </row>
    <row r="250" spans="1:18" x14ac:dyDescent="0.25">
      <c r="A250" s="45" t="s">
        <v>3</v>
      </c>
      <c r="B250" s="45"/>
      <c r="C250" s="45"/>
      <c r="D250" s="45"/>
      <c r="E250" s="45"/>
      <c r="F250" s="45"/>
      <c r="G250" s="45"/>
      <c r="H250" s="45"/>
      <c r="I250" s="45"/>
      <c r="J250" s="45"/>
      <c r="K250" s="45"/>
      <c r="L250" s="45"/>
      <c r="M250" s="45"/>
      <c r="N250" s="45"/>
      <c r="O250" s="45"/>
      <c r="P250" s="45"/>
      <c r="Q250" s="45"/>
      <c r="R250" s="45"/>
    </row>
    <row r="254" spans="1:18" ht="15.75" x14ac:dyDescent="0.25">
      <c r="C254" s="46" t="s">
        <v>195</v>
      </c>
      <c r="D254" s="46"/>
      <c r="E254" s="46"/>
      <c r="F254" s="46"/>
      <c r="G254" s="46"/>
      <c r="H254" s="46"/>
      <c r="I254" s="46"/>
      <c r="J254" s="46"/>
      <c r="K254" s="46"/>
      <c r="L254" s="46"/>
      <c r="M254" s="46"/>
      <c r="N254" s="46"/>
      <c r="O254" s="46"/>
      <c r="P254" s="46"/>
      <c r="Q254" s="46"/>
      <c r="R254" s="46"/>
    </row>
    <row r="255" spans="1:18" ht="15.75" x14ac:dyDescent="0.25">
      <c r="C255" s="46" t="s">
        <v>199</v>
      </c>
      <c r="D255" s="46"/>
      <c r="E255" s="46"/>
      <c r="F255" s="46"/>
      <c r="G255" s="46"/>
      <c r="H255" s="46"/>
      <c r="I255" s="46"/>
      <c r="J255" s="46"/>
      <c r="K255" s="46"/>
      <c r="L255" s="46"/>
      <c r="M255" s="46"/>
      <c r="N255" s="46"/>
      <c r="O255" s="46"/>
      <c r="P255" s="46"/>
      <c r="Q255" s="46"/>
      <c r="R255" s="46"/>
    </row>
    <row r="256" spans="1:18" ht="15.75" x14ac:dyDescent="0.25">
      <c r="C256" s="46" t="s">
        <v>241</v>
      </c>
      <c r="D256" s="46"/>
      <c r="E256" s="46"/>
      <c r="F256" s="46"/>
      <c r="G256" s="46"/>
      <c r="H256" s="46"/>
      <c r="I256" s="46"/>
      <c r="J256" s="46"/>
      <c r="K256" s="46"/>
      <c r="L256" s="46"/>
      <c r="M256" s="46"/>
      <c r="N256" s="46"/>
      <c r="O256" s="46"/>
      <c r="P256" s="46"/>
      <c r="Q256" s="46"/>
      <c r="R256" s="46"/>
    </row>
    <row r="257" spans="3:18" ht="15.75" x14ac:dyDescent="0.25">
      <c r="C257" s="22"/>
      <c r="D257" s="22"/>
      <c r="E257" s="32"/>
      <c r="F257" s="22"/>
      <c r="G257" s="22"/>
      <c r="H257" s="22"/>
      <c r="I257" s="22"/>
      <c r="J257" s="22"/>
      <c r="K257" s="22"/>
      <c r="L257" s="22"/>
      <c r="M257" s="22"/>
      <c r="N257" s="22"/>
      <c r="O257" s="22"/>
      <c r="P257" s="22"/>
      <c r="Q257" s="22"/>
      <c r="R257" s="22"/>
    </row>
    <row r="258" spans="3:18" ht="18" x14ac:dyDescent="0.4">
      <c r="C258" s="22"/>
      <c r="D258" s="22"/>
      <c r="E258" s="32"/>
      <c r="F258" s="47" t="s">
        <v>198</v>
      </c>
      <c r="G258" s="47"/>
      <c r="H258" s="47"/>
      <c r="I258" s="47"/>
      <c r="J258" s="47"/>
      <c r="K258" s="47"/>
      <c r="L258" s="47"/>
      <c r="M258" s="47"/>
      <c r="N258" s="47"/>
      <c r="O258" s="47"/>
      <c r="P258" s="47"/>
      <c r="Q258" s="47"/>
      <c r="R258" s="47"/>
    </row>
    <row r="259" spans="3:18" ht="18" x14ac:dyDescent="0.4">
      <c r="C259" s="22"/>
      <c r="D259" s="22"/>
      <c r="E259" s="33" t="s">
        <v>181</v>
      </c>
      <c r="F259" s="23" t="s">
        <v>182</v>
      </c>
      <c r="G259" s="23" t="s">
        <v>183</v>
      </c>
      <c r="H259" s="23" t="s">
        <v>83</v>
      </c>
      <c r="I259" s="23" t="s">
        <v>84</v>
      </c>
      <c r="J259" s="23" t="s">
        <v>85</v>
      </c>
      <c r="K259" s="23" t="s">
        <v>86</v>
      </c>
      <c r="L259" s="23" t="s">
        <v>87</v>
      </c>
      <c r="M259" s="23" t="s">
        <v>88</v>
      </c>
      <c r="N259" s="23" t="s">
        <v>89</v>
      </c>
      <c r="O259" s="23" t="s">
        <v>90</v>
      </c>
      <c r="P259" s="23" t="s">
        <v>91</v>
      </c>
      <c r="Q259" s="23" t="s">
        <v>92</v>
      </c>
      <c r="R259" s="23" t="s">
        <v>93</v>
      </c>
    </row>
    <row r="260" spans="3:18" ht="15.75" x14ac:dyDescent="0.25">
      <c r="C260" s="22" t="s">
        <v>208</v>
      </c>
      <c r="D260" s="22" t="s">
        <v>196</v>
      </c>
      <c r="E260" s="32">
        <v>2015</v>
      </c>
      <c r="F260" s="24">
        <f>SUM(G260:R260)</f>
        <v>97432</v>
      </c>
      <c r="G260" s="24">
        <f>8810+40</f>
        <v>8850</v>
      </c>
      <c r="H260" s="24">
        <f>8569+45</f>
        <v>8614</v>
      </c>
      <c r="I260" s="24">
        <f>8345+39</f>
        <v>8384</v>
      </c>
      <c r="J260" s="24">
        <f>8168+37</f>
        <v>8205</v>
      </c>
      <c r="K260" s="24">
        <f>7879+38</f>
        <v>7917</v>
      </c>
      <c r="L260" s="24">
        <f>7135+30</f>
        <v>7165</v>
      </c>
      <c r="M260" s="24">
        <f>8008+38</f>
        <v>8046</v>
      </c>
      <c r="N260" s="24">
        <f>8051+41</f>
        <v>8092</v>
      </c>
      <c r="O260" s="24">
        <f>8039+37</f>
        <v>8076</v>
      </c>
      <c r="P260" s="24">
        <f>8267+41</f>
        <v>8308</v>
      </c>
      <c r="Q260" s="24">
        <f>7838+35</f>
        <v>7873</v>
      </c>
      <c r="R260" s="24">
        <f>7864+38</f>
        <v>7902</v>
      </c>
    </row>
    <row r="261" spans="3:18" ht="15.75" x14ac:dyDescent="0.25">
      <c r="C261" s="22"/>
      <c r="D261" s="22" t="s">
        <v>197</v>
      </c>
      <c r="E261" s="32">
        <v>2016</v>
      </c>
      <c r="F261" s="24">
        <f>SUM(G261:R261)</f>
        <v>100910</v>
      </c>
      <c r="G261" s="24">
        <f>8940+42</f>
        <v>8982</v>
      </c>
      <c r="H261" s="24">
        <f>8597+54</f>
        <v>8651</v>
      </c>
      <c r="I261" s="24">
        <f>8307+55</f>
        <v>8362</v>
      </c>
      <c r="J261" s="24">
        <f>8333+60</f>
        <v>8393</v>
      </c>
      <c r="K261" s="24">
        <f>8319+56</f>
        <v>8375</v>
      </c>
      <c r="L261" s="24">
        <f>8151+65</f>
        <v>8216</v>
      </c>
      <c r="M261" s="24">
        <f>8832+63</f>
        <v>8895</v>
      </c>
      <c r="N261" s="24">
        <f>8054+75</f>
        <v>8129</v>
      </c>
      <c r="O261" s="24">
        <f>8498+66</f>
        <v>8564</v>
      </c>
      <c r="P261" s="24">
        <f>8327+71</f>
        <v>8398</v>
      </c>
      <c r="Q261" s="24">
        <f>7916+72</f>
        <v>7988</v>
      </c>
      <c r="R261" s="24">
        <f>7895+62</f>
        <v>7957</v>
      </c>
    </row>
    <row r="262" spans="3:18" ht="15.75" x14ac:dyDescent="0.25">
      <c r="C262" s="22"/>
      <c r="D262" s="22"/>
      <c r="E262" s="32">
        <v>2017</v>
      </c>
      <c r="F262" s="24">
        <f>SUM(G262:R262)</f>
        <v>96617</v>
      </c>
      <c r="G262" s="24">
        <v>8077</v>
      </c>
      <c r="H262" s="24">
        <v>8112</v>
      </c>
      <c r="I262" s="24">
        <v>8990</v>
      </c>
      <c r="J262" s="24">
        <v>6910</v>
      </c>
      <c r="K262" s="24">
        <v>8538</v>
      </c>
      <c r="L262" s="24">
        <v>7013</v>
      </c>
      <c r="M262" s="24">
        <v>8133</v>
      </c>
      <c r="N262" s="24">
        <v>8117</v>
      </c>
      <c r="O262" s="24">
        <v>8513</v>
      </c>
      <c r="P262" s="24">
        <v>8054</v>
      </c>
      <c r="Q262" s="24">
        <f t="shared" ref="Q262:R264" si="5">+Q29+Q81+Q139+Q200</f>
        <v>7904</v>
      </c>
      <c r="R262" s="24">
        <f t="shared" si="5"/>
        <v>8256</v>
      </c>
    </row>
    <row r="263" spans="3:18" ht="15.75" x14ac:dyDescent="0.25">
      <c r="C263" s="22"/>
      <c r="D263" s="22"/>
      <c r="E263" s="32">
        <v>2018</v>
      </c>
      <c r="F263" s="24">
        <f t="shared" ref="F263:P263" si="6">+F30+F82+F140+F201</f>
        <v>94423</v>
      </c>
      <c r="G263" s="24">
        <f t="shared" si="6"/>
        <v>8490</v>
      </c>
      <c r="H263" s="24">
        <f t="shared" si="6"/>
        <v>7092</v>
      </c>
      <c r="I263" s="24">
        <f t="shared" si="6"/>
        <v>9174</v>
      </c>
      <c r="J263" s="24">
        <f t="shared" si="6"/>
        <v>6258</v>
      </c>
      <c r="K263" s="24">
        <f t="shared" si="6"/>
        <v>9891</v>
      </c>
      <c r="L263" s="24">
        <f t="shared" si="6"/>
        <v>6671</v>
      </c>
      <c r="M263" s="24">
        <f t="shared" si="6"/>
        <v>7395</v>
      </c>
      <c r="N263" s="24">
        <f t="shared" si="6"/>
        <v>8808</v>
      </c>
      <c r="O263" s="24">
        <f t="shared" si="6"/>
        <v>5915</v>
      </c>
      <c r="P263" s="24">
        <f t="shared" si="6"/>
        <v>8705</v>
      </c>
      <c r="Q263" s="24">
        <f t="shared" si="5"/>
        <v>8210</v>
      </c>
      <c r="R263" s="24">
        <f t="shared" si="5"/>
        <v>7814</v>
      </c>
    </row>
    <row r="264" spans="3:18" ht="15.75" x14ac:dyDescent="0.25">
      <c r="C264" s="22"/>
      <c r="D264" s="22"/>
      <c r="E264" s="32">
        <v>2019</v>
      </c>
      <c r="F264" s="24">
        <f t="shared" ref="F264:P264" si="7">+F31+F83+F141+F202</f>
        <v>89215</v>
      </c>
      <c r="G264" s="24">
        <f t="shared" si="7"/>
        <v>8262</v>
      </c>
      <c r="H264" s="24">
        <f t="shared" si="7"/>
        <v>6972</v>
      </c>
      <c r="I264" s="24">
        <f t="shared" si="7"/>
        <v>8587</v>
      </c>
      <c r="J264" s="24">
        <f t="shared" si="7"/>
        <v>7191</v>
      </c>
      <c r="K264" s="24">
        <f t="shared" si="7"/>
        <v>8426</v>
      </c>
      <c r="L264" s="24">
        <f t="shared" si="7"/>
        <v>5437</v>
      </c>
      <c r="M264" s="24">
        <f t="shared" si="7"/>
        <v>8532</v>
      </c>
      <c r="N264" s="24">
        <f t="shared" si="7"/>
        <v>7598</v>
      </c>
      <c r="O264" s="24">
        <f t="shared" si="7"/>
        <v>6601</v>
      </c>
      <c r="P264" s="24">
        <f t="shared" si="7"/>
        <v>7926</v>
      </c>
      <c r="Q264" s="24">
        <f t="shared" si="5"/>
        <v>6405</v>
      </c>
      <c r="R264" s="24">
        <f t="shared" si="5"/>
        <v>7278</v>
      </c>
    </row>
    <row r="265" spans="3:18" ht="15.75" x14ac:dyDescent="0.25">
      <c r="C265" s="22"/>
      <c r="D265" s="22"/>
      <c r="E265" s="32"/>
      <c r="F265" s="24"/>
      <c r="G265" s="24"/>
      <c r="H265" s="24"/>
      <c r="I265" s="24"/>
      <c r="J265" s="24"/>
      <c r="K265" s="24"/>
      <c r="L265" s="24"/>
      <c r="M265" s="24"/>
      <c r="N265" s="24"/>
      <c r="O265" s="24"/>
      <c r="P265" s="24"/>
      <c r="Q265" s="24"/>
      <c r="R265" s="24"/>
    </row>
    <row r="266" spans="3:18" ht="15.75" x14ac:dyDescent="0.25">
      <c r="C266" s="22" t="s">
        <v>184</v>
      </c>
      <c r="D266" s="22" t="s">
        <v>186</v>
      </c>
      <c r="E266" s="32">
        <v>2015</v>
      </c>
      <c r="F266" s="24">
        <f t="shared" ref="F266:R266" si="8">+F33+F85+F143+F204</f>
        <v>2470</v>
      </c>
      <c r="G266" s="24">
        <f t="shared" si="8"/>
        <v>167</v>
      </c>
      <c r="H266" s="24">
        <f t="shared" si="8"/>
        <v>36</v>
      </c>
      <c r="I266" s="24">
        <f t="shared" si="8"/>
        <v>309</v>
      </c>
      <c r="J266" s="24">
        <f t="shared" si="8"/>
        <v>240</v>
      </c>
      <c r="K266" s="24">
        <f t="shared" si="8"/>
        <v>279</v>
      </c>
      <c r="L266" s="24">
        <f t="shared" si="8"/>
        <v>221</v>
      </c>
      <c r="M266" s="24">
        <f t="shared" si="8"/>
        <v>189</v>
      </c>
      <c r="N266" s="24">
        <f t="shared" si="8"/>
        <v>192</v>
      </c>
      <c r="O266" s="24">
        <f t="shared" si="8"/>
        <v>229</v>
      </c>
      <c r="P266" s="24">
        <f t="shared" si="8"/>
        <v>226</v>
      </c>
      <c r="Q266" s="24">
        <f t="shared" si="8"/>
        <v>214</v>
      </c>
      <c r="R266" s="24">
        <f t="shared" si="8"/>
        <v>168</v>
      </c>
    </row>
    <row r="267" spans="3:18" ht="15.75" x14ac:dyDescent="0.25">
      <c r="C267" s="22"/>
      <c r="D267" s="22"/>
      <c r="E267" s="32">
        <v>2016</v>
      </c>
      <c r="F267" s="24">
        <f t="shared" ref="F267:R267" si="9">+F34+F86+F144+F205</f>
        <v>2201</v>
      </c>
      <c r="G267" s="24">
        <f t="shared" si="9"/>
        <v>160</v>
      </c>
      <c r="H267" s="24">
        <f t="shared" si="9"/>
        <v>165</v>
      </c>
      <c r="I267" s="24">
        <f t="shared" si="9"/>
        <v>249</v>
      </c>
      <c r="J267" s="24">
        <f t="shared" si="9"/>
        <v>234</v>
      </c>
      <c r="K267" s="24">
        <f t="shared" si="9"/>
        <v>168</v>
      </c>
      <c r="L267" s="24">
        <f t="shared" si="9"/>
        <v>157</v>
      </c>
      <c r="M267" s="24">
        <f t="shared" si="9"/>
        <v>141</v>
      </c>
      <c r="N267" s="24">
        <f t="shared" si="9"/>
        <v>227</v>
      </c>
      <c r="O267" s="24">
        <f t="shared" si="9"/>
        <v>174</v>
      </c>
      <c r="P267" s="24">
        <f t="shared" si="9"/>
        <v>178</v>
      </c>
      <c r="Q267" s="24">
        <f t="shared" si="9"/>
        <v>225</v>
      </c>
      <c r="R267" s="24">
        <f t="shared" si="9"/>
        <v>123</v>
      </c>
    </row>
    <row r="268" spans="3:18" ht="15.75" x14ac:dyDescent="0.25">
      <c r="C268" s="22"/>
      <c r="D268" s="22"/>
      <c r="E268" s="32">
        <v>2017</v>
      </c>
      <c r="F268" s="24">
        <f t="shared" ref="F268:R268" si="10">+F35+F87+F145+F206</f>
        <v>2243</v>
      </c>
      <c r="G268" s="24">
        <f t="shared" si="10"/>
        <v>132</v>
      </c>
      <c r="H268" s="24">
        <f t="shared" si="10"/>
        <v>212</v>
      </c>
      <c r="I268" s="24">
        <f t="shared" si="10"/>
        <v>212</v>
      </c>
      <c r="J268" s="24">
        <f t="shared" si="10"/>
        <v>202</v>
      </c>
      <c r="K268" s="24">
        <f t="shared" si="10"/>
        <v>210</v>
      </c>
      <c r="L268" s="24">
        <f t="shared" si="10"/>
        <v>153</v>
      </c>
      <c r="M268" s="24">
        <f t="shared" si="10"/>
        <v>139</v>
      </c>
      <c r="N268" s="24">
        <f t="shared" si="10"/>
        <v>224</v>
      </c>
      <c r="O268" s="24">
        <f t="shared" si="10"/>
        <v>283</v>
      </c>
      <c r="P268" s="24">
        <f t="shared" si="10"/>
        <v>195</v>
      </c>
      <c r="Q268" s="24">
        <f t="shared" si="10"/>
        <v>190</v>
      </c>
      <c r="R268" s="24">
        <f t="shared" si="10"/>
        <v>91</v>
      </c>
    </row>
    <row r="269" spans="3:18" ht="15.75" x14ac:dyDescent="0.25">
      <c r="C269" s="22"/>
      <c r="D269" s="22"/>
      <c r="E269" s="32">
        <v>2018</v>
      </c>
      <c r="F269" s="24">
        <f t="shared" ref="F269:R269" si="11">+F36+F88+F146+F207</f>
        <v>2430</v>
      </c>
      <c r="G269" s="24">
        <f t="shared" si="11"/>
        <v>193</v>
      </c>
      <c r="H269" s="24">
        <f t="shared" si="11"/>
        <v>205</v>
      </c>
      <c r="I269" s="24">
        <f t="shared" si="11"/>
        <v>247</v>
      </c>
      <c r="J269" s="24">
        <f t="shared" si="11"/>
        <v>223</v>
      </c>
      <c r="K269" s="24">
        <f t="shared" si="11"/>
        <v>224</v>
      </c>
      <c r="L269" s="24">
        <f t="shared" si="11"/>
        <v>205</v>
      </c>
      <c r="M269" s="24">
        <f t="shared" si="11"/>
        <v>181</v>
      </c>
      <c r="N269" s="24">
        <f t="shared" si="11"/>
        <v>204</v>
      </c>
      <c r="O269" s="24">
        <f t="shared" si="11"/>
        <v>184</v>
      </c>
      <c r="P269" s="24">
        <f t="shared" si="11"/>
        <v>232</v>
      </c>
      <c r="Q269" s="24">
        <f t="shared" si="11"/>
        <v>171</v>
      </c>
      <c r="R269" s="24">
        <f t="shared" si="11"/>
        <v>161</v>
      </c>
    </row>
    <row r="270" spans="3:18" ht="15.75" x14ac:dyDescent="0.25">
      <c r="C270" s="22"/>
      <c r="D270" s="22"/>
      <c r="E270" s="32">
        <v>2019</v>
      </c>
      <c r="F270" s="24">
        <f t="shared" ref="F270:R270" si="12">+F37+F89+F147+F208</f>
        <v>2335</v>
      </c>
      <c r="G270" s="24">
        <f t="shared" si="12"/>
        <v>180</v>
      </c>
      <c r="H270" s="24">
        <f t="shared" si="12"/>
        <v>203</v>
      </c>
      <c r="I270" s="24">
        <f t="shared" si="12"/>
        <v>195</v>
      </c>
      <c r="J270" s="24">
        <f t="shared" si="12"/>
        <v>223</v>
      </c>
      <c r="K270" s="24">
        <f t="shared" si="12"/>
        <v>225</v>
      </c>
      <c r="L270" s="24">
        <f t="shared" si="12"/>
        <v>180</v>
      </c>
      <c r="M270" s="24">
        <f t="shared" si="12"/>
        <v>207</v>
      </c>
      <c r="N270" s="24">
        <f t="shared" si="12"/>
        <v>186</v>
      </c>
      <c r="O270" s="24">
        <f t="shared" si="12"/>
        <v>203</v>
      </c>
      <c r="P270" s="24">
        <f t="shared" si="12"/>
        <v>230</v>
      </c>
      <c r="Q270" s="24">
        <f t="shared" si="12"/>
        <v>147</v>
      </c>
      <c r="R270" s="24">
        <f t="shared" si="12"/>
        <v>156</v>
      </c>
    </row>
    <row r="271" spans="3:18" ht="15.75" x14ac:dyDescent="0.25">
      <c r="C271" s="22"/>
      <c r="D271" s="22"/>
      <c r="E271" s="32"/>
      <c r="F271" s="24"/>
      <c r="G271" s="24"/>
      <c r="H271" s="24"/>
      <c r="I271" s="24"/>
      <c r="J271" s="24"/>
      <c r="K271" s="24"/>
      <c r="L271" s="24"/>
      <c r="M271" s="24"/>
      <c r="N271" s="24"/>
      <c r="O271" s="24"/>
      <c r="P271" s="24"/>
      <c r="Q271" s="24"/>
      <c r="R271" s="24"/>
    </row>
    <row r="272" spans="3:18" ht="50.25" x14ac:dyDescent="0.25">
      <c r="C272" s="25" t="s">
        <v>208</v>
      </c>
      <c r="D272" s="26" t="s">
        <v>187</v>
      </c>
      <c r="E272" s="32">
        <v>2015</v>
      </c>
      <c r="F272" s="43" t="s">
        <v>229</v>
      </c>
      <c r="G272" s="43" t="s">
        <v>229</v>
      </c>
      <c r="H272" s="43" t="s">
        <v>229</v>
      </c>
      <c r="I272" s="43" t="s">
        <v>229</v>
      </c>
      <c r="J272" s="43" t="s">
        <v>229</v>
      </c>
      <c r="K272" s="43" t="s">
        <v>229</v>
      </c>
      <c r="L272" s="43" t="s">
        <v>229</v>
      </c>
      <c r="M272" s="43" t="s">
        <v>229</v>
      </c>
      <c r="N272" s="43" t="s">
        <v>229</v>
      </c>
      <c r="O272" s="43" t="s">
        <v>229</v>
      </c>
      <c r="P272" s="43" t="s">
        <v>229</v>
      </c>
      <c r="Q272" s="43" t="s">
        <v>229</v>
      </c>
      <c r="R272" s="43" t="s">
        <v>229</v>
      </c>
    </row>
    <row r="273" spans="3:18" ht="15.75" x14ac:dyDescent="0.25">
      <c r="C273" s="22"/>
      <c r="D273" s="22"/>
      <c r="E273" s="32">
        <v>2016</v>
      </c>
      <c r="F273" s="43" t="s">
        <v>229</v>
      </c>
      <c r="G273" s="43" t="s">
        <v>229</v>
      </c>
      <c r="H273" s="43" t="s">
        <v>229</v>
      </c>
      <c r="I273" s="43" t="s">
        <v>229</v>
      </c>
      <c r="J273" s="43" t="s">
        <v>229</v>
      </c>
      <c r="K273" s="43" t="s">
        <v>229</v>
      </c>
      <c r="L273" s="43" t="s">
        <v>229</v>
      </c>
      <c r="M273" s="43" t="s">
        <v>229</v>
      </c>
      <c r="N273" s="43" t="s">
        <v>229</v>
      </c>
      <c r="O273" s="43" t="s">
        <v>229</v>
      </c>
      <c r="P273" s="43" t="s">
        <v>229</v>
      </c>
      <c r="Q273" s="43" t="s">
        <v>229</v>
      </c>
      <c r="R273" s="43" t="s">
        <v>229</v>
      </c>
    </row>
    <row r="274" spans="3:18" ht="15.75" x14ac:dyDescent="0.25">
      <c r="C274" s="22"/>
      <c r="D274" s="22"/>
      <c r="E274" s="32">
        <v>2017</v>
      </c>
      <c r="F274" s="43" t="s">
        <v>229</v>
      </c>
      <c r="G274" s="43" t="s">
        <v>229</v>
      </c>
      <c r="H274" s="43" t="s">
        <v>229</v>
      </c>
      <c r="I274" s="43" t="s">
        <v>229</v>
      </c>
      <c r="J274" s="43" t="s">
        <v>229</v>
      </c>
      <c r="K274" s="43" t="s">
        <v>229</v>
      </c>
      <c r="L274" s="43" t="s">
        <v>229</v>
      </c>
      <c r="M274" s="43" t="s">
        <v>229</v>
      </c>
      <c r="N274" s="43" t="s">
        <v>229</v>
      </c>
      <c r="O274" s="43" t="s">
        <v>229</v>
      </c>
      <c r="P274" s="43" t="s">
        <v>229</v>
      </c>
      <c r="Q274" s="24">
        <f t="shared" ref="Q274:R276" si="13">+Q41+Q93+Q151+Q212</f>
        <v>7904</v>
      </c>
      <c r="R274" s="24">
        <f t="shared" si="13"/>
        <v>8256</v>
      </c>
    </row>
    <row r="275" spans="3:18" ht="15.75" x14ac:dyDescent="0.25">
      <c r="C275" s="22"/>
      <c r="D275" s="22"/>
      <c r="E275" s="32">
        <v>2018</v>
      </c>
      <c r="F275" s="24">
        <f t="shared" ref="F275:P275" si="14">+F42+F94+F152+F213</f>
        <v>22091</v>
      </c>
      <c r="G275" s="24">
        <f t="shared" si="14"/>
        <v>8489</v>
      </c>
      <c r="H275" s="24">
        <f t="shared" si="14"/>
        <v>7091</v>
      </c>
      <c r="I275" s="24">
        <f t="shared" si="14"/>
        <v>8465</v>
      </c>
      <c r="J275" s="24">
        <f t="shared" si="14"/>
        <v>6258</v>
      </c>
      <c r="K275" s="24">
        <f t="shared" si="14"/>
        <v>8516</v>
      </c>
      <c r="L275" s="24">
        <f t="shared" si="14"/>
        <v>6671</v>
      </c>
      <c r="M275" s="24">
        <f t="shared" si="14"/>
        <v>7395</v>
      </c>
      <c r="N275" s="24">
        <f t="shared" si="14"/>
        <v>8159</v>
      </c>
      <c r="O275" s="24">
        <f t="shared" si="14"/>
        <v>5915</v>
      </c>
      <c r="P275" s="24">
        <f t="shared" si="14"/>
        <v>8025</v>
      </c>
      <c r="Q275" s="24">
        <f t="shared" si="13"/>
        <v>8210</v>
      </c>
      <c r="R275" s="24">
        <f t="shared" si="13"/>
        <v>7814</v>
      </c>
    </row>
    <row r="276" spans="3:18" ht="15.75" x14ac:dyDescent="0.25">
      <c r="C276" s="22"/>
      <c r="D276" s="22"/>
      <c r="E276" s="32">
        <v>2019</v>
      </c>
      <c r="F276" s="24">
        <f t="shared" ref="F276:P276" si="15">+F43+F95+F153+F214</f>
        <v>21601</v>
      </c>
      <c r="G276" s="24">
        <f t="shared" si="15"/>
        <v>8262</v>
      </c>
      <c r="H276" s="24">
        <f t="shared" si="15"/>
        <v>6972</v>
      </c>
      <c r="I276" s="24">
        <f t="shared" si="15"/>
        <v>7920</v>
      </c>
      <c r="J276" s="24">
        <f t="shared" si="15"/>
        <v>7191</v>
      </c>
      <c r="K276" s="24">
        <f t="shared" si="15"/>
        <v>7832</v>
      </c>
      <c r="L276" s="24">
        <f t="shared" si="15"/>
        <v>5437</v>
      </c>
      <c r="M276" s="24">
        <f t="shared" si="15"/>
        <v>7906</v>
      </c>
      <c r="N276" s="24">
        <f t="shared" si="15"/>
        <v>7598</v>
      </c>
      <c r="O276" s="24">
        <f t="shared" si="15"/>
        <v>6601</v>
      </c>
      <c r="P276" s="24">
        <f t="shared" si="15"/>
        <v>7240</v>
      </c>
      <c r="Q276" s="24">
        <f t="shared" si="13"/>
        <v>6405</v>
      </c>
      <c r="R276" s="24">
        <f t="shared" si="13"/>
        <v>7277</v>
      </c>
    </row>
    <row r="277" spans="3:18" ht="15.75" x14ac:dyDescent="0.25">
      <c r="C277" s="22"/>
      <c r="D277" s="22"/>
      <c r="E277" s="38"/>
      <c r="F277" s="24"/>
      <c r="G277" s="24"/>
      <c r="H277" s="24"/>
      <c r="I277" s="24"/>
      <c r="J277" s="24"/>
      <c r="K277" s="24"/>
      <c r="L277" s="24"/>
      <c r="M277" s="24"/>
      <c r="N277" s="24"/>
      <c r="O277" s="24"/>
      <c r="P277" s="24"/>
      <c r="Q277" s="24"/>
      <c r="R277" s="24"/>
    </row>
    <row r="278" spans="3:18" ht="50.25" x14ac:dyDescent="0.25">
      <c r="C278" s="25" t="s">
        <v>184</v>
      </c>
      <c r="D278" s="26" t="s">
        <v>188</v>
      </c>
      <c r="E278" s="32">
        <v>2015</v>
      </c>
      <c r="F278" s="24">
        <f t="shared" ref="F278:R278" si="16">+F45+F97+F155+F216</f>
        <v>1902</v>
      </c>
      <c r="G278" s="24">
        <f t="shared" si="16"/>
        <v>167</v>
      </c>
      <c r="H278" s="24">
        <f t="shared" si="16"/>
        <v>36</v>
      </c>
      <c r="I278" s="24">
        <f t="shared" si="16"/>
        <v>309</v>
      </c>
      <c r="J278" s="24">
        <f t="shared" si="16"/>
        <v>240</v>
      </c>
      <c r="K278" s="24">
        <f t="shared" si="16"/>
        <v>274</v>
      </c>
      <c r="L278" s="24">
        <f t="shared" si="16"/>
        <v>212</v>
      </c>
      <c r="M278" s="24">
        <f t="shared" si="16"/>
        <v>186</v>
      </c>
      <c r="N278" s="24">
        <f t="shared" si="16"/>
        <v>187</v>
      </c>
      <c r="O278" s="24">
        <f t="shared" si="16"/>
        <v>229</v>
      </c>
      <c r="P278" s="24">
        <f t="shared" si="16"/>
        <v>221</v>
      </c>
      <c r="Q278" s="24">
        <f t="shared" si="16"/>
        <v>208</v>
      </c>
      <c r="R278" s="24">
        <f t="shared" si="16"/>
        <v>166</v>
      </c>
    </row>
    <row r="279" spans="3:18" ht="15.75" x14ac:dyDescent="0.25">
      <c r="C279" s="22"/>
      <c r="D279" s="22"/>
      <c r="E279" s="32">
        <v>2016</v>
      </c>
      <c r="F279" s="24">
        <f t="shared" ref="F279:R279" si="17">+F46+F98+F156+F217</f>
        <v>1672</v>
      </c>
      <c r="G279" s="24">
        <f t="shared" si="17"/>
        <v>157</v>
      </c>
      <c r="H279" s="24">
        <f t="shared" si="17"/>
        <v>165</v>
      </c>
      <c r="I279" s="24">
        <f t="shared" si="17"/>
        <v>242</v>
      </c>
      <c r="J279" s="24">
        <f t="shared" si="17"/>
        <v>229</v>
      </c>
      <c r="K279" s="24">
        <f t="shared" si="17"/>
        <v>163</v>
      </c>
      <c r="L279" s="24">
        <f t="shared" si="17"/>
        <v>156</v>
      </c>
      <c r="M279" s="24">
        <f t="shared" si="17"/>
        <v>140</v>
      </c>
      <c r="N279" s="24">
        <f t="shared" si="17"/>
        <v>223</v>
      </c>
      <c r="O279" s="24">
        <f t="shared" si="17"/>
        <v>174</v>
      </c>
      <c r="P279" s="24">
        <f t="shared" si="17"/>
        <v>176</v>
      </c>
      <c r="Q279" s="24">
        <f t="shared" si="17"/>
        <v>223</v>
      </c>
      <c r="R279" s="24">
        <f t="shared" si="17"/>
        <v>123</v>
      </c>
    </row>
    <row r="280" spans="3:18" ht="15.75" x14ac:dyDescent="0.25">
      <c r="C280" s="22"/>
      <c r="D280" s="22"/>
      <c r="E280" s="32">
        <v>2017</v>
      </c>
      <c r="F280" s="24">
        <f t="shared" ref="F280:R280" si="18">+F47+F99+F157+F218</f>
        <v>1636</v>
      </c>
      <c r="G280" s="24">
        <f t="shared" si="18"/>
        <v>132</v>
      </c>
      <c r="H280" s="24">
        <f t="shared" si="18"/>
        <v>206</v>
      </c>
      <c r="I280" s="24">
        <f t="shared" si="18"/>
        <v>211</v>
      </c>
      <c r="J280" s="24">
        <f t="shared" si="18"/>
        <v>200</v>
      </c>
      <c r="K280" s="24">
        <f t="shared" si="18"/>
        <v>205</v>
      </c>
      <c r="L280" s="24">
        <f t="shared" si="18"/>
        <v>153</v>
      </c>
      <c r="M280" s="24">
        <f t="shared" si="18"/>
        <v>134</v>
      </c>
      <c r="N280" s="24">
        <f t="shared" si="18"/>
        <v>224</v>
      </c>
      <c r="O280" s="24">
        <f t="shared" si="18"/>
        <v>277</v>
      </c>
      <c r="P280" s="24">
        <f t="shared" si="18"/>
        <v>195</v>
      </c>
      <c r="Q280" s="24">
        <f t="shared" si="18"/>
        <v>183</v>
      </c>
      <c r="R280" s="24">
        <f t="shared" si="18"/>
        <v>91</v>
      </c>
    </row>
    <row r="281" spans="3:18" ht="15.75" x14ac:dyDescent="0.25">
      <c r="C281" s="22"/>
      <c r="D281" s="22"/>
      <c r="E281" s="32">
        <v>2018</v>
      </c>
      <c r="F281" s="24">
        <f t="shared" ref="F281:R281" si="19">+F48+F100+F158+F219</f>
        <v>1703</v>
      </c>
      <c r="G281" s="24">
        <f t="shared" si="19"/>
        <v>193</v>
      </c>
      <c r="H281" s="24">
        <f t="shared" si="19"/>
        <v>201</v>
      </c>
      <c r="I281" s="24">
        <f t="shared" si="19"/>
        <v>239</v>
      </c>
      <c r="J281" s="24">
        <f t="shared" si="19"/>
        <v>220</v>
      </c>
      <c r="K281" s="24">
        <f t="shared" si="19"/>
        <v>215</v>
      </c>
      <c r="L281" s="24">
        <f t="shared" si="19"/>
        <v>199</v>
      </c>
      <c r="M281" s="24">
        <f t="shared" si="19"/>
        <v>177</v>
      </c>
      <c r="N281" s="24">
        <f t="shared" si="19"/>
        <v>193</v>
      </c>
      <c r="O281" s="24">
        <f t="shared" si="19"/>
        <v>184</v>
      </c>
      <c r="P281" s="24">
        <f t="shared" si="19"/>
        <v>232</v>
      </c>
      <c r="Q281" s="24">
        <f t="shared" si="19"/>
        <v>167</v>
      </c>
      <c r="R281" s="24">
        <f t="shared" si="19"/>
        <v>159</v>
      </c>
    </row>
    <row r="282" spans="3:18" ht="15.75" x14ac:dyDescent="0.25">
      <c r="C282" s="22"/>
      <c r="D282" s="22"/>
      <c r="E282" s="32">
        <v>2019</v>
      </c>
      <c r="F282" s="24">
        <f t="shared" ref="F282:R282" si="20">+F49+F101+F159+F220</f>
        <v>1625</v>
      </c>
      <c r="G282" s="24">
        <f t="shared" si="20"/>
        <v>178</v>
      </c>
      <c r="H282" s="24">
        <f t="shared" si="20"/>
        <v>203</v>
      </c>
      <c r="I282" s="24">
        <f t="shared" si="20"/>
        <v>193</v>
      </c>
      <c r="J282" s="24">
        <f t="shared" si="20"/>
        <v>223</v>
      </c>
      <c r="K282" s="24">
        <f t="shared" si="20"/>
        <v>225</v>
      </c>
      <c r="L282" s="24">
        <f t="shared" si="20"/>
        <v>180</v>
      </c>
      <c r="M282" s="24">
        <f t="shared" si="20"/>
        <v>201</v>
      </c>
      <c r="N282" s="24">
        <f t="shared" si="20"/>
        <v>185</v>
      </c>
      <c r="O282" s="24">
        <f t="shared" si="20"/>
        <v>198</v>
      </c>
      <c r="P282" s="24">
        <f t="shared" si="20"/>
        <v>230</v>
      </c>
      <c r="Q282" s="24">
        <f t="shared" si="20"/>
        <v>145</v>
      </c>
      <c r="R282" s="24">
        <f t="shared" si="20"/>
        <v>155</v>
      </c>
    </row>
    <row r="283" spans="3:18" ht="15.75" x14ac:dyDescent="0.25">
      <c r="C283" s="22"/>
      <c r="D283" s="27" t="s">
        <v>189</v>
      </c>
      <c r="E283" s="28"/>
      <c r="F283" s="27"/>
      <c r="G283" s="27"/>
      <c r="H283" s="27"/>
      <c r="I283" s="27"/>
      <c r="J283" s="27"/>
      <c r="K283" s="27"/>
      <c r="L283" s="27"/>
      <c r="M283" s="27"/>
      <c r="N283" s="27"/>
      <c r="O283" s="27"/>
      <c r="P283" s="27"/>
      <c r="Q283" s="27"/>
      <c r="R283" s="27"/>
    </row>
    <row r="285" spans="3:18" ht="31.5" x14ac:dyDescent="0.25">
      <c r="C285" s="25" t="s">
        <v>185</v>
      </c>
      <c r="D285" s="26" t="s">
        <v>209</v>
      </c>
      <c r="E285" s="32">
        <v>2015</v>
      </c>
      <c r="F285" s="43" t="s">
        <v>229</v>
      </c>
      <c r="G285" s="24">
        <f t="shared" ref="G285:R285" si="21">+G52+G104+G162+G223</f>
        <v>56343</v>
      </c>
      <c r="H285" s="24">
        <f t="shared" si="21"/>
        <v>56215</v>
      </c>
      <c r="I285" s="24">
        <f t="shared" si="21"/>
        <v>56362</v>
      </c>
      <c r="J285" s="24">
        <f t="shared" si="21"/>
        <v>56355</v>
      </c>
      <c r="K285" s="24">
        <f t="shared" si="21"/>
        <v>56561</v>
      </c>
      <c r="L285" s="24">
        <f t="shared" si="21"/>
        <v>56556</v>
      </c>
      <c r="M285" s="24">
        <f t="shared" si="21"/>
        <v>56558</v>
      </c>
      <c r="N285" s="24">
        <f t="shared" si="21"/>
        <v>56894</v>
      </c>
      <c r="O285" s="24">
        <f t="shared" si="21"/>
        <v>56665</v>
      </c>
      <c r="P285" s="24">
        <f t="shared" si="21"/>
        <v>56900</v>
      </c>
      <c r="Q285" s="24">
        <f t="shared" si="21"/>
        <v>56746</v>
      </c>
      <c r="R285" s="24">
        <f t="shared" si="21"/>
        <v>56850</v>
      </c>
    </row>
    <row r="286" spans="3:18" ht="15.75" x14ac:dyDescent="0.25">
      <c r="C286" s="22"/>
      <c r="D286" s="22"/>
      <c r="E286" s="32">
        <v>2016</v>
      </c>
      <c r="F286" s="43" t="s">
        <v>229</v>
      </c>
      <c r="G286" s="24">
        <f t="shared" ref="G286:R286" si="22">+G53+G105+G163+G224</f>
        <v>57148</v>
      </c>
      <c r="H286" s="24">
        <f t="shared" si="22"/>
        <v>57041</v>
      </c>
      <c r="I286" s="24">
        <f t="shared" si="22"/>
        <v>57041</v>
      </c>
      <c r="J286" s="24">
        <f t="shared" si="22"/>
        <v>57289</v>
      </c>
      <c r="K286" s="24">
        <f t="shared" si="22"/>
        <v>57111</v>
      </c>
      <c r="L286" s="24">
        <f t="shared" si="22"/>
        <v>57426</v>
      </c>
      <c r="M286" s="24">
        <f t="shared" si="22"/>
        <v>57407</v>
      </c>
      <c r="N286" s="24">
        <f t="shared" si="22"/>
        <v>57494</v>
      </c>
      <c r="O286" s="24">
        <f t="shared" si="22"/>
        <v>57494</v>
      </c>
      <c r="P286" s="24">
        <f t="shared" si="22"/>
        <v>57430</v>
      </c>
      <c r="Q286" s="24">
        <f t="shared" si="22"/>
        <v>57448</v>
      </c>
      <c r="R286" s="24">
        <f t="shared" si="22"/>
        <v>57486</v>
      </c>
    </row>
    <row r="287" spans="3:18" ht="15.75" x14ac:dyDescent="0.25">
      <c r="C287" s="22"/>
      <c r="D287" s="22"/>
      <c r="E287" s="32">
        <v>2017</v>
      </c>
      <c r="F287" s="43" t="s">
        <v>229</v>
      </c>
      <c r="G287" s="24">
        <f t="shared" ref="G287:R287" si="23">+G54+G106+G164+G225</f>
        <v>57549</v>
      </c>
      <c r="H287" s="24">
        <f t="shared" si="23"/>
        <v>57586</v>
      </c>
      <c r="I287" s="24">
        <f t="shared" si="23"/>
        <v>57716</v>
      </c>
      <c r="J287" s="24">
        <f t="shared" si="23"/>
        <v>57688</v>
      </c>
      <c r="K287" s="24">
        <f t="shared" si="23"/>
        <v>57890</v>
      </c>
      <c r="L287" s="24">
        <f t="shared" si="23"/>
        <v>57989</v>
      </c>
      <c r="M287" s="24">
        <f t="shared" si="23"/>
        <v>57995</v>
      </c>
      <c r="N287" s="24">
        <f t="shared" si="23"/>
        <v>58175</v>
      </c>
      <c r="O287" s="24">
        <f t="shared" si="23"/>
        <v>58029</v>
      </c>
      <c r="P287" s="24">
        <f t="shared" si="23"/>
        <v>58078</v>
      </c>
      <c r="Q287" s="24">
        <f t="shared" si="23"/>
        <v>58140</v>
      </c>
      <c r="R287" s="24">
        <f t="shared" si="23"/>
        <v>58111</v>
      </c>
    </row>
    <row r="288" spans="3:18" ht="15.75" x14ac:dyDescent="0.25">
      <c r="C288" s="22"/>
      <c r="D288" s="22"/>
      <c r="E288" s="32">
        <v>2018</v>
      </c>
      <c r="F288" s="24">
        <f>+F55+F107+F165+F226</f>
        <v>66908</v>
      </c>
      <c r="G288" s="24">
        <f t="shared" ref="G288:R288" si="24">+G55+G107+G165+G226</f>
        <v>58210</v>
      </c>
      <c r="H288" s="24">
        <f t="shared" si="24"/>
        <v>58162</v>
      </c>
      <c r="I288" s="24">
        <f t="shared" si="24"/>
        <v>58194</v>
      </c>
      <c r="J288" s="24">
        <f t="shared" si="24"/>
        <v>58302</v>
      </c>
      <c r="K288" s="24">
        <f t="shared" si="24"/>
        <v>58359</v>
      </c>
      <c r="L288" s="24">
        <f t="shared" si="24"/>
        <v>58469</v>
      </c>
      <c r="M288" s="24">
        <f t="shared" si="24"/>
        <v>58534</v>
      </c>
      <c r="N288" s="24">
        <f t="shared" si="24"/>
        <v>58699</v>
      </c>
      <c r="O288" s="24">
        <f t="shared" si="24"/>
        <v>58593</v>
      </c>
      <c r="P288" s="24">
        <f t="shared" si="24"/>
        <v>58594</v>
      </c>
      <c r="Q288" s="24">
        <f t="shared" si="24"/>
        <v>58609</v>
      </c>
      <c r="R288" s="24">
        <f t="shared" si="24"/>
        <v>58598</v>
      </c>
    </row>
    <row r="289" spans="3:18" ht="15.75" x14ac:dyDescent="0.25">
      <c r="C289" s="22"/>
      <c r="D289" s="22"/>
      <c r="E289" s="32">
        <v>2019</v>
      </c>
      <c r="F289" s="24">
        <f>+F56+F108+F166+F227</f>
        <v>67321</v>
      </c>
      <c r="G289" s="24">
        <f t="shared" ref="G289:R289" si="25">+G56+G108+G166+G227</f>
        <v>58634</v>
      </c>
      <c r="H289" s="24">
        <f t="shared" si="25"/>
        <v>58664</v>
      </c>
      <c r="I289" s="24">
        <f t="shared" si="25"/>
        <v>58818</v>
      </c>
      <c r="J289" s="24">
        <f t="shared" si="25"/>
        <v>58814</v>
      </c>
      <c r="K289" s="24">
        <f t="shared" si="25"/>
        <v>58891</v>
      </c>
      <c r="L289" s="24">
        <f t="shared" si="25"/>
        <v>58932</v>
      </c>
      <c r="M289" s="24">
        <f t="shared" si="25"/>
        <v>59069</v>
      </c>
      <c r="N289" s="24">
        <f t="shared" si="25"/>
        <v>59135</v>
      </c>
      <c r="O289" s="24">
        <f t="shared" si="25"/>
        <v>59149</v>
      </c>
      <c r="P289" s="24">
        <f t="shared" si="25"/>
        <v>59196</v>
      </c>
      <c r="Q289" s="24">
        <f t="shared" si="25"/>
        <v>59127</v>
      </c>
      <c r="R289" s="24">
        <f t="shared" si="25"/>
        <v>59184</v>
      </c>
    </row>
  </sheetData>
  <mergeCells count="31">
    <mergeCell ref="F258:R258"/>
    <mergeCell ref="A248:R248"/>
    <mergeCell ref="A249:R249"/>
    <mergeCell ref="A250:R250"/>
    <mergeCell ref="C254:R254"/>
    <mergeCell ref="C255:R255"/>
    <mergeCell ref="C256:R256"/>
    <mergeCell ref="C195:R195"/>
    <mergeCell ref="A126:R126"/>
    <mergeCell ref="A127:R127"/>
    <mergeCell ref="A128:R128"/>
    <mergeCell ref="C132:R132"/>
    <mergeCell ref="C133:R133"/>
    <mergeCell ref="C134:R134"/>
    <mergeCell ref="A187:R187"/>
    <mergeCell ref="A188:R188"/>
    <mergeCell ref="A189:R189"/>
    <mergeCell ref="C193:R193"/>
    <mergeCell ref="C194:R194"/>
    <mergeCell ref="C76:R76"/>
    <mergeCell ref="A5:R5"/>
    <mergeCell ref="A6:R6"/>
    <mergeCell ref="A7:R7"/>
    <mergeCell ref="C22:R22"/>
    <mergeCell ref="C23:R23"/>
    <mergeCell ref="C24:R24"/>
    <mergeCell ref="A66:R66"/>
    <mergeCell ref="A67:R67"/>
    <mergeCell ref="A68:R68"/>
    <mergeCell ref="C74:R74"/>
    <mergeCell ref="C75:R75"/>
  </mergeCells>
  <pageMargins left="0.7" right="0.7" top="0.25" bottom="0.75" header="0.3" footer="0.3"/>
  <pageSetup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1096-A63D-4693-9F67-4D58CC4D563D}">
  <sheetPr>
    <tabColor theme="9"/>
    <pageSetUpPr fitToPage="1"/>
  </sheetPr>
  <dimension ref="A1:I32"/>
  <sheetViews>
    <sheetView topLeftCell="A21" workbookViewId="0">
      <selection activeCell="C33" sqref="C33"/>
    </sheetView>
  </sheetViews>
  <sheetFormatPr defaultRowHeight="15" x14ac:dyDescent="0.25"/>
  <cols>
    <col min="1" max="1" width="6.7109375" customWidth="1"/>
    <col min="2" max="2" width="10.140625" customWidth="1"/>
    <col min="3" max="3" width="11" customWidth="1"/>
    <col min="4" max="4" width="14.140625" customWidth="1"/>
    <col min="5" max="5" width="15.7109375" customWidth="1"/>
    <col min="6" max="6" width="13.28515625" customWidth="1"/>
    <col min="7" max="7" width="15.7109375" customWidth="1"/>
    <col min="8" max="8" width="11.85546875" customWidth="1"/>
    <col min="9" max="9" width="11.28515625" bestFit="1" customWidth="1"/>
  </cols>
  <sheetData>
    <row r="1" spans="1:8" x14ac:dyDescent="0.25">
      <c r="H1" s="2" t="s">
        <v>56</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56</v>
      </c>
      <c r="C9" t="s">
        <v>190</v>
      </c>
    </row>
    <row r="10" spans="1:8" x14ac:dyDescent="0.25">
      <c r="D10" t="s">
        <v>57</v>
      </c>
    </row>
    <row r="11" spans="1:8" x14ac:dyDescent="0.25">
      <c r="D11" t="s">
        <v>58</v>
      </c>
    </row>
    <row r="12" spans="1:8" x14ac:dyDescent="0.25">
      <c r="D12" t="s">
        <v>59</v>
      </c>
    </row>
    <row r="13" spans="1:8" x14ac:dyDescent="0.25">
      <c r="D13" t="s">
        <v>60</v>
      </c>
    </row>
    <row r="15" spans="1:8" x14ac:dyDescent="0.25">
      <c r="B15" s="4" t="s">
        <v>7</v>
      </c>
      <c r="C15" t="s">
        <v>98</v>
      </c>
    </row>
    <row r="17" spans="3:9" x14ac:dyDescent="0.25">
      <c r="D17" s="3">
        <v>2017</v>
      </c>
      <c r="E17" s="3">
        <v>2018</v>
      </c>
      <c r="F17" s="3">
        <v>2019</v>
      </c>
      <c r="G17" s="3">
        <v>2020</v>
      </c>
    </row>
    <row r="18" spans="3:9" x14ac:dyDescent="0.25">
      <c r="C18" t="s">
        <v>82</v>
      </c>
      <c r="D18" s="10">
        <v>104148.84</v>
      </c>
      <c r="E18" s="10">
        <v>113314.8</v>
      </c>
      <c r="F18" s="10">
        <v>104174.89</v>
      </c>
      <c r="G18" s="10">
        <v>100215.71</v>
      </c>
      <c r="H18" s="12"/>
      <c r="I18" s="12"/>
    </row>
    <row r="19" spans="3:9" x14ac:dyDescent="0.25">
      <c r="C19" t="s">
        <v>83</v>
      </c>
      <c r="D19" s="6">
        <v>109529.69</v>
      </c>
      <c r="E19" s="6">
        <v>123658.57</v>
      </c>
      <c r="F19" s="6">
        <v>107018.39</v>
      </c>
      <c r="G19" s="6">
        <v>70937.52</v>
      </c>
      <c r="H19" s="12"/>
      <c r="I19" s="12"/>
    </row>
    <row r="20" spans="3:9" x14ac:dyDescent="0.25">
      <c r="C20" t="s">
        <v>84</v>
      </c>
      <c r="D20" s="6">
        <v>108632.8</v>
      </c>
      <c r="E20" s="6">
        <v>129069.88</v>
      </c>
      <c r="F20" s="6">
        <v>122484.91</v>
      </c>
      <c r="G20" s="6">
        <v>42220.97</v>
      </c>
      <c r="H20" s="12"/>
      <c r="I20" s="12"/>
    </row>
    <row r="21" spans="3:9" x14ac:dyDescent="0.25">
      <c r="C21" t="s">
        <v>85</v>
      </c>
      <c r="D21" s="6">
        <v>114151.08</v>
      </c>
      <c r="E21" s="6">
        <v>69365.100000000006</v>
      </c>
      <c r="F21" s="6">
        <v>85267.29</v>
      </c>
      <c r="G21" s="6">
        <v>0</v>
      </c>
      <c r="H21" s="12"/>
      <c r="I21" s="12"/>
    </row>
    <row r="22" spans="3:9" x14ac:dyDescent="0.25">
      <c r="C22" t="s">
        <v>86</v>
      </c>
      <c r="D22" s="6">
        <v>37344.06</v>
      </c>
      <c r="E22" s="6">
        <v>111394.39</v>
      </c>
      <c r="F22" s="6">
        <v>75452.69</v>
      </c>
      <c r="G22" s="6">
        <v>0</v>
      </c>
      <c r="H22" s="12"/>
      <c r="I22" s="12"/>
    </row>
    <row r="23" spans="3:9" x14ac:dyDescent="0.25">
      <c r="C23" t="s">
        <v>87</v>
      </c>
      <c r="D23" s="6">
        <v>67281.899999999994</v>
      </c>
      <c r="E23" s="6">
        <v>62543.5</v>
      </c>
      <c r="F23" s="6">
        <v>51225.84</v>
      </c>
      <c r="G23" s="6"/>
    </row>
    <row r="24" spans="3:9" x14ac:dyDescent="0.25">
      <c r="C24" t="s">
        <v>88</v>
      </c>
      <c r="D24" s="6">
        <v>155431</v>
      </c>
      <c r="E24" s="6">
        <v>79443.429999999993</v>
      </c>
      <c r="F24" s="6">
        <v>76203.17</v>
      </c>
      <c r="G24" s="6"/>
    </row>
    <row r="25" spans="3:9" x14ac:dyDescent="0.25">
      <c r="C25" t="s">
        <v>89</v>
      </c>
      <c r="D25" s="6">
        <v>92343.72</v>
      </c>
      <c r="E25" s="6">
        <v>101533.18</v>
      </c>
      <c r="F25" s="6">
        <v>87455.87</v>
      </c>
      <c r="G25" s="6"/>
    </row>
    <row r="26" spans="3:9" x14ac:dyDescent="0.25">
      <c r="C26" t="s">
        <v>90</v>
      </c>
      <c r="D26" s="6">
        <v>91902.21</v>
      </c>
      <c r="E26" s="6">
        <v>66292.52</v>
      </c>
      <c r="F26" s="6">
        <v>75361.08</v>
      </c>
      <c r="G26" s="6"/>
    </row>
    <row r="27" spans="3:9" x14ac:dyDescent="0.25">
      <c r="C27" t="s">
        <v>91</v>
      </c>
      <c r="D27" s="6">
        <v>74510.77</v>
      </c>
      <c r="E27" s="6">
        <v>89089.86</v>
      </c>
      <c r="F27" s="6">
        <v>86092.79</v>
      </c>
      <c r="G27" s="6"/>
    </row>
    <row r="28" spans="3:9" x14ac:dyDescent="0.25">
      <c r="C28" t="s">
        <v>92</v>
      </c>
      <c r="D28" s="6">
        <v>70114.22</v>
      </c>
      <c r="E28" s="6">
        <v>77374.97</v>
      </c>
      <c r="F28" s="6">
        <v>59358.879999999997</v>
      </c>
      <c r="G28" s="6"/>
    </row>
    <row r="29" spans="3:9" x14ac:dyDescent="0.25">
      <c r="C29" t="s">
        <v>93</v>
      </c>
      <c r="D29" s="6">
        <v>87645.42</v>
      </c>
      <c r="E29" s="6">
        <v>82486.98</v>
      </c>
      <c r="F29" s="6">
        <v>92611.89</v>
      </c>
      <c r="G29" s="6"/>
    </row>
    <row r="30" spans="3:9" x14ac:dyDescent="0.25">
      <c r="E30" s="5"/>
      <c r="F30" s="5"/>
    </row>
    <row r="31" spans="3:9" ht="15.75" thickBot="1" x14ac:dyDescent="0.3">
      <c r="C31" t="s">
        <v>24</v>
      </c>
      <c r="D31" s="17">
        <f>SUM(D18:D29)</f>
        <v>1113035.71</v>
      </c>
      <c r="E31" s="17">
        <f>SUM(E18:E29)</f>
        <v>1105567.18</v>
      </c>
      <c r="F31" s="17">
        <f>SUM(F18:F29)</f>
        <v>1022707.6900000001</v>
      </c>
      <c r="G31" s="17">
        <f>SUM(G18:G29)</f>
        <v>213374.2</v>
      </c>
    </row>
    <row r="32" spans="3:9" ht="15.75" thickTop="1" x14ac:dyDescent="0.25"/>
  </sheetData>
  <mergeCells count="3">
    <mergeCell ref="A5:H5"/>
    <mergeCell ref="A6:H6"/>
    <mergeCell ref="A7:H7"/>
  </mergeCells>
  <pageMargins left="0.7" right="0.7" top="0.75" bottom="0.75" header="0.3" footer="0.3"/>
  <pageSetup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C3A5-E465-4499-A45E-AF9D8E193FC8}">
  <sheetPr>
    <tabColor theme="9"/>
    <pageSetUpPr fitToPage="1"/>
  </sheetPr>
  <dimension ref="A1:H21"/>
  <sheetViews>
    <sheetView topLeftCell="A13" workbookViewId="0">
      <selection activeCell="F20" sqref="F20"/>
    </sheetView>
  </sheetViews>
  <sheetFormatPr defaultRowHeight="15" x14ac:dyDescent="0.25"/>
  <cols>
    <col min="1" max="1" width="6.7109375" customWidth="1"/>
    <col min="2" max="2" width="10.140625" customWidth="1"/>
    <col min="3" max="3" width="7.42578125" customWidth="1"/>
    <col min="4" max="4" width="14.140625" customWidth="1"/>
    <col min="5" max="5" width="10.5703125" customWidth="1"/>
    <col min="6" max="6" width="11.42578125" customWidth="1"/>
    <col min="7" max="7" width="15.7109375" customWidth="1"/>
    <col min="8" max="8" width="20.140625" customWidth="1"/>
  </cols>
  <sheetData>
    <row r="1" spans="1:8" x14ac:dyDescent="0.25">
      <c r="H1" s="2" t="s">
        <v>61</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61</v>
      </c>
      <c r="C9" t="s">
        <v>222</v>
      </c>
    </row>
    <row r="10" spans="1:8" x14ac:dyDescent="0.25">
      <c r="C10" t="s">
        <v>99</v>
      </c>
    </row>
    <row r="12" spans="1:8" x14ac:dyDescent="0.25">
      <c r="B12" s="4" t="s">
        <v>7</v>
      </c>
      <c r="C12" t="s">
        <v>157</v>
      </c>
    </row>
    <row r="13" spans="1:8" x14ac:dyDescent="0.25">
      <c r="C13" t="s">
        <v>158</v>
      </c>
    </row>
    <row r="15" spans="1:8" x14ac:dyDescent="0.25">
      <c r="D15" s="3" t="s">
        <v>103</v>
      </c>
    </row>
    <row r="16" spans="1:8" x14ac:dyDescent="0.25">
      <c r="D16" t="s">
        <v>102</v>
      </c>
      <c r="F16" s="10">
        <v>70201</v>
      </c>
    </row>
    <row r="17" spans="4:6" x14ac:dyDescent="0.25">
      <c r="D17" t="s">
        <v>101</v>
      </c>
      <c r="F17" s="6">
        <v>84606</v>
      </c>
    </row>
    <row r="18" spans="4:6" x14ac:dyDescent="0.25">
      <c r="D18" t="s">
        <v>100</v>
      </c>
      <c r="F18" s="6">
        <v>77073</v>
      </c>
    </row>
    <row r="20" spans="4:6" ht="15.75" thickBot="1" x14ac:dyDescent="0.3">
      <c r="D20" t="s">
        <v>104</v>
      </c>
      <c r="F20" s="13">
        <f>SUM(F16:F19)</f>
        <v>231880</v>
      </c>
    </row>
    <row r="21" spans="4:6" ht="15.75" thickTop="1" x14ac:dyDescent="0.25"/>
  </sheetData>
  <mergeCells count="3">
    <mergeCell ref="A5:H5"/>
    <mergeCell ref="A6:H6"/>
    <mergeCell ref="A7:H7"/>
  </mergeCells>
  <pageMargins left="0.7" right="0.7" top="0.75" bottom="0.75" header="0.3" footer="0.3"/>
  <pageSetup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C416-B773-4AA9-849C-5F3F5F659AB3}">
  <sheetPr>
    <tabColor theme="9"/>
    <pageSetUpPr fitToPage="1"/>
  </sheetPr>
  <dimension ref="A1:H16"/>
  <sheetViews>
    <sheetView workbookViewId="0">
      <selection activeCell="G30" sqref="G30"/>
    </sheetView>
  </sheetViews>
  <sheetFormatPr defaultRowHeight="15" x14ac:dyDescent="0.25"/>
  <cols>
    <col min="1" max="1" width="6.7109375" customWidth="1"/>
    <col min="2" max="2" width="10.140625" customWidth="1"/>
    <col min="3" max="3" width="7.42578125" customWidth="1"/>
    <col min="4" max="4" width="14.140625" customWidth="1"/>
    <col min="5" max="5" width="10.5703125" customWidth="1"/>
    <col min="6" max="6" width="9.28515625" customWidth="1"/>
    <col min="7" max="7" width="15.7109375" customWidth="1"/>
    <col min="8" max="8" width="20.140625" customWidth="1"/>
  </cols>
  <sheetData>
    <row r="1" spans="1:8" x14ac:dyDescent="0.25">
      <c r="H1" s="2" t="s">
        <v>62</v>
      </c>
    </row>
    <row r="2" spans="1:8" x14ac:dyDescent="0.25">
      <c r="H2" s="2" t="s">
        <v>143</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62</v>
      </c>
      <c r="C9" t="s">
        <v>63</v>
      </c>
    </row>
    <row r="10" spans="1:8" x14ac:dyDescent="0.25">
      <c r="C10" t="s">
        <v>64</v>
      </c>
    </row>
    <row r="11" spans="1:8" x14ac:dyDescent="0.25">
      <c r="C11" t="s">
        <v>223</v>
      </c>
    </row>
    <row r="13" spans="1:8" x14ac:dyDescent="0.25">
      <c r="B13" s="4" t="s">
        <v>7</v>
      </c>
      <c r="C13" t="s">
        <v>80</v>
      </c>
    </row>
    <row r="14" spans="1:8" x14ac:dyDescent="0.25">
      <c r="C14" t="s">
        <v>140</v>
      </c>
    </row>
    <row r="15" spans="1:8" x14ac:dyDescent="0.25">
      <c r="C15" t="s">
        <v>141</v>
      </c>
    </row>
    <row r="16" spans="1:8" x14ac:dyDescent="0.25">
      <c r="C16" t="s">
        <v>142</v>
      </c>
    </row>
  </sheetData>
  <mergeCells count="3">
    <mergeCell ref="A5:H5"/>
    <mergeCell ref="A6:H6"/>
    <mergeCell ref="A7:H7"/>
  </mergeCells>
  <pageMargins left="0.7" right="0.7" top="0.75" bottom="0.75" header="0.3" footer="0.3"/>
  <pageSetup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275CD-0669-480B-AD55-4D627B0314AC}">
  <sheetPr>
    <tabColor theme="9"/>
    <pageSetUpPr fitToPage="1"/>
  </sheetPr>
  <dimension ref="A1:H143"/>
  <sheetViews>
    <sheetView zoomScale="120" zoomScaleNormal="120" workbookViewId="0">
      <selection sqref="A1:H46"/>
    </sheetView>
  </sheetViews>
  <sheetFormatPr defaultRowHeight="15" x14ac:dyDescent="0.25"/>
  <cols>
    <col min="1" max="1" width="6.7109375" customWidth="1"/>
    <col min="2" max="2" width="10.140625" customWidth="1"/>
    <col min="3" max="3" width="7.42578125" customWidth="1"/>
    <col min="4" max="4" width="14.140625" customWidth="1"/>
    <col min="5" max="5" width="10.5703125" customWidth="1"/>
    <col min="6" max="6" width="17.5703125" customWidth="1"/>
    <col min="7" max="7" width="15.7109375" customWidth="1"/>
    <col min="8" max="8" width="20.140625" customWidth="1"/>
  </cols>
  <sheetData>
    <row r="1" spans="1:8" x14ac:dyDescent="0.25">
      <c r="H1" s="2" t="s">
        <v>65</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65</v>
      </c>
      <c r="C9" t="s">
        <v>66</v>
      </c>
    </row>
    <row r="10" spans="1:8" x14ac:dyDescent="0.25">
      <c r="C10" t="s">
        <v>68</v>
      </c>
    </row>
    <row r="11" spans="1:8" x14ac:dyDescent="0.25">
      <c r="C11" t="s">
        <v>67</v>
      </c>
    </row>
    <row r="13" spans="1:8" x14ac:dyDescent="0.25">
      <c r="B13" s="4" t="s">
        <v>7</v>
      </c>
      <c r="C13" t="s">
        <v>159</v>
      </c>
    </row>
    <row r="14" spans="1:8" x14ac:dyDescent="0.25">
      <c r="C14" t="s">
        <v>174</v>
      </c>
    </row>
    <row r="15" spans="1:8" x14ac:dyDescent="0.25">
      <c r="C15" t="s">
        <v>175</v>
      </c>
    </row>
    <row r="17" spans="3:7" x14ac:dyDescent="0.25">
      <c r="C17" s="4" t="s">
        <v>160</v>
      </c>
    </row>
    <row r="18" spans="3:7" x14ac:dyDescent="0.25">
      <c r="C18">
        <v>1</v>
      </c>
      <c r="D18" t="s">
        <v>161</v>
      </c>
      <c r="G18" s="10">
        <v>23808</v>
      </c>
    </row>
    <row r="19" spans="3:7" x14ac:dyDescent="0.25">
      <c r="C19">
        <v>2</v>
      </c>
      <c r="D19" t="s">
        <v>162</v>
      </c>
      <c r="G19" s="6">
        <f>106+1150</f>
        <v>1256</v>
      </c>
    </row>
    <row r="20" spans="3:7" x14ac:dyDescent="0.25">
      <c r="C20">
        <v>3</v>
      </c>
      <c r="D20" t="s">
        <v>163</v>
      </c>
      <c r="G20" s="6">
        <v>545</v>
      </c>
    </row>
    <row r="21" spans="3:7" x14ac:dyDescent="0.25">
      <c r="C21">
        <v>4</v>
      </c>
      <c r="D21" t="s">
        <v>164</v>
      </c>
      <c r="G21" s="6">
        <v>2763</v>
      </c>
    </row>
    <row r="22" spans="3:7" x14ac:dyDescent="0.25">
      <c r="C22">
        <v>5</v>
      </c>
      <c r="D22" t="s">
        <v>165</v>
      </c>
      <c r="G22" s="6">
        <v>747</v>
      </c>
    </row>
    <row r="23" spans="3:7" x14ac:dyDescent="0.25">
      <c r="C23">
        <v>6</v>
      </c>
      <c r="D23" t="s">
        <v>166</v>
      </c>
      <c r="G23" s="6">
        <v>1000</v>
      </c>
    </row>
    <row r="24" spans="3:7" x14ac:dyDescent="0.25">
      <c r="C24">
        <v>7</v>
      </c>
      <c r="D24" t="s">
        <v>167</v>
      </c>
      <c r="G24" s="6">
        <f>122*12</f>
        <v>1464</v>
      </c>
    </row>
    <row r="25" spans="3:7" x14ac:dyDescent="0.25">
      <c r="C25">
        <v>8</v>
      </c>
      <c r="D25" t="s">
        <v>168</v>
      </c>
      <c r="G25" s="6">
        <v>300</v>
      </c>
    </row>
    <row r="26" spans="3:7" x14ac:dyDescent="0.25">
      <c r="C26">
        <v>9</v>
      </c>
      <c r="D26" t="s">
        <v>169</v>
      </c>
      <c r="G26" s="6">
        <f>30*12</f>
        <v>360</v>
      </c>
    </row>
    <row r="27" spans="3:7" x14ac:dyDescent="0.25">
      <c r="C27">
        <v>10</v>
      </c>
      <c r="D27" t="s">
        <v>170</v>
      </c>
      <c r="G27" s="6">
        <v>768</v>
      </c>
    </row>
    <row r="28" spans="3:7" x14ac:dyDescent="0.25">
      <c r="C28">
        <v>11</v>
      </c>
      <c r="D28" t="s">
        <v>215</v>
      </c>
      <c r="G28" s="21">
        <v>6057</v>
      </c>
    </row>
    <row r="29" spans="3:7" x14ac:dyDescent="0.25">
      <c r="G29" s="6"/>
    </row>
    <row r="30" spans="3:7" x14ac:dyDescent="0.25">
      <c r="C30" s="4" t="s">
        <v>171</v>
      </c>
      <c r="G30" s="6"/>
    </row>
    <row r="31" spans="3:7" x14ac:dyDescent="0.25">
      <c r="C31">
        <v>1</v>
      </c>
      <c r="D31" t="s">
        <v>192</v>
      </c>
      <c r="G31" s="10">
        <v>231880</v>
      </c>
    </row>
    <row r="32" spans="3:7" x14ac:dyDescent="0.25">
      <c r="C32">
        <v>2</v>
      </c>
      <c r="D32" t="s">
        <v>191</v>
      </c>
      <c r="G32" s="21" t="s">
        <v>172</v>
      </c>
    </row>
    <row r="33" spans="3:7" x14ac:dyDescent="0.25">
      <c r="C33">
        <v>3</v>
      </c>
      <c r="D33" t="s">
        <v>249</v>
      </c>
      <c r="G33" s="6"/>
    </row>
    <row r="34" spans="3:7" x14ac:dyDescent="0.25">
      <c r="D34" t="s">
        <v>173</v>
      </c>
      <c r="G34" s="6">
        <f>6776574-5606191</f>
        <v>1170383</v>
      </c>
    </row>
    <row r="35" spans="3:7" x14ac:dyDescent="0.25">
      <c r="C35">
        <v>4</v>
      </c>
      <c r="D35" t="s">
        <v>250</v>
      </c>
    </row>
    <row r="36" spans="3:7" x14ac:dyDescent="0.25">
      <c r="D36" t="s">
        <v>173</v>
      </c>
      <c r="G36" s="6">
        <f>8090870-6834583</f>
        <v>1256287</v>
      </c>
    </row>
    <row r="37" spans="3:7" x14ac:dyDescent="0.25">
      <c r="C37">
        <v>5</v>
      </c>
      <c r="D37" t="s">
        <v>251</v>
      </c>
      <c r="G37" s="6"/>
    </row>
    <row r="38" spans="3:7" x14ac:dyDescent="0.25">
      <c r="D38" t="s">
        <v>173</v>
      </c>
      <c r="G38" s="6">
        <v>2555649</v>
      </c>
    </row>
    <row r="39" spans="3:7" x14ac:dyDescent="0.25">
      <c r="C39">
        <v>6</v>
      </c>
      <c r="D39" t="s">
        <v>193</v>
      </c>
      <c r="G39" s="21" t="s">
        <v>172</v>
      </c>
    </row>
    <row r="40" spans="3:7" x14ac:dyDescent="0.25">
      <c r="C40">
        <v>7</v>
      </c>
      <c r="D40" t="s">
        <v>219</v>
      </c>
      <c r="G40" s="21" t="s">
        <v>172</v>
      </c>
    </row>
    <row r="41" spans="3:7" x14ac:dyDescent="0.25">
      <c r="G41" s="6"/>
    </row>
    <row r="42" spans="3:7" ht="14.45" customHeight="1" x14ac:dyDescent="0.25">
      <c r="D42" t="s">
        <v>254</v>
      </c>
      <c r="G42" s="6"/>
    </row>
    <row r="43" spans="3:7" x14ac:dyDescent="0.25">
      <c r="D43" t="s">
        <v>255</v>
      </c>
      <c r="G43" s="6"/>
    </row>
    <row r="44" spans="3:7" x14ac:dyDescent="0.25">
      <c r="D44" t="s">
        <v>257</v>
      </c>
      <c r="G44" s="6"/>
    </row>
    <row r="45" spans="3:7" x14ac:dyDescent="0.25">
      <c r="D45" t="s">
        <v>258</v>
      </c>
      <c r="G45" s="6"/>
    </row>
    <row r="46" spans="3:7" x14ac:dyDescent="0.25">
      <c r="G46" s="6"/>
    </row>
    <row r="47" spans="3:7" x14ac:dyDescent="0.25">
      <c r="G47" s="6"/>
    </row>
    <row r="48" spans="3:7" x14ac:dyDescent="0.25">
      <c r="G48" s="6"/>
    </row>
    <row r="49" spans="7:7" x14ac:dyDescent="0.25">
      <c r="G49" s="6"/>
    </row>
    <row r="50" spans="7:7" x14ac:dyDescent="0.25">
      <c r="G50" s="6"/>
    </row>
    <row r="51" spans="7:7" x14ac:dyDescent="0.25">
      <c r="G51" s="6"/>
    </row>
    <row r="52" spans="7:7" x14ac:dyDescent="0.25">
      <c r="G52" s="6"/>
    </row>
    <row r="53" spans="7:7" x14ac:dyDescent="0.25">
      <c r="G53" s="6"/>
    </row>
    <row r="54" spans="7:7" x14ac:dyDescent="0.25">
      <c r="G54" s="6"/>
    </row>
    <row r="55" spans="7:7" x14ac:dyDescent="0.25">
      <c r="G55" s="6"/>
    </row>
    <row r="56" spans="7:7" x14ac:dyDescent="0.25">
      <c r="G56" s="6"/>
    </row>
    <row r="57" spans="7:7" x14ac:dyDescent="0.25">
      <c r="G57" s="6"/>
    </row>
    <row r="58" spans="7:7" x14ac:dyDescent="0.25">
      <c r="G58" s="6"/>
    </row>
    <row r="59" spans="7:7" x14ac:dyDescent="0.25">
      <c r="G59" s="6"/>
    </row>
    <row r="60" spans="7:7" x14ac:dyDescent="0.25">
      <c r="G60" s="6"/>
    </row>
    <row r="61" spans="7:7" x14ac:dyDescent="0.25">
      <c r="G61" s="6"/>
    </row>
    <row r="62" spans="7:7" x14ac:dyDescent="0.25">
      <c r="G62" s="6"/>
    </row>
    <row r="63" spans="7:7" x14ac:dyDescent="0.25">
      <c r="G63" s="6"/>
    </row>
    <row r="64" spans="7:7" x14ac:dyDescent="0.25">
      <c r="G64" s="6"/>
    </row>
    <row r="65" spans="7:7" x14ac:dyDescent="0.25">
      <c r="G65" s="6"/>
    </row>
    <row r="66" spans="7:7" x14ac:dyDescent="0.25">
      <c r="G66" s="6"/>
    </row>
    <row r="67" spans="7:7" x14ac:dyDescent="0.25">
      <c r="G67" s="6"/>
    </row>
    <row r="68" spans="7:7" x14ac:dyDescent="0.25">
      <c r="G68" s="6"/>
    </row>
    <row r="69" spans="7:7" x14ac:dyDescent="0.25">
      <c r="G69" s="6"/>
    </row>
    <row r="70" spans="7:7" x14ac:dyDescent="0.25">
      <c r="G70" s="6"/>
    </row>
    <row r="71" spans="7:7" x14ac:dyDescent="0.25">
      <c r="G71" s="6"/>
    </row>
    <row r="72" spans="7:7" x14ac:dyDescent="0.25">
      <c r="G72" s="6"/>
    </row>
    <row r="73" spans="7:7" x14ac:dyDescent="0.25">
      <c r="G73" s="6"/>
    </row>
    <row r="74" spans="7:7" x14ac:dyDescent="0.25">
      <c r="G74" s="6"/>
    </row>
    <row r="75" spans="7:7" x14ac:dyDescent="0.25">
      <c r="G75" s="6"/>
    </row>
    <row r="76" spans="7:7" x14ac:dyDescent="0.25">
      <c r="G76" s="6"/>
    </row>
    <row r="77" spans="7:7" x14ac:dyDescent="0.25">
      <c r="G77" s="6"/>
    </row>
    <row r="78" spans="7:7" x14ac:dyDescent="0.25">
      <c r="G78" s="6"/>
    </row>
    <row r="79" spans="7:7" x14ac:dyDescent="0.25">
      <c r="G79" s="6"/>
    </row>
    <row r="80" spans="7:7" x14ac:dyDescent="0.25">
      <c r="G80" s="6"/>
    </row>
    <row r="81" spans="7:7" x14ac:dyDescent="0.25">
      <c r="G81" s="6"/>
    </row>
    <row r="82" spans="7:7" x14ac:dyDescent="0.25">
      <c r="G82" s="6"/>
    </row>
    <row r="83" spans="7:7" x14ac:dyDescent="0.25">
      <c r="G83" s="6"/>
    </row>
    <row r="84" spans="7:7" x14ac:dyDescent="0.25">
      <c r="G84" s="6"/>
    </row>
    <row r="85" spans="7:7" x14ac:dyDescent="0.25">
      <c r="G85" s="6"/>
    </row>
    <row r="86" spans="7:7" x14ac:dyDescent="0.25">
      <c r="G86" s="6"/>
    </row>
    <row r="87" spans="7:7" x14ac:dyDescent="0.25">
      <c r="G87" s="6"/>
    </row>
    <row r="88" spans="7:7" x14ac:dyDescent="0.25">
      <c r="G88" s="6"/>
    </row>
    <row r="89" spans="7:7" x14ac:dyDescent="0.25">
      <c r="G89" s="6"/>
    </row>
    <row r="90" spans="7:7" x14ac:dyDescent="0.25">
      <c r="G90" s="6"/>
    </row>
    <row r="91" spans="7:7" x14ac:dyDescent="0.25">
      <c r="G91" s="6"/>
    </row>
    <row r="92" spans="7:7" x14ac:dyDescent="0.25">
      <c r="G92" s="6"/>
    </row>
    <row r="93" spans="7:7" x14ac:dyDescent="0.25">
      <c r="G93" s="6"/>
    </row>
    <row r="94" spans="7:7" x14ac:dyDescent="0.25">
      <c r="G94" s="6"/>
    </row>
    <row r="95" spans="7:7" x14ac:dyDescent="0.25">
      <c r="G95" s="6"/>
    </row>
    <row r="96" spans="7:7" x14ac:dyDescent="0.25">
      <c r="G96" s="6"/>
    </row>
    <row r="97" spans="7:7" x14ac:dyDescent="0.25">
      <c r="G97" s="6"/>
    </row>
    <row r="98" spans="7:7" x14ac:dyDescent="0.25">
      <c r="G98" s="6"/>
    </row>
    <row r="99" spans="7:7" x14ac:dyDescent="0.25">
      <c r="G99" s="6"/>
    </row>
    <row r="100" spans="7:7" x14ac:dyDescent="0.25">
      <c r="G100" s="6"/>
    </row>
    <row r="101" spans="7:7" x14ac:dyDescent="0.25">
      <c r="G101" s="6"/>
    </row>
    <row r="102" spans="7:7" x14ac:dyDescent="0.25">
      <c r="G102" s="6"/>
    </row>
    <row r="103" spans="7:7" x14ac:dyDescent="0.25">
      <c r="G103" s="6"/>
    </row>
    <row r="104" spans="7:7" x14ac:dyDescent="0.25">
      <c r="G104" s="6"/>
    </row>
    <row r="105" spans="7:7" x14ac:dyDescent="0.25">
      <c r="G105" s="6"/>
    </row>
    <row r="106" spans="7:7" x14ac:dyDescent="0.25">
      <c r="G106" s="6"/>
    </row>
    <row r="107" spans="7:7" x14ac:dyDescent="0.25">
      <c r="G107" s="6"/>
    </row>
    <row r="108" spans="7:7" x14ac:dyDescent="0.25">
      <c r="G108" s="6"/>
    </row>
    <row r="109" spans="7:7" x14ac:dyDescent="0.25">
      <c r="G109" s="6"/>
    </row>
    <row r="110" spans="7:7" x14ac:dyDescent="0.25">
      <c r="G110" s="6"/>
    </row>
    <row r="111" spans="7:7" x14ac:dyDescent="0.25">
      <c r="G111" s="6"/>
    </row>
    <row r="112" spans="7:7" x14ac:dyDescent="0.25">
      <c r="G112" s="6"/>
    </row>
    <row r="113" spans="7:7" x14ac:dyDescent="0.25">
      <c r="G113" s="6"/>
    </row>
    <row r="114" spans="7:7" x14ac:dyDescent="0.25">
      <c r="G114" s="6"/>
    </row>
    <row r="115" spans="7:7" x14ac:dyDescent="0.25">
      <c r="G115" s="6"/>
    </row>
    <row r="116" spans="7:7" x14ac:dyDescent="0.25">
      <c r="G116" s="6"/>
    </row>
    <row r="117" spans="7:7" x14ac:dyDescent="0.25">
      <c r="G117" s="6"/>
    </row>
    <row r="118" spans="7:7" x14ac:dyDescent="0.25">
      <c r="G118" s="6"/>
    </row>
    <row r="119" spans="7:7" x14ac:dyDescent="0.25">
      <c r="G119" s="6"/>
    </row>
    <row r="120" spans="7:7" x14ac:dyDescent="0.25">
      <c r="G120" s="6"/>
    </row>
    <row r="121" spans="7:7" x14ac:dyDescent="0.25">
      <c r="G121" s="6"/>
    </row>
    <row r="122" spans="7:7" x14ac:dyDescent="0.25">
      <c r="G122" s="6"/>
    </row>
    <row r="123" spans="7:7" x14ac:dyDescent="0.25">
      <c r="G123" s="6"/>
    </row>
    <row r="124" spans="7:7" x14ac:dyDescent="0.25">
      <c r="G124" s="6"/>
    </row>
    <row r="125" spans="7:7" x14ac:dyDescent="0.25">
      <c r="G125" s="6"/>
    </row>
    <row r="126" spans="7:7" x14ac:dyDescent="0.25">
      <c r="G126" s="6"/>
    </row>
    <row r="127" spans="7:7" x14ac:dyDescent="0.25">
      <c r="G127" s="6"/>
    </row>
    <row r="128" spans="7:7" x14ac:dyDescent="0.25">
      <c r="G128" s="6"/>
    </row>
    <row r="129" spans="7:7" x14ac:dyDescent="0.25">
      <c r="G129" s="6"/>
    </row>
    <row r="130" spans="7:7" x14ac:dyDescent="0.25">
      <c r="G130" s="6"/>
    </row>
    <row r="131" spans="7:7" x14ac:dyDescent="0.25">
      <c r="G131" s="6"/>
    </row>
    <row r="132" spans="7:7" x14ac:dyDescent="0.25">
      <c r="G132" s="6"/>
    </row>
    <row r="133" spans="7:7" x14ac:dyDescent="0.25">
      <c r="G133" s="6"/>
    </row>
    <row r="134" spans="7:7" x14ac:dyDescent="0.25">
      <c r="G134" s="6"/>
    </row>
    <row r="135" spans="7:7" x14ac:dyDescent="0.25">
      <c r="G135" s="6"/>
    </row>
    <row r="136" spans="7:7" x14ac:dyDescent="0.25">
      <c r="G136" s="6"/>
    </row>
    <row r="137" spans="7:7" x14ac:dyDescent="0.25">
      <c r="G137" s="6"/>
    </row>
    <row r="138" spans="7:7" x14ac:dyDescent="0.25">
      <c r="G138" s="6"/>
    </row>
    <row r="139" spans="7:7" x14ac:dyDescent="0.25">
      <c r="G139" s="6"/>
    </row>
    <row r="140" spans="7:7" x14ac:dyDescent="0.25">
      <c r="G140" s="6"/>
    </row>
    <row r="141" spans="7:7" x14ac:dyDescent="0.25">
      <c r="G141" s="6"/>
    </row>
    <row r="142" spans="7:7" x14ac:dyDescent="0.25">
      <c r="G142" s="6"/>
    </row>
    <row r="143" spans="7:7" x14ac:dyDescent="0.25">
      <c r="G143" s="6"/>
    </row>
  </sheetData>
  <mergeCells count="3">
    <mergeCell ref="A5:H5"/>
    <mergeCell ref="A6:H6"/>
    <mergeCell ref="A7:H7"/>
  </mergeCells>
  <pageMargins left="0.7" right="0.7" top="0.75" bottom="0.75" header="0.3" footer="0.3"/>
  <pageSetup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2DA3-14B8-4C61-8005-F20FCDD2A5D5}">
  <sheetPr>
    <tabColor theme="9"/>
    <pageSetUpPr fitToPage="1"/>
  </sheetPr>
  <dimension ref="A1:H24"/>
  <sheetViews>
    <sheetView zoomScale="110" zoomScaleNormal="110" workbookViewId="0">
      <selection activeCell="D21" sqref="D21:D24"/>
    </sheetView>
  </sheetViews>
  <sheetFormatPr defaultRowHeight="15" x14ac:dyDescent="0.25"/>
  <cols>
    <col min="1" max="1" width="6.7109375" customWidth="1"/>
    <col min="2" max="2" width="10.140625" customWidth="1"/>
    <col min="3" max="3" width="7.42578125" customWidth="1"/>
    <col min="4" max="4" width="14.140625" customWidth="1"/>
    <col min="5" max="5" width="10.5703125" customWidth="1"/>
    <col min="6" max="6" width="9.28515625" customWidth="1"/>
    <col min="7" max="7" width="15.7109375" customWidth="1"/>
    <col min="8" max="8" width="20.140625" customWidth="1"/>
  </cols>
  <sheetData>
    <row r="1" spans="1:8" x14ac:dyDescent="0.25">
      <c r="H1" s="2" t="s">
        <v>69</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69</v>
      </c>
      <c r="C9" t="s">
        <v>70</v>
      </c>
    </row>
    <row r="10" spans="1:8" x14ac:dyDescent="0.25">
      <c r="C10" t="s">
        <v>71</v>
      </c>
    </row>
    <row r="11" spans="1:8" x14ac:dyDescent="0.25">
      <c r="C11" t="s">
        <v>72</v>
      </c>
    </row>
    <row r="13" spans="1:8" x14ac:dyDescent="0.25">
      <c r="B13" s="4" t="s">
        <v>7</v>
      </c>
      <c r="C13" t="s">
        <v>159</v>
      </c>
    </row>
    <row r="14" spans="1:8" x14ac:dyDescent="0.25">
      <c r="C14" t="s">
        <v>179</v>
      </c>
    </row>
    <row r="15" spans="1:8" x14ac:dyDescent="0.25">
      <c r="C15" t="s">
        <v>178</v>
      </c>
    </row>
    <row r="17" spans="3:4" x14ac:dyDescent="0.25">
      <c r="C17" s="4" t="s">
        <v>177</v>
      </c>
    </row>
    <row r="18" spans="3:4" x14ac:dyDescent="0.25">
      <c r="C18">
        <v>1</v>
      </c>
      <c r="D18" t="s">
        <v>194</v>
      </c>
    </row>
    <row r="20" spans="3:4" x14ac:dyDescent="0.25">
      <c r="C20" s="4" t="s">
        <v>176</v>
      </c>
    </row>
    <row r="21" spans="3:4" x14ac:dyDescent="0.25">
      <c r="C21">
        <v>1</v>
      </c>
      <c r="D21" t="s">
        <v>256</v>
      </c>
    </row>
    <row r="22" spans="3:4" x14ac:dyDescent="0.25">
      <c r="D22" t="s">
        <v>259</v>
      </c>
    </row>
    <row r="23" spans="3:4" x14ac:dyDescent="0.25">
      <c r="D23" t="s">
        <v>260</v>
      </c>
    </row>
    <row r="24" spans="3:4" x14ac:dyDescent="0.25">
      <c r="D24" t="s">
        <v>261</v>
      </c>
    </row>
  </sheetData>
  <mergeCells count="3">
    <mergeCell ref="A5:H5"/>
    <mergeCell ref="A6:H6"/>
    <mergeCell ref="A7:H7"/>
  </mergeCells>
  <pageMargins left="0.7" right="0.7" top="0.75" bottom="0.75" header="0.3" footer="0.3"/>
  <pageSetup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B0C2F-45FF-4448-B4BA-1B0426F81370}">
  <sheetPr>
    <tabColor theme="9"/>
    <pageSetUpPr fitToPage="1"/>
  </sheetPr>
  <dimension ref="A1:H24"/>
  <sheetViews>
    <sheetView workbookViewId="0">
      <selection activeCell="M15" sqref="M15"/>
    </sheetView>
  </sheetViews>
  <sheetFormatPr defaultRowHeight="15" x14ac:dyDescent="0.25"/>
  <cols>
    <col min="1" max="1" width="6.7109375" customWidth="1"/>
    <col min="2" max="2" width="10.140625" customWidth="1"/>
    <col min="3" max="3" width="7.42578125" customWidth="1"/>
    <col min="4" max="4" width="14.140625" customWidth="1"/>
    <col min="5" max="5" width="10.5703125" customWidth="1"/>
    <col min="6" max="6" width="9.28515625" customWidth="1"/>
    <col min="7" max="7" width="15.7109375" customWidth="1"/>
    <col min="8" max="8" width="20.140625" customWidth="1"/>
  </cols>
  <sheetData>
    <row r="1" spans="1:8" x14ac:dyDescent="0.25">
      <c r="H1" s="2" t="s">
        <v>73</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73</v>
      </c>
      <c r="C9" t="s">
        <v>74</v>
      </c>
    </row>
    <row r="10" spans="1:8" x14ac:dyDescent="0.25">
      <c r="C10" t="s">
        <v>75</v>
      </c>
    </row>
    <row r="12" spans="1:8" x14ac:dyDescent="0.25">
      <c r="B12" s="4" t="s">
        <v>7</v>
      </c>
      <c r="C12" t="s">
        <v>269</v>
      </c>
    </row>
    <row r="13" spans="1:8" x14ac:dyDescent="0.25">
      <c r="C13" s="44" t="s">
        <v>270</v>
      </c>
    </row>
    <row r="14" spans="1:8" x14ac:dyDescent="0.25">
      <c r="C14" s="44" t="s">
        <v>271</v>
      </c>
    </row>
    <row r="15" spans="1:8" x14ac:dyDescent="0.25">
      <c r="C15" s="44" t="s">
        <v>272</v>
      </c>
    </row>
    <row r="17" spans="3:3" x14ac:dyDescent="0.25">
      <c r="C17" s="44" t="s">
        <v>273</v>
      </c>
    </row>
    <row r="18" spans="3:3" x14ac:dyDescent="0.25">
      <c r="C18" t="s">
        <v>274</v>
      </c>
    </row>
    <row r="19" spans="3:3" x14ac:dyDescent="0.25">
      <c r="C19" t="s">
        <v>275</v>
      </c>
    </row>
    <row r="20" spans="3:3" x14ac:dyDescent="0.25">
      <c r="C20" t="s">
        <v>276</v>
      </c>
    </row>
    <row r="22" spans="3:3" x14ac:dyDescent="0.25">
      <c r="C22" t="s">
        <v>277</v>
      </c>
    </row>
    <row r="23" spans="3:3" x14ac:dyDescent="0.25">
      <c r="C23" t="s">
        <v>278</v>
      </c>
    </row>
    <row r="24" spans="3:3" x14ac:dyDescent="0.25">
      <c r="C24" t="s">
        <v>279</v>
      </c>
    </row>
  </sheetData>
  <mergeCells count="3">
    <mergeCell ref="A5:H5"/>
    <mergeCell ref="A6:H6"/>
    <mergeCell ref="A7:H7"/>
  </mergeCells>
  <pageMargins left="0.7" right="0.7" top="0.75" bottom="0.75" header="0.3" footer="0.3"/>
  <pageSetup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F910-589F-4F85-A162-06A5752C8C12}">
  <sheetPr>
    <tabColor theme="9"/>
    <pageSetUpPr fitToPage="1"/>
  </sheetPr>
  <dimension ref="A1:H28"/>
  <sheetViews>
    <sheetView workbookViewId="0">
      <selection activeCell="C13" sqref="C13"/>
    </sheetView>
  </sheetViews>
  <sheetFormatPr defaultRowHeight="15" x14ac:dyDescent="0.25"/>
  <cols>
    <col min="1" max="1" width="6.7109375" customWidth="1"/>
    <col min="2" max="2" width="10.140625" customWidth="1"/>
    <col min="3" max="3" width="7.42578125" customWidth="1"/>
    <col min="4" max="4" width="14.140625" customWidth="1"/>
    <col min="5" max="5" width="10.5703125" customWidth="1"/>
    <col min="6" max="6" width="9.28515625" customWidth="1"/>
    <col min="7" max="7" width="15.7109375" customWidth="1"/>
    <col min="8" max="8" width="20.140625" customWidth="1"/>
  </cols>
  <sheetData>
    <row r="1" spans="1:8" x14ac:dyDescent="0.25">
      <c r="H1" s="2" t="s">
        <v>76</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76</v>
      </c>
      <c r="C9" t="s">
        <v>77</v>
      </c>
    </row>
    <row r="10" spans="1:8" x14ac:dyDescent="0.25">
      <c r="C10" t="s">
        <v>78</v>
      </c>
    </row>
    <row r="12" spans="1:8" x14ac:dyDescent="0.25">
      <c r="B12" s="4" t="s">
        <v>7</v>
      </c>
      <c r="C12" s="29" t="s">
        <v>224</v>
      </c>
    </row>
    <row r="13" spans="1:8" x14ac:dyDescent="0.25">
      <c r="C13" s="29" t="s">
        <v>240</v>
      </c>
    </row>
    <row r="14" spans="1:8" x14ac:dyDescent="0.25">
      <c r="C14" s="29"/>
    </row>
    <row r="15" spans="1:8" x14ac:dyDescent="0.25">
      <c r="C15" s="29"/>
    </row>
    <row r="16" spans="1:8" x14ac:dyDescent="0.25">
      <c r="C16" s="29"/>
    </row>
    <row r="17" spans="3:3" x14ac:dyDescent="0.25">
      <c r="C17" s="29"/>
    </row>
    <row r="18" spans="3:3" x14ac:dyDescent="0.25">
      <c r="C18" s="29"/>
    </row>
    <row r="19" spans="3:3" x14ac:dyDescent="0.25">
      <c r="C19" s="30"/>
    </row>
    <row r="20" spans="3:3" x14ac:dyDescent="0.25">
      <c r="C20" s="30"/>
    </row>
    <row r="21" spans="3:3" x14ac:dyDescent="0.25">
      <c r="C21" s="29"/>
    </row>
    <row r="24" spans="3:3" x14ac:dyDescent="0.25">
      <c r="C24" s="29"/>
    </row>
    <row r="28" spans="3:3" x14ac:dyDescent="0.25">
      <c r="C28" s="29"/>
    </row>
  </sheetData>
  <mergeCells count="3">
    <mergeCell ref="A5:H5"/>
    <mergeCell ref="A6:H6"/>
    <mergeCell ref="A7:H7"/>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031B-85D4-4A3B-A232-F7D9049DADDA}">
  <sheetPr>
    <tabColor theme="9"/>
  </sheetPr>
  <dimension ref="A1:H19"/>
  <sheetViews>
    <sheetView topLeftCell="A7" workbookViewId="0">
      <selection activeCell="C13" sqref="C13"/>
    </sheetView>
  </sheetViews>
  <sheetFormatPr defaultRowHeight="15" x14ac:dyDescent="0.25"/>
  <cols>
    <col min="1" max="1" width="6.7109375" customWidth="1"/>
    <col min="2" max="2" width="10.140625" customWidth="1"/>
    <col min="3" max="3" width="7.140625" customWidth="1"/>
    <col min="4" max="4" width="13.28515625" customWidth="1"/>
    <col min="6" max="6" width="10.5703125" customWidth="1"/>
    <col min="7" max="7" width="10.5703125" bestFit="1" customWidth="1"/>
  </cols>
  <sheetData>
    <row r="1" spans="1:8" x14ac:dyDescent="0.25">
      <c r="H1" s="2" t="s">
        <v>12</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12</v>
      </c>
      <c r="C9" t="s">
        <v>237</v>
      </c>
    </row>
    <row r="10" spans="1:8" x14ac:dyDescent="0.25">
      <c r="C10" t="s">
        <v>238</v>
      </c>
    </row>
    <row r="12" spans="1:8" x14ac:dyDescent="0.25">
      <c r="B12" s="4" t="s">
        <v>7</v>
      </c>
      <c r="C12" t="s">
        <v>248</v>
      </c>
    </row>
    <row r="13" spans="1:8" x14ac:dyDescent="0.25">
      <c r="C13" t="s">
        <v>8</v>
      </c>
    </row>
    <row r="14" spans="1:8" x14ac:dyDescent="0.25">
      <c r="D14" t="s">
        <v>9</v>
      </c>
      <c r="G14" s="6">
        <v>56662</v>
      </c>
    </row>
    <row r="15" spans="1:8" x14ac:dyDescent="0.25">
      <c r="D15" t="s">
        <v>34</v>
      </c>
      <c r="G15" s="6">
        <v>2952</v>
      </c>
    </row>
    <row r="16" spans="1:8" x14ac:dyDescent="0.25">
      <c r="D16" t="s">
        <v>35</v>
      </c>
      <c r="G16" s="6">
        <v>10</v>
      </c>
    </row>
    <row r="17" spans="4:7" x14ac:dyDescent="0.25">
      <c r="D17" t="s">
        <v>10</v>
      </c>
      <c r="G17" s="6">
        <v>29</v>
      </c>
    </row>
    <row r="18" spans="4:7" ht="15.75" thickBot="1" x14ac:dyDescent="0.3">
      <c r="D18" t="s">
        <v>11</v>
      </c>
      <c r="G18" s="7">
        <f>SUM(G14:G17)</f>
        <v>59653</v>
      </c>
    </row>
    <row r="19" spans="4:7" ht="15.75" thickTop="1" x14ac:dyDescent="0.25"/>
  </sheetData>
  <mergeCells count="3">
    <mergeCell ref="A5:H5"/>
    <mergeCell ref="A6:H6"/>
    <mergeCell ref="A7: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EC3CD-E8E3-4BA3-980A-00F51280FCE9}">
  <sheetPr>
    <tabColor theme="9"/>
    <pageSetUpPr fitToPage="1"/>
  </sheetPr>
  <dimension ref="A1:H32"/>
  <sheetViews>
    <sheetView topLeftCell="A19" workbookViewId="0">
      <selection activeCell="E33" sqref="E33"/>
    </sheetView>
  </sheetViews>
  <sheetFormatPr defaultRowHeight="15" x14ac:dyDescent="0.25"/>
  <cols>
    <col min="1" max="1" width="6.7109375" customWidth="1"/>
    <col min="2" max="2" width="10.140625" customWidth="1"/>
    <col min="3" max="3" width="9.5703125" customWidth="1"/>
    <col min="4" max="4" width="14.140625" customWidth="1"/>
    <col min="5" max="5" width="15.28515625" bestFit="1" customWidth="1"/>
    <col min="6" max="6" width="9.28515625" customWidth="1"/>
    <col min="7" max="7" width="15.7109375" customWidth="1"/>
    <col min="8" max="8" width="19" customWidth="1"/>
  </cols>
  <sheetData>
    <row r="1" spans="1:8" x14ac:dyDescent="0.25">
      <c r="H1" s="2" t="s">
        <v>13</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13</v>
      </c>
      <c r="C9" t="s">
        <v>14</v>
      </c>
    </row>
    <row r="10" spans="1:8" x14ac:dyDescent="0.25">
      <c r="C10" t="s">
        <v>220</v>
      </c>
    </row>
    <row r="11" spans="1:8" x14ac:dyDescent="0.25">
      <c r="C11" t="s">
        <v>15</v>
      </c>
    </row>
    <row r="12" spans="1:8" x14ac:dyDescent="0.25">
      <c r="C12" t="s">
        <v>16</v>
      </c>
    </row>
    <row r="13" spans="1:8" x14ac:dyDescent="0.25">
      <c r="C13" t="s">
        <v>17</v>
      </c>
    </row>
    <row r="14" spans="1:8" x14ac:dyDescent="0.25">
      <c r="D14" t="s">
        <v>19</v>
      </c>
    </row>
    <row r="15" spans="1:8" x14ac:dyDescent="0.25">
      <c r="D15" t="s">
        <v>20</v>
      </c>
    </row>
    <row r="16" spans="1:8" x14ac:dyDescent="0.25">
      <c r="D16" t="s">
        <v>21</v>
      </c>
    </row>
    <row r="17" spans="2:7" x14ac:dyDescent="0.25">
      <c r="D17" t="s">
        <v>22</v>
      </c>
    </row>
    <row r="18" spans="2:7" x14ac:dyDescent="0.25">
      <c r="C18" t="s">
        <v>29</v>
      </c>
    </row>
    <row r="19" spans="2:7" x14ac:dyDescent="0.25">
      <c r="C19" t="s">
        <v>30</v>
      </c>
    </row>
    <row r="21" spans="2:7" x14ac:dyDescent="0.25">
      <c r="B21" s="4" t="s">
        <v>7</v>
      </c>
      <c r="C21" t="s">
        <v>32</v>
      </c>
    </row>
    <row r="23" spans="2:7" x14ac:dyDescent="0.25">
      <c r="B23" s="4"/>
      <c r="E23" s="3" t="s">
        <v>24</v>
      </c>
      <c r="F23" s="3" t="s">
        <v>24</v>
      </c>
      <c r="G23" s="3" t="s">
        <v>27</v>
      </c>
    </row>
    <row r="24" spans="2:7" x14ac:dyDescent="0.25">
      <c r="D24" s="3" t="s">
        <v>23</v>
      </c>
      <c r="E24" s="3" t="s">
        <v>25</v>
      </c>
      <c r="F24" s="3" t="s">
        <v>26</v>
      </c>
      <c r="G24" s="3" t="s">
        <v>28</v>
      </c>
    </row>
    <row r="25" spans="2:7" x14ac:dyDescent="0.25">
      <c r="D25" s="1">
        <v>2017</v>
      </c>
      <c r="E25" s="10">
        <v>135184035</v>
      </c>
      <c r="F25" s="6">
        <v>694946</v>
      </c>
      <c r="G25" s="9">
        <f>+E25/F25</f>
        <v>194.52451701283266</v>
      </c>
    </row>
    <row r="26" spans="2:7" x14ac:dyDescent="0.25">
      <c r="D26" s="1">
        <v>2018</v>
      </c>
      <c r="E26" s="6">
        <v>146112582.94999999</v>
      </c>
      <c r="F26" s="6">
        <v>701323</v>
      </c>
      <c r="G26" s="14">
        <f t="shared" ref="G26:G32" si="0">+E26/F26</f>
        <v>208.33850158913936</v>
      </c>
    </row>
    <row r="27" spans="2:7" x14ac:dyDescent="0.25">
      <c r="D27" s="1">
        <v>2019</v>
      </c>
      <c r="E27" s="6">
        <v>140016440.38</v>
      </c>
      <c r="F27" s="6">
        <v>707613</v>
      </c>
      <c r="G27" s="14">
        <f t="shared" si="0"/>
        <v>197.87149244007671</v>
      </c>
    </row>
    <row r="28" spans="2:7" x14ac:dyDescent="0.25">
      <c r="D28" s="8">
        <v>43850</v>
      </c>
      <c r="E28" s="6">
        <v>12218274.74</v>
      </c>
      <c r="F28" s="6">
        <v>59340</v>
      </c>
      <c r="G28" s="14">
        <f t="shared" si="0"/>
        <v>205.90284361307718</v>
      </c>
    </row>
    <row r="29" spans="2:7" x14ac:dyDescent="0.25">
      <c r="D29" s="8">
        <v>43881</v>
      </c>
      <c r="E29" s="6">
        <v>13378264.890000001</v>
      </c>
      <c r="F29" s="6">
        <v>59265</v>
      </c>
      <c r="G29" s="14">
        <f t="shared" si="0"/>
        <v>225.73635180966843</v>
      </c>
    </row>
    <row r="30" spans="2:7" x14ac:dyDescent="0.25">
      <c r="D30" s="8">
        <v>43910</v>
      </c>
      <c r="E30" s="6">
        <v>11871714.789999999</v>
      </c>
      <c r="F30" s="6">
        <v>59486</v>
      </c>
      <c r="G30" s="14">
        <f t="shared" si="0"/>
        <v>199.57157633728943</v>
      </c>
    </row>
    <row r="31" spans="2:7" x14ac:dyDescent="0.25">
      <c r="D31" s="8">
        <v>43941</v>
      </c>
      <c r="E31" s="6">
        <v>10008513.91</v>
      </c>
      <c r="F31" s="6">
        <v>59553</v>
      </c>
      <c r="G31" s="14">
        <f t="shared" si="0"/>
        <v>168.06061676154013</v>
      </c>
    </row>
    <row r="32" spans="2:7" x14ac:dyDescent="0.25">
      <c r="D32" s="8">
        <v>43971</v>
      </c>
      <c r="E32" s="6">
        <v>9175011.6199999992</v>
      </c>
      <c r="F32" s="6">
        <v>59653</v>
      </c>
      <c r="G32" s="14">
        <f t="shared" si="0"/>
        <v>153.80637386216952</v>
      </c>
    </row>
  </sheetData>
  <mergeCells count="3">
    <mergeCell ref="A5:H5"/>
    <mergeCell ref="A6:H6"/>
    <mergeCell ref="A7:H7"/>
  </mergeCells>
  <pageMargins left="0.7" right="0.7" top="0.75"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051D-C851-4C44-B311-3A6565892D94}">
  <sheetPr>
    <tabColor theme="9"/>
    <pageSetUpPr fitToPage="1"/>
  </sheetPr>
  <dimension ref="A1:H95"/>
  <sheetViews>
    <sheetView topLeftCell="A88" workbookViewId="0">
      <selection activeCell="E34" sqref="E34"/>
    </sheetView>
  </sheetViews>
  <sheetFormatPr defaultRowHeight="15" x14ac:dyDescent="0.25"/>
  <cols>
    <col min="1" max="1" width="6.7109375" customWidth="1"/>
    <col min="2" max="2" width="10.140625" customWidth="1"/>
    <col min="3" max="3" width="9.5703125" customWidth="1"/>
    <col min="4" max="4" width="14.140625" customWidth="1"/>
    <col min="5" max="5" width="16.28515625" bestFit="1" customWidth="1"/>
    <col min="6" max="6" width="9.28515625" customWidth="1"/>
    <col min="7" max="7" width="15.7109375" customWidth="1"/>
    <col min="8" max="8" width="19" customWidth="1"/>
  </cols>
  <sheetData>
    <row r="1" spans="1:8" x14ac:dyDescent="0.25">
      <c r="H1" s="2" t="s">
        <v>31</v>
      </c>
    </row>
    <row r="2" spans="1:8" x14ac:dyDescent="0.25">
      <c r="H2" s="2" t="s">
        <v>148</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31</v>
      </c>
      <c r="C9" t="s">
        <v>14</v>
      </c>
    </row>
    <row r="10" spans="1:8" x14ac:dyDescent="0.25">
      <c r="C10" t="s">
        <v>220</v>
      </c>
    </row>
    <row r="11" spans="1:8" x14ac:dyDescent="0.25">
      <c r="C11" t="s">
        <v>15</v>
      </c>
    </row>
    <row r="12" spans="1:8" x14ac:dyDescent="0.25">
      <c r="C12" t="s">
        <v>16</v>
      </c>
    </row>
    <row r="13" spans="1:8" x14ac:dyDescent="0.25">
      <c r="C13" t="s">
        <v>33</v>
      </c>
    </row>
    <row r="14" spans="1:8" x14ac:dyDescent="0.25">
      <c r="D14" t="s">
        <v>19</v>
      </c>
    </row>
    <row r="15" spans="1:8" x14ac:dyDescent="0.25">
      <c r="D15" t="s">
        <v>20</v>
      </c>
    </row>
    <row r="16" spans="1:8" x14ac:dyDescent="0.25">
      <c r="D16" t="s">
        <v>21</v>
      </c>
    </row>
    <row r="17" spans="2:7" x14ac:dyDescent="0.25">
      <c r="D17" t="s">
        <v>22</v>
      </c>
    </row>
    <row r="18" spans="2:7" x14ac:dyDescent="0.25">
      <c r="C18" t="s">
        <v>29</v>
      </c>
    </row>
    <row r="19" spans="2:7" x14ac:dyDescent="0.25">
      <c r="C19" t="s">
        <v>30</v>
      </c>
    </row>
    <row r="21" spans="2:7" x14ac:dyDescent="0.25">
      <c r="B21" s="4" t="s">
        <v>7</v>
      </c>
      <c r="C21" t="s">
        <v>32</v>
      </c>
    </row>
    <row r="23" spans="2:7" x14ac:dyDescent="0.25">
      <c r="D23" s="45" t="s">
        <v>9</v>
      </c>
      <c r="E23" s="45"/>
      <c r="F23" s="45"/>
      <c r="G23" s="45"/>
    </row>
    <row r="24" spans="2:7" x14ac:dyDescent="0.25">
      <c r="B24" s="4"/>
      <c r="E24" s="3" t="s">
        <v>24</v>
      </c>
      <c r="F24" s="15" t="s">
        <v>24</v>
      </c>
      <c r="G24" s="3" t="s">
        <v>27</v>
      </c>
    </row>
    <row r="25" spans="2:7" x14ac:dyDescent="0.25">
      <c r="D25" s="3" t="s">
        <v>23</v>
      </c>
      <c r="E25" s="3" t="s">
        <v>25</v>
      </c>
      <c r="F25" s="15" t="s">
        <v>26</v>
      </c>
      <c r="G25" s="3" t="s">
        <v>28</v>
      </c>
    </row>
    <row r="26" spans="2:7" x14ac:dyDescent="0.25">
      <c r="D26" s="1">
        <v>2017</v>
      </c>
      <c r="E26" s="10">
        <v>93707767.579999998</v>
      </c>
      <c r="F26" s="6">
        <v>661208</v>
      </c>
      <c r="G26" s="9">
        <f>E26/F26</f>
        <v>141.72207169302246</v>
      </c>
    </row>
    <row r="27" spans="2:7" x14ac:dyDescent="0.25">
      <c r="D27" s="1">
        <v>2018</v>
      </c>
      <c r="E27" s="6">
        <v>104009727.04000001</v>
      </c>
      <c r="F27" s="6">
        <v>666854</v>
      </c>
      <c r="G27" s="5">
        <f>E27/F27</f>
        <v>155.97076277566006</v>
      </c>
    </row>
    <row r="28" spans="2:7" x14ac:dyDescent="0.25">
      <c r="D28" s="1">
        <v>2019</v>
      </c>
      <c r="E28" s="6">
        <v>99237188.549999997</v>
      </c>
      <c r="F28" s="6">
        <v>672285</v>
      </c>
      <c r="G28" s="5">
        <f t="shared" ref="G28:G33" si="0">E28/F28</f>
        <v>147.61178451103325</v>
      </c>
    </row>
    <row r="29" spans="2:7" x14ac:dyDescent="0.25">
      <c r="D29" s="8">
        <v>43850</v>
      </c>
      <c r="E29" s="6">
        <v>9348325.0399999991</v>
      </c>
      <c r="F29" s="6">
        <v>56355</v>
      </c>
      <c r="G29" s="5">
        <f t="shared" si="0"/>
        <v>165.88279726732321</v>
      </c>
    </row>
    <row r="30" spans="2:7" x14ac:dyDescent="0.25">
      <c r="D30" s="8">
        <v>43881</v>
      </c>
      <c r="E30" s="6">
        <v>10085987.65</v>
      </c>
      <c r="F30" s="6">
        <v>56288</v>
      </c>
      <c r="G30" s="5">
        <f t="shared" si="0"/>
        <v>179.18539742040932</v>
      </c>
    </row>
    <row r="31" spans="2:7" x14ac:dyDescent="0.25">
      <c r="D31" s="8">
        <v>43910</v>
      </c>
      <c r="E31" s="6">
        <v>8741884.8000000007</v>
      </c>
      <c r="F31" s="6">
        <v>56499</v>
      </c>
      <c r="G31" s="5">
        <f t="shared" si="0"/>
        <v>154.72636329846549</v>
      </c>
    </row>
    <row r="32" spans="2:7" x14ac:dyDescent="0.25">
      <c r="D32" s="8">
        <v>43941</v>
      </c>
      <c r="E32" s="6">
        <v>7208067.3399999999</v>
      </c>
      <c r="F32" s="6">
        <v>56565</v>
      </c>
      <c r="G32" s="5">
        <f t="shared" si="0"/>
        <v>127.42981242817997</v>
      </c>
    </row>
    <row r="33" spans="4:7" x14ac:dyDescent="0.25">
      <c r="D33" s="8">
        <v>43971</v>
      </c>
      <c r="E33" s="6">
        <v>6620589.3499999996</v>
      </c>
      <c r="F33" s="6">
        <v>56662</v>
      </c>
      <c r="G33" s="5">
        <f t="shared" si="0"/>
        <v>116.84355211605661</v>
      </c>
    </row>
    <row r="34" spans="4:7" x14ac:dyDescent="0.25">
      <c r="F34" s="6"/>
    </row>
    <row r="35" spans="4:7" x14ac:dyDescent="0.25">
      <c r="D35" s="45" t="s">
        <v>34</v>
      </c>
      <c r="E35" s="45"/>
      <c r="F35" s="45"/>
      <c r="G35" s="45"/>
    </row>
    <row r="36" spans="4:7" x14ac:dyDescent="0.25">
      <c r="E36" s="3" t="s">
        <v>24</v>
      </c>
      <c r="F36" s="15" t="s">
        <v>24</v>
      </c>
      <c r="G36" s="3" t="s">
        <v>27</v>
      </c>
    </row>
    <row r="37" spans="4:7" x14ac:dyDescent="0.25">
      <c r="D37" s="3" t="s">
        <v>23</v>
      </c>
      <c r="E37" s="3" t="s">
        <v>25</v>
      </c>
      <c r="F37" s="15" t="s">
        <v>26</v>
      </c>
      <c r="G37" s="3" t="s">
        <v>28</v>
      </c>
    </row>
    <row r="38" spans="4:7" x14ac:dyDescent="0.25">
      <c r="D38" s="1">
        <v>2017</v>
      </c>
      <c r="E38" s="9">
        <v>18536861.300000001</v>
      </c>
      <c r="F38" s="6">
        <v>33406</v>
      </c>
      <c r="G38" s="9">
        <f>E38/F38</f>
        <v>554.89616535951632</v>
      </c>
    </row>
    <row r="39" spans="4:7" x14ac:dyDescent="0.25">
      <c r="D39" s="1">
        <v>2018</v>
      </c>
      <c r="E39" s="6">
        <v>18988527.449999999</v>
      </c>
      <c r="F39" s="6">
        <v>34105</v>
      </c>
      <c r="G39" s="5">
        <f>E39/F39</f>
        <v>556.76667497434391</v>
      </c>
    </row>
    <row r="40" spans="4:7" x14ac:dyDescent="0.25">
      <c r="D40" s="1">
        <v>2019</v>
      </c>
      <c r="E40" s="6">
        <v>18652467.640000001</v>
      </c>
      <c r="F40" s="6">
        <v>34860</v>
      </c>
      <c r="G40" s="5">
        <f t="shared" ref="G40:G45" si="1">E40/F40</f>
        <v>535.06791853126799</v>
      </c>
    </row>
    <row r="41" spans="4:7" x14ac:dyDescent="0.25">
      <c r="D41" s="8">
        <v>43850</v>
      </c>
      <c r="E41" s="6">
        <v>1492928.41</v>
      </c>
      <c r="F41" s="6">
        <v>2946</v>
      </c>
      <c r="G41" s="5">
        <f t="shared" si="1"/>
        <v>506.76456551255939</v>
      </c>
    </row>
    <row r="42" spans="4:7" x14ac:dyDescent="0.25">
      <c r="D42" s="8">
        <v>43881</v>
      </c>
      <c r="E42" s="6">
        <v>1467820.26</v>
      </c>
      <c r="F42" s="6">
        <v>2938</v>
      </c>
      <c r="G42" s="5">
        <f t="shared" si="1"/>
        <v>499.5984547311096</v>
      </c>
    </row>
    <row r="43" spans="4:7" x14ac:dyDescent="0.25">
      <c r="D43" s="8">
        <v>43910</v>
      </c>
      <c r="E43" s="6">
        <v>1452679.63</v>
      </c>
      <c r="F43" s="6">
        <v>2948</v>
      </c>
      <c r="G43" s="5">
        <f t="shared" si="1"/>
        <v>492.76785278154676</v>
      </c>
    </row>
    <row r="44" spans="4:7" x14ac:dyDescent="0.25">
      <c r="D44" s="8">
        <v>43941</v>
      </c>
      <c r="E44" s="6">
        <v>1327476.01</v>
      </c>
      <c r="F44" s="6">
        <v>2949</v>
      </c>
      <c r="G44" s="5">
        <f t="shared" si="1"/>
        <v>450.1444591386911</v>
      </c>
    </row>
    <row r="45" spans="4:7" x14ac:dyDescent="0.25">
      <c r="D45" s="8">
        <v>43971</v>
      </c>
      <c r="E45" s="6">
        <v>1152997.23</v>
      </c>
      <c r="F45" s="6">
        <v>2952</v>
      </c>
      <c r="G45" s="5">
        <f t="shared" si="1"/>
        <v>390.58171747967481</v>
      </c>
    </row>
    <row r="46" spans="4:7" x14ac:dyDescent="0.25">
      <c r="D46" s="8"/>
      <c r="E46" s="6"/>
      <c r="F46" s="6"/>
      <c r="G46" s="5"/>
    </row>
    <row r="47" spans="4:7" x14ac:dyDescent="0.25">
      <c r="D47" s="8"/>
      <c r="E47" s="6"/>
      <c r="F47" s="6"/>
      <c r="G47" s="5"/>
    </row>
    <row r="48" spans="4:7" x14ac:dyDescent="0.25">
      <c r="D48" s="8"/>
      <c r="E48" s="6"/>
      <c r="F48" s="6"/>
      <c r="G48" s="5"/>
    </row>
    <row r="49" spans="1:8" x14ac:dyDescent="0.25">
      <c r="D49" s="8"/>
      <c r="E49" s="6"/>
      <c r="F49" s="6"/>
      <c r="G49" s="5"/>
    </row>
    <row r="50" spans="1:8" x14ac:dyDescent="0.25">
      <c r="D50" s="8"/>
      <c r="E50" s="6"/>
      <c r="F50" s="6"/>
      <c r="G50" s="5"/>
    </row>
    <row r="51" spans="1:8" x14ac:dyDescent="0.25">
      <c r="D51" s="8"/>
      <c r="E51" s="6"/>
      <c r="F51" s="6"/>
      <c r="G51" s="5"/>
    </row>
    <row r="52" spans="1:8" x14ac:dyDescent="0.25">
      <c r="D52" s="8"/>
      <c r="E52" s="6"/>
      <c r="F52" s="6"/>
      <c r="G52" s="5"/>
    </row>
    <row r="53" spans="1:8" x14ac:dyDescent="0.25">
      <c r="H53" s="2" t="s">
        <v>31</v>
      </c>
    </row>
    <row r="54" spans="1:8" x14ac:dyDescent="0.25">
      <c r="H54" s="2" t="s">
        <v>147</v>
      </c>
    </row>
    <row r="55" spans="1:8" x14ac:dyDescent="0.25">
      <c r="H55" s="2" t="s">
        <v>1</v>
      </c>
    </row>
    <row r="57" spans="1:8" x14ac:dyDescent="0.25">
      <c r="A57" s="45" t="s">
        <v>4</v>
      </c>
      <c r="B57" s="45"/>
      <c r="C57" s="45"/>
      <c r="D57" s="45"/>
      <c r="E57" s="45"/>
      <c r="F57" s="45"/>
      <c r="G57" s="45"/>
      <c r="H57" s="45"/>
    </row>
    <row r="58" spans="1:8" x14ac:dyDescent="0.25">
      <c r="A58" s="45" t="s">
        <v>2</v>
      </c>
      <c r="B58" s="45"/>
      <c r="C58" s="45"/>
      <c r="D58" s="45"/>
      <c r="E58" s="45"/>
      <c r="F58" s="45"/>
      <c r="G58" s="45"/>
      <c r="H58" s="45"/>
    </row>
    <row r="59" spans="1:8" x14ac:dyDescent="0.25">
      <c r="A59" s="45" t="s">
        <v>3</v>
      </c>
      <c r="B59" s="45"/>
      <c r="C59" s="45"/>
      <c r="D59" s="45"/>
      <c r="E59" s="45"/>
      <c r="F59" s="45"/>
      <c r="G59" s="45"/>
      <c r="H59" s="45"/>
    </row>
    <row r="60" spans="1:8" x14ac:dyDescent="0.25">
      <c r="F60" s="6"/>
    </row>
    <row r="61" spans="1:8" x14ac:dyDescent="0.25">
      <c r="D61" s="45" t="s">
        <v>35</v>
      </c>
      <c r="E61" s="45"/>
      <c r="F61" s="45"/>
      <c r="G61" s="45"/>
    </row>
    <row r="62" spans="1:8" x14ac:dyDescent="0.25">
      <c r="E62" s="3" t="s">
        <v>24</v>
      </c>
      <c r="F62" s="15" t="s">
        <v>24</v>
      </c>
      <c r="G62" s="3" t="s">
        <v>27</v>
      </c>
    </row>
    <row r="63" spans="1:8" x14ac:dyDescent="0.25">
      <c r="D63" s="3" t="s">
        <v>23</v>
      </c>
      <c r="E63" s="3" t="s">
        <v>25</v>
      </c>
      <c r="F63" s="15" t="s">
        <v>26</v>
      </c>
      <c r="G63" s="3" t="s">
        <v>28</v>
      </c>
    </row>
    <row r="64" spans="1:8" x14ac:dyDescent="0.25">
      <c r="D64" s="1">
        <v>2017</v>
      </c>
      <c r="E64" s="9">
        <v>22451219.52</v>
      </c>
      <c r="F64" s="6">
        <v>128</v>
      </c>
      <c r="G64" s="9">
        <f>E64/F64</f>
        <v>175400.1525</v>
      </c>
    </row>
    <row r="65" spans="4:7" x14ac:dyDescent="0.25">
      <c r="D65" s="1">
        <v>2018</v>
      </c>
      <c r="E65" s="6">
        <v>22621294.75</v>
      </c>
      <c r="F65" s="6">
        <v>132</v>
      </c>
      <c r="G65" s="5">
        <f>E65/F65</f>
        <v>171373.44507575757</v>
      </c>
    </row>
    <row r="66" spans="4:7" x14ac:dyDescent="0.25">
      <c r="D66" s="1">
        <v>2019</v>
      </c>
      <c r="E66" s="6">
        <v>21585713.579999998</v>
      </c>
      <c r="F66" s="6">
        <v>120</v>
      </c>
      <c r="G66" s="5">
        <f t="shared" ref="G66:G71" si="2">E66/F66</f>
        <v>179880.94649999999</v>
      </c>
    </row>
    <row r="67" spans="4:7" x14ac:dyDescent="0.25">
      <c r="D67" s="8">
        <v>43850</v>
      </c>
      <c r="E67" s="6">
        <v>1329935.6299999999</v>
      </c>
      <c r="F67" s="6">
        <v>10</v>
      </c>
      <c r="G67" s="5">
        <f t="shared" si="2"/>
        <v>132993.56299999999</v>
      </c>
    </row>
    <row r="68" spans="4:7" x14ac:dyDescent="0.25">
      <c r="D68" s="8">
        <v>43881</v>
      </c>
      <c r="E68" s="6">
        <v>1777924.66</v>
      </c>
      <c r="F68" s="6">
        <v>10</v>
      </c>
      <c r="G68" s="5">
        <f t="shared" si="2"/>
        <v>177792.46599999999</v>
      </c>
    </row>
    <row r="69" spans="4:7" x14ac:dyDescent="0.25">
      <c r="D69" s="8">
        <v>43910</v>
      </c>
      <c r="E69" s="6">
        <v>1631337.79</v>
      </c>
      <c r="F69" s="6">
        <v>10</v>
      </c>
      <c r="G69" s="5">
        <f t="shared" si="2"/>
        <v>163133.77900000001</v>
      </c>
    </row>
    <row r="70" spans="4:7" x14ac:dyDescent="0.25">
      <c r="D70" s="8">
        <v>43941</v>
      </c>
      <c r="E70" s="6">
        <v>1427100.67</v>
      </c>
      <c r="F70" s="6">
        <v>10</v>
      </c>
      <c r="G70" s="5">
        <f t="shared" si="2"/>
        <v>142710.06699999998</v>
      </c>
    </row>
    <row r="71" spans="4:7" x14ac:dyDescent="0.25">
      <c r="D71" s="8">
        <v>43971</v>
      </c>
      <c r="E71" s="6">
        <v>1355182.75</v>
      </c>
      <c r="F71" s="6">
        <v>10</v>
      </c>
      <c r="G71" s="5">
        <f t="shared" si="2"/>
        <v>135518.27499999999</v>
      </c>
    </row>
    <row r="72" spans="4:7" x14ac:dyDescent="0.25">
      <c r="F72" s="6"/>
    </row>
    <row r="73" spans="4:7" x14ac:dyDescent="0.25">
      <c r="D73" s="45" t="s">
        <v>10</v>
      </c>
      <c r="E73" s="45"/>
      <c r="F73" s="45"/>
      <c r="G73" s="45"/>
    </row>
    <row r="74" spans="4:7" x14ac:dyDescent="0.25">
      <c r="E74" s="3" t="s">
        <v>24</v>
      </c>
      <c r="F74" s="15" t="s">
        <v>24</v>
      </c>
      <c r="G74" s="3" t="s">
        <v>27</v>
      </c>
    </row>
    <row r="75" spans="4:7" x14ac:dyDescent="0.25">
      <c r="D75" s="3" t="s">
        <v>23</v>
      </c>
      <c r="E75" s="3" t="s">
        <v>25</v>
      </c>
      <c r="F75" s="15" t="s">
        <v>26</v>
      </c>
      <c r="G75" s="3" t="s">
        <v>28</v>
      </c>
    </row>
    <row r="76" spans="4:7" x14ac:dyDescent="0.25">
      <c r="D76" s="1">
        <v>2017</v>
      </c>
      <c r="E76" s="9">
        <v>488187.05</v>
      </c>
      <c r="F76" s="6">
        <v>204</v>
      </c>
      <c r="G76" s="9">
        <f>E76/F76</f>
        <v>2393.073774509804</v>
      </c>
    </row>
    <row r="77" spans="4:7" x14ac:dyDescent="0.25">
      <c r="D77" s="1">
        <v>2018</v>
      </c>
      <c r="E77" s="6">
        <v>493033.71</v>
      </c>
      <c r="F77" s="6">
        <v>232</v>
      </c>
      <c r="G77" s="5">
        <f>E77/F77</f>
        <v>2125.1453017241379</v>
      </c>
    </row>
    <row r="78" spans="4:7" x14ac:dyDescent="0.25">
      <c r="D78" s="1">
        <v>2019</v>
      </c>
      <c r="E78" s="6">
        <v>541070.61</v>
      </c>
      <c r="F78" s="6">
        <v>348</v>
      </c>
      <c r="G78" s="5">
        <f t="shared" ref="G78:G83" si="3">E78/F78</f>
        <v>1554.8006034482758</v>
      </c>
    </row>
    <row r="79" spans="4:7" x14ac:dyDescent="0.25">
      <c r="D79" s="8">
        <v>43850</v>
      </c>
      <c r="E79" s="6">
        <v>47085.66</v>
      </c>
      <c r="F79" s="6">
        <v>29</v>
      </c>
      <c r="G79" s="5">
        <f t="shared" si="3"/>
        <v>1623.6434482758623</v>
      </c>
    </row>
    <row r="80" spans="4:7" x14ac:dyDescent="0.25">
      <c r="D80" s="8">
        <v>43881</v>
      </c>
      <c r="E80" s="6">
        <v>46532.32</v>
      </c>
      <c r="F80" s="6">
        <v>29</v>
      </c>
      <c r="G80" s="5">
        <f t="shared" si="3"/>
        <v>1604.5627586206897</v>
      </c>
    </row>
    <row r="81" spans="4:7" x14ac:dyDescent="0.25">
      <c r="D81" s="8">
        <v>43910</v>
      </c>
      <c r="E81" s="6">
        <v>45812.57</v>
      </c>
      <c r="F81" s="6">
        <v>29</v>
      </c>
      <c r="G81" s="5">
        <f t="shared" si="3"/>
        <v>1579.7437931034483</v>
      </c>
    </row>
    <row r="82" spans="4:7" x14ac:dyDescent="0.25">
      <c r="D82" s="8">
        <v>43941</v>
      </c>
      <c r="E82" s="6">
        <v>45869.89</v>
      </c>
      <c r="F82" s="6">
        <v>29</v>
      </c>
      <c r="G82" s="5">
        <f t="shared" si="3"/>
        <v>1581.7203448275861</v>
      </c>
    </row>
    <row r="83" spans="4:7" x14ac:dyDescent="0.25">
      <c r="D83" s="8">
        <v>43971</v>
      </c>
      <c r="E83" s="6">
        <v>46242.29</v>
      </c>
      <c r="F83" s="6">
        <v>29</v>
      </c>
      <c r="G83" s="5">
        <f t="shared" si="3"/>
        <v>1594.5617241379312</v>
      </c>
    </row>
    <row r="84" spans="4:7" x14ac:dyDescent="0.25">
      <c r="F84" s="6"/>
    </row>
    <row r="85" spans="4:7" x14ac:dyDescent="0.25">
      <c r="D85" s="45" t="s">
        <v>24</v>
      </c>
      <c r="E85" s="45"/>
      <c r="F85" s="45"/>
      <c r="G85" s="45"/>
    </row>
    <row r="86" spans="4:7" x14ac:dyDescent="0.25">
      <c r="E86" s="3" t="s">
        <v>24</v>
      </c>
      <c r="F86" s="15" t="s">
        <v>24</v>
      </c>
      <c r="G86" s="3" t="s">
        <v>27</v>
      </c>
    </row>
    <row r="87" spans="4:7" x14ac:dyDescent="0.25">
      <c r="D87" s="3" t="s">
        <v>23</v>
      </c>
      <c r="E87" s="3" t="s">
        <v>25</v>
      </c>
      <c r="F87" s="15" t="s">
        <v>26</v>
      </c>
      <c r="G87" s="3" t="s">
        <v>28</v>
      </c>
    </row>
    <row r="88" spans="4:7" x14ac:dyDescent="0.25">
      <c r="D88" s="1">
        <v>2017</v>
      </c>
      <c r="E88" s="9">
        <f t="shared" ref="E88:F95" si="4">+E26+E38+E64+E76</f>
        <v>135184035.45000002</v>
      </c>
      <c r="F88" s="6">
        <f t="shared" si="4"/>
        <v>694946</v>
      </c>
      <c r="G88" s="9">
        <f>+E88/F88</f>
        <v>194.52451766036501</v>
      </c>
    </row>
    <row r="89" spans="4:7" x14ac:dyDescent="0.25">
      <c r="D89" s="1">
        <v>2018</v>
      </c>
      <c r="E89" s="6">
        <f t="shared" si="4"/>
        <v>146112582.95000002</v>
      </c>
      <c r="F89" s="6">
        <f t="shared" si="4"/>
        <v>701323</v>
      </c>
      <c r="G89" s="5">
        <f>E89/F89</f>
        <v>208.33850158913941</v>
      </c>
    </row>
    <row r="90" spans="4:7" x14ac:dyDescent="0.25">
      <c r="D90" s="1">
        <v>2019</v>
      </c>
      <c r="E90" s="6">
        <f t="shared" si="4"/>
        <v>140016440.38</v>
      </c>
      <c r="F90" s="6">
        <f t="shared" si="4"/>
        <v>707613</v>
      </c>
      <c r="G90" s="5">
        <f t="shared" ref="G90:G95" si="5">E90/F90</f>
        <v>197.87149244007671</v>
      </c>
    </row>
    <row r="91" spans="4:7" x14ac:dyDescent="0.25">
      <c r="D91" s="8">
        <v>43850</v>
      </c>
      <c r="E91" s="6">
        <f t="shared" si="4"/>
        <v>12218274.739999998</v>
      </c>
      <c r="F91" s="6">
        <f t="shared" si="4"/>
        <v>59340</v>
      </c>
      <c r="G91" s="5">
        <f t="shared" si="5"/>
        <v>205.90284361307715</v>
      </c>
    </row>
    <row r="92" spans="4:7" x14ac:dyDescent="0.25">
      <c r="D92" s="8">
        <v>43881</v>
      </c>
      <c r="E92" s="6">
        <f t="shared" si="4"/>
        <v>13378264.890000001</v>
      </c>
      <c r="F92" s="6">
        <f t="shared" si="4"/>
        <v>59265</v>
      </c>
      <c r="G92" s="5">
        <f t="shared" si="5"/>
        <v>225.73635180966843</v>
      </c>
    </row>
    <row r="93" spans="4:7" x14ac:dyDescent="0.25">
      <c r="D93" s="8">
        <v>43910</v>
      </c>
      <c r="E93" s="6">
        <f t="shared" si="4"/>
        <v>11871714.789999999</v>
      </c>
      <c r="F93" s="6">
        <f t="shared" si="4"/>
        <v>59486</v>
      </c>
      <c r="G93" s="5">
        <f t="shared" si="5"/>
        <v>199.57157633728943</v>
      </c>
    </row>
    <row r="94" spans="4:7" x14ac:dyDescent="0.25">
      <c r="D94" s="8">
        <v>43941</v>
      </c>
      <c r="E94" s="6">
        <f t="shared" si="4"/>
        <v>10008513.91</v>
      </c>
      <c r="F94" s="6">
        <f t="shared" si="4"/>
        <v>59553</v>
      </c>
      <c r="G94" s="5">
        <f t="shared" si="5"/>
        <v>168.06061676154013</v>
      </c>
    </row>
    <row r="95" spans="4:7" x14ac:dyDescent="0.25">
      <c r="D95" s="8">
        <v>43971</v>
      </c>
      <c r="E95" s="6">
        <f t="shared" si="4"/>
        <v>9175011.6199999992</v>
      </c>
      <c r="F95" s="6">
        <f t="shared" si="4"/>
        <v>59653</v>
      </c>
      <c r="G95" s="5">
        <f t="shared" si="5"/>
        <v>153.80637386216952</v>
      </c>
    </row>
  </sheetData>
  <mergeCells count="11">
    <mergeCell ref="A5:H5"/>
    <mergeCell ref="A6:H6"/>
    <mergeCell ref="A7:H7"/>
    <mergeCell ref="D23:G23"/>
    <mergeCell ref="D35:G35"/>
    <mergeCell ref="D73:G73"/>
    <mergeCell ref="D85:G85"/>
    <mergeCell ref="A57:H57"/>
    <mergeCell ref="A58:H58"/>
    <mergeCell ref="A59:H59"/>
    <mergeCell ref="D61:G61"/>
  </mergeCells>
  <pageMargins left="0.7" right="0.7" top="0.75" bottom="0.75" header="0.3" footer="0.3"/>
  <pageSetup scale="8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633B8-0F1B-4668-89E4-38028436C848}">
  <sheetPr>
    <tabColor theme="9"/>
    <pageSetUpPr fitToPage="1"/>
  </sheetPr>
  <dimension ref="A1:H30"/>
  <sheetViews>
    <sheetView topLeftCell="A25" workbookViewId="0">
      <selection activeCell="C10" sqref="C10"/>
    </sheetView>
  </sheetViews>
  <sheetFormatPr defaultRowHeight="15" x14ac:dyDescent="0.25"/>
  <cols>
    <col min="1" max="1" width="6.7109375" customWidth="1"/>
    <col min="2" max="2" width="10.140625" customWidth="1"/>
    <col min="3" max="3" width="9.5703125" customWidth="1"/>
    <col min="4" max="4" width="14.140625" customWidth="1"/>
    <col min="5" max="5" width="15.28515625" bestFit="1" customWidth="1"/>
    <col min="6" max="6" width="9.28515625" customWidth="1"/>
    <col min="7" max="7" width="15.7109375" customWidth="1"/>
    <col min="8" max="8" width="20.28515625" customWidth="1"/>
  </cols>
  <sheetData>
    <row r="1" spans="1:8" x14ac:dyDescent="0.25">
      <c r="H1" s="2" t="s">
        <v>36</v>
      </c>
    </row>
    <row r="2" spans="1:8" x14ac:dyDescent="0.25">
      <c r="H2" s="2" t="s">
        <v>79</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t="s">
        <v>180</v>
      </c>
      <c r="C9" t="s">
        <v>14</v>
      </c>
    </row>
    <row r="10" spans="1:8" x14ac:dyDescent="0.25">
      <c r="C10" t="s">
        <v>220</v>
      </c>
    </row>
    <row r="11" spans="1:8" x14ac:dyDescent="0.25">
      <c r="C11" t="s">
        <v>15</v>
      </c>
    </row>
    <row r="12" spans="1:8" x14ac:dyDescent="0.25">
      <c r="C12" t="s">
        <v>37</v>
      </c>
    </row>
    <row r="13" spans="1:8" x14ac:dyDescent="0.25">
      <c r="C13" t="s">
        <v>38</v>
      </c>
    </row>
    <row r="14" spans="1:8" x14ac:dyDescent="0.25">
      <c r="D14" t="s">
        <v>19</v>
      </c>
    </row>
    <row r="15" spans="1:8" x14ac:dyDescent="0.25">
      <c r="D15" t="s">
        <v>20</v>
      </c>
    </row>
    <row r="16" spans="1:8" x14ac:dyDescent="0.25">
      <c r="D16" t="s">
        <v>21</v>
      </c>
    </row>
    <row r="17" spans="2:7" x14ac:dyDescent="0.25">
      <c r="D17" t="s">
        <v>22</v>
      </c>
    </row>
    <row r="19" spans="2:7" x14ac:dyDescent="0.25">
      <c r="B19" s="4" t="s">
        <v>7</v>
      </c>
      <c r="C19" t="s">
        <v>32</v>
      </c>
    </row>
    <row r="21" spans="2:7" x14ac:dyDescent="0.25">
      <c r="B21" s="4"/>
      <c r="E21" s="3" t="s">
        <v>24</v>
      </c>
      <c r="F21" s="3" t="s">
        <v>24</v>
      </c>
      <c r="G21" s="3" t="s">
        <v>27</v>
      </c>
    </row>
    <row r="22" spans="2:7" x14ac:dyDescent="0.25">
      <c r="D22" s="3" t="s">
        <v>23</v>
      </c>
      <c r="E22" s="3" t="s">
        <v>25</v>
      </c>
      <c r="F22" s="3" t="s">
        <v>26</v>
      </c>
      <c r="G22" s="3" t="s">
        <v>28</v>
      </c>
    </row>
    <row r="23" spans="2:7" x14ac:dyDescent="0.25">
      <c r="D23" s="1">
        <v>2017</v>
      </c>
      <c r="E23" s="10">
        <v>125835380.73999999</v>
      </c>
      <c r="F23" s="6">
        <v>694946</v>
      </c>
      <c r="G23" s="9">
        <f>+E23/F23</f>
        <v>181.07217070103289</v>
      </c>
    </row>
    <row r="24" spans="2:7" x14ac:dyDescent="0.25">
      <c r="D24" s="1">
        <v>2018</v>
      </c>
      <c r="E24" s="6">
        <v>137207278.00999999</v>
      </c>
      <c r="F24" s="6">
        <v>701323</v>
      </c>
      <c r="G24" s="5">
        <f t="shared" ref="G24:G30" si="0">+E24/F24</f>
        <v>195.64063635443296</v>
      </c>
    </row>
    <row r="25" spans="2:7" x14ac:dyDescent="0.25">
      <c r="D25" s="1">
        <v>2019</v>
      </c>
      <c r="E25" s="6">
        <v>131748346.17</v>
      </c>
      <c r="F25" s="6">
        <v>707613</v>
      </c>
      <c r="G25" s="5">
        <f t="shared" si="0"/>
        <v>186.18700641452318</v>
      </c>
    </row>
    <row r="26" spans="2:7" x14ac:dyDescent="0.25">
      <c r="D26" s="8">
        <v>43850</v>
      </c>
      <c r="E26" s="6">
        <v>11449662.77</v>
      </c>
      <c r="F26" s="6">
        <v>59340</v>
      </c>
      <c r="G26" s="5">
        <f t="shared" si="0"/>
        <v>192.95016464442196</v>
      </c>
    </row>
    <row r="27" spans="2:7" x14ac:dyDescent="0.25">
      <c r="D27" s="8">
        <v>43881</v>
      </c>
      <c r="E27" s="6">
        <v>12619063.42</v>
      </c>
      <c r="F27" s="6">
        <v>59265</v>
      </c>
      <c r="G27" s="5">
        <f t="shared" si="0"/>
        <v>212.92606799966254</v>
      </c>
    </row>
    <row r="28" spans="2:7" x14ac:dyDescent="0.25">
      <c r="D28" s="8">
        <v>43910</v>
      </c>
      <c r="E28" s="6">
        <v>10967416.5</v>
      </c>
      <c r="F28" s="6">
        <v>59486</v>
      </c>
      <c r="G28" s="5">
        <f t="shared" si="0"/>
        <v>184.36970883905457</v>
      </c>
    </row>
    <row r="29" spans="2:7" x14ac:dyDescent="0.25">
      <c r="D29" s="8">
        <v>43941</v>
      </c>
      <c r="E29" s="6">
        <v>9055613.0199999996</v>
      </c>
      <c r="F29" s="6">
        <v>59553</v>
      </c>
      <c r="G29" s="5">
        <f t="shared" si="0"/>
        <v>152.05972864507245</v>
      </c>
    </row>
    <row r="30" spans="2:7" x14ac:dyDescent="0.25">
      <c r="D30" s="8">
        <v>43971</v>
      </c>
      <c r="E30" s="6">
        <v>8316085.2800000003</v>
      </c>
      <c r="F30" s="6">
        <v>59653</v>
      </c>
      <c r="G30" s="5">
        <f t="shared" si="0"/>
        <v>139.40766231371433</v>
      </c>
    </row>
  </sheetData>
  <mergeCells count="3">
    <mergeCell ref="A5:H5"/>
    <mergeCell ref="A6:H6"/>
    <mergeCell ref="A7:H7"/>
  </mergeCells>
  <pageMargins left="0.7" right="0.7" top="0.75" bottom="0.75" header="0.3" footer="0.3"/>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28F48-5029-4AC5-B304-D05219C0326D}">
  <sheetPr>
    <tabColor theme="9"/>
    <pageSetUpPr fitToPage="1"/>
  </sheetPr>
  <dimension ref="A1:H94"/>
  <sheetViews>
    <sheetView topLeftCell="A92" workbookViewId="0">
      <selection activeCell="C10" sqref="C10"/>
    </sheetView>
  </sheetViews>
  <sheetFormatPr defaultRowHeight="15" x14ac:dyDescent="0.25"/>
  <cols>
    <col min="1" max="1" width="6.7109375" customWidth="1"/>
    <col min="2" max="2" width="10.140625" customWidth="1"/>
    <col min="3" max="3" width="9.5703125" customWidth="1"/>
    <col min="4" max="4" width="14.140625" customWidth="1"/>
    <col min="5" max="5" width="16.28515625" bestFit="1" customWidth="1"/>
    <col min="6" max="6" width="9.28515625" customWidth="1"/>
    <col min="7" max="7" width="12.5703125" customWidth="1"/>
    <col min="8" max="8" width="19" customWidth="1"/>
  </cols>
  <sheetData>
    <row r="1" spans="1:8" x14ac:dyDescent="0.25">
      <c r="H1" s="2" t="s">
        <v>39</v>
      </c>
    </row>
    <row r="2" spans="1:8" x14ac:dyDescent="0.25">
      <c r="H2" s="2" t="s">
        <v>148</v>
      </c>
    </row>
    <row r="3" spans="1:8" x14ac:dyDescent="0.25">
      <c r="H3" s="2" t="s">
        <v>1</v>
      </c>
    </row>
    <row r="5" spans="1:8" x14ac:dyDescent="0.25">
      <c r="A5" s="45" t="s">
        <v>4</v>
      </c>
      <c r="B5" s="45"/>
      <c r="C5" s="45"/>
      <c r="D5" s="45"/>
      <c r="E5" s="45"/>
      <c r="F5" s="45"/>
      <c r="G5" s="45"/>
      <c r="H5" s="45"/>
    </row>
    <row r="6" spans="1:8" x14ac:dyDescent="0.25">
      <c r="A6" s="45" t="s">
        <v>2</v>
      </c>
      <c r="B6" s="45"/>
      <c r="C6" s="45"/>
      <c r="D6" s="45"/>
      <c r="E6" s="45"/>
      <c r="F6" s="45"/>
      <c r="G6" s="45"/>
      <c r="H6" s="45"/>
    </row>
    <row r="7" spans="1:8" x14ac:dyDescent="0.25">
      <c r="A7" s="45" t="s">
        <v>3</v>
      </c>
      <c r="B7" s="45"/>
      <c r="C7" s="45"/>
      <c r="D7" s="45"/>
      <c r="E7" s="45"/>
      <c r="F7" s="45"/>
      <c r="G7" s="45"/>
      <c r="H7" s="45"/>
    </row>
    <row r="9" spans="1:8" x14ac:dyDescent="0.25">
      <c r="B9" s="3">
        <v>6</v>
      </c>
      <c r="C9" t="s">
        <v>14</v>
      </c>
    </row>
    <row r="10" spans="1:8" x14ac:dyDescent="0.25">
      <c r="C10" t="s">
        <v>220</v>
      </c>
    </row>
    <row r="11" spans="1:8" x14ac:dyDescent="0.25">
      <c r="C11" t="s">
        <v>15</v>
      </c>
    </row>
    <row r="12" spans="1:8" x14ac:dyDescent="0.25">
      <c r="C12" t="s">
        <v>37</v>
      </c>
    </row>
    <row r="13" spans="1:8" x14ac:dyDescent="0.25">
      <c r="C13" t="s">
        <v>40</v>
      </c>
    </row>
    <row r="14" spans="1:8" x14ac:dyDescent="0.25">
      <c r="D14" t="s">
        <v>19</v>
      </c>
    </row>
    <row r="15" spans="1:8" x14ac:dyDescent="0.25">
      <c r="D15" t="s">
        <v>20</v>
      </c>
    </row>
    <row r="16" spans="1:8" x14ac:dyDescent="0.25">
      <c r="D16" t="s">
        <v>21</v>
      </c>
    </row>
    <row r="17" spans="2:7" x14ac:dyDescent="0.25">
      <c r="D17" t="s">
        <v>22</v>
      </c>
    </row>
    <row r="18" spans="2:7" x14ac:dyDescent="0.25">
      <c r="C18" t="s">
        <v>29</v>
      </c>
    </row>
    <row r="19" spans="2:7" x14ac:dyDescent="0.25">
      <c r="C19" t="s">
        <v>30</v>
      </c>
    </row>
    <row r="21" spans="2:7" x14ac:dyDescent="0.25">
      <c r="B21" s="4" t="s">
        <v>7</v>
      </c>
      <c r="C21" t="s">
        <v>32</v>
      </c>
    </row>
    <row r="23" spans="2:7" x14ac:dyDescent="0.25">
      <c r="D23" s="45" t="s">
        <v>9</v>
      </c>
      <c r="E23" s="45"/>
      <c r="F23" s="45"/>
      <c r="G23" s="45"/>
    </row>
    <row r="24" spans="2:7" x14ac:dyDescent="0.25">
      <c r="B24" s="4"/>
      <c r="E24" s="3" t="s">
        <v>24</v>
      </c>
      <c r="F24" s="3" t="s">
        <v>24</v>
      </c>
      <c r="G24" s="3" t="s">
        <v>27</v>
      </c>
    </row>
    <row r="25" spans="2:7" x14ac:dyDescent="0.25">
      <c r="D25" s="3" t="s">
        <v>23</v>
      </c>
      <c r="E25" s="3" t="s">
        <v>25</v>
      </c>
      <c r="F25" s="3" t="s">
        <v>26</v>
      </c>
      <c r="G25" s="3" t="s">
        <v>28</v>
      </c>
    </row>
    <row r="26" spans="2:7" x14ac:dyDescent="0.25">
      <c r="D26" s="1">
        <v>2017</v>
      </c>
      <c r="E26" s="10">
        <v>85553025.439999998</v>
      </c>
      <c r="F26" s="6">
        <v>661208</v>
      </c>
      <c r="G26" s="9">
        <f>E26/F26</f>
        <v>129.38897508802071</v>
      </c>
    </row>
    <row r="27" spans="2:7" x14ac:dyDescent="0.25">
      <c r="D27" s="1">
        <v>2018</v>
      </c>
      <c r="E27" s="6">
        <v>95617931.019999996</v>
      </c>
      <c r="F27" s="6">
        <v>666854</v>
      </c>
      <c r="G27" s="5">
        <f>E27/F27</f>
        <v>143.38660489402477</v>
      </c>
    </row>
    <row r="28" spans="2:7" x14ac:dyDescent="0.25">
      <c r="D28" s="1">
        <v>2019</v>
      </c>
      <c r="E28" s="6">
        <v>91569031.109999999</v>
      </c>
      <c r="F28" s="6">
        <v>672285</v>
      </c>
      <c r="G28" s="5">
        <f>E28/F28</f>
        <v>136.2056733528191</v>
      </c>
    </row>
    <row r="29" spans="2:7" x14ac:dyDescent="0.25">
      <c r="D29" s="8">
        <v>43850</v>
      </c>
      <c r="E29" s="6">
        <v>8626053.6099999994</v>
      </c>
      <c r="F29" s="6">
        <v>56355</v>
      </c>
      <c r="G29" s="5">
        <f t="shared" ref="G29:G33" si="0">E29/F29</f>
        <v>153.06634034247182</v>
      </c>
    </row>
    <row r="30" spans="2:7" x14ac:dyDescent="0.25">
      <c r="D30" s="8">
        <v>43881</v>
      </c>
      <c r="E30" s="6">
        <v>9367295.3399999999</v>
      </c>
      <c r="F30" s="6">
        <v>56288</v>
      </c>
      <c r="G30" s="5">
        <f t="shared" si="0"/>
        <v>166.41727082148947</v>
      </c>
    </row>
    <row r="31" spans="2:7" x14ac:dyDescent="0.25">
      <c r="D31" s="8">
        <v>43910</v>
      </c>
      <c r="E31" s="6">
        <v>7889280.29</v>
      </c>
      <c r="F31" s="6">
        <v>56499</v>
      </c>
      <c r="G31" s="5">
        <f t="shared" si="0"/>
        <v>139.63575089824599</v>
      </c>
    </row>
    <row r="32" spans="2:7" x14ac:dyDescent="0.25">
      <c r="D32" s="8">
        <v>43941</v>
      </c>
      <c r="E32" s="6">
        <v>6317885.2699999996</v>
      </c>
      <c r="F32" s="6">
        <v>56565</v>
      </c>
      <c r="G32" s="5">
        <f t="shared" si="0"/>
        <v>111.69248245381419</v>
      </c>
    </row>
    <row r="33" spans="4:7" x14ac:dyDescent="0.25">
      <c r="D33" s="8">
        <v>43971</v>
      </c>
      <c r="E33" s="6">
        <v>5842074.9100000001</v>
      </c>
      <c r="F33" s="6">
        <v>56662</v>
      </c>
      <c r="G33" s="5">
        <f t="shared" si="0"/>
        <v>103.10393050015884</v>
      </c>
    </row>
    <row r="34" spans="4:7" x14ac:dyDescent="0.25">
      <c r="G34" s="9"/>
    </row>
    <row r="35" spans="4:7" x14ac:dyDescent="0.25">
      <c r="D35" s="45" t="s">
        <v>34</v>
      </c>
      <c r="E35" s="45"/>
      <c r="F35" s="45"/>
      <c r="G35" s="45"/>
    </row>
    <row r="36" spans="4:7" x14ac:dyDescent="0.25">
      <c r="E36" s="3" t="s">
        <v>24</v>
      </c>
      <c r="F36" s="3" t="s">
        <v>24</v>
      </c>
      <c r="G36" s="3" t="s">
        <v>27</v>
      </c>
    </row>
    <row r="37" spans="4:7" x14ac:dyDescent="0.25">
      <c r="D37" s="3" t="s">
        <v>23</v>
      </c>
      <c r="E37" s="3" t="s">
        <v>25</v>
      </c>
      <c r="F37" s="3" t="s">
        <v>26</v>
      </c>
      <c r="G37" s="3" t="s">
        <v>28</v>
      </c>
    </row>
    <row r="38" spans="4:7" x14ac:dyDescent="0.25">
      <c r="D38" s="1">
        <v>2017</v>
      </c>
      <c r="E38" s="10">
        <v>18028014.539999999</v>
      </c>
      <c r="F38" s="6">
        <v>33406</v>
      </c>
      <c r="G38" s="9">
        <f>E38/F38</f>
        <v>539.66396874812904</v>
      </c>
    </row>
    <row r="39" spans="4:7" x14ac:dyDescent="0.25">
      <c r="D39" s="1">
        <v>2018</v>
      </c>
      <c r="E39" s="6">
        <v>18483845.289999999</v>
      </c>
      <c r="F39" s="6">
        <v>34105</v>
      </c>
      <c r="G39" s="5">
        <f>E39/F39</f>
        <v>541.9687814103504</v>
      </c>
    </row>
    <row r="40" spans="4:7" x14ac:dyDescent="0.25">
      <c r="D40" s="1">
        <v>2019</v>
      </c>
      <c r="E40" s="6">
        <v>18135784.41</v>
      </c>
      <c r="F40" s="6">
        <v>34860</v>
      </c>
      <c r="G40" s="5">
        <f>E40/F40</f>
        <v>520.24625387263336</v>
      </c>
    </row>
    <row r="41" spans="4:7" x14ac:dyDescent="0.25">
      <c r="D41" s="8">
        <v>43850</v>
      </c>
      <c r="E41" s="6">
        <v>1446587.87</v>
      </c>
      <c r="F41" s="6">
        <v>2946</v>
      </c>
      <c r="G41" s="5">
        <f t="shared" ref="G41:G45" si="1">E41/F41</f>
        <v>491.03457909029197</v>
      </c>
    </row>
    <row r="42" spans="4:7" x14ac:dyDescent="0.25">
      <c r="D42" s="8">
        <v>43881</v>
      </c>
      <c r="E42" s="6">
        <v>1427312.12</v>
      </c>
      <c r="F42" s="6">
        <v>2938</v>
      </c>
      <c r="G42" s="5">
        <f t="shared" si="1"/>
        <v>485.81079646017702</v>
      </c>
    </row>
    <row r="43" spans="4:7" x14ac:dyDescent="0.25">
      <c r="D43" s="8">
        <v>43910</v>
      </c>
      <c r="E43" s="6">
        <v>1401005.36</v>
      </c>
      <c r="F43" s="6">
        <v>2948</v>
      </c>
      <c r="G43" s="5">
        <f t="shared" si="1"/>
        <v>475.23926729986437</v>
      </c>
    </row>
    <row r="44" spans="4:7" x14ac:dyDescent="0.25">
      <c r="D44" s="8">
        <v>43941</v>
      </c>
      <c r="E44" s="6">
        <v>1264757.19</v>
      </c>
      <c r="F44" s="6">
        <v>2949</v>
      </c>
      <c r="G44" s="5">
        <f t="shared" si="1"/>
        <v>428.87663275686674</v>
      </c>
    </row>
    <row r="45" spans="4:7" x14ac:dyDescent="0.25">
      <c r="D45" s="8">
        <v>43971</v>
      </c>
      <c r="E45" s="6">
        <v>1072586.08</v>
      </c>
      <c r="F45" s="6">
        <v>2952</v>
      </c>
      <c r="G45" s="5">
        <f t="shared" si="1"/>
        <v>363.34216802168027</v>
      </c>
    </row>
    <row r="46" spans="4:7" x14ac:dyDescent="0.25">
      <c r="F46" s="5"/>
    </row>
    <row r="47" spans="4:7" x14ac:dyDescent="0.25">
      <c r="F47" s="5"/>
    </row>
    <row r="48" spans="4:7" x14ac:dyDescent="0.25">
      <c r="F48" s="5"/>
    </row>
    <row r="49" spans="1:8" x14ac:dyDescent="0.25">
      <c r="F49" s="5"/>
    </row>
    <row r="50" spans="1:8" x14ac:dyDescent="0.25">
      <c r="F50" s="5"/>
    </row>
    <row r="51" spans="1:8" x14ac:dyDescent="0.25">
      <c r="F51" s="5"/>
    </row>
    <row r="52" spans="1:8" x14ac:dyDescent="0.25">
      <c r="H52" s="2" t="s">
        <v>39</v>
      </c>
    </row>
    <row r="53" spans="1:8" x14ac:dyDescent="0.25">
      <c r="H53" s="2" t="s">
        <v>147</v>
      </c>
    </row>
    <row r="54" spans="1:8" x14ac:dyDescent="0.25">
      <c r="H54" s="2" t="s">
        <v>1</v>
      </c>
    </row>
    <row r="56" spans="1:8" x14ac:dyDescent="0.25">
      <c r="A56" s="45" t="s">
        <v>4</v>
      </c>
      <c r="B56" s="45"/>
      <c r="C56" s="45"/>
      <c r="D56" s="45"/>
      <c r="E56" s="45"/>
      <c r="F56" s="45"/>
      <c r="G56" s="45"/>
      <c r="H56" s="45"/>
    </row>
    <row r="57" spans="1:8" x14ac:dyDescent="0.25">
      <c r="A57" s="45" t="s">
        <v>2</v>
      </c>
      <c r="B57" s="45"/>
      <c r="C57" s="45"/>
      <c r="D57" s="45"/>
      <c r="E57" s="45"/>
      <c r="F57" s="45"/>
      <c r="G57" s="45"/>
      <c r="H57" s="45"/>
    </row>
    <row r="58" spans="1:8" x14ac:dyDescent="0.25">
      <c r="A58" s="45" t="s">
        <v>3</v>
      </c>
      <c r="B58" s="45"/>
      <c r="C58" s="45"/>
      <c r="D58" s="45"/>
      <c r="E58" s="45"/>
      <c r="F58" s="45"/>
      <c r="G58" s="45"/>
      <c r="H58" s="45"/>
    </row>
    <row r="59" spans="1:8" x14ac:dyDescent="0.25">
      <c r="F59" s="5"/>
    </row>
    <row r="60" spans="1:8" x14ac:dyDescent="0.25">
      <c r="D60" s="45" t="s">
        <v>35</v>
      </c>
      <c r="E60" s="45"/>
      <c r="F60" s="45"/>
      <c r="G60" s="45"/>
    </row>
    <row r="61" spans="1:8" x14ac:dyDescent="0.25">
      <c r="E61" s="3" t="s">
        <v>24</v>
      </c>
      <c r="F61" s="3" t="s">
        <v>24</v>
      </c>
      <c r="G61" s="3" t="s">
        <v>27</v>
      </c>
    </row>
    <row r="62" spans="1:8" x14ac:dyDescent="0.25">
      <c r="D62" s="3" t="s">
        <v>23</v>
      </c>
      <c r="E62" s="3" t="s">
        <v>25</v>
      </c>
      <c r="F62" s="3" t="s">
        <v>26</v>
      </c>
      <c r="G62" s="3" t="s">
        <v>28</v>
      </c>
    </row>
    <row r="63" spans="1:8" x14ac:dyDescent="0.25">
      <c r="D63" s="1">
        <v>2017</v>
      </c>
      <c r="E63" s="10">
        <v>21778296.699999999</v>
      </c>
      <c r="F63" s="6">
        <v>128</v>
      </c>
      <c r="G63" s="9">
        <f>E63/F63</f>
        <v>170142.94296874999</v>
      </c>
    </row>
    <row r="64" spans="1:8" x14ac:dyDescent="0.25">
      <c r="D64" s="1">
        <v>2018</v>
      </c>
      <c r="E64" s="6">
        <v>22612601.079999998</v>
      </c>
      <c r="F64" s="6">
        <v>132</v>
      </c>
      <c r="G64" s="5">
        <f>E64/F64</f>
        <v>171307.58393939392</v>
      </c>
    </row>
    <row r="65" spans="4:7" x14ac:dyDescent="0.25">
      <c r="D65" s="1">
        <v>2019</v>
      </c>
      <c r="E65" s="6">
        <v>21502662.149999999</v>
      </c>
      <c r="F65" s="6">
        <v>120</v>
      </c>
      <c r="G65" s="5">
        <f>E65/F65</f>
        <v>179188.85124999998</v>
      </c>
    </row>
    <row r="66" spans="4:7" x14ac:dyDescent="0.25">
      <c r="D66" s="8">
        <v>43850</v>
      </c>
      <c r="E66" s="6">
        <v>1329935.6299999999</v>
      </c>
      <c r="F66" s="6">
        <v>10</v>
      </c>
      <c r="G66" s="5">
        <f t="shared" ref="G66:G70" si="2">E66/F66</f>
        <v>132993.56299999999</v>
      </c>
    </row>
    <row r="67" spans="4:7" x14ac:dyDescent="0.25">
      <c r="D67" s="8">
        <v>43881</v>
      </c>
      <c r="E67" s="6">
        <v>1777924.66</v>
      </c>
      <c r="F67" s="6">
        <v>10</v>
      </c>
      <c r="G67" s="5">
        <f t="shared" si="2"/>
        <v>177792.46599999999</v>
      </c>
    </row>
    <row r="68" spans="4:7" x14ac:dyDescent="0.25">
      <c r="D68" s="8">
        <v>43910</v>
      </c>
      <c r="E68" s="6">
        <v>1631337.79</v>
      </c>
      <c r="F68" s="6">
        <v>10</v>
      </c>
      <c r="G68" s="5">
        <f t="shared" si="2"/>
        <v>163133.77900000001</v>
      </c>
    </row>
    <row r="69" spans="4:7" x14ac:dyDescent="0.25">
      <c r="D69" s="8">
        <v>43941</v>
      </c>
      <c r="E69" s="6">
        <v>1427100.67</v>
      </c>
      <c r="F69" s="6">
        <v>10</v>
      </c>
      <c r="G69" s="5">
        <f t="shared" si="2"/>
        <v>142710.06699999998</v>
      </c>
    </row>
    <row r="70" spans="4:7" x14ac:dyDescent="0.25">
      <c r="D70" s="8">
        <v>43971</v>
      </c>
      <c r="E70" s="6">
        <v>1355182.75</v>
      </c>
      <c r="F70" s="6">
        <v>10</v>
      </c>
      <c r="G70" s="5">
        <f t="shared" si="2"/>
        <v>135518.27499999999</v>
      </c>
    </row>
    <row r="72" spans="4:7" x14ac:dyDescent="0.25">
      <c r="D72" s="45" t="s">
        <v>10</v>
      </c>
      <c r="E72" s="45"/>
      <c r="F72" s="45"/>
      <c r="G72" s="45"/>
    </row>
    <row r="73" spans="4:7" x14ac:dyDescent="0.25">
      <c r="E73" s="3" t="s">
        <v>24</v>
      </c>
      <c r="F73" s="3" t="s">
        <v>24</v>
      </c>
      <c r="G73" s="3" t="s">
        <v>27</v>
      </c>
    </row>
    <row r="74" spans="4:7" x14ac:dyDescent="0.25">
      <c r="D74" s="3" t="s">
        <v>23</v>
      </c>
      <c r="E74" s="3" t="s">
        <v>25</v>
      </c>
      <c r="F74" s="3" t="s">
        <v>26</v>
      </c>
      <c r="G74" s="3" t="s">
        <v>28</v>
      </c>
    </row>
    <row r="75" spans="4:7" x14ac:dyDescent="0.25">
      <c r="D75" s="1">
        <v>2017</v>
      </c>
      <c r="E75" s="10">
        <v>476044.06</v>
      </c>
      <c r="F75" s="6">
        <v>204</v>
      </c>
      <c r="G75" s="9">
        <f>E75/F75</f>
        <v>2333.5493137254903</v>
      </c>
    </row>
    <row r="76" spans="4:7" x14ac:dyDescent="0.25">
      <c r="D76" s="1">
        <v>2018</v>
      </c>
      <c r="E76" s="6">
        <v>492900.62</v>
      </c>
      <c r="F76" s="6">
        <v>232</v>
      </c>
      <c r="G76" s="5">
        <f>E76/F76</f>
        <v>2124.5716379310343</v>
      </c>
    </row>
    <row r="77" spans="4:7" x14ac:dyDescent="0.25">
      <c r="D77" s="1">
        <v>2019</v>
      </c>
      <c r="E77" s="6">
        <v>540868.5</v>
      </c>
      <c r="F77" s="6">
        <v>348</v>
      </c>
      <c r="G77" s="5">
        <f>E77/F77</f>
        <v>1554.219827586207</v>
      </c>
    </row>
    <row r="78" spans="4:7" x14ac:dyDescent="0.25">
      <c r="D78" s="8">
        <v>43850</v>
      </c>
      <c r="E78" s="6">
        <v>47085.66</v>
      </c>
      <c r="F78" s="6">
        <v>29</v>
      </c>
      <c r="G78" s="5">
        <f t="shared" ref="G78:G82" si="3">E78/F78</f>
        <v>1623.6434482758623</v>
      </c>
    </row>
    <row r="79" spans="4:7" x14ac:dyDescent="0.25">
      <c r="D79" s="8">
        <v>43881</v>
      </c>
      <c r="E79" s="6">
        <v>46531.3</v>
      </c>
      <c r="F79" s="6">
        <v>29</v>
      </c>
      <c r="G79" s="5">
        <f t="shared" si="3"/>
        <v>1604.5275862068966</v>
      </c>
    </row>
    <row r="80" spans="4:7" x14ac:dyDescent="0.25">
      <c r="D80" s="8">
        <v>43910</v>
      </c>
      <c r="E80" s="6">
        <v>45793.06</v>
      </c>
      <c r="F80" s="6">
        <v>29</v>
      </c>
      <c r="G80" s="5">
        <f t="shared" si="3"/>
        <v>1579.0710344827585</v>
      </c>
    </row>
    <row r="81" spans="4:7" x14ac:dyDescent="0.25">
      <c r="D81" s="8">
        <v>43941</v>
      </c>
      <c r="E81" s="6">
        <v>45869.89</v>
      </c>
      <c r="F81" s="6">
        <v>29</v>
      </c>
      <c r="G81" s="5">
        <f t="shared" si="3"/>
        <v>1581.7203448275861</v>
      </c>
    </row>
    <row r="82" spans="4:7" x14ac:dyDescent="0.25">
      <c r="D82" s="8">
        <v>43971</v>
      </c>
      <c r="E82" s="6">
        <v>46241.54</v>
      </c>
      <c r="F82" s="6">
        <v>29</v>
      </c>
      <c r="G82" s="5">
        <f t="shared" si="3"/>
        <v>1594.5358620689656</v>
      </c>
    </row>
    <row r="84" spans="4:7" x14ac:dyDescent="0.25">
      <c r="D84" s="45" t="s">
        <v>24</v>
      </c>
      <c r="E84" s="45"/>
      <c r="F84" s="45"/>
      <c r="G84" s="45"/>
    </row>
    <row r="85" spans="4:7" x14ac:dyDescent="0.25">
      <c r="E85" s="3" t="s">
        <v>24</v>
      </c>
      <c r="F85" s="3" t="s">
        <v>24</v>
      </c>
      <c r="G85" s="3" t="s">
        <v>27</v>
      </c>
    </row>
    <row r="86" spans="4:7" x14ac:dyDescent="0.25">
      <c r="D86" s="3" t="s">
        <v>23</v>
      </c>
      <c r="E86" s="3" t="s">
        <v>25</v>
      </c>
      <c r="F86" s="3" t="s">
        <v>26</v>
      </c>
      <c r="G86" s="3" t="s">
        <v>28</v>
      </c>
    </row>
    <row r="87" spans="4:7" x14ac:dyDescent="0.25">
      <c r="D87" s="1">
        <v>2017</v>
      </c>
      <c r="E87" s="10">
        <f t="shared" ref="E87:F94" si="4">+E26+E38+E63+E75</f>
        <v>125835380.73999999</v>
      </c>
      <c r="F87" s="6">
        <f t="shared" si="4"/>
        <v>694946</v>
      </c>
      <c r="G87" s="9">
        <f>+E87/F87</f>
        <v>181.07217070103289</v>
      </c>
    </row>
    <row r="88" spans="4:7" x14ac:dyDescent="0.25">
      <c r="D88" s="1">
        <v>2018</v>
      </c>
      <c r="E88" s="6">
        <f t="shared" si="4"/>
        <v>137207278.00999999</v>
      </c>
      <c r="F88" s="6">
        <f t="shared" si="4"/>
        <v>701323</v>
      </c>
      <c r="G88" s="5">
        <f>+E88/F88</f>
        <v>195.64063635443296</v>
      </c>
    </row>
    <row r="89" spans="4:7" x14ac:dyDescent="0.25">
      <c r="D89" s="1">
        <v>2019</v>
      </c>
      <c r="E89" s="6">
        <f t="shared" si="4"/>
        <v>131748346.16999999</v>
      </c>
      <c r="F89" s="6">
        <f t="shared" si="4"/>
        <v>707613</v>
      </c>
      <c r="G89" s="5">
        <f>+E89/F89</f>
        <v>186.18700641452318</v>
      </c>
    </row>
    <row r="90" spans="4:7" x14ac:dyDescent="0.25">
      <c r="D90" s="8">
        <v>43850</v>
      </c>
      <c r="E90" s="6">
        <f t="shared" si="4"/>
        <v>11449662.77</v>
      </c>
      <c r="F90" s="6">
        <f t="shared" si="4"/>
        <v>59340</v>
      </c>
      <c r="G90" s="5">
        <f t="shared" ref="G90:G94" si="5">+E90/F90</f>
        <v>192.95016464442196</v>
      </c>
    </row>
    <row r="91" spans="4:7" x14ac:dyDescent="0.25">
      <c r="D91" s="8">
        <v>43881</v>
      </c>
      <c r="E91" s="6">
        <f t="shared" si="4"/>
        <v>12619063.420000002</v>
      </c>
      <c r="F91" s="6">
        <f t="shared" si="4"/>
        <v>59265</v>
      </c>
      <c r="G91" s="5">
        <f t="shared" si="5"/>
        <v>212.92606799966256</v>
      </c>
    </row>
    <row r="92" spans="4:7" x14ac:dyDescent="0.25">
      <c r="D92" s="8">
        <v>43910</v>
      </c>
      <c r="E92" s="6">
        <f t="shared" si="4"/>
        <v>10967416.500000002</v>
      </c>
      <c r="F92" s="6">
        <f t="shared" si="4"/>
        <v>59486</v>
      </c>
      <c r="G92" s="5">
        <f t="shared" si="5"/>
        <v>184.3697088390546</v>
      </c>
    </row>
    <row r="93" spans="4:7" x14ac:dyDescent="0.25">
      <c r="D93" s="8">
        <v>43941</v>
      </c>
      <c r="E93" s="6">
        <f t="shared" si="4"/>
        <v>9055613.0199999996</v>
      </c>
      <c r="F93" s="6">
        <f t="shared" si="4"/>
        <v>59553</v>
      </c>
      <c r="G93" s="5">
        <f t="shared" si="5"/>
        <v>152.05972864507245</v>
      </c>
    </row>
    <row r="94" spans="4:7" x14ac:dyDescent="0.25">
      <c r="D94" s="8">
        <v>43971</v>
      </c>
      <c r="E94" s="6">
        <f t="shared" si="4"/>
        <v>8316085.2800000003</v>
      </c>
      <c r="F94" s="6">
        <f t="shared" si="4"/>
        <v>59653</v>
      </c>
      <c r="G94" s="5">
        <f t="shared" si="5"/>
        <v>139.40766231371433</v>
      </c>
    </row>
  </sheetData>
  <mergeCells count="11">
    <mergeCell ref="A5:H5"/>
    <mergeCell ref="A6:H6"/>
    <mergeCell ref="A7:H7"/>
    <mergeCell ref="D23:G23"/>
    <mergeCell ref="D35:G35"/>
    <mergeCell ref="D72:G72"/>
    <mergeCell ref="D84:G84"/>
    <mergeCell ref="A56:H56"/>
    <mergeCell ref="A57:H57"/>
    <mergeCell ref="A58:H58"/>
    <mergeCell ref="D60:G60"/>
  </mergeCells>
  <pageMargins left="0.7" right="0.7" top="0.75" bottom="0.75" header="0.3" footer="0.3"/>
  <pageSetup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0306E-40FB-4F7E-9166-90947A149B0E}">
  <sheetPr>
    <tabColor theme="9"/>
    <pageSetUpPr fitToPage="1"/>
  </sheetPr>
  <dimension ref="A1:I39"/>
  <sheetViews>
    <sheetView topLeftCell="A28" zoomScale="110" zoomScaleNormal="110" workbookViewId="0">
      <selection activeCell="E28" sqref="E28"/>
    </sheetView>
  </sheetViews>
  <sheetFormatPr defaultRowHeight="15" x14ac:dyDescent="0.25"/>
  <cols>
    <col min="1" max="1" width="6.7109375" customWidth="1"/>
    <col min="2" max="2" width="10.140625" customWidth="1"/>
    <col min="3" max="3" width="7.42578125" customWidth="1"/>
    <col min="4" max="4" width="8.28515625" customWidth="1"/>
    <col min="5" max="5" width="11.42578125" customWidth="1"/>
    <col min="6" max="6" width="12.5703125" customWidth="1"/>
    <col min="7" max="7" width="12" customWidth="1"/>
    <col min="8" max="8" width="11.42578125" customWidth="1"/>
    <col min="9" max="9" width="27" customWidth="1"/>
  </cols>
  <sheetData>
    <row r="1" spans="1:9" x14ac:dyDescent="0.25">
      <c r="I1" s="2" t="s">
        <v>41</v>
      </c>
    </row>
    <row r="2" spans="1:9" x14ac:dyDescent="0.25">
      <c r="I2" s="2" t="s">
        <v>79</v>
      </c>
    </row>
    <row r="3" spans="1:9" x14ac:dyDescent="0.25">
      <c r="I3" s="2" t="s">
        <v>1</v>
      </c>
    </row>
    <row r="5" spans="1:9" x14ac:dyDescent="0.25">
      <c r="A5" s="45" t="s">
        <v>4</v>
      </c>
      <c r="B5" s="45"/>
      <c r="C5" s="45"/>
      <c r="D5" s="45"/>
      <c r="E5" s="45"/>
      <c r="F5" s="45"/>
      <c r="G5" s="45"/>
      <c r="H5" s="45"/>
      <c r="I5" s="45"/>
    </row>
    <row r="6" spans="1:9" x14ac:dyDescent="0.25">
      <c r="A6" s="45" t="s">
        <v>2</v>
      </c>
      <c r="B6" s="45"/>
      <c r="C6" s="45"/>
      <c r="D6" s="45"/>
      <c r="E6" s="45"/>
      <c r="F6" s="45"/>
      <c r="G6" s="45"/>
      <c r="H6" s="45"/>
      <c r="I6" s="45"/>
    </row>
    <row r="7" spans="1:9" x14ac:dyDescent="0.25">
      <c r="A7" s="45" t="s">
        <v>3</v>
      </c>
      <c r="B7" s="45"/>
      <c r="C7" s="45"/>
      <c r="D7" s="45"/>
      <c r="E7" s="45"/>
      <c r="F7" s="45"/>
      <c r="G7" s="45"/>
      <c r="H7" s="45"/>
      <c r="I7" s="45"/>
    </row>
    <row r="9" spans="1:9" x14ac:dyDescent="0.25">
      <c r="B9" s="3" t="s">
        <v>41</v>
      </c>
      <c r="C9" t="s">
        <v>42</v>
      </c>
    </row>
    <row r="10" spans="1:9" x14ac:dyDescent="0.25">
      <c r="D10" t="s">
        <v>43</v>
      </c>
    </row>
    <row r="11" spans="1:9" x14ac:dyDescent="0.25">
      <c r="D11" t="s">
        <v>44</v>
      </c>
    </row>
    <row r="12" spans="1:9" x14ac:dyDescent="0.25">
      <c r="D12" t="s">
        <v>45</v>
      </c>
    </row>
    <row r="13" spans="1:9" x14ac:dyDescent="0.25">
      <c r="D13" t="s">
        <v>46</v>
      </c>
    </row>
    <row r="14" spans="1:9" x14ac:dyDescent="0.25">
      <c r="D14" t="s">
        <v>47</v>
      </c>
    </row>
    <row r="15" spans="1:9" x14ac:dyDescent="0.25">
      <c r="D15" t="s">
        <v>48</v>
      </c>
    </row>
    <row r="17" spans="2:8" x14ac:dyDescent="0.25">
      <c r="B17" s="4" t="s">
        <v>7</v>
      </c>
      <c r="D17" t="s">
        <v>96</v>
      </c>
    </row>
    <row r="18" spans="2:8" x14ac:dyDescent="0.25">
      <c r="B18" s="4"/>
      <c r="D18" t="s">
        <v>97</v>
      </c>
    </row>
    <row r="19" spans="2:8" x14ac:dyDescent="0.25">
      <c r="B19" s="4"/>
    </row>
    <row r="20" spans="2:8" x14ac:dyDescent="0.25">
      <c r="D20" t="s">
        <v>81</v>
      </c>
    </row>
    <row r="22" spans="2:8" x14ac:dyDescent="0.25">
      <c r="F22" s="3">
        <v>2018</v>
      </c>
      <c r="G22" s="3">
        <v>2019</v>
      </c>
      <c r="H22" s="3">
        <v>2020</v>
      </c>
    </row>
    <row r="23" spans="2:8" x14ac:dyDescent="0.25">
      <c r="E23" t="s">
        <v>82</v>
      </c>
      <c r="F23" s="10">
        <v>11242.36</v>
      </c>
      <c r="G23" s="10">
        <v>10615.17</v>
      </c>
      <c r="H23" s="10">
        <v>11453.97</v>
      </c>
    </row>
    <row r="24" spans="2:8" x14ac:dyDescent="0.25">
      <c r="E24" t="s">
        <v>83</v>
      </c>
      <c r="F24" s="6">
        <v>13169.65</v>
      </c>
      <c r="G24" s="6">
        <v>16228.21</v>
      </c>
      <c r="H24" s="6">
        <v>8426.85</v>
      </c>
    </row>
    <row r="25" spans="2:8" x14ac:dyDescent="0.25">
      <c r="E25" t="s">
        <v>84</v>
      </c>
      <c r="F25" s="6">
        <v>31397.4</v>
      </c>
      <c r="G25" s="6">
        <v>14883.49</v>
      </c>
      <c r="H25" s="6">
        <v>20107.8</v>
      </c>
    </row>
    <row r="26" spans="2:8" x14ac:dyDescent="0.25">
      <c r="E26" t="s">
        <v>85</v>
      </c>
      <c r="F26" s="6">
        <v>31642.240000000002</v>
      </c>
      <c r="G26" s="6">
        <v>49708.75</v>
      </c>
      <c r="H26" s="6">
        <v>16672.78</v>
      </c>
    </row>
    <row r="27" spans="2:8" x14ac:dyDescent="0.25">
      <c r="E27" t="s">
        <v>86</v>
      </c>
      <c r="F27" s="6">
        <v>34375.730000000003</v>
      </c>
      <c r="G27" s="6">
        <v>23042.240000000002</v>
      </c>
      <c r="H27" s="6">
        <v>16213.67</v>
      </c>
    </row>
    <row r="28" spans="2:8" x14ac:dyDescent="0.25">
      <c r="E28" t="s">
        <v>87</v>
      </c>
      <c r="F28" s="6">
        <v>26910.44</v>
      </c>
      <c r="G28" s="6">
        <v>17016.060000000001</v>
      </c>
      <c r="H28" s="11"/>
    </row>
    <row r="29" spans="2:8" x14ac:dyDescent="0.25">
      <c r="E29" t="s">
        <v>88</v>
      </c>
      <c r="F29" s="6">
        <v>19065.95</v>
      </c>
      <c r="G29" s="6">
        <v>14301.07</v>
      </c>
      <c r="H29" s="11"/>
    </row>
    <row r="30" spans="2:8" x14ac:dyDescent="0.25">
      <c r="E30" t="s">
        <v>89</v>
      </c>
      <c r="F30" s="6">
        <v>19939.28</v>
      </c>
      <c r="G30" s="6">
        <v>11163.14</v>
      </c>
      <c r="H30" s="11"/>
    </row>
    <row r="31" spans="2:8" x14ac:dyDescent="0.25">
      <c r="E31" t="s">
        <v>90</v>
      </c>
      <c r="F31" s="6">
        <v>22931.01</v>
      </c>
      <c r="G31" s="6">
        <v>17359.36</v>
      </c>
      <c r="H31" s="11"/>
    </row>
    <row r="32" spans="2:8" x14ac:dyDescent="0.25">
      <c r="E32" t="s">
        <v>91</v>
      </c>
      <c r="F32" s="6">
        <v>18527.330000000002</v>
      </c>
      <c r="G32" s="6">
        <v>15802.01</v>
      </c>
      <c r="H32" s="11"/>
    </row>
    <row r="33" spans="4:8" x14ac:dyDescent="0.25">
      <c r="E33" t="s">
        <v>92</v>
      </c>
      <c r="F33" s="6">
        <v>13114.62</v>
      </c>
      <c r="G33" s="6">
        <v>19008.060000000001</v>
      </c>
      <c r="H33" s="11"/>
    </row>
    <row r="34" spans="4:8" x14ac:dyDescent="0.25">
      <c r="E34" t="s">
        <v>93</v>
      </c>
      <c r="F34" s="6">
        <v>13551.28</v>
      </c>
      <c r="G34" s="6">
        <v>11578.61</v>
      </c>
      <c r="H34" s="11"/>
    </row>
    <row r="35" spans="4:8" x14ac:dyDescent="0.25">
      <c r="F35" s="5"/>
      <c r="G35" s="5"/>
    </row>
    <row r="36" spans="4:8" x14ac:dyDescent="0.25">
      <c r="E36" t="s">
        <v>24</v>
      </c>
      <c r="F36" s="10">
        <f>SUM(F23:F34)</f>
        <v>255867.29</v>
      </c>
      <c r="G36" s="10">
        <f>SUM(G23:G34)</f>
        <v>220706.16999999998</v>
      </c>
      <c r="H36" s="10">
        <f>SUM(H23:H34)</f>
        <v>72875.069999999992</v>
      </c>
    </row>
    <row r="38" spans="4:8" x14ac:dyDescent="0.25">
      <c r="D38" t="s">
        <v>94</v>
      </c>
    </row>
    <row r="39" spans="4:8" x14ac:dyDescent="0.25">
      <c r="D39" t="s">
        <v>95</v>
      </c>
    </row>
  </sheetData>
  <mergeCells count="3">
    <mergeCell ref="A5:I5"/>
    <mergeCell ref="A6:I6"/>
    <mergeCell ref="A7:I7"/>
  </mergeCells>
  <pageMargins left="0.7" right="0.7" top="0.75" bottom="0.75" header="0.3" footer="0.3"/>
  <pageSetup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41D9D-CE9C-4010-ACFF-EBC238829A7F}">
  <sheetPr>
    <tabColor theme="9"/>
    <pageSetUpPr fitToPage="1"/>
  </sheetPr>
  <dimension ref="A1:Q51"/>
  <sheetViews>
    <sheetView zoomScale="120" zoomScaleNormal="120" workbookViewId="0">
      <selection activeCell="K12" sqref="K12"/>
    </sheetView>
  </sheetViews>
  <sheetFormatPr defaultRowHeight="15" x14ac:dyDescent="0.25"/>
  <cols>
    <col min="1" max="1" width="6.7109375" customWidth="1"/>
    <col min="2" max="2" width="10.28515625" customWidth="1"/>
    <col min="3" max="3" width="7.42578125" customWidth="1"/>
    <col min="4" max="4" width="16" customWidth="1"/>
    <col min="5" max="5" width="11.28515625" customWidth="1"/>
    <col min="6" max="6" width="10.140625" customWidth="1"/>
    <col min="7" max="7" width="12.28515625" style="6" customWidth="1"/>
    <col min="8" max="8" width="16.140625" customWidth="1"/>
  </cols>
  <sheetData>
    <row r="1" spans="1:9" x14ac:dyDescent="0.25">
      <c r="I1" s="2" t="s">
        <v>49</v>
      </c>
    </row>
    <row r="2" spans="1:9" x14ac:dyDescent="0.25">
      <c r="I2" s="2" t="s">
        <v>79</v>
      </c>
    </row>
    <row r="3" spans="1:9" x14ac:dyDescent="0.25">
      <c r="I3" s="2" t="s">
        <v>1</v>
      </c>
    </row>
    <row r="5" spans="1:9" x14ac:dyDescent="0.25">
      <c r="A5" s="45" t="s">
        <v>4</v>
      </c>
      <c r="B5" s="45"/>
      <c r="C5" s="45"/>
      <c r="D5" s="45"/>
      <c r="E5" s="45"/>
      <c r="F5" s="45"/>
      <c r="G5" s="45"/>
      <c r="H5" s="45"/>
      <c r="I5" s="45"/>
    </row>
    <row r="6" spans="1:9" x14ac:dyDescent="0.25">
      <c r="A6" s="45" t="s">
        <v>2</v>
      </c>
      <c r="B6" s="45"/>
      <c r="C6" s="45"/>
      <c r="D6" s="45"/>
      <c r="E6" s="45"/>
      <c r="F6" s="45"/>
      <c r="G6" s="45"/>
      <c r="H6" s="45"/>
      <c r="I6" s="45"/>
    </row>
    <row r="7" spans="1:9" x14ac:dyDescent="0.25">
      <c r="A7" s="45" t="s">
        <v>3</v>
      </c>
      <c r="B7" s="45"/>
      <c r="C7" s="45"/>
      <c r="D7" s="45"/>
      <c r="E7" s="45"/>
      <c r="F7" s="45"/>
      <c r="G7" s="45"/>
      <c r="H7" s="45"/>
      <c r="I7" s="45"/>
    </row>
    <row r="9" spans="1:9" x14ac:dyDescent="0.25">
      <c r="B9" s="3" t="s">
        <v>49</v>
      </c>
      <c r="C9" t="s">
        <v>266</v>
      </c>
    </row>
    <row r="10" spans="1:9" x14ac:dyDescent="0.25">
      <c r="C10" t="s">
        <v>267</v>
      </c>
    </row>
    <row r="11" spans="1:9" x14ac:dyDescent="0.25">
      <c r="C11" t="s">
        <v>268</v>
      </c>
    </row>
    <row r="13" spans="1:9" x14ac:dyDescent="0.25">
      <c r="B13" s="4" t="s">
        <v>7</v>
      </c>
      <c r="C13" t="s">
        <v>32</v>
      </c>
    </row>
    <row r="14" spans="1:9" x14ac:dyDescent="0.25">
      <c r="B14" s="4"/>
    </row>
    <row r="15" spans="1:9" x14ac:dyDescent="0.25">
      <c r="B15" s="4"/>
    </row>
    <row r="17" spans="3:17" x14ac:dyDescent="0.25">
      <c r="E17" s="39">
        <v>43891</v>
      </c>
      <c r="F17" s="39">
        <v>43922</v>
      </c>
      <c r="G17" s="39">
        <v>43952</v>
      </c>
    </row>
    <row r="18" spans="3:17" x14ac:dyDescent="0.25">
      <c r="D18" t="s">
        <v>9</v>
      </c>
      <c r="E18" s="6">
        <f>4275+886</f>
        <v>5161</v>
      </c>
      <c r="F18" s="6">
        <f>6979+1013</f>
        <v>7992</v>
      </c>
      <c r="G18" s="6">
        <f>6593+1047</f>
        <v>7640</v>
      </c>
    </row>
    <row r="19" spans="3:17" x14ac:dyDescent="0.25">
      <c r="D19" t="s">
        <v>227</v>
      </c>
      <c r="E19" s="6">
        <f>5+462</f>
        <v>467</v>
      </c>
      <c r="F19" s="6">
        <f>288+5</f>
        <v>293</v>
      </c>
      <c r="G19" s="6">
        <f>403+5</f>
        <v>408</v>
      </c>
    </row>
    <row r="20" spans="3:17" x14ac:dyDescent="0.25">
      <c r="D20" t="s">
        <v>226</v>
      </c>
      <c r="E20" s="6">
        <v>0</v>
      </c>
      <c r="F20" s="6">
        <v>0</v>
      </c>
      <c r="G20" s="6">
        <v>2</v>
      </c>
    </row>
    <row r="21" spans="3:17" x14ac:dyDescent="0.25">
      <c r="D21" t="s">
        <v>225</v>
      </c>
      <c r="E21" s="6">
        <v>7</v>
      </c>
      <c r="F21" s="6">
        <v>5</v>
      </c>
      <c r="G21" s="6">
        <v>5</v>
      </c>
    </row>
    <row r="22" spans="3:17" x14ac:dyDescent="0.25">
      <c r="D22" t="s">
        <v>24</v>
      </c>
      <c r="E22" s="40">
        <f>SUM(E18:E21)</f>
        <v>5635</v>
      </c>
      <c r="F22" s="40">
        <f>SUM(F18:F21)</f>
        <v>8290</v>
      </c>
      <c r="G22" s="40">
        <f>SUM(G18:G21)</f>
        <v>8055</v>
      </c>
    </row>
    <row r="23" spans="3:17" x14ac:dyDescent="0.25">
      <c r="G23"/>
    </row>
    <row r="24" spans="3:17" x14ac:dyDescent="0.25">
      <c r="G24"/>
    </row>
    <row r="25" spans="3:17" x14ac:dyDescent="0.25">
      <c r="C25" t="s">
        <v>262</v>
      </c>
      <c r="G25"/>
    </row>
    <row r="26" spans="3:17" x14ac:dyDescent="0.25">
      <c r="C26" t="s">
        <v>263</v>
      </c>
      <c r="G26"/>
    </row>
    <row r="27" spans="3:17" x14ac:dyDescent="0.25">
      <c r="C27" t="s">
        <v>264</v>
      </c>
      <c r="G27"/>
    </row>
    <row r="28" spans="3:17" x14ac:dyDescent="0.25">
      <c r="C28" s="42" t="s">
        <v>265</v>
      </c>
      <c r="D28" s="42"/>
      <c r="E28" s="42"/>
      <c r="F28" s="42"/>
      <c r="G28" s="42"/>
      <c r="H28" s="42"/>
      <c r="I28" s="42"/>
      <c r="J28" s="42"/>
      <c r="K28" s="42"/>
      <c r="L28" s="42"/>
      <c r="M28" s="42"/>
      <c r="N28" s="42"/>
      <c r="O28" s="42"/>
      <c r="P28" s="42"/>
      <c r="Q28" s="42"/>
    </row>
    <row r="29" spans="3:17" x14ac:dyDescent="0.25">
      <c r="G29"/>
    </row>
    <row r="30" spans="3:17" x14ac:dyDescent="0.25">
      <c r="G30"/>
    </row>
    <row r="31" spans="3:17" x14ac:dyDescent="0.25">
      <c r="G31"/>
    </row>
    <row r="32" spans="3:17" x14ac:dyDescent="0.25">
      <c r="G32"/>
    </row>
    <row r="33" spans="7:7" x14ac:dyDescent="0.25">
      <c r="G33"/>
    </row>
    <row r="34" spans="7:7" x14ac:dyDescent="0.25">
      <c r="G34"/>
    </row>
    <row r="35" spans="7:7" x14ac:dyDescent="0.25">
      <c r="G35"/>
    </row>
    <row r="36" spans="7:7" x14ac:dyDescent="0.25">
      <c r="G36"/>
    </row>
    <row r="37" spans="7:7" x14ac:dyDescent="0.25">
      <c r="G37"/>
    </row>
    <row r="38" spans="7:7" x14ac:dyDescent="0.25">
      <c r="G38"/>
    </row>
    <row r="39" spans="7:7" x14ac:dyDescent="0.25">
      <c r="G39"/>
    </row>
    <row r="40" spans="7:7" x14ac:dyDescent="0.25">
      <c r="G40"/>
    </row>
    <row r="41" spans="7:7" x14ac:dyDescent="0.25">
      <c r="G41"/>
    </row>
    <row r="42" spans="7:7" x14ac:dyDescent="0.25">
      <c r="G42"/>
    </row>
    <row r="43" spans="7:7" x14ac:dyDescent="0.25">
      <c r="G43"/>
    </row>
    <row r="44" spans="7:7" x14ac:dyDescent="0.25">
      <c r="G44"/>
    </row>
    <row r="45" spans="7:7" x14ac:dyDescent="0.25">
      <c r="G45"/>
    </row>
    <row r="46" spans="7:7" x14ac:dyDescent="0.25">
      <c r="G46"/>
    </row>
    <row r="47" spans="7:7" x14ac:dyDescent="0.25">
      <c r="G47"/>
    </row>
    <row r="48" spans="7:7" x14ac:dyDescent="0.25">
      <c r="G48"/>
    </row>
    <row r="49" spans="7:7" x14ac:dyDescent="0.25">
      <c r="G49"/>
    </row>
    <row r="50" spans="7:7" x14ac:dyDescent="0.25">
      <c r="G50"/>
    </row>
    <row r="51" spans="7:7" x14ac:dyDescent="0.25">
      <c r="G51"/>
    </row>
  </sheetData>
  <mergeCells count="3">
    <mergeCell ref="A5:I5"/>
    <mergeCell ref="A6:I6"/>
    <mergeCell ref="A7:I7"/>
  </mergeCells>
  <pageMargins left="0.7" right="0.7" top="0.75" bottom="0.75" header="0.3" footer="0.3"/>
  <pageSetup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1296D-C6A3-4A89-9CEF-33BFBA391645}">
  <sheetPr>
    <tabColor theme="9"/>
    <pageSetUpPr fitToPage="1"/>
  </sheetPr>
  <dimension ref="A1:AB94"/>
  <sheetViews>
    <sheetView topLeftCell="C57" zoomScale="110" zoomScaleNormal="110" workbookViewId="0">
      <selection activeCell="D95" sqref="D95"/>
    </sheetView>
  </sheetViews>
  <sheetFormatPr defaultRowHeight="15" x14ac:dyDescent="0.25"/>
  <cols>
    <col min="1" max="1" width="6.7109375" customWidth="1"/>
    <col min="2" max="2" width="10.140625" customWidth="1"/>
    <col min="3" max="3" width="4" customWidth="1"/>
    <col min="4" max="4" width="16.7109375" customWidth="1"/>
    <col min="5" max="5" width="9.5703125" customWidth="1"/>
    <col min="6" max="6" width="11.42578125" customWidth="1"/>
    <col min="7" max="7" width="11.140625" customWidth="1"/>
    <col min="8" max="8" width="7.7109375" customWidth="1"/>
    <col min="9" max="9" width="11.5703125" customWidth="1"/>
    <col min="10" max="10" width="10.42578125" style="6" customWidth="1"/>
    <col min="11" max="11" width="12.140625" style="6" customWidth="1"/>
    <col min="12" max="12" width="11.7109375" style="6" customWidth="1"/>
    <col min="13" max="13" width="10.28515625" customWidth="1"/>
    <col min="14" max="14" width="8" customWidth="1"/>
    <col min="15" max="15" width="9.42578125" customWidth="1"/>
    <col min="16" max="16" width="11.140625" customWidth="1"/>
    <col min="17" max="17" width="11.5703125" customWidth="1"/>
    <col min="18" max="18" width="9.140625" customWidth="1"/>
    <col min="19" max="19" width="9.85546875" customWidth="1"/>
  </cols>
  <sheetData>
    <row r="1" spans="1:19" x14ac:dyDescent="0.25">
      <c r="S1" s="2" t="s">
        <v>50</v>
      </c>
    </row>
    <row r="2" spans="1:19" x14ac:dyDescent="0.25">
      <c r="S2" s="2" t="s">
        <v>148</v>
      </c>
    </row>
    <row r="3" spans="1:19" x14ac:dyDescent="0.25">
      <c r="S3" s="2" t="s">
        <v>1</v>
      </c>
    </row>
    <row r="5" spans="1:19" x14ac:dyDescent="0.25">
      <c r="A5" s="45" t="s">
        <v>4</v>
      </c>
      <c r="B5" s="45"/>
      <c r="C5" s="45"/>
      <c r="D5" s="45"/>
      <c r="E5" s="45"/>
      <c r="F5" s="45"/>
      <c r="G5" s="45"/>
      <c r="H5" s="45"/>
      <c r="I5" s="45"/>
      <c r="J5" s="45"/>
      <c r="K5" s="45"/>
      <c r="L5" s="45"/>
      <c r="M5" s="45"/>
      <c r="N5" s="45"/>
      <c r="O5" s="45"/>
      <c r="P5" s="45"/>
      <c r="Q5" s="45"/>
      <c r="R5" s="45"/>
      <c r="S5" s="45"/>
    </row>
    <row r="6" spans="1:19" x14ac:dyDescent="0.25">
      <c r="A6" s="45" t="s">
        <v>2</v>
      </c>
      <c r="B6" s="45"/>
      <c r="C6" s="45"/>
      <c r="D6" s="45"/>
      <c r="E6" s="45"/>
      <c r="F6" s="45"/>
      <c r="G6" s="45"/>
      <c r="H6" s="45"/>
      <c r="I6" s="45"/>
      <c r="J6" s="45"/>
      <c r="K6" s="45"/>
      <c r="L6" s="45"/>
      <c r="M6" s="45"/>
      <c r="N6" s="45"/>
      <c r="O6" s="45"/>
      <c r="P6" s="45"/>
      <c r="Q6" s="45"/>
      <c r="R6" s="45"/>
      <c r="S6" s="45"/>
    </row>
    <row r="7" spans="1:19" x14ac:dyDescent="0.25">
      <c r="A7" s="45" t="s">
        <v>3</v>
      </c>
      <c r="B7" s="45"/>
      <c r="C7" s="45"/>
      <c r="D7" s="45"/>
      <c r="E7" s="45"/>
      <c r="F7" s="45"/>
      <c r="G7" s="45"/>
      <c r="H7" s="45"/>
      <c r="I7" s="45"/>
      <c r="J7" s="45"/>
      <c r="K7" s="45"/>
      <c r="L7" s="45"/>
      <c r="M7" s="45"/>
      <c r="N7" s="45"/>
      <c r="O7" s="45"/>
      <c r="P7" s="45"/>
      <c r="Q7" s="45"/>
      <c r="R7" s="45"/>
      <c r="S7" s="45"/>
    </row>
    <row r="9" spans="1:19" x14ac:dyDescent="0.25">
      <c r="B9" s="31" t="s">
        <v>50</v>
      </c>
      <c r="C9" t="s">
        <v>51</v>
      </c>
    </row>
    <row r="10" spans="1:19" x14ac:dyDescent="0.25">
      <c r="D10" t="s">
        <v>52</v>
      </c>
    </row>
    <row r="11" spans="1:19" x14ac:dyDescent="0.25">
      <c r="D11" t="s">
        <v>18</v>
      </c>
    </row>
    <row r="12" spans="1:19" x14ac:dyDescent="0.25">
      <c r="D12" t="s">
        <v>53</v>
      </c>
    </row>
    <row r="13" spans="1:19" x14ac:dyDescent="0.25">
      <c r="D13" t="s">
        <v>54</v>
      </c>
    </row>
    <row r="15" spans="1:19" x14ac:dyDescent="0.25">
      <c r="B15" s="4" t="s">
        <v>7</v>
      </c>
      <c r="C15" t="s">
        <v>239</v>
      </c>
    </row>
    <row r="18" spans="3:19" x14ac:dyDescent="0.25">
      <c r="E18" s="45" t="s">
        <v>145</v>
      </c>
      <c r="F18" s="45"/>
      <c r="G18" s="45"/>
      <c r="H18" s="45"/>
      <c r="I18" s="45"/>
      <c r="J18" s="45" t="s">
        <v>146</v>
      </c>
      <c r="K18" s="45"/>
      <c r="L18" s="45"/>
      <c r="M18" s="45"/>
      <c r="N18" s="45"/>
      <c r="O18" s="45" t="s">
        <v>236</v>
      </c>
      <c r="P18" s="45"/>
      <c r="Q18" s="45"/>
      <c r="R18" s="45"/>
      <c r="S18" s="45"/>
    </row>
    <row r="19" spans="3:19" ht="29.25" customHeight="1" x14ac:dyDescent="0.25">
      <c r="E19" s="31" t="s">
        <v>156</v>
      </c>
      <c r="F19" s="35" t="s">
        <v>227</v>
      </c>
      <c r="G19" s="35" t="s">
        <v>226</v>
      </c>
      <c r="H19" s="35" t="s">
        <v>225</v>
      </c>
      <c r="I19" s="31" t="s">
        <v>24</v>
      </c>
      <c r="J19" s="31" t="s">
        <v>156</v>
      </c>
      <c r="K19" s="35" t="s">
        <v>227</v>
      </c>
      <c r="L19" s="35" t="s">
        <v>226</v>
      </c>
      <c r="M19" s="35" t="s">
        <v>225</v>
      </c>
      <c r="N19" s="31" t="s">
        <v>24</v>
      </c>
      <c r="O19" s="31" t="s">
        <v>156</v>
      </c>
      <c r="P19" s="35" t="s">
        <v>227</v>
      </c>
      <c r="Q19" s="35" t="s">
        <v>226</v>
      </c>
      <c r="R19" s="35" t="s">
        <v>225</v>
      </c>
      <c r="S19" s="31" t="s">
        <v>24</v>
      </c>
    </row>
    <row r="20" spans="3:19" x14ac:dyDescent="0.25">
      <c r="D20" t="s">
        <v>106</v>
      </c>
      <c r="E20" s="6">
        <v>54780</v>
      </c>
      <c r="F20" s="18">
        <v>2742</v>
      </c>
      <c r="G20" s="18">
        <v>10</v>
      </c>
      <c r="H20" s="18">
        <v>17</v>
      </c>
      <c r="I20" s="6">
        <f>SUM(E20:H20)</f>
        <v>57549</v>
      </c>
      <c r="J20" s="34" t="s">
        <v>229</v>
      </c>
      <c r="K20" s="34" t="s">
        <v>229</v>
      </c>
      <c r="L20" s="34" t="s">
        <v>229</v>
      </c>
      <c r="M20" s="34" t="s">
        <v>229</v>
      </c>
      <c r="N20" s="6">
        <v>8077</v>
      </c>
      <c r="O20" s="34" t="s">
        <v>229</v>
      </c>
      <c r="P20" s="34" t="s">
        <v>229</v>
      </c>
      <c r="Q20" s="34" t="s">
        <v>229</v>
      </c>
      <c r="R20" s="34" t="s">
        <v>229</v>
      </c>
      <c r="S20" s="19">
        <f>1-+N20/I20</f>
        <v>0.85965003735946754</v>
      </c>
    </row>
    <row r="21" spans="3:19" x14ac:dyDescent="0.25">
      <c r="D21" t="s">
        <v>107</v>
      </c>
      <c r="E21" s="6">
        <v>54800</v>
      </c>
      <c r="F21" s="6">
        <v>2759</v>
      </c>
      <c r="G21" s="6">
        <v>10</v>
      </c>
      <c r="H21" s="18">
        <v>17</v>
      </c>
      <c r="I21" s="6">
        <f t="shared" ref="I21:I31" si="0">SUM(E21:H21)</f>
        <v>57586</v>
      </c>
      <c r="J21" s="34" t="s">
        <v>229</v>
      </c>
      <c r="K21" s="34" t="s">
        <v>229</v>
      </c>
      <c r="L21" s="34" t="s">
        <v>229</v>
      </c>
      <c r="M21" s="34" t="s">
        <v>229</v>
      </c>
      <c r="N21" s="6">
        <v>8112</v>
      </c>
      <c r="O21" s="34" t="s">
        <v>229</v>
      </c>
      <c r="P21" s="34" t="s">
        <v>229</v>
      </c>
      <c r="Q21" s="34" t="s">
        <v>229</v>
      </c>
      <c r="R21" s="34" t="s">
        <v>229</v>
      </c>
      <c r="S21" s="19">
        <f t="shared" ref="S21:S31" si="1">1-+N21/I21</f>
        <v>0.85913242802069945</v>
      </c>
    </row>
    <row r="22" spans="3:19" x14ac:dyDescent="0.25">
      <c r="D22" t="s">
        <v>108</v>
      </c>
      <c r="E22" s="6">
        <v>54940</v>
      </c>
      <c r="F22" s="6">
        <v>2749</v>
      </c>
      <c r="G22" s="6">
        <v>10</v>
      </c>
      <c r="H22" s="18">
        <v>17</v>
      </c>
      <c r="I22" s="6">
        <f t="shared" si="0"/>
        <v>57716</v>
      </c>
      <c r="J22" s="34" t="s">
        <v>229</v>
      </c>
      <c r="K22" s="34" t="s">
        <v>229</v>
      </c>
      <c r="L22" s="34" t="s">
        <v>229</v>
      </c>
      <c r="M22" s="34" t="s">
        <v>229</v>
      </c>
      <c r="N22" s="6">
        <v>8990</v>
      </c>
      <c r="O22" s="34" t="s">
        <v>229</v>
      </c>
      <c r="P22" s="34" t="s">
        <v>229</v>
      </c>
      <c r="Q22" s="34" t="s">
        <v>229</v>
      </c>
      <c r="R22" s="34" t="s">
        <v>229</v>
      </c>
      <c r="S22" s="19">
        <f t="shared" si="1"/>
        <v>0.84423729988218166</v>
      </c>
    </row>
    <row r="23" spans="3:19" x14ac:dyDescent="0.25">
      <c r="D23" s="16" t="s">
        <v>109</v>
      </c>
      <c r="E23" s="6">
        <v>54878</v>
      </c>
      <c r="F23" s="6">
        <v>2783</v>
      </c>
      <c r="G23" s="6">
        <v>10</v>
      </c>
      <c r="H23" s="18">
        <v>17</v>
      </c>
      <c r="I23" s="6">
        <f t="shared" si="0"/>
        <v>57688</v>
      </c>
      <c r="J23" s="34" t="s">
        <v>229</v>
      </c>
      <c r="K23" s="34" t="s">
        <v>229</v>
      </c>
      <c r="L23" s="34" t="s">
        <v>229</v>
      </c>
      <c r="M23" s="34" t="s">
        <v>229</v>
      </c>
      <c r="N23" s="6">
        <v>6910</v>
      </c>
      <c r="O23" s="34" t="s">
        <v>229</v>
      </c>
      <c r="P23" s="34" t="s">
        <v>229</v>
      </c>
      <c r="Q23" s="34" t="s">
        <v>229</v>
      </c>
      <c r="R23" s="34" t="s">
        <v>229</v>
      </c>
      <c r="S23" s="19">
        <f t="shared" si="1"/>
        <v>0.88021772292331157</v>
      </c>
    </row>
    <row r="24" spans="3:19" x14ac:dyDescent="0.25">
      <c r="D24" t="s">
        <v>110</v>
      </c>
      <c r="E24" s="6">
        <v>55089</v>
      </c>
      <c r="F24" s="6">
        <v>2773</v>
      </c>
      <c r="G24" s="6">
        <v>11</v>
      </c>
      <c r="H24" s="18">
        <v>17</v>
      </c>
      <c r="I24" s="6">
        <f t="shared" si="0"/>
        <v>57890</v>
      </c>
      <c r="J24" s="34" t="s">
        <v>229</v>
      </c>
      <c r="K24" s="34" t="s">
        <v>229</v>
      </c>
      <c r="L24" s="34" t="s">
        <v>229</v>
      </c>
      <c r="M24" s="34" t="s">
        <v>229</v>
      </c>
      <c r="N24" s="6">
        <v>8538</v>
      </c>
      <c r="O24" s="34" t="s">
        <v>229</v>
      </c>
      <c r="P24" s="34" t="s">
        <v>229</v>
      </c>
      <c r="Q24" s="34" t="s">
        <v>229</v>
      </c>
      <c r="R24" s="34" t="s">
        <v>229</v>
      </c>
      <c r="S24" s="19">
        <f t="shared" si="1"/>
        <v>0.85251338745897387</v>
      </c>
    </row>
    <row r="25" spans="3:19" x14ac:dyDescent="0.25">
      <c r="D25" t="s">
        <v>111</v>
      </c>
      <c r="E25" s="6">
        <v>55192</v>
      </c>
      <c r="F25" s="6">
        <v>2769</v>
      </c>
      <c r="G25" s="6">
        <v>11</v>
      </c>
      <c r="H25" s="18">
        <v>17</v>
      </c>
      <c r="I25" s="6">
        <f t="shared" si="0"/>
        <v>57989</v>
      </c>
      <c r="J25" s="34" t="s">
        <v>229</v>
      </c>
      <c r="K25" s="34" t="s">
        <v>229</v>
      </c>
      <c r="L25" s="34" t="s">
        <v>229</v>
      </c>
      <c r="M25" s="34" t="s">
        <v>229</v>
      </c>
      <c r="N25" s="6">
        <v>7013</v>
      </c>
      <c r="O25" s="34" t="s">
        <v>229</v>
      </c>
      <c r="P25" s="34" t="s">
        <v>229</v>
      </c>
      <c r="Q25" s="34" t="s">
        <v>229</v>
      </c>
      <c r="R25" s="34" t="s">
        <v>229</v>
      </c>
      <c r="S25" s="19">
        <f t="shared" si="1"/>
        <v>0.8790632706202901</v>
      </c>
    </row>
    <row r="26" spans="3:19" x14ac:dyDescent="0.25">
      <c r="D26" t="s">
        <v>112</v>
      </c>
      <c r="E26" s="6">
        <v>55168</v>
      </c>
      <c r="F26" s="18">
        <v>2799</v>
      </c>
      <c r="G26" s="18">
        <v>11</v>
      </c>
      <c r="H26" s="18">
        <v>17</v>
      </c>
      <c r="I26" s="6">
        <f t="shared" si="0"/>
        <v>57995</v>
      </c>
      <c r="J26" s="34" t="s">
        <v>229</v>
      </c>
      <c r="K26" s="34" t="s">
        <v>229</v>
      </c>
      <c r="L26" s="34" t="s">
        <v>229</v>
      </c>
      <c r="M26" s="34" t="s">
        <v>229</v>
      </c>
      <c r="N26" s="6">
        <v>8133</v>
      </c>
      <c r="O26" s="34" t="s">
        <v>229</v>
      </c>
      <c r="P26" s="34" t="s">
        <v>229</v>
      </c>
      <c r="Q26" s="34" t="s">
        <v>229</v>
      </c>
      <c r="R26" s="34" t="s">
        <v>229</v>
      </c>
      <c r="S26" s="19">
        <f t="shared" si="1"/>
        <v>0.85976377273902926</v>
      </c>
    </row>
    <row r="27" spans="3:19" x14ac:dyDescent="0.25">
      <c r="D27" t="s">
        <v>230</v>
      </c>
      <c r="E27" s="6">
        <v>55360</v>
      </c>
      <c r="F27" s="6">
        <v>2787</v>
      </c>
      <c r="G27" s="6">
        <v>11</v>
      </c>
      <c r="H27" s="11">
        <v>17</v>
      </c>
      <c r="I27" s="6">
        <f t="shared" si="0"/>
        <v>58175</v>
      </c>
      <c r="J27" s="6">
        <v>7810</v>
      </c>
      <c r="K27" s="6">
        <v>307</v>
      </c>
      <c r="L27" s="34" t="s">
        <v>229</v>
      </c>
      <c r="M27" s="34" t="s">
        <v>229</v>
      </c>
      <c r="N27" s="6">
        <v>8117</v>
      </c>
      <c r="O27" s="19">
        <f>1-+J27/E27</f>
        <v>0.85892341040462428</v>
      </c>
      <c r="P27" s="19">
        <f>1-+K27/F27</f>
        <v>0.88984571223537856</v>
      </c>
      <c r="Q27" s="34" t="s">
        <v>229</v>
      </c>
      <c r="R27" s="34" t="s">
        <v>229</v>
      </c>
      <c r="S27" s="19">
        <f t="shared" si="1"/>
        <v>0.860472711645896</v>
      </c>
    </row>
    <row r="28" spans="3:19" x14ac:dyDescent="0.25">
      <c r="D28" t="s">
        <v>231</v>
      </c>
      <c r="E28" s="6">
        <v>55200</v>
      </c>
      <c r="F28" s="6">
        <v>2801</v>
      </c>
      <c r="G28" s="6">
        <v>11</v>
      </c>
      <c r="H28" s="11">
        <v>17</v>
      </c>
      <c r="I28" s="6">
        <f t="shared" si="0"/>
        <v>58029</v>
      </c>
      <c r="J28" s="6">
        <v>8127</v>
      </c>
      <c r="K28" s="6">
        <v>386</v>
      </c>
      <c r="L28" s="34" t="s">
        <v>229</v>
      </c>
      <c r="M28" s="34" t="s">
        <v>229</v>
      </c>
      <c r="N28" s="6">
        <v>8513</v>
      </c>
      <c r="O28" s="19">
        <f t="shared" ref="O28:P31" si="2">1-+J28/E28</f>
        <v>0.8527717391304348</v>
      </c>
      <c r="P28" s="19">
        <f t="shared" si="2"/>
        <v>0.86219207425919309</v>
      </c>
      <c r="Q28" s="34" t="s">
        <v>229</v>
      </c>
      <c r="R28" s="34" t="s">
        <v>229</v>
      </c>
      <c r="S28" s="19">
        <f t="shared" si="1"/>
        <v>0.85329748918644133</v>
      </c>
    </row>
    <row r="29" spans="3:19" x14ac:dyDescent="0.25">
      <c r="D29" t="s">
        <v>232</v>
      </c>
      <c r="E29" s="6">
        <v>55234</v>
      </c>
      <c r="F29" s="6">
        <v>2816</v>
      </c>
      <c r="G29" s="6">
        <v>11</v>
      </c>
      <c r="H29" s="11">
        <v>17</v>
      </c>
      <c r="I29" s="6">
        <f t="shared" si="0"/>
        <v>58078</v>
      </c>
      <c r="J29" s="6">
        <v>7539</v>
      </c>
      <c r="K29" s="6">
        <v>515</v>
      </c>
      <c r="L29" s="34" t="s">
        <v>229</v>
      </c>
      <c r="M29" s="34" t="s">
        <v>229</v>
      </c>
      <c r="N29" s="6">
        <v>8054</v>
      </c>
      <c r="O29" s="19">
        <f t="shared" si="2"/>
        <v>0.86350798421262265</v>
      </c>
      <c r="P29" s="19">
        <f t="shared" si="2"/>
        <v>0.81711647727272729</v>
      </c>
      <c r="Q29" s="34" t="s">
        <v>229</v>
      </c>
      <c r="R29" s="34" t="s">
        <v>229</v>
      </c>
      <c r="S29" s="19">
        <f t="shared" si="1"/>
        <v>0.86132442577223733</v>
      </c>
    </row>
    <row r="30" spans="3:19" x14ac:dyDescent="0.25">
      <c r="D30" t="s">
        <v>113</v>
      </c>
      <c r="E30" s="6">
        <v>55293</v>
      </c>
      <c r="F30" s="6">
        <v>2819</v>
      </c>
      <c r="G30" s="6">
        <v>11</v>
      </c>
      <c r="H30" s="18">
        <v>17</v>
      </c>
      <c r="I30" s="6">
        <f t="shared" si="0"/>
        <v>58140</v>
      </c>
      <c r="J30" s="6">
        <v>7578</v>
      </c>
      <c r="K30" s="6">
        <f>319+7</f>
        <v>326</v>
      </c>
      <c r="L30" s="6">
        <v>0</v>
      </c>
      <c r="M30" s="18">
        <v>0</v>
      </c>
      <c r="N30" s="6">
        <f>SUM(J30:M30)</f>
        <v>7904</v>
      </c>
      <c r="O30" s="19">
        <f t="shared" si="2"/>
        <v>0.86294829363572245</v>
      </c>
      <c r="P30" s="19">
        <f t="shared" si="2"/>
        <v>0.88435615466477469</v>
      </c>
      <c r="Q30" s="19">
        <f>1-+L30/G30</f>
        <v>1</v>
      </c>
      <c r="R30" s="19">
        <f>1-+M30/H30</f>
        <v>1</v>
      </c>
      <c r="S30" s="19">
        <f t="shared" si="1"/>
        <v>0.86405228758169939</v>
      </c>
    </row>
    <row r="31" spans="3:19" x14ac:dyDescent="0.25">
      <c r="D31" t="s">
        <v>114</v>
      </c>
      <c r="E31" s="6">
        <v>55274</v>
      </c>
      <c r="F31" s="6">
        <v>2809</v>
      </c>
      <c r="G31" s="6">
        <v>11</v>
      </c>
      <c r="H31" s="11">
        <v>17</v>
      </c>
      <c r="I31" s="6">
        <f t="shared" si="0"/>
        <v>58111</v>
      </c>
      <c r="J31" s="6">
        <v>7915</v>
      </c>
      <c r="K31" s="6">
        <v>340</v>
      </c>
      <c r="L31" s="6">
        <v>1</v>
      </c>
      <c r="M31" s="11">
        <v>0</v>
      </c>
      <c r="N31" s="6">
        <f>SUM(J31:M31)</f>
        <v>8256</v>
      </c>
      <c r="O31" s="19">
        <f t="shared" si="2"/>
        <v>0.85680428411187903</v>
      </c>
      <c r="P31" s="19">
        <f t="shared" si="2"/>
        <v>0.87896048415806338</v>
      </c>
      <c r="Q31" s="19">
        <f>1-+L31/G31</f>
        <v>0.90909090909090906</v>
      </c>
      <c r="R31" s="19">
        <f>1-+M31/H31</f>
        <v>1</v>
      </c>
      <c r="S31" s="19">
        <f t="shared" si="1"/>
        <v>0.85792707060625362</v>
      </c>
    </row>
    <row r="32" spans="3:19" x14ac:dyDescent="0.25">
      <c r="C32" t="s">
        <v>152</v>
      </c>
      <c r="D32" s="36" t="s">
        <v>149</v>
      </c>
      <c r="E32" s="37"/>
      <c r="F32" s="37"/>
      <c r="G32" s="6"/>
      <c r="H32" s="11"/>
      <c r="I32" s="6"/>
      <c r="M32" s="11"/>
      <c r="N32" s="6"/>
      <c r="O32" s="20">
        <f>AVERAGE(O20:O31)</f>
        <v>0.85899114229905682</v>
      </c>
      <c r="P32" s="20">
        <f t="shared" ref="P32:R32" si="3">AVERAGE(P20:P31)</f>
        <v>0.86649418051802729</v>
      </c>
      <c r="Q32" s="20">
        <f t="shared" si="3"/>
        <v>0.95454545454545459</v>
      </c>
      <c r="R32" s="20">
        <f t="shared" si="3"/>
        <v>1</v>
      </c>
      <c r="S32" s="20">
        <f>AVERAGE(S20:S31)</f>
        <v>0.86097099198304006</v>
      </c>
    </row>
    <row r="33" spans="3:19" x14ac:dyDescent="0.25">
      <c r="D33" s="4"/>
      <c r="E33" s="6"/>
      <c r="F33" s="6"/>
      <c r="G33" s="6"/>
      <c r="H33" s="11"/>
      <c r="I33" s="6"/>
      <c r="M33" s="11"/>
      <c r="N33" s="6"/>
      <c r="O33" s="20"/>
      <c r="P33" s="20"/>
      <c r="Q33" s="20"/>
      <c r="R33" s="20"/>
      <c r="S33" s="20"/>
    </row>
    <row r="34" spans="3:19" x14ac:dyDescent="0.25">
      <c r="D34" t="s">
        <v>105</v>
      </c>
      <c r="E34" s="6">
        <v>55369</v>
      </c>
      <c r="F34" s="6">
        <v>2813</v>
      </c>
      <c r="G34" s="6">
        <v>11</v>
      </c>
      <c r="H34" s="11">
        <v>17</v>
      </c>
      <c r="I34" s="6">
        <f t="shared" ref="I34:I45" si="4">SUM(E34:H34)</f>
        <v>58210</v>
      </c>
      <c r="J34" s="6">
        <v>7903</v>
      </c>
      <c r="K34" s="6">
        <v>582</v>
      </c>
      <c r="L34" s="18">
        <v>0</v>
      </c>
      <c r="M34" s="18">
        <v>5</v>
      </c>
      <c r="N34" s="6">
        <f t="shared" ref="N34:N45" si="5">SUM(J34:M34)</f>
        <v>8490</v>
      </c>
      <c r="O34" s="19">
        <f>1-+J34/E34</f>
        <v>0.85726670158391882</v>
      </c>
      <c r="P34" s="19">
        <f>1-+K34/F34</f>
        <v>0.7931034482758621</v>
      </c>
      <c r="Q34" s="19">
        <f>1-+L34/G34</f>
        <v>1</v>
      </c>
      <c r="R34" s="19">
        <f>1-+M34/H34</f>
        <v>0.70588235294117641</v>
      </c>
      <c r="S34" s="19">
        <f>1-+N34/I34</f>
        <v>0.85414877168871328</v>
      </c>
    </row>
    <row r="35" spans="3:19" x14ac:dyDescent="0.25">
      <c r="D35" t="s">
        <v>115</v>
      </c>
      <c r="E35" s="6">
        <v>55313</v>
      </c>
      <c r="F35" s="6">
        <v>2821</v>
      </c>
      <c r="G35" s="6">
        <v>11</v>
      </c>
      <c r="H35" s="11">
        <v>17</v>
      </c>
      <c r="I35" s="6">
        <f t="shared" si="4"/>
        <v>58162</v>
      </c>
      <c r="J35" s="6">
        <v>6878</v>
      </c>
      <c r="K35" s="6">
        <v>213</v>
      </c>
      <c r="L35" s="6">
        <v>1</v>
      </c>
      <c r="M35" s="11">
        <v>0</v>
      </c>
      <c r="N35" s="6">
        <f t="shared" si="5"/>
        <v>7092</v>
      </c>
      <c r="O35" s="19">
        <f t="shared" ref="O35:S45" si="6">1-+J35/E35</f>
        <v>0.87565310144089092</v>
      </c>
      <c r="P35" s="19">
        <f t="shared" si="6"/>
        <v>0.92449485997873093</v>
      </c>
      <c r="Q35" s="19">
        <f t="shared" si="6"/>
        <v>0.90909090909090906</v>
      </c>
      <c r="R35" s="19">
        <f t="shared" si="6"/>
        <v>1</v>
      </c>
      <c r="S35" s="19">
        <f t="shared" si="6"/>
        <v>0.87806471579381729</v>
      </c>
    </row>
    <row r="36" spans="3:19" x14ac:dyDescent="0.25">
      <c r="D36" t="s">
        <v>116</v>
      </c>
      <c r="E36" s="6">
        <v>55356</v>
      </c>
      <c r="F36" s="6">
        <v>2810</v>
      </c>
      <c r="G36" s="6">
        <v>11</v>
      </c>
      <c r="H36" s="11">
        <v>17</v>
      </c>
      <c r="I36" s="6">
        <f t="shared" si="4"/>
        <v>58194</v>
      </c>
      <c r="J36" s="6">
        <v>8782</v>
      </c>
      <c r="K36" s="6">
        <f>386+5</f>
        <v>391</v>
      </c>
      <c r="L36" s="6">
        <v>0</v>
      </c>
      <c r="M36" s="11">
        <v>1</v>
      </c>
      <c r="N36" s="6">
        <f t="shared" si="5"/>
        <v>9174</v>
      </c>
      <c r="O36" s="19">
        <f t="shared" si="6"/>
        <v>0.84135414408555531</v>
      </c>
      <c r="P36" s="19">
        <f t="shared" si="6"/>
        <v>0.86085409252669043</v>
      </c>
      <c r="Q36" s="19">
        <f t="shared" si="6"/>
        <v>1</v>
      </c>
      <c r="R36" s="19">
        <f t="shared" si="6"/>
        <v>0.94117647058823528</v>
      </c>
      <c r="S36" s="19">
        <f t="shared" si="6"/>
        <v>0.84235488194659247</v>
      </c>
    </row>
    <row r="37" spans="3:19" x14ac:dyDescent="0.25">
      <c r="D37" s="16" t="s">
        <v>117</v>
      </c>
      <c r="E37" s="6">
        <v>55446</v>
      </c>
      <c r="F37" s="6">
        <v>2828</v>
      </c>
      <c r="G37" s="6">
        <v>11</v>
      </c>
      <c r="H37" s="11">
        <v>17</v>
      </c>
      <c r="I37" s="6">
        <f t="shared" si="4"/>
        <v>58302</v>
      </c>
      <c r="J37" s="6">
        <v>5932</v>
      </c>
      <c r="K37" s="6">
        <v>326</v>
      </c>
      <c r="L37" s="6">
        <v>0</v>
      </c>
      <c r="M37" s="11">
        <v>0</v>
      </c>
      <c r="N37" s="6">
        <f t="shared" si="5"/>
        <v>6258</v>
      </c>
      <c r="O37" s="19">
        <f t="shared" si="6"/>
        <v>0.89301302167875052</v>
      </c>
      <c r="P37" s="19">
        <f t="shared" si="6"/>
        <v>0.88472418670438469</v>
      </c>
      <c r="Q37" s="19">
        <f t="shared" si="6"/>
        <v>1</v>
      </c>
      <c r="R37" s="19">
        <f t="shared" si="6"/>
        <v>1</v>
      </c>
      <c r="S37" s="19">
        <f t="shared" si="6"/>
        <v>0.89266234434496239</v>
      </c>
    </row>
    <row r="38" spans="3:19" x14ac:dyDescent="0.25">
      <c r="D38" t="s">
        <v>118</v>
      </c>
      <c r="E38" s="6">
        <v>55497</v>
      </c>
      <c r="F38" s="6">
        <v>2834</v>
      </c>
      <c r="G38" s="6">
        <v>11</v>
      </c>
      <c r="H38" s="18">
        <v>17</v>
      </c>
      <c r="I38" s="6">
        <f t="shared" si="4"/>
        <v>58359</v>
      </c>
      <c r="J38" s="6">
        <v>9584</v>
      </c>
      <c r="K38" s="6">
        <v>306</v>
      </c>
      <c r="L38" s="6">
        <v>0</v>
      </c>
      <c r="M38" s="18">
        <v>1</v>
      </c>
      <c r="N38" s="6">
        <f t="shared" si="5"/>
        <v>9891</v>
      </c>
      <c r="O38" s="19">
        <f t="shared" si="6"/>
        <v>0.82730598050345061</v>
      </c>
      <c r="P38" s="19">
        <f t="shared" si="6"/>
        <v>0.89202540578687373</v>
      </c>
      <c r="Q38" s="19">
        <f t="shared" si="6"/>
        <v>1</v>
      </c>
      <c r="R38" s="19">
        <f t="shared" si="6"/>
        <v>0.94117647058823528</v>
      </c>
      <c r="S38" s="19">
        <f t="shared" si="6"/>
        <v>0.83051457358762149</v>
      </c>
    </row>
    <row r="39" spans="3:19" x14ac:dyDescent="0.25">
      <c r="D39" t="s">
        <v>119</v>
      </c>
      <c r="E39" s="6">
        <v>55599</v>
      </c>
      <c r="F39" s="6">
        <v>2842</v>
      </c>
      <c r="G39" s="6">
        <v>11</v>
      </c>
      <c r="H39" s="11">
        <v>17</v>
      </c>
      <c r="I39" s="6">
        <f t="shared" si="4"/>
        <v>58469</v>
      </c>
      <c r="J39" s="6">
        <v>6419</v>
      </c>
      <c r="K39" s="6">
        <f>246+5</f>
        <v>251</v>
      </c>
      <c r="L39" s="6">
        <v>0</v>
      </c>
      <c r="M39" s="11">
        <v>1</v>
      </c>
      <c r="N39" s="6">
        <f t="shared" si="5"/>
        <v>6671</v>
      </c>
      <c r="O39" s="19">
        <f t="shared" si="6"/>
        <v>0.88454828324250434</v>
      </c>
      <c r="P39" s="19">
        <f t="shared" si="6"/>
        <v>0.91168191414496835</v>
      </c>
      <c r="Q39" s="19">
        <f t="shared" si="6"/>
        <v>1</v>
      </c>
      <c r="R39" s="19">
        <f t="shared" si="6"/>
        <v>0.94117647058823528</v>
      </c>
      <c r="S39" s="19">
        <f t="shared" si="6"/>
        <v>0.88590535155381489</v>
      </c>
    </row>
    <row r="40" spans="3:19" x14ac:dyDescent="0.25">
      <c r="D40" t="s">
        <v>120</v>
      </c>
      <c r="E40" s="6">
        <v>55643</v>
      </c>
      <c r="F40" s="6">
        <v>2863</v>
      </c>
      <c r="G40" s="6">
        <v>11</v>
      </c>
      <c r="H40" s="11">
        <v>17</v>
      </c>
      <c r="I40" s="6">
        <f t="shared" si="4"/>
        <v>58534</v>
      </c>
      <c r="J40" s="6">
        <v>6985</v>
      </c>
      <c r="K40" s="6">
        <v>406</v>
      </c>
      <c r="L40" s="6">
        <v>1</v>
      </c>
      <c r="M40" s="11">
        <v>3</v>
      </c>
      <c r="N40" s="6">
        <f t="shared" si="5"/>
        <v>7395</v>
      </c>
      <c r="O40" s="19">
        <f t="shared" si="6"/>
        <v>0.87446758801646207</v>
      </c>
      <c r="P40" s="19">
        <f t="shared" si="6"/>
        <v>0.85819070904645478</v>
      </c>
      <c r="Q40" s="19">
        <f t="shared" si="6"/>
        <v>0.90909090909090906</v>
      </c>
      <c r="R40" s="19">
        <f t="shared" si="6"/>
        <v>0.82352941176470584</v>
      </c>
      <c r="S40" s="19">
        <f t="shared" si="6"/>
        <v>0.87366317012334715</v>
      </c>
    </row>
    <row r="41" spans="3:19" x14ac:dyDescent="0.25">
      <c r="D41" t="s">
        <v>121</v>
      </c>
      <c r="E41" s="6">
        <v>55798</v>
      </c>
      <c r="F41" s="6">
        <v>2873</v>
      </c>
      <c r="G41" s="6">
        <v>11</v>
      </c>
      <c r="H41" s="11">
        <v>17</v>
      </c>
      <c r="I41" s="6">
        <f t="shared" si="4"/>
        <v>58699</v>
      </c>
      <c r="J41" s="6">
        <v>8412</v>
      </c>
      <c r="K41" s="6">
        <f>387+8</f>
        <v>395</v>
      </c>
      <c r="L41" s="6">
        <v>0</v>
      </c>
      <c r="M41" s="11">
        <v>1</v>
      </c>
      <c r="N41" s="6">
        <f t="shared" si="5"/>
        <v>8808</v>
      </c>
      <c r="O41" s="19">
        <f t="shared" si="6"/>
        <v>0.84924190831212587</v>
      </c>
      <c r="P41" s="19">
        <f t="shared" si="6"/>
        <v>0.86251305255830146</v>
      </c>
      <c r="Q41" s="19">
        <f t="shared" si="6"/>
        <v>1</v>
      </c>
      <c r="R41" s="19">
        <f t="shared" si="6"/>
        <v>0.94117647058823528</v>
      </c>
      <c r="S41" s="19">
        <f t="shared" si="6"/>
        <v>0.84994633639414641</v>
      </c>
    </row>
    <row r="42" spans="3:19" x14ac:dyDescent="0.25">
      <c r="D42" t="s">
        <v>122</v>
      </c>
      <c r="E42" s="6">
        <v>55709</v>
      </c>
      <c r="F42" s="6">
        <v>2856</v>
      </c>
      <c r="G42" s="6">
        <v>11</v>
      </c>
      <c r="H42" s="11">
        <v>17</v>
      </c>
      <c r="I42" s="6">
        <f t="shared" si="4"/>
        <v>58593</v>
      </c>
      <c r="J42" s="6">
        <v>5434</v>
      </c>
      <c r="K42" s="6">
        <f>473+7</f>
        <v>480</v>
      </c>
      <c r="L42" s="6">
        <v>0</v>
      </c>
      <c r="M42" s="11">
        <v>1</v>
      </c>
      <c r="N42" s="6">
        <f t="shared" si="5"/>
        <v>5915</v>
      </c>
      <c r="O42" s="19">
        <f t="shared" si="6"/>
        <v>0.90245741262632606</v>
      </c>
      <c r="P42" s="19">
        <f t="shared" si="6"/>
        <v>0.83193277310924363</v>
      </c>
      <c r="Q42" s="19">
        <f t="shared" si="6"/>
        <v>1</v>
      </c>
      <c r="R42" s="19">
        <f t="shared" si="6"/>
        <v>0.94117647058823528</v>
      </c>
      <c r="S42" s="19">
        <f t="shared" si="6"/>
        <v>0.89904937449866029</v>
      </c>
    </row>
    <row r="43" spans="3:19" x14ac:dyDescent="0.25">
      <c r="D43" t="s">
        <v>123</v>
      </c>
      <c r="E43" s="6">
        <v>55709</v>
      </c>
      <c r="F43" s="6">
        <v>2853</v>
      </c>
      <c r="G43" s="6">
        <v>11</v>
      </c>
      <c r="H43" s="11">
        <v>21</v>
      </c>
      <c r="I43" s="6">
        <f t="shared" si="4"/>
        <v>58594</v>
      </c>
      <c r="J43" s="6">
        <v>8320</v>
      </c>
      <c r="K43" s="6">
        <f>378+5</f>
        <v>383</v>
      </c>
      <c r="L43" s="6">
        <v>0</v>
      </c>
      <c r="M43" s="11">
        <v>2</v>
      </c>
      <c r="N43" s="6">
        <f t="shared" si="5"/>
        <v>8705</v>
      </c>
      <c r="O43" s="19">
        <f t="shared" si="6"/>
        <v>0.85065249780107344</v>
      </c>
      <c r="P43" s="19">
        <f t="shared" si="6"/>
        <v>0.86575534525061337</v>
      </c>
      <c r="Q43" s="19">
        <f t="shared" si="6"/>
        <v>1</v>
      </c>
      <c r="R43" s="19">
        <f t="shared" si="6"/>
        <v>0.90476190476190477</v>
      </c>
      <c r="S43" s="19">
        <f t="shared" si="6"/>
        <v>0.85143530054271765</v>
      </c>
    </row>
    <row r="44" spans="3:19" x14ac:dyDescent="0.25">
      <c r="D44" t="s">
        <v>124</v>
      </c>
      <c r="E44" s="6">
        <v>55715</v>
      </c>
      <c r="F44" s="6">
        <v>2854</v>
      </c>
      <c r="G44" s="6">
        <v>11</v>
      </c>
      <c r="H44" s="11">
        <v>29</v>
      </c>
      <c r="I44" s="6">
        <f t="shared" si="4"/>
        <v>58609</v>
      </c>
      <c r="J44" s="6">
        <v>7661</v>
      </c>
      <c r="K44" s="6">
        <f>536+7</f>
        <v>543</v>
      </c>
      <c r="L44" s="6">
        <v>0</v>
      </c>
      <c r="M44" s="11">
        <v>6</v>
      </c>
      <c r="N44" s="6">
        <f t="shared" si="5"/>
        <v>8210</v>
      </c>
      <c r="O44" s="19">
        <f t="shared" si="6"/>
        <v>0.86249663465852999</v>
      </c>
      <c r="P44" s="19">
        <f t="shared" si="6"/>
        <v>0.80974071478626486</v>
      </c>
      <c r="Q44" s="19">
        <f t="shared" si="6"/>
        <v>1</v>
      </c>
      <c r="R44" s="19">
        <f t="shared" si="6"/>
        <v>0.7931034482758621</v>
      </c>
      <c r="S44" s="19">
        <f t="shared" si="6"/>
        <v>0.85991912504905388</v>
      </c>
    </row>
    <row r="45" spans="3:19" x14ac:dyDescent="0.25">
      <c r="D45" t="s">
        <v>125</v>
      </c>
      <c r="E45" s="6">
        <v>55700</v>
      </c>
      <c r="F45" s="6">
        <v>2858</v>
      </c>
      <c r="G45" s="6">
        <v>11</v>
      </c>
      <c r="H45" s="11">
        <v>29</v>
      </c>
      <c r="I45" s="6">
        <f t="shared" si="4"/>
        <v>58598</v>
      </c>
      <c r="J45" s="6">
        <v>7365</v>
      </c>
      <c r="K45" s="6">
        <v>445</v>
      </c>
      <c r="L45" s="6">
        <v>1</v>
      </c>
      <c r="M45" s="11">
        <v>3</v>
      </c>
      <c r="N45" s="6">
        <f t="shared" si="5"/>
        <v>7814</v>
      </c>
      <c r="O45" s="19">
        <f t="shared" si="6"/>
        <v>0.86777378815080786</v>
      </c>
      <c r="P45" s="19">
        <f t="shared" si="6"/>
        <v>0.844296710986704</v>
      </c>
      <c r="Q45" s="19">
        <f t="shared" si="6"/>
        <v>0.90909090909090906</v>
      </c>
      <c r="R45" s="19">
        <f t="shared" si="6"/>
        <v>0.89655172413793105</v>
      </c>
      <c r="S45" s="19">
        <f t="shared" si="6"/>
        <v>0.86665073893306932</v>
      </c>
    </row>
    <row r="46" spans="3:19" x14ac:dyDescent="0.25">
      <c r="C46" t="s">
        <v>153</v>
      </c>
      <c r="D46" s="36" t="s">
        <v>150</v>
      </c>
      <c r="E46" s="37"/>
      <c r="F46" s="37"/>
      <c r="G46" s="6"/>
      <c r="H46" s="11"/>
      <c r="I46" s="6"/>
      <c r="M46" s="11"/>
      <c r="N46" s="6"/>
      <c r="O46" s="20">
        <f>AVERAGE(O34:O45)</f>
        <v>0.86551925517503314</v>
      </c>
      <c r="P46" s="20">
        <f t="shared" ref="P46:S46" si="7">AVERAGE(P34:P45)</f>
        <v>0.86160943442959115</v>
      </c>
      <c r="Q46" s="20">
        <f t="shared" si="7"/>
        <v>0.97727272727272718</v>
      </c>
      <c r="R46" s="20">
        <f t="shared" si="7"/>
        <v>0.90247593290189621</v>
      </c>
      <c r="S46" s="20">
        <f t="shared" si="7"/>
        <v>0.86535955703804301</v>
      </c>
    </row>
    <row r="47" spans="3:19" x14ac:dyDescent="0.25">
      <c r="D47" s="4"/>
      <c r="E47" s="6"/>
      <c r="F47" s="6"/>
      <c r="G47" s="6"/>
      <c r="H47" s="11"/>
      <c r="I47" s="6"/>
      <c r="M47" s="11"/>
      <c r="N47" s="6"/>
      <c r="O47" s="20"/>
      <c r="P47" s="20"/>
      <c r="Q47" s="20"/>
      <c r="R47" s="20"/>
      <c r="S47" s="20"/>
    </row>
    <row r="48" spans="3:19" x14ac:dyDescent="0.25">
      <c r="D48" s="4"/>
      <c r="E48" s="6"/>
      <c r="F48" s="6"/>
      <c r="G48" s="6"/>
      <c r="H48" s="11"/>
      <c r="I48" s="6"/>
      <c r="M48" s="11"/>
      <c r="N48" s="6"/>
      <c r="O48" s="20"/>
      <c r="P48" s="20"/>
      <c r="Q48" s="20"/>
      <c r="R48" s="20"/>
      <c r="S48" s="20"/>
    </row>
    <row r="49" spans="1:19" x14ac:dyDescent="0.25">
      <c r="D49" s="4"/>
      <c r="E49" s="6"/>
      <c r="F49" s="6"/>
      <c r="G49" s="6"/>
      <c r="H49" s="11"/>
      <c r="I49" s="6"/>
      <c r="M49" s="11"/>
      <c r="N49" s="6"/>
      <c r="O49" s="20"/>
      <c r="P49" s="20"/>
      <c r="Q49" s="20"/>
      <c r="R49" s="20"/>
      <c r="S49" s="20"/>
    </row>
    <row r="50" spans="1:19" x14ac:dyDescent="0.25">
      <c r="D50" s="4"/>
      <c r="E50" s="6"/>
      <c r="F50" s="6"/>
      <c r="G50" s="6"/>
      <c r="H50" s="11"/>
      <c r="I50" s="6"/>
      <c r="M50" s="11"/>
      <c r="N50" s="6"/>
      <c r="O50" s="20"/>
      <c r="P50" s="20"/>
      <c r="Q50" s="20"/>
      <c r="R50" s="20"/>
      <c r="S50" s="20"/>
    </row>
    <row r="51" spans="1:19" x14ac:dyDescent="0.25">
      <c r="D51" s="4"/>
      <c r="E51" s="6"/>
      <c r="F51" s="6"/>
      <c r="G51" s="6"/>
      <c r="H51" s="11"/>
      <c r="I51" s="6"/>
      <c r="M51" s="11"/>
      <c r="N51" s="6"/>
      <c r="O51" s="20"/>
      <c r="P51" s="20"/>
      <c r="Q51" s="20"/>
      <c r="R51" s="20"/>
      <c r="S51" s="20"/>
    </row>
    <row r="52" spans="1:19" x14ac:dyDescent="0.25">
      <c r="D52" s="4"/>
      <c r="E52" s="6"/>
      <c r="F52" s="6"/>
      <c r="G52" s="6"/>
      <c r="H52" s="11"/>
      <c r="I52" s="6"/>
      <c r="M52" s="11"/>
      <c r="N52" s="6"/>
      <c r="O52" s="20"/>
      <c r="P52" s="20"/>
      <c r="Q52" s="20"/>
      <c r="R52" s="20"/>
      <c r="S52" s="20"/>
    </row>
    <row r="53" spans="1:19" x14ac:dyDescent="0.25">
      <c r="D53" s="4"/>
      <c r="E53" s="6"/>
      <c r="F53" s="6"/>
      <c r="G53" s="6"/>
      <c r="H53" s="11"/>
      <c r="I53" s="6"/>
      <c r="M53" s="11"/>
      <c r="N53" s="6"/>
      <c r="O53" s="20"/>
      <c r="P53" s="20"/>
      <c r="Q53" s="20"/>
      <c r="R53" s="20"/>
      <c r="S53" s="20"/>
    </row>
    <row r="54" spans="1:19" x14ac:dyDescent="0.25">
      <c r="D54" s="4"/>
      <c r="E54" s="6"/>
      <c r="F54" s="6"/>
      <c r="G54" s="6"/>
      <c r="H54" s="11"/>
      <c r="I54" s="6"/>
      <c r="M54" s="11"/>
      <c r="N54" s="6"/>
      <c r="O54" s="20"/>
      <c r="P54" s="20"/>
      <c r="Q54" s="20"/>
      <c r="R54" s="20"/>
      <c r="S54" s="20"/>
    </row>
    <row r="55" spans="1:19" x14ac:dyDescent="0.25">
      <c r="S55" s="2" t="s">
        <v>50</v>
      </c>
    </row>
    <row r="56" spans="1:19" x14ac:dyDescent="0.25">
      <c r="S56" s="2" t="s">
        <v>147</v>
      </c>
    </row>
    <row r="57" spans="1:19" x14ac:dyDescent="0.25">
      <c r="S57" s="2" t="s">
        <v>1</v>
      </c>
    </row>
    <row r="59" spans="1:19" x14ac:dyDescent="0.25">
      <c r="A59" s="45" t="s">
        <v>4</v>
      </c>
      <c r="B59" s="45"/>
      <c r="C59" s="45"/>
      <c r="D59" s="45"/>
      <c r="E59" s="45"/>
      <c r="F59" s="45"/>
      <c r="G59" s="45"/>
      <c r="H59" s="45"/>
      <c r="I59" s="45"/>
      <c r="J59" s="45"/>
      <c r="K59" s="45"/>
      <c r="L59" s="45"/>
      <c r="M59" s="45"/>
      <c r="N59" s="45"/>
      <c r="O59" s="45"/>
      <c r="P59" s="45"/>
      <c r="Q59" s="45"/>
      <c r="R59" s="45"/>
      <c r="S59" s="45"/>
    </row>
    <row r="60" spans="1:19" x14ac:dyDescent="0.25">
      <c r="A60" s="45" t="s">
        <v>2</v>
      </c>
      <c r="B60" s="45"/>
      <c r="C60" s="45"/>
      <c r="D60" s="45"/>
      <c r="E60" s="45"/>
      <c r="F60" s="45"/>
      <c r="G60" s="45"/>
      <c r="H60" s="45"/>
      <c r="I60" s="45"/>
      <c r="J60" s="45"/>
      <c r="K60" s="45"/>
      <c r="L60" s="45"/>
      <c r="M60" s="45"/>
      <c r="N60" s="45"/>
      <c r="O60" s="45"/>
      <c r="P60" s="45"/>
      <c r="Q60" s="45"/>
      <c r="R60" s="45"/>
      <c r="S60" s="45"/>
    </row>
    <row r="61" spans="1:19" x14ac:dyDescent="0.25">
      <c r="A61" s="45" t="s">
        <v>3</v>
      </c>
      <c r="B61" s="45"/>
      <c r="C61" s="45"/>
      <c r="D61" s="45"/>
      <c r="E61" s="45"/>
      <c r="F61" s="45"/>
      <c r="G61" s="45"/>
      <c r="H61" s="45"/>
      <c r="I61" s="45"/>
      <c r="J61" s="45"/>
      <c r="K61" s="45"/>
      <c r="L61" s="45"/>
      <c r="M61" s="45"/>
      <c r="N61" s="45"/>
      <c r="O61" s="45"/>
      <c r="P61" s="45"/>
      <c r="Q61" s="45"/>
      <c r="R61" s="45"/>
      <c r="S61" s="45"/>
    </row>
    <row r="62" spans="1:19" x14ac:dyDescent="0.25">
      <c r="D62" s="4"/>
      <c r="E62" s="6"/>
      <c r="F62" s="6"/>
      <c r="G62" s="6"/>
      <c r="H62" s="11"/>
      <c r="I62" s="6"/>
      <c r="M62" s="11"/>
      <c r="N62" s="6"/>
      <c r="O62" s="20"/>
      <c r="P62" s="20"/>
      <c r="Q62" s="20"/>
      <c r="R62" s="20"/>
      <c r="S62" s="20"/>
    </row>
    <row r="63" spans="1:19" x14ac:dyDescent="0.25">
      <c r="E63" s="45" t="s">
        <v>145</v>
      </c>
      <c r="F63" s="45"/>
      <c r="G63" s="45"/>
      <c r="H63" s="45"/>
      <c r="I63" s="45"/>
      <c r="J63" s="45" t="s">
        <v>146</v>
      </c>
      <c r="K63" s="45"/>
      <c r="L63" s="45"/>
      <c r="M63" s="45"/>
      <c r="N63" s="45"/>
      <c r="O63" s="45" t="s">
        <v>236</v>
      </c>
      <c r="P63" s="45"/>
      <c r="Q63" s="45"/>
      <c r="R63" s="45"/>
      <c r="S63" s="45"/>
    </row>
    <row r="64" spans="1:19" ht="45" x14ac:dyDescent="0.25">
      <c r="E64" s="31" t="s">
        <v>156</v>
      </c>
      <c r="F64" s="35" t="s">
        <v>227</v>
      </c>
      <c r="G64" s="35" t="s">
        <v>226</v>
      </c>
      <c r="H64" s="35" t="s">
        <v>225</v>
      </c>
      <c r="I64" s="31" t="s">
        <v>24</v>
      </c>
      <c r="J64" s="31" t="s">
        <v>156</v>
      </c>
      <c r="K64" s="35" t="s">
        <v>227</v>
      </c>
      <c r="L64" s="35" t="s">
        <v>226</v>
      </c>
      <c r="M64" s="35" t="s">
        <v>225</v>
      </c>
      <c r="N64" s="31" t="s">
        <v>24</v>
      </c>
      <c r="O64" s="31" t="s">
        <v>156</v>
      </c>
      <c r="P64" s="35" t="s">
        <v>227</v>
      </c>
      <c r="Q64" s="35" t="s">
        <v>226</v>
      </c>
      <c r="R64" s="35" t="s">
        <v>225</v>
      </c>
      <c r="S64" s="31" t="s">
        <v>24</v>
      </c>
    </row>
    <row r="65" spans="3:19" x14ac:dyDescent="0.25">
      <c r="D65" t="s">
        <v>126</v>
      </c>
      <c r="E65" s="6">
        <v>55736</v>
      </c>
      <c r="F65" s="6">
        <v>2859</v>
      </c>
      <c r="G65" s="6">
        <v>10</v>
      </c>
      <c r="H65" s="11">
        <v>29</v>
      </c>
      <c r="I65" s="6">
        <f t="shared" ref="I65:I76" si="8">SUM(E65:H65)</f>
        <v>58634</v>
      </c>
      <c r="J65" s="6">
        <v>7743</v>
      </c>
      <c r="K65" s="6">
        <f>508+5</f>
        <v>513</v>
      </c>
      <c r="L65" s="6">
        <v>1</v>
      </c>
      <c r="M65" s="11">
        <v>5</v>
      </c>
      <c r="N65" s="6">
        <f t="shared" ref="N65:N76" si="9">SUM(J65:M65)</f>
        <v>8262</v>
      </c>
      <c r="O65" s="19">
        <f>1-+J65/E65</f>
        <v>0.86107722118558927</v>
      </c>
      <c r="P65" s="19">
        <f>1-+K65/F65</f>
        <v>0.82056663168940192</v>
      </c>
      <c r="Q65" s="19">
        <f>1-+L65/G65</f>
        <v>0.9</v>
      </c>
      <c r="R65" s="19">
        <f>1-+M65/H65</f>
        <v>0.82758620689655171</v>
      </c>
      <c r="S65" s="19">
        <f>1-+N65/I65</f>
        <v>0.85909199440597606</v>
      </c>
    </row>
    <row r="66" spans="3:19" x14ac:dyDescent="0.25">
      <c r="D66" t="s">
        <v>127</v>
      </c>
      <c r="E66" s="6">
        <v>55769</v>
      </c>
      <c r="F66" s="6">
        <v>2856</v>
      </c>
      <c r="G66" s="6">
        <v>10</v>
      </c>
      <c r="H66" s="11">
        <v>29</v>
      </c>
      <c r="I66" s="6">
        <f t="shared" si="8"/>
        <v>58664</v>
      </c>
      <c r="J66" s="6">
        <v>6500</v>
      </c>
      <c r="K66" s="6">
        <f>458+8</f>
        <v>466</v>
      </c>
      <c r="L66" s="6">
        <v>1</v>
      </c>
      <c r="M66" s="11">
        <v>5</v>
      </c>
      <c r="N66" s="6">
        <f t="shared" si="9"/>
        <v>6972</v>
      </c>
      <c r="O66" s="19">
        <f t="shared" ref="O66:S76" si="10">1-+J66/E66</f>
        <v>0.88344779357707681</v>
      </c>
      <c r="P66" s="19">
        <f t="shared" si="10"/>
        <v>0.83683473389355745</v>
      </c>
      <c r="Q66" s="19">
        <f t="shared" si="10"/>
        <v>0.9</v>
      </c>
      <c r="R66" s="19">
        <f t="shared" si="10"/>
        <v>0.82758620689655171</v>
      </c>
      <c r="S66" s="19">
        <f t="shared" si="10"/>
        <v>0.88115368880403655</v>
      </c>
    </row>
    <row r="67" spans="3:19" x14ac:dyDescent="0.25">
      <c r="D67" t="s">
        <v>128</v>
      </c>
      <c r="E67" s="6">
        <v>55828</v>
      </c>
      <c r="F67" s="6">
        <v>2951</v>
      </c>
      <c r="G67" s="6">
        <v>10</v>
      </c>
      <c r="H67" s="11">
        <v>29</v>
      </c>
      <c r="I67" s="6">
        <f t="shared" si="8"/>
        <v>58818</v>
      </c>
      <c r="J67" s="6">
        <v>8296</v>
      </c>
      <c r="K67" s="6">
        <f>288+3</f>
        <v>291</v>
      </c>
      <c r="L67" s="6">
        <v>0</v>
      </c>
      <c r="M67" s="11">
        <v>0</v>
      </c>
      <c r="N67" s="6">
        <f t="shared" si="9"/>
        <v>8587</v>
      </c>
      <c r="O67" s="19">
        <f t="shared" si="10"/>
        <v>0.85140073081607792</v>
      </c>
      <c r="P67" s="19">
        <f t="shared" si="10"/>
        <v>0.90138935953913923</v>
      </c>
      <c r="Q67" s="19">
        <f t="shared" si="10"/>
        <v>1</v>
      </c>
      <c r="R67" s="19">
        <f t="shared" si="10"/>
        <v>1</v>
      </c>
      <c r="S67" s="19">
        <f t="shared" si="10"/>
        <v>0.85400727668400833</v>
      </c>
    </row>
    <row r="68" spans="3:19" x14ac:dyDescent="0.25">
      <c r="D68" s="16" t="s">
        <v>129</v>
      </c>
      <c r="E68" s="6">
        <v>55893</v>
      </c>
      <c r="F68" s="6">
        <v>2882</v>
      </c>
      <c r="G68" s="6">
        <v>10</v>
      </c>
      <c r="H68" s="11">
        <v>29</v>
      </c>
      <c r="I68" s="6">
        <f t="shared" si="8"/>
        <v>58814</v>
      </c>
      <c r="J68" s="6">
        <v>6821</v>
      </c>
      <c r="K68" s="6">
        <v>369</v>
      </c>
      <c r="L68" s="6">
        <v>0</v>
      </c>
      <c r="M68" s="11">
        <v>1</v>
      </c>
      <c r="N68" s="6">
        <f t="shared" si="9"/>
        <v>7191</v>
      </c>
      <c r="O68" s="19">
        <f t="shared" si="10"/>
        <v>0.87796325121213747</v>
      </c>
      <c r="P68" s="19">
        <f t="shared" si="10"/>
        <v>0.87196391394864681</v>
      </c>
      <c r="Q68" s="19">
        <f t="shared" si="10"/>
        <v>1</v>
      </c>
      <c r="R68" s="19">
        <f t="shared" si="10"/>
        <v>0.96551724137931039</v>
      </c>
      <c r="S68" s="19">
        <f t="shared" si="10"/>
        <v>0.87773319277722994</v>
      </c>
    </row>
    <row r="69" spans="3:19" x14ac:dyDescent="0.25">
      <c r="D69" t="s">
        <v>130</v>
      </c>
      <c r="E69" s="6">
        <v>55966</v>
      </c>
      <c r="F69" s="6">
        <v>2886</v>
      </c>
      <c r="G69" s="6">
        <v>10</v>
      </c>
      <c r="H69" s="11">
        <v>29</v>
      </c>
      <c r="I69" s="6">
        <f t="shared" si="8"/>
        <v>58891</v>
      </c>
      <c r="J69" s="6">
        <v>8239</v>
      </c>
      <c r="K69" s="6">
        <f>184+2</f>
        <v>186</v>
      </c>
      <c r="L69" s="6">
        <v>0</v>
      </c>
      <c r="M69" s="11">
        <v>1</v>
      </c>
      <c r="N69" s="6">
        <f t="shared" si="9"/>
        <v>8426</v>
      </c>
      <c r="O69" s="19">
        <f t="shared" si="10"/>
        <v>0.85278561984061751</v>
      </c>
      <c r="P69" s="19">
        <f t="shared" si="10"/>
        <v>0.93555093555093549</v>
      </c>
      <c r="Q69" s="19">
        <f t="shared" si="10"/>
        <v>1</v>
      </c>
      <c r="R69" s="19">
        <f t="shared" si="10"/>
        <v>0.96551724137931039</v>
      </c>
      <c r="S69" s="19">
        <f t="shared" si="10"/>
        <v>0.85692211033944066</v>
      </c>
    </row>
    <row r="70" spans="3:19" x14ac:dyDescent="0.25">
      <c r="D70" t="s">
        <v>131</v>
      </c>
      <c r="E70" s="6">
        <v>55990</v>
      </c>
      <c r="F70" s="6">
        <v>2903</v>
      </c>
      <c r="G70" s="6">
        <v>10</v>
      </c>
      <c r="H70" s="11">
        <v>29</v>
      </c>
      <c r="I70" s="6">
        <f t="shared" si="8"/>
        <v>58932</v>
      </c>
      <c r="J70" s="6">
        <v>5019</v>
      </c>
      <c r="K70" s="6">
        <f>409+8</f>
        <v>417</v>
      </c>
      <c r="L70" s="6">
        <v>0</v>
      </c>
      <c r="M70" s="11">
        <v>1</v>
      </c>
      <c r="N70" s="6">
        <f t="shared" si="9"/>
        <v>5437</v>
      </c>
      <c r="O70" s="19">
        <f t="shared" si="10"/>
        <v>0.91035899267726383</v>
      </c>
      <c r="P70" s="19">
        <f t="shared" si="10"/>
        <v>0.8563554943162246</v>
      </c>
      <c r="Q70" s="19">
        <f t="shared" si="10"/>
        <v>1</v>
      </c>
      <c r="R70" s="19">
        <f t="shared" si="10"/>
        <v>0.96551724137931039</v>
      </c>
      <c r="S70" s="19">
        <f t="shared" si="10"/>
        <v>0.90774112536482732</v>
      </c>
    </row>
    <row r="71" spans="3:19" x14ac:dyDescent="0.25">
      <c r="D71" t="s">
        <v>132</v>
      </c>
      <c r="E71" s="6">
        <v>56110</v>
      </c>
      <c r="F71" s="6">
        <v>2920</v>
      </c>
      <c r="G71" s="6">
        <v>10</v>
      </c>
      <c r="H71" s="11">
        <v>29</v>
      </c>
      <c r="I71" s="6">
        <f t="shared" si="8"/>
        <v>59069</v>
      </c>
      <c r="J71" s="6">
        <v>8088</v>
      </c>
      <c r="K71" s="6">
        <v>439</v>
      </c>
      <c r="L71" s="6">
        <v>0</v>
      </c>
      <c r="M71" s="11">
        <v>5</v>
      </c>
      <c r="N71" s="6">
        <f t="shared" si="9"/>
        <v>8532</v>
      </c>
      <c r="O71" s="19">
        <f t="shared" si="10"/>
        <v>0.85585457137765109</v>
      </c>
      <c r="P71" s="19">
        <f t="shared" si="10"/>
        <v>0.84965753424657531</v>
      </c>
      <c r="Q71" s="19">
        <f t="shared" si="10"/>
        <v>1</v>
      </c>
      <c r="R71" s="19">
        <f t="shared" si="10"/>
        <v>0.82758620689655171</v>
      </c>
      <c r="S71" s="19">
        <f t="shared" si="10"/>
        <v>0.85555875332238562</v>
      </c>
    </row>
    <row r="72" spans="3:19" x14ac:dyDescent="0.25">
      <c r="D72" t="s">
        <v>133</v>
      </c>
      <c r="E72" s="6">
        <v>56181</v>
      </c>
      <c r="F72" s="6">
        <v>2915</v>
      </c>
      <c r="G72" s="6">
        <v>10</v>
      </c>
      <c r="H72" s="11">
        <v>29</v>
      </c>
      <c r="I72" s="6">
        <f t="shared" si="8"/>
        <v>59135</v>
      </c>
      <c r="J72" s="6">
        <v>7388</v>
      </c>
      <c r="K72" s="6">
        <v>210</v>
      </c>
      <c r="L72" s="6">
        <v>0</v>
      </c>
      <c r="M72" s="11">
        <v>0</v>
      </c>
      <c r="N72" s="6">
        <f t="shared" si="9"/>
        <v>7598</v>
      </c>
      <c r="O72" s="19">
        <f t="shared" si="10"/>
        <v>0.8684964667770243</v>
      </c>
      <c r="P72" s="19">
        <f t="shared" si="10"/>
        <v>0.92795883361921094</v>
      </c>
      <c r="Q72" s="19">
        <f t="shared" si="10"/>
        <v>1</v>
      </c>
      <c r="R72" s="19">
        <f t="shared" si="10"/>
        <v>1</v>
      </c>
      <c r="S72" s="19">
        <f t="shared" si="10"/>
        <v>0.8715143316141033</v>
      </c>
    </row>
    <row r="73" spans="3:19" x14ac:dyDescent="0.25">
      <c r="D73" t="s">
        <v>134</v>
      </c>
      <c r="E73" s="6">
        <v>56185</v>
      </c>
      <c r="F73" s="6">
        <v>2925</v>
      </c>
      <c r="G73" s="6">
        <v>10</v>
      </c>
      <c r="H73" s="11">
        <v>29</v>
      </c>
      <c r="I73" s="6">
        <f t="shared" si="8"/>
        <v>59149</v>
      </c>
      <c r="J73" s="6">
        <v>5992</v>
      </c>
      <c r="K73" s="6">
        <f>601+2</f>
        <v>603</v>
      </c>
      <c r="L73" s="6">
        <v>0</v>
      </c>
      <c r="M73" s="11">
        <v>6</v>
      </c>
      <c r="N73" s="6">
        <f t="shared" si="9"/>
        <v>6601</v>
      </c>
      <c r="O73" s="19">
        <f t="shared" si="10"/>
        <v>0.8933523182344042</v>
      </c>
      <c r="P73" s="19">
        <f t="shared" si="10"/>
        <v>0.79384615384615387</v>
      </c>
      <c r="Q73" s="19">
        <f t="shared" si="10"/>
        <v>1</v>
      </c>
      <c r="R73" s="19">
        <f t="shared" si="10"/>
        <v>0.7931034482758621</v>
      </c>
      <c r="S73" s="19">
        <f t="shared" si="10"/>
        <v>0.8884004801433667</v>
      </c>
    </row>
    <row r="74" spans="3:19" x14ac:dyDescent="0.25">
      <c r="D74" t="s">
        <v>135</v>
      </c>
      <c r="E74" s="6">
        <v>56246</v>
      </c>
      <c r="F74" s="6">
        <v>2911</v>
      </c>
      <c r="G74" s="6">
        <v>10</v>
      </c>
      <c r="H74" s="11">
        <v>29</v>
      </c>
      <c r="I74" s="6">
        <f t="shared" si="8"/>
        <v>59196</v>
      </c>
      <c r="J74" s="6">
        <v>7665</v>
      </c>
      <c r="K74" s="6">
        <f>256+4</f>
        <v>260</v>
      </c>
      <c r="L74" s="6">
        <v>0</v>
      </c>
      <c r="M74" s="11">
        <v>1</v>
      </c>
      <c r="N74" s="6">
        <f t="shared" si="9"/>
        <v>7926</v>
      </c>
      <c r="O74" s="19">
        <f t="shared" si="10"/>
        <v>0.86372364257013834</v>
      </c>
      <c r="P74" s="19">
        <f t="shared" si="10"/>
        <v>0.91068361387839225</v>
      </c>
      <c r="Q74" s="19">
        <f t="shared" si="10"/>
        <v>1</v>
      </c>
      <c r="R74" s="19">
        <f t="shared" si="10"/>
        <v>0.96551724137931039</v>
      </c>
      <c r="S74" s="19">
        <f t="shared" si="10"/>
        <v>0.86610581796067299</v>
      </c>
    </row>
    <row r="75" spans="3:19" x14ac:dyDescent="0.25">
      <c r="D75" t="s">
        <v>136</v>
      </c>
      <c r="E75" s="6">
        <v>56160</v>
      </c>
      <c r="F75" s="6">
        <v>2928</v>
      </c>
      <c r="G75" s="6">
        <v>10</v>
      </c>
      <c r="H75" s="11">
        <v>29</v>
      </c>
      <c r="I75" s="6">
        <f t="shared" si="8"/>
        <v>59127</v>
      </c>
      <c r="J75" s="6">
        <v>6096</v>
      </c>
      <c r="K75" s="6">
        <f>307+2</f>
        <v>309</v>
      </c>
      <c r="L75" s="6">
        <v>0</v>
      </c>
      <c r="M75" s="11">
        <v>0</v>
      </c>
      <c r="N75" s="6">
        <f t="shared" si="9"/>
        <v>6405</v>
      </c>
      <c r="O75" s="19">
        <f t="shared" si="10"/>
        <v>0.89145299145299139</v>
      </c>
      <c r="P75" s="19">
        <f t="shared" si="10"/>
        <v>0.89446721311475408</v>
      </c>
      <c r="Q75" s="19">
        <f t="shared" si="10"/>
        <v>1</v>
      </c>
      <c r="R75" s="19">
        <f t="shared" si="10"/>
        <v>1</v>
      </c>
      <c r="S75" s="19">
        <f t="shared" si="10"/>
        <v>0.89167385458420012</v>
      </c>
    </row>
    <row r="76" spans="3:19" x14ac:dyDescent="0.25">
      <c r="D76" t="s">
        <v>137</v>
      </c>
      <c r="E76" s="6">
        <v>56221</v>
      </c>
      <c r="F76" s="6">
        <v>2924</v>
      </c>
      <c r="G76" s="6">
        <v>10</v>
      </c>
      <c r="H76" s="11">
        <v>29</v>
      </c>
      <c r="I76" s="6">
        <f t="shared" si="8"/>
        <v>59184</v>
      </c>
      <c r="J76" s="6">
        <v>6980</v>
      </c>
      <c r="K76" s="6">
        <f>288+5</f>
        <v>293</v>
      </c>
      <c r="L76" s="6">
        <v>0</v>
      </c>
      <c r="M76" s="11">
        <v>5</v>
      </c>
      <c r="N76" s="6">
        <f t="shared" si="9"/>
        <v>7278</v>
      </c>
      <c r="O76" s="19">
        <f t="shared" si="10"/>
        <v>0.8758471033955284</v>
      </c>
      <c r="P76" s="19">
        <f t="shared" si="10"/>
        <v>0.89979480164158687</v>
      </c>
      <c r="Q76" s="19">
        <f t="shared" si="10"/>
        <v>1</v>
      </c>
      <c r="R76" s="19">
        <f t="shared" si="10"/>
        <v>0.82758620689655171</v>
      </c>
      <c r="S76" s="19">
        <f t="shared" si="10"/>
        <v>0.87702757502027573</v>
      </c>
    </row>
    <row r="77" spans="3:19" x14ac:dyDescent="0.25">
      <c r="C77" t="s">
        <v>154</v>
      </c>
      <c r="D77" s="36" t="s">
        <v>151</v>
      </c>
      <c r="E77" s="37"/>
      <c r="F77" s="37"/>
      <c r="G77" s="6"/>
      <c r="H77" s="11"/>
      <c r="I77" s="6"/>
      <c r="M77" s="11"/>
      <c r="N77" s="6"/>
      <c r="O77" s="20">
        <f>AVERAGE(O65:O76)</f>
        <v>0.87381339192637508</v>
      </c>
      <c r="P77" s="20">
        <f t="shared" ref="P77:R77" si="11">AVERAGE(P65:P76)</f>
        <v>0.87492243494038158</v>
      </c>
      <c r="Q77" s="20">
        <f t="shared" si="11"/>
        <v>0.98333333333333339</v>
      </c>
      <c r="R77" s="20">
        <f t="shared" si="11"/>
        <v>0.9137931034482758</v>
      </c>
      <c r="S77" s="20">
        <f>AVERAGE(S65:S76)</f>
        <v>0.87391085008504354</v>
      </c>
    </row>
    <row r="78" spans="3:19" x14ac:dyDescent="0.25">
      <c r="D78" s="4"/>
      <c r="E78" s="6"/>
      <c r="F78" s="6"/>
      <c r="G78" s="6"/>
      <c r="H78" s="11"/>
      <c r="I78" s="6"/>
      <c r="M78" s="11"/>
      <c r="N78" s="6"/>
      <c r="O78" s="20"/>
      <c r="P78" s="20"/>
      <c r="Q78" s="20"/>
      <c r="R78" s="20"/>
      <c r="S78" s="20"/>
    </row>
    <row r="79" spans="3:19" x14ac:dyDescent="0.25">
      <c r="C79" t="s">
        <v>155</v>
      </c>
      <c r="D79" t="s">
        <v>138</v>
      </c>
      <c r="E79" s="6">
        <v>55355</v>
      </c>
      <c r="F79" s="6">
        <v>2946</v>
      </c>
      <c r="G79" s="6">
        <v>10</v>
      </c>
      <c r="H79" s="11">
        <v>29</v>
      </c>
      <c r="I79" s="6">
        <f t="shared" ref="I79:I83" si="12">SUM(E79:H79)</f>
        <v>58340</v>
      </c>
      <c r="J79" s="6">
        <v>7344</v>
      </c>
      <c r="K79" s="6">
        <f>359+6</f>
        <v>365</v>
      </c>
      <c r="L79" s="6">
        <v>2</v>
      </c>
      <c r="M79" s="11">
        <v>5</v>
      </c>
      <c r="N79" s="6">
        <f t="shared" ref="N79:N83" si="13">SUM(J79:M79)</f>
        <v>7716</v>
      </c>
      <c r="O79" s="19">
        <f>1-+J79/E79</f>
        <v>0.86732905789901538</v>
      </c>
      <c r="P79" s="19">
        <f>1-+K79/F79</f>
        <v>0.87610319076714194</v>
      </c>
      <c r="Q79" s="19">
        <f>1-+L79/G79</f>
        <v>0.8</v>
      </c>
      <c r="R79" s="19">
        <f>1-+M79/H79</f>
        <v>0.82758620689655171</v>
      </c>
      <c r="S79" s="19">
        <f>1-+N79/I79</f>
        <v>0.86774082961947208</v>
      </c>
    </row>
    <row r="80" spans="3:19" x14ac:dyDescent="0.25">
      <c r="C80" t="s">
        <v>155</v>
      </c>
      <c r="D80" t="s">
        <v>139</v>
      </c>
      <c r="E80" s="6">
        <v>56288</v>
      </c>
      <c r="F80" s="6">
        <v>2938</v>
      </c>
      <c r="G80" s="6">
        <v>10</v>
      </c>
      <c r="H80" s="11">
        <v>29</v>
      </c>
      <c r="I80" s="6">
        <f t="shared" si="12"/>
        <v>59265</v>
      </c>
      <c r="J80" s="6">
        <v>5317</v>
      </c>
      <c r="K80" s="6">
        <v>401</v>
      </c>
      <c r="L80" s="6">
        <v>0</v>
      </c>
      <c r="M80" s="11">
        <v>10</v>
      </c>
      <c r="N80" s="6">
        <f t="shared" si="13"/>
        <v>5728</v>
      </c>
      <c r="O80" s="19">
        <f t="shared" ref="O80:S83" si="14">1-+J80/E80</f>
        <v>0.90553936895963616</v>
      </c>
      <c r="P80" s="19">
        <f t="shared" si="14"/>
        <v>0.86351259360108923</v>
      </c>
      <c r="Q80" s="19">
        <f t="shared" si="14"/>
        <v>1</v>
      </c>
      <c r="R80" s="19">
        <f t="shared" si="14"/>
        <v>0.65517241379310343</v>
      </c>
      <c r="S80" s="19">
        <f t="shared" si="14"/>
        <v>0.90334936303045643</v>
      </c>
    </row>
    <row r="81" spans="3:28" x14ac:dyDescent="0.25">
      <c r="C81" t="s">
        <v>155</v>
      </c>
      <c r="D81" t="s">
        <v>242</v>
      </c>
      <c r="E81" s="6">
        <v>56499</v>
      </c>
      <c r="F81" s="6">
        <v>2948</v>
      </c>
      <c r="G81" s="6">
        <v>10</v>
      </c>
      <c r="H81" s="11">
        <v>29</v>
      </c>
      <c r="I81" s="6">
        <f t="shared" si="12"/>
        <v>59486</v>
      </c>
      <c r="J81" s="6">
        <f>7453+886</f>
        <v>8339</v>
      </c>
      <c r="K81" s="6">
        <f>462+5</f>
        <v>467</v>
      </c>
      <c r="L81" s="6">
        <v>0</v>
      </c>
      <c r="M81" s="11">
        <v>7</v>
      </c>
      <c r="N81" s="6">
        <f t="shared" si="13"/>
        <v>8813</v>
      </c>
      <c r="O81" s="19">
        <f t="shared" si="14"/>
        <v>0.85240446733570507</v>
      </c>
      <c r="P81" s="19">
        <f t="shared" si="14"/>
        <v>0.84158751696065126</v>
      </c>
      <c r="Q81" s="19">
        <f t="shared" si="14"/>
        <v>1</v>
      </c>
      <c r="R81" s="19">
        <f t="shared" si="14"/>
        <v>0.75862068965517238</v>
      </c>
      <c r="S81" s="19">
        <f t="shared" si="14"/>
        <v>0.85184749352788891</v>
      </c>
    </row>
    <row r="82" spans="3:28" x14ac:dyDescent="0.25">
      <c r="C82" t="s">
        <v>155</v>
      </c>
      <c r="D82" s="16" t="s">
        <v>233</v>
      </c>
      <c r="E82" s="6">
        <v>56565</v>
      </c>
      <c r="F82" s="6">
        <v>2949</v>
      </c>
      <c r="G82" s="6">
        <v>10</v>
      </c>
      <c r="H82" s="11">
        <v>29</v>
      </c>
      <c r="I82" s="6">
        <f t="shared" si="12"/>
        <v>59553</v>
      </c>
      <c r="J82" s="6">
        <f>6979+1013</f>
        <v>7992</v>
      </c>
      <c r="K82" s="6">
        <f>288+5</f>
        <v>293</v>
      </c>
      <c r="L82" s="6">
        <v>0</v>
      </c>
      <c r="M82" s="11">
        <v>5</v>
      </c>
      <c r="N82" s="6">
        <f t="shared" si="13"/>
        <v>8290</v>
      </c>
      <c r="O82" s="19">
        <f t="shared" si="14"/>
        <v>0.85871121718377086</v>
      </c>
      <c r="P82" s="19">
        <f t="shared" si="14"/>
        <v>0.9006442861987114</v>
      </c>
      <c r="Q82" s="19">
        <f t="shared" si="14"/>
        <v>1</v>
      </c>
      <c r="R82" s="19">
        <f t="shared" si="14"/>
        <v>0.82758620689655171</v>
      </c>
      <c r="S82" s="19">
        <f t="shared" si="14"/>
        <v>0.86079626551139321</v>
      </c>
    </row>
    <row r="83" spans="3:28" x14ac:dyDescent="0.25">
      <c r="C83" t="s">
        <v>155</v>
      </c>
      <c r="D83" t="s">
        <v>234</v>
      </c>
      <c r="E83" s="6">
        <v>56662</v>
      </c>
      <c r="F83" s="6">
        <v>2952</v>
      </c>
      <c r="G83" s="6">
        <v>10</v>
      </c>
      <c r="H83" s="11">
        <v>29</v>
      </c>
      <c r="I83" s="6">
        <f t="shared" si="12"/>
        <v>59653</v>
      </c>
      <c r="J83" s="6">
        <f>6593+1047</f>
        <v>7640</v>
      </c>
      <c r="K83" s="6">
        <v>408</v>
      </c>
      <c r="L83" s="6">
        <v>2</v>
      </c>
      <c r="M83" s="11">
        <v>5</v>
      </c>
      <c r="N83" s="6">
        <f t="shared" si="13"/>
        <v>8055</v>
      </c>
      <c r="O83" s="19">
        <f t="shared" si="14"/>
        <v>0.86516536655959908</v>
      </c>
      <c r="P83" s="19">
        <f t="shared" si="14"/>
        <v>0.86178861788617889</v>
      </c>
      <c r="Q83" s="19">
        <f t="shared" si="14"/>
        <v>0.8</v>
      </c>
      <c r="R83" s="19">
        <f t="shared" si="14"/>
        <v>0.82758620689655171</v>
      </c>
      <c r="S83" s="19">
        <f t="shared" si="14"/>
        <v>0.86496907112802379</v>
      </c>
    </row>
    <row r="84" spans="3:28" x14ac:dyDescent="0.25">
      <c r="O84" s="19"/>
      <c r="P84" s="19"/>
      <c r="Q84" s="19"/>
      <c r="R84" s="19"/>
      <c r="S84" s="19"/>
    </row>
    <row r="85" spans="3:28" x14ac:dyDescent="0.25">
      <c r="D85" t="s">
        <v>243</v>
      </c>
      <c r="O85" s="19"/>
      <c r="P85" s="19"/>
      <c r="Q85" s="19"/>
      <c r="R85" s="19"/>
      <c r="S85" s="19"/>
    </row>
    <row r="86" spans="3:28" x14ac:dyDescent="0.25">
      <c r="D86" t="s">
        <v>252</v>
      </c>
      <c r="O86" s="19"/>
      <c r="P86" s="19"/>
      <c r="Q86" s="19"/>
      <c r="R86" s="19"/>
      <c r="S86" s="19"/>
    </row>
    <row r="87" spans="3:28" x14ac:dyDescent="0.25">
      <c r="O87" s="19"/>
      <c r="P87" s="19"/>
      <c r="Q87" s="19"/>
      <c r="R87" s="19"/>
      <c r="S87" s="19"/>
    </row>
    <row r="88" spans="3:28" x14ac:dyDescent="0.25">
      <c r="D88" t="s">
        <v>235</v>
      </c>
      <c r="O88" s="19"/>
      <c r="P88" s="19"/>
      <c r="Q88" s="19"/>
      <c r="R88" s="19"/>
      <c r="S88" s="19"/>
    </row>
    <row r="89" spans="3:28" x14ac:dyDescent="0.25">
      <c r="O89" s="19"/>
      <c r="P89" s="19"/>
      <c r="Q89" s="19"/>
      <c r="R89" s="19"/>
      <c r="S89" s="19"/>
    </row>
    <row r="90" spans="3:28" x14ac:dyDescent="0.25">
      <c r="D90" t="s">
        <v>244</v>
      </c>
      <c r="O90" s="19"/>
      <c r="P90" s="19"/>
      <c r="Q90" s="19"/>
      <c r="R90" s="19"/>
      <c r="S90" s="19"/>
    </row>
    <row r="91" spans="3:28" x14ac:dyDescent="0.25">
      <c r="D91" t="s">
        <v>245</v>
      </c>
      <c r="O91" s="20"/>
      <c r="P91" s="20"/>
      <c r="Q91" s="20"/>
      <c r="R91" s="20"/>
      <c r="S91" s="20"/>
    </row>
    <row r="92" spans="3:28" x14ac:dyDescent="0.25">
      <c r="O92" s="20"/>
      <c r="P92" s="20"/>
      <c r="Q92" s="20"/>
      <c r="R92" s="20"/>
      <c r="S92" s="20"/>
    </row>
    <row r="93" spans="3:28" x14ac:dyDescent="0.25">
      <c r="D93" s="42" t="s">
        <v>246</v>
      </c>
      <c r="E93" s="42"/>
      <c r="F93" s="42"/>
      <c r="G93" s="42"/>
      <c r="H93" s="42"/>
      <c r="I93" s="42"/>
      <c r="J93" s="42"/>
      <c r="K93" s="42"/>
      <c r="L93" s="42"/>
      <c r="M93" s="42"/>
      <c r="N93" s="42"/>
      <c r="O93" s="42"/>
      <c r="P93" s="42"/>
      <c r="Q93" s="42"/>
      <c r="R93" s="42"/>
      <c r="S93" s="42"/>
      <c r="T93" s="42"/>
      <c r="U93" s="42"/>
      <c r="V93" s="42"/>
      <c r="W93" s="42"/>
      <c r="X93" s="42"/>
      <c r="Y93" s="42"/>
      <c r="Z93" s="42"/>
      <c r="AA93" s="42"/>
      <c r="AB93" s="42"/>
    </row>
    <row r="94" spans="3:28" x14ac:dyDescent="0.25">
      <c r="D94" s="42" t="s">
        <v>253</v>
      </c>
    </row>
  </sheetData>
  <mergeCells count="12">
    <mergeCell ref="A59:S59"/>
    <mergeCell ref="A60:S60"/>
    <mergeCell ref="A61:S61"/>
    <mergeCell ref="E63:I63"/>
    <mergeCell ref="J63:N63"/>
    <mergeCell ref="O63:S63"/>
    <mergeCell ref="A5:S5"/>
    <mergeCell ref="A6:S6"/>
    <mergeCell ref="A7:S7"/>
    <mergeCell ref="E18:I18"/>
    <mergeCell ref="J18:N18"/>
    <mergeCell ref="O18:S18"/>
  </mergeCells>
  <pageMargins left="0.7" right="0.7" top="0.75" bottom="0.75" header="0.3" footer="0.3"/>
  <pageSetup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'Q1'!Print_Area</vt:lpstr>
      <vt:lpstr>'Q10'!Print_Area</vt:lpstr>
      <vt:lpstr>'Q11'!Print_Area</vt:lpstr>
      <vt:lpstr>'Q14'!Print_Area</vt:lpstr>
      <vt:lpstr>'Q15'!Print_Area</vt:lpstr>
      <vt:lpstr>'Q16'!Print_Area</vt:lpstr>
      <vt:lpstr>'Q17'!Print_Area</vt:lpstr>
      <vt:lpstr>'Q2'!Print_Area</vt:lpstr>
      <vt:lpstr>'Q3'!Print_Area</vt:lpstr>
      <vt:lpstr>'Q4'!Print_Area</vt:lpstr>
      <vt:lpstr>'Q5'!Print_Area</vt:lpstr>
      <vt:lpstr>'Q6'!Print_Area</vt:lpstr>
      <vt:lpstr>'Q7'!Print_Area</vt:lpstr>
      <vt:lpstr>'Q8'!Print_Area</vt:lpstr>
      <vt:lpstr>'Q9'!Print_Area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Chuck Williamson</dc:creator>
  <cp:lastModifiedBy>Chuck Williamson</cp:lastModifiedBy>
  <cp:lastPrinted>2020-07-07T18:19:30Z</cp:lastPrinted>
  <dcterms:created xsi:type="dcterms:W3CDTF">2020-06-24T17:05:13Z</dcterms:created>
  <dcterms:modified xsi:type="dcterms:W3CDTF">2020-07-07T18:19:39Z</dcterms:modified>
</cp:coreProperties>
</file>